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C6BD73C6-666C-4C75-894C-310A3946BF76}" xr6:coauthVersionLast="47" xr6:coauthVersionMax="47" xr10:uidLastSave="{00000000-0000-0000-0000-000000000000}"/>
  <bookViews>
    <workbookView xWindow="-120" yWindow="-120" windowWidth="29040" windowHeight="15840" tabRatio="844" activeTab="1" xr2:uid="{00000000-000D-0000-FFFF-FFFF00000000}"/>
  </bookViews>
  <sheets>
    <sheet name="Criterios" sheetId="13" r:id="rId1"/>
    <sheet name="Tabla3" sheetId="15" r:id="rId2"/>
    <sheet name="Plantillas" sheetId="17" r:id="rId3"/>
    <sheet name="LD" sheetId="1" r:id="rId4"/>
    <sheet name="MD" sheetId="2" r:id="rId5"/>
    <sheet name="DD" sheetId="3" r:id="rId6"/>
    <sheet name=" JT LD " sheetId="4" r:id="rId7"/>
    <sheet name="PREVIO Boletas " sheetId="7" r:id="rId8"/>
    <sheet name="Boleta LD" sheetId="5" r:id="rId9"/>
    <sheet name="Boleta MD Y DD" sheetId="8" r:id="rId10"/>
    <sheet name="Boleta MD Y DD Guatemala" sheetId="18" r:id="rId11"/>
    <sheet name="PREV KARDEX" sheetId="6" r:id="rId12"/>
    <sheet name="KARDEX POSGRADOS" sheetId="12" r:id="rId13"/>
    <sheet name="KARDE LD" sheetId="9" r:id="rId14"/>
    <sheet name="PRUEBA JT" sheetId="10" r:id="rId15"/>
    <sheet name="PRED" sheetId="11" r:id="rId16"/>
    <sheet name="Hoja2" sheetId="14" r:id="rId17"/>
  </sheets>
  <definedNames>
    <definedName name="_xlnm._FilterDatabase" localSheetId="5" hidden="1">DD!$A$288:$BE$297</definedName>
    <definedName name="_xlnm._FilterDatabase" localSheetId="4" hidden="1">MD!$A$291:$AW$315</definedName>
    <definedName name="_xleta.AVERAGE" hidden="1" xlm="1">#NAME?</definedName>
    <definedName name="_xleta.IFERROR" hidden="1" xlm="1">#NAME?</definedName>
    <definedName name="_xleta.LOOKUP" hidden="1" xlm="1">#NAME?</definedName>
    <definedName name="_xleta.VLOOKUP" hidden="1" xlm="1">#NAME?</definedName>
    <definedName name="_xleta.XLOOKUP" hidden="1" xlm="1">#NAME?</definedName>
    <definedName name="_xlnm.Print_Area" localSheetId="8">'Boleta LD'!$A:$F</definedName>
    <definedName name="_xlnm.Print_Area" localSheetId="9">'Boleta MD Y DD'!$A$1:$F$50</definedName>
    <definedName name="_xlnm.Print_Area" localSheetId="10">'Boleta MD Y DD Guatemala'!$A$1:$F$50</definedName>
    <definedName name="_xlnm.Print_Area" localSheetId="12">'KARDEX POSGRADOS'!$B$1:$H$70</definedName>
    <definedName name="DatosExternos_1" localSheetId="1" hidden="1">Tabla3!$A$1:$AB$1233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5" i="3" l="1"/>
  <c r="E245" i="3"/>
  <c r="H245" i="3" s="1"/>
  <c r="F245" i="3"/>
  <c r="G245" i="3"/>
  <c r="C173" i="3"/>
  <c r="C174" i="3"/>
  <c r="C164" i="3"/>
  <c r="C165" i="3"/>
  <c r="C166" i="3"/>
  <c r="C167" i="3"/>
  <c r="C168" i="3"/>
  <c r="C169" i="3"/>
  <c r="C170" i="3"/>
  <c r="C171" i="3"/>
  <c r="C172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49" i="3"/>
  <c r="G62" i="1"/>
  <c r="E225" i="2"/>
  <c r="C225" i="2" s="1"/>
  <c r="G225" i="2"/>
  <c r="L263" i="3"/>
  <c r="M263" i="3"/>
  <c r="G263" i="3"/>
  <c r="F263" i="3"/>
  <c r="E263" i="3"/>
  <c r="C263" i="3" s="1"/>
  <c r="G20" i="2"/>
  <c r="M17" i="2"/>
  <c r="M26" i="2"/>
  <c r="L26" i="2"/>
  <c r="G26" i="2"/>
  <c r="F26" i="2"/>
  <c r="E26" i="2"/>
  <c r="K26" i="2" s="1"/>
  <c r="C26" i="2"/>
  <c r="M25" i="2"/>
  <c r="L25" i="2"/>
  <c r="G25" i="2"/>
  <c r="F25" i="2"/>
  <c r="E25" i="2"/>
  <c r="J25" i="2" s="1"/>
  <c r="C25" i="2"/>
  <c r="M24" i="2"/>
  <c r="L24" i="2"/>
  <c r="G24" i="2"/>
  <c r="F24" i="2"/>
  <c r="E24" i="2"/>
  <c r="I24" i="2" s="1"/>
  <c r="C24" i="2"/>
  <c r="M23" i="2"/>
  <c r="L23" i="2"/>
  <c r="G23" i="2"/>
  <c r="F23" i="2"/>
  <c r="E23" i="2"/>
  <c r="K23" i="2" s="1"/>
  <c r="C23" i="2"/>
  <c r="M22" i="2"/>
  <c r="L22" i="2"/>
  <c r="G22" i="2"/>
  <c r="F22" i="2"/>
  <c r="E22" i="2"/>
  <c r="H22" i="2" s="1"/>
  <c r="C22" i="2"/>
  <c r="M21" i="2"/>
  <c r="L21" i="2"/>
  <c r="G21" i="2"/>
  <c r="F21" i="2"/>
  <c r="E21" i="2"/>
  <c r="J21" i="2" s="1"/>
  <c r="C21" i="2"/>
  <c r="M20" i="2"/>
  <c r="L20" i="2"/>
  <c r="F20" i="2"/>
  <c r="E20" i="2"/>
  <c r="I20" i="2" s="1"/>
  <c r="C20" i="2"/>
  <c r="M19" i="2"/>
  <c r="L19" i="2"/>
  <c r="G19" i="2"/>
  <c r="F19" i="2"/>
  <c r="E19" i="2"/>
  <c r="K19" i="2" s="1"/>
  <c r="C19" i="2"/>
  <c r="M18" i="2"/>
  <c r="L18" i="2"/>
  <c r="G18" i="2"/>
  <c r="F18" i="2"/>
  <c r="E18" i="2"/>
  <c r="K18" i="2" s="1"/>
  <c r="C18" i="2"/>
  <c r="L17" i="2"/>
  <c r="G17" i="2"/>
  <c r="F17" i="2"/>
  <c r="E17" i="2"/>
  <c r="J17" i="2" s="1"/>
  <c r="C17" i="2"/>
  <c r="M34" i="2"/>
  <c r="M40" i="2"/>
  <c r="L40" i="2"/>
  <c r="G40" i="2"/>
  <c r="F40" i="2"/>
  <c r="E40" i="2"/>
  <c r="K40" i="2" s="1"/>
  <c r="C40" i="2"/>
  <c r="M39" i="2"/>
  <c r="L39" i="2"/>
  <c r="G39" i="2"/>
  <c r="F39" i="2"/>
  <c r="E39" i="2"/>
  <c r="K39" i="2" s="1"/>
  <c r="C39" i="2"/>
  <c r="M38" i="2"/>
  <c r="L38" i="2"/>
  <c r="G38" i="2"/>
  <c r="F38" i="2"/>
  <c r="E38" i="2"/>
  <c r="I38" i="2" s="1"/>
  <c r="C38" i="2"/>
  <c r="M37" i="2"/>
  <c r="L37" i="2"/>
  <c r="G37" i="2"/>
  <c r="F37" i="2"/>
  <c r="E37" i="2"/>
  <c r="K37" i="2" s="1"/>
  <c r="C37" i="2"/>
  <c r="M36" i="2"/>
  <c r="L36" i="2"/>
  <c r="G36" i="2"/>
  <c r="F36" i="2"/>
  <c r="E36" i="2"/>
  <c r="K36" i="2" s="1"/>
  <c r="C36" i="2"/>
  <c r="L34" i="2"/>
  <c r="G34" i="2"/>
  <c r="F34" i="2"/>
  <c r="E34" i="2"/>
  <c r="K34" i="2" s="1"/>
  <c r="C34" i="2"/>
  <c r="M35" i="2"/>
  <c r="L35" i="2"/>
  <c r="G35" i="2"/>
  <c r="F35" i="2"/>
  <c r="E35" i="2"/>
  <c r="H35" i="2" s="1"/>
  <c r="C35" i="2"/>
  <c r="D67" i="2"/>
  <c r="E18" i="3"/>
  <c r="H18" i="3" s="1"/>
  <c r="F18" i="3"/>
  <c r="G18" i="3"/>
  <c r="L18" i="3"/>
  <c r="M18" i="3"/>
  <c r="E19" i="3"/>
  <c r="H19" i="3" s="1"/>
  <c r="F19" i="3"/>
  <c r="G19" i="3"/>
  <c r="L19" i="3"/>
  <c r="M19" i="3"/>
  <c r="E20" i="3"/>
  <c r="C20" i="3" s="1"/>
  <c r="F20" i="3"/>
  <c r="G20" i="3"/>
  <c r="L20" i="3"/>
  <c r="M20" i="3"/>
  <c r="E57" i="3"/>
  <c r="C57" i="3" s="1"/>
  <c r="E94" i="3"/>
  <c r="C94" i="3" s="1"/>
  <c r="G46" i="4"/>
  <c r="G51" i="2"/>
  <c r="G48" i="2"/>
  <c r="E65" i="3"/>
  <c r="E64" i="3"/>
  <c r="E71" i="3"/>
  <c r="C21" i="1"/>
  <c r="C20" i="1"/>
  <c r="C19" i="1"/>
  <c r="C18" i="1"/>
  <c r="C17" i="1"/>
  <c r="G69" i="3"/>
  <c r="E195" i="3"/>
  <c r="K195" i="3" s="1"/>
  <c r="M85" i="3"/>
  <c r="L85" i="3"/>
  <c r="G85" i="3"/>
  <c r="F85" i="3"/>
  <c r="E85" i="3"/>
  <c r="C85" i="3" s="1"/>
  <c r="G41" i="3"/>
  <c r="G278" i="3"/>
  <c r="G274" i="3"/>
  <c r="E10" i="4"/>
  <c r="G10" i="4" s="1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16" i="4"/>
  <c r="C9" i="4"/>
  <c r="C10" i="4"/>
  <c r="C11" i="4"/>
  <c r="E11" i="4"/>
  <c r="G11" i="4" s="1"/>
  <c r="F11" i="4"/>
  <c r="L11" i="4"/>
  <c r="M11" i="4"/>
  <c r="C8" i="4"/>
  <c r="L8" i="4"/>
  <c r="M8" i="4"/>
  <c r="L9" i="4"/>
  <c r="M9" i="4"/>
  <c r="L10" i="4"/>
  <c r="M10" i="4"/>
  <c r="F8" i="4"/>
  <c r="F9" i="4"/>
  <c r="F10" i="4"/>
  <c r="E8" i="4"/>
  <c r="G8" i="4" s="1"/>
  <c r="E9" i="4"/>
  <c r="G9" i="4" s="1"/>
  <c r="G76" i="4"/>
  <c r="E7" i="4"/>
  <c r="K7" i="4" s="1"/>
  <c r="M7" i="4"/>
  <c r="L7" i="4"/>
  <c r="F7" i="4"/>
  <c r="C7" i="4"/>
  <c r="G47" i="2"/>
  <c r="E47" i="2"/>
  <c r="M47" i="2" s="1"/>
  <c r="E51" i="2"/>
  <c r="M51" i="2" s="1"/>
  <c r="G50" i="2"/>
  <c r="E50" i="2"/>
  <c r="M50" i="2" s="1"/>
  <c r="G49" i="2"/>
  <c r="E49" i="2"/>
  <c r="M49" i="2" s="1"/>
  <c r="E48" i="2"/>
  <c r="M48" i="2" s="1"/>
  <c r="E61" i="2"/>
  <c r="L63" i="3"/>
  <c r="E84" i="3"/>
  <c r="H84" i="3" s="1"/>
  <c r="M82" i="3"/>
  <c r="L82" i="3"/>
  <c r="M21" i="1"/>
  <c r="L21" i="1"/>
  <c r="G21" i="1"/>
  <c r="F21" i="1"/>
  <c r="E21" i="1"/>
  <c r="K21" i="1" s="1"/>
  <c r="M20" i="1"/>
  <c r="L20" i="1"/>
  <c r="G20" i="1"/>
  <c r="F20" i="1"/>
  <c r="E20" i="1"/>
  <c r="K20" i="1" s="1"/>
  <c r="M15" i="3"/>
  <c r="L15" i="3"/>
  <c r="G15" i="3"/>
  <c r="F15" i="3"/>
  <c r="E15" i="3"/>
  <c r="K15" i="3" s="1"/>
  <c r="G254" i="3"/>
  <c r="F254" i="3"/>
  <c r="E254" i="3"/>
  <c r="L254" i="3" s="1"/>
  <c r="G75" i="2"/>
  <c r="F75" i="2"/>
  <c r="E75" i="2"/>
  <c r="M75" i="2" s="1"/>
  <c r="M19" i="1"/>
  <c r="L19" i="1"/>
  <c r="G19" i="1"/>
  <c r="F19" i="1"/>
  <c r="E19" i="1"/>
  <c r="K19" i="1" s="1"/>
  <c r="M18" i="1"/>
  <c r="L18" i="1"/>
  <c r="G18" i="1"/>
  <c r="F18" i="1"/>
  <c r="E18" i="1"/>
  <c r="H18" i="1" s="1"/>
  <c r="M17" i="1"/>
  <c r="L17" i="1"/>
  <c r="G17" i="1"/>
  <c r="F17" i="1"/>
  <c r="E17" i="1"/>
  <c r="H17" i="1" s="1"/>
  <c r="X41" i="3"/>
  <c r="M17" i="3"/>
  <c r="L17" i="3"/>
  <c r="G17" i="3"/>
  <c r="F17" i="3"/>
  <c r="E17" i="3"/>
  <c r="C17" i="3" s="1"/>
  <c r="M16" i="3"/>
  <c r="L16" i="3"/>
  <c r="G16" i="3"/>
  <c r="F16" i="3"/>
  <c r="E16" i="3"/>
  <c r="I16" i="3" s="1"/>
  <c r="AC94" i="3"/>
  <c r="G255" i="3"/>
  <c r="F255" i="3"/>
  <c r="E255" i="3"/>
  <c r="L255" i="3" s="1"/>
  <c r="V421" i="2"/>
  <c r="V417" i="2"/>
  <c r="V419" i="2"/>
  <c r="V420" i="2"/>
  <c r="V422" i="2"/>
  <c r="AJ209" i="3"/>
  <c r="AJ215" i="3"/>
  <c r="AJ244" i="3"/>
  <c r="T414" i="2"/>
  <c r="U44" i="3"/>
  <c r="U43" i="3"/>
  <c r="X42" i="3"/>
  <c r="X40" i="3"/>
  <c r="U39" i="3"/>
  <c r="X38" i="3"/>
  <c r="X37" i="3"/>
  <c r="X36" i="3"/>
  <c r="X35" i="3"/>
  <c r="U34" i="3"/>
  <c r="U32" i="3"/>
  <c r="U31" i="3"/>
  <c r="U33" i="3"/>
  <c r="X28" i="3"/>
  <c r="U30" i="3"/>
  <c r="X29" i="3"/>
  <c r="X27" i="3"/>
  <c r="AK84" i="2"/>
  <c r="G32" i="1"/>
  <c r="AI217" i="3"/>
  <c r="M149" i="3"/>
  <c r="L149" i="3"/>
  <c r="G149" i="3"/>
  <c r="F149" i="3"/>
  <c r="E149" i="3"/>
  <c r="K149" i="3" s="1"/>
  <c r="M150" i="3"/>
  <c r="L150" i="3"/>
  <c r="G150" i="3"/>
  <c r="F150" i="3"/>
  <c r="E150" i="3"/>
  <c r="K150" i="3" s="1"/>
  <c r="A362" i="2"/>
  <c r="A376" i="2"/>
  <c r="C376" i="2"/>
  <c r="C365" i="2"/>
  <c r="C366" i="2"/>
  <c r="C367" i="2"/>
  <c r="A366" i="2"/>
  <c r="A365" i="2"/>
  <c r="E32" i="1"/>
  <c r="K32" i="1" s="1"/>
  <c r="F162" i="1"/>
  <c r="G162" i="1"/>
  <c r="H162" i="1"/>
  <c r="I162" i="1"/>
  <c r="J162" i="1"/>
  <c r="K162" i="1"/>
  <c r="M508" i="2"/>
  <c r="L508" i="2"/>
  <c r="G508" i="2"/>
  <c r="F508" i="2"/>
  <c r="E508" i="2"/>
  <c r="K508" i="2" s="1"/>
  <c r="M506" i="2"/>
  <c r="L506" i="2"/>
  <c r="G506" i="2"/>
  <c r="F506" i="2"/>
  <c r="E506" i="2"/>
  <c r="K506" i="2" s="1"/>
  <c r="M505" i="2"/>
  <c r="L505" i="2"/>
  <c r="G505" i="2"/>
  <c r="F505" i="2"/>
  <c r="E505" i="2"/>
  <c r="K505" i="2" s="1"/>
  <c r="M502" i="2"/>
  <c r="L502" i="2"/>
  <c r="G502" i="2"/>
  <c r="F502" i="2"/>
  <c r="E502" i="2"/>
  <c r="K502" i="2" s="1"/>
  <c r="M497" i="2"/>
  <c r="L497" i="2"/>
  <c r="G497" i="2"/>
  <c r="F497" i="2"/>
  <c r="E497" i="2"/>
  <c r="H497" i="2" s="1"/>
  <c r="M459" i="2"/>
  <c r="L459" i="2"/>
  <c r="G459" i="2"/>
  <c r="F459" i="2"/>
  <c r="E459" i="2"/>
  <c r="K459" i="2" s="1"/>
  <c r="M458" i="2"/>
  <c r="L458" i="2"/>
  <c r="G458" i="2"/>
  <c r="F458" i="2"/>
  <c r="E458" i="2"/>
  <c r="K458" i="2" s="1"/>
  <c r="M457" i="2"/>
  <c r="L457" i="2"/>
  <c r="G457" i="2"/>
  <c r="F457" i="2"/>
  <c r="E457" i="2"/>
  <c r="K457" i="2" s="1"/>
  <c r="M456" i="2"/>
  <c r="L456" i="2"/>
  <c r="G456" i="2"/>
  <c r="F456" i="2"/>
  <c r="E456" i="2"/>
  <c r="K456" i="2" s="1"/>
  <c r="M455" i="2"/>
  <c r="L455" i="2"/>
  <c r="G455" i="2"/>
  <c r="F455" i="2"/>
  <c r="E455" i="2"/>
  <c r="I455" i="2" s="1"/>
  <c r="M452" i="2"/>
  <c r="L452" i="2"/>
  <c r="G452" i="2"/>
  <c r="F452" i="2"/>
  <c r="E452" i="2"/>
  <c r="K452" i="2" s="1"/>
  <c r="M448" i="2"/>
  <c r="L448" i="2"/>
  <c r="G448" i="2"/>
  <c r="F448" i="2"/>
  <c r="E448" i="2"/>
  <c r="K448" i="2" s="1"/>
  <c r="M447" i="2"/>
  <c r="L447" i="2"/>
  <c r="G447" i="2"/>
  <c r="F447" i="2"/>
  <c r="E447" i="2"/>
  <c r="K447" i="2" s="1"/>
  <c r="M415" i="2"/>
  <c r="L415" i="2"/>
  <c r="G415" i="2"/>
  <c r="F415" i="2"/>
  <c r="E415" i="2"/>
  <c r="K415" i="2" s="1"/>
  <c r="M414" i="2"/>
  <c r="L414" i="2"/>
  <c r="G414" i="2"/>
  <c r="F414" i="2"/>
  <c r="E414" i="2"/>
  <c r="K414" i="2" s="1"/>
  <c r="M411" i="2"/>
  <c r="L411" i="2"/>
  <c r="G411" i="2"/>
  <c r="F411" i="2"/>
  <c r="E411" i="2"/>
  <c r="K411" i="2" s="1"/>
  <c r="M405" i="2"/>
  <c r="L405" i="2"/>
  <c r="G405" i="2"/>
  <c r="F405" i="2"/>
  <c r="E405" i="2"/>
  <c r="K405" i="2" s="1"/>
  <c r="M406" i="2"/>
  <c r="L406" i="2"/>
  <c r="G406" i="2"/>
  <c r="F406" i="2"/>
  <c r="E406" i="2"/>
  <c r="K406" i="2" s="1"/>
  <c r="E503" i="3"/>
  <c r="L503" i="3" s="1"/>
  <c r="G507" i="3"/>
  <c r="F507" i="3"/>
  <c r="E507" i="3"/>
  <c r="L507" i="3" s="1"/>
  <c r="G506" i="3"/>
  <c r="F506" i="3"/>
  <c r="E506" i="3"/>
  <c r="L506" i="3" s="1"/>
  <c r="G505" i="3"/>
  <c r="F505" i="3"/>
  <c r="E505" i="3"/>
  <c r="L505" i="3" s="1"/>
  <c r="G503" i="3"/>
  <c r="F503" i="3"/>
  <c r="G502" i="3"/>
  <c r="F502" i="3"/>
  <c r="E502" i="3"/>
  <c r="L502" i="3" s="1"/>
  <c r="G501" i="3"/>
  <c r="F501" i="3"/>
  <c r="E501" i="3"/>
  <c r="L501" i="3" s="1"/>
  <c r="G500" i="3"/>
  <c r="F500" i="3"/>
  <c r="E500" i="3"/>
  <c r="L500" i="3" s="1"/>
  <c r="G499" i="3"/>
  <c r="F499" i="3"/>
  <c r="E499" i="3"/>
  <c r="L499" i="3" s="1"/>
  <c r="G498" i="3"/>
  <c r="F498" i="3"/>
  <c r="E498" i="3"/>
  <c r="L498" i="3" s="1"/>
  <c r="G497" i="3"/>
  <c r="F497" i="3"/>
  <c r="E497" i="3"/>
  <c r="L497" i="3" s="1"/>
  <c r="G496" i="3"/>
  <c r="F496" i="3"/>
  <c r="E496" i="3"/>
  <c r="L496" i="3" s="1"/>
  <c r="G495" i="3"/>
  <c r="F495" i="3"/>
  <c r="E495" i="3"/>
  <c r="L495" i="3" s="1"/>
  <c r="G494" i="3"/>
  <c r="F494" i="3"/>
  <c r="E494" i="3"/>
  <c r="L494" i="3" s="1"/>
  <c r="G493" i="3"/>
  <c r="F493" i="3"/>
  <c r="E493" i="3"/>
  <c r="L493" i="3" s="1"/>
  <c r="G492" i="3"/>
  <c r="F492" i="3"/>
  <c r="E492" i="3"/>
  <c r="L492" i="3" s="1"/>
  <c r="G491" i="3"/>
  <c r="F491" i="3"/>
  <c r="E491" i="3"/>
  <c r="L491" i="3" s="1"/>
  <c r="G490" i="3"/>
  <c r="F490" i="3"/>
  <c r="E490" i="3"/>
  <c r="L490" i="3" s="1"/>
  <c r="E453" i="3"/>
  <c r="H453" i="3" s="1"/>
  <c r="F453" i="3"/>
  <c r="G453" i="3"/>
  <c r="G479" i="3"/>
  <c r="F479" i="3"/>
  <c r="E479" i="3"/>
  <c r="L479" i="3" s="1"/>
  <c r="G478" i="3"/>
  <c r="F478" i="3"/>
  <c r="E478" i="3"/>
  <c r="L478" i="3" s="1"/>
  <c r="G477" i="3"/>
  <c r="F477" i="3"/>
  <c r="E477" i="3"/>
  <c r="L477" i="3" s="1"/>
  <c r="G476" i="3"/>
  <c r="F476" i="3"/>
  <c r="E476" i="3"/>
  <c r="L476" i="3" s="1"/>
  <c r="G475" i="3"/>
  <c r="F475" i="3"/>
  <c r="E475" i="3"/>
  <c r="L475" i="3" s="1"/>
  <c r="G474" i="3"/>
  <c r="F474" i="3"/>
  <c r="E474" i="3"/>
  <c r="L474" i="3" s="1"/>
  <c r="G473" i="3"/>
  <c r="F473" i="3"/>
  <c r="E473" i="3"/>
  <c r="L473" i="3" s="1"/>
  <c r="G462" i="3"/>
  <c r="F462" i="3"/>
  <c r="E462" i="3"/>
  <c r="L462" i="3" s="1"/>
  <c r="G461" i="3"/>
  <c r="F461" i="3"/>
  <c r="E461" i="3"/>
  <c r="L461" i="3" s="1"/>
  <c r="G460" i="3"/>
  <c r="F460" i="3"/>
  <c r="E460" i="3"/>
  <c r="L460" i="3" s="1"/>
  <c r="G459" i="3"/>
  <c r="F459" i="3"/>
  <c r="E459" i="3"/>
  <c r="L459" i="3" s="1"/>
  <c r="G458" i="3"/>
  <c r="F458" i="3"/>
  <c r="E458" i="3"/>
  <c r="L458" i="3" s="1"/>
  <c r="G457" i="3"/>
  <c r="F457" i="3"/>
  <c r="E457" i="3"/>
  <c r="L457" i="3" s="1"/>
  <c r="G456" i="3"/>
  <c r="F456" i="3"/>
  <c r="E456" i="3"/>
  <c r="L456" i="3" s="1"/>
  <c r="G455" i="3"/>
  <c r="F455" i="3"/>
  <c r="E455" i="3"/>
  <c r="L455" i="3" s="1"/>
  <c r="G454" i="3"/>
  <c r="F454" i="3"/>
  <c r="E454" i="3"/>
  <c r="L454" i="3" s="1"/>
  <c r="G452" i="3"/>
  <c r="F452" i="3"/>
  <c r="E452" i="3"/>
  <c r="L452" i="3" s="1"/>
  <c r="G451" i="3"/>
  <c r="F451" i="3"/>
  <c r="E451" i="3"/>
  <c r="L451" i="3" s="1"/>
  <c r="G440" i="3"/>
  <c r="F440" i="3"/>
  <c r="E440" i="3"/>
  <c r="L440" i="3" s="1"/>
  <c r="G439" i="3"/>
  <c r="F439" i="3"/>
  <c r="E439" i="3"/>
  <c r="L439" i="3" s="1"/>
  <c r="G438" i="3"/>
  <c r="F438" i="3"/>
  <c r="E438" i="3"/>
  <c r="L438" i="3" s="1"/>
  <c r="G437" i="3"/>
  <c r="F437" i="3"/>
  <c r="E437" i="3"/>
  <c r="L437" i="3" s="1"/>
  <c r="G436" i="3"/>
  <c r="F436" i="3"/>
  <c r="E436" i="3"/>
  <c r="L436" i="3" s="1"/>
  <c r="G435" i="3"/>
  <c r="F435" i="3"/>
  <c r="E435" i="3"/>
  <c r="L435" i="3" s="1"/>
  <c r="G425" i="3"/>
  <c r="F425" i="3"/>
  <c r="E425" i="3"/>
  <c r="L425" i="3" s="1"/>
  <c r="G423" i="3"/>
  <c r="F423" i="3"/>
  <c r="E423" i="3"/>
  <c r="L423" i="3" s="1"/>
  <c r="G422" i="3"/>
  <c r="F422" i="3"/>
  <c r="E422" i="3"/>
  <c r="L422" i="3" s="1"/>
  <c r="G421" i="3"/>
  <c r="F421" i="3"/>
  <c r="E421" i="3"/>
  <c r="L421" i="3" s="1"/>
  <c r="G420" i="3"/>
  <c r="F420" i="3"/>
  <c r="E420" i="3"/>
  <c r="L420" i="3" s="1"/>
  <c r="G419" i="3"/>
  <c r="F419" i="3"/>
  <c r="E419" i="3"/>
  <c r="L419" i="3" s="1"/>
  <c r="G418" i="3"/>
  <c r="F418" i="3"/>
  <c r="E418" i="3"/>
  <c r="L418" i="3" s="1"/>
  <c r="G417" i="3"/>
  <c r="F417" i="3"/>
  <c r="E417" i="3"/>
  <c r="L417" i="3" s="1"/>
  <c r="G416" i="3"/>
  <c r="F416" i="3"/>
  <c r="E416" i="3"/>
  <c r="L416" i="3" s="1"/>
  <c r="G415" i="3"/>
  <c r="F415" i="3"/>
  <c r="E415" i="3"/>
  <c r="L415" i="3" s="1"/>
  <c r="G414" i="3"/>
  <c r="F414" i="3"/>
  <c r="E414" i="3"/>
  <c r="L414" i="3" s="1"/>
  <c r="G413" i="3"/>
  <c r="F413" i="3"/>
  <c r="E413" i="3"/>
  <c r="L413" i="3" s="1"/>
  <c r="G412" i="3"/>
  <c r="F412" i="3"/>
  <c r="E412" i="3"/>
  <c r="L412" i="3" s="1"/>
  <c r="G411" i="3"/>
  <c r="F411" i="3"/>
  <c r="E411" i="3"/>
  <c r="L411" i="3" s="1"/>
  <c r="G410" i="3"/>
  <c r="F410" i="3"/>
  <c r="E410" i="3"/>
  <c r="L410" i="3" s="1"/>
  <c r="G409" i="3"/>
  <c r="F409" i="3"/>
  <c r="E409" i="3"/>
  <c r="L409" i="3" s="1"/>
  <c r="G399" i="3"/>
  <c r="F399" i="3"/>
  <c r="E399" i="3"/>
  <c r="L399" i="3" s="1"/>
  <c r="G398" i="3"/>
  <c r="F398" i="3"/>
  <c r="E398" i="3"/>
  <c r="L398" i="3" s="1"/>
  <c r="G397" i="3"/>
  <c r="F397" i="3"/>
  <c r="E397" i="3"/>
  <c r="L397" i="3" s="1"/>
  <c r="G396" i="3"/>
  <c r="F396" i="3"/>
  <c r="E396" i="3"/>
  <c r="L396" i="3" s="1"/>
  <c r="E394" i="3"/>
  <c r="H394" i="3" s="1"/>
  <c r="F394" i="3"/>
  <c r="G394" i="3"/>
  <c r="G393" i="3"/>
  <c r="F393" i="3"/>
  <c r="E393" i="3"/>
  <c r="L393" i="3" s="1"/>
  <c r="G392" i="3"/>
  <c r="F392" i="3"/>
  <c r="E392" i="3"/>
  <c r="L392" i="3" s="1"/>
  <c r="G391" i="3"/>
  <c r="F391" i="3"/>
  <c r="E391" i="3"/>
  <c r="L391" i="3" s="1"/>
  <c r="G390" i="3"/>
  <c r="F390" i="3"/>
  <c r="E390" i="3"/>
  <c r="L390" i="3" s="1"/>
  <c r="G389" i="3"/>
  <c r="F389" i="3"/>
  <c r="E389" i="3"/>
  <c r="L389" i="3" s="1"/>
  <c r="G388" i="3"/>
  <c r="F388" i="3"/>
  <c r="E388" i="3"/>
  <c r="L388" i="3" s="1"/>
  <c r="G387" i="3"/>
  <c r="F387" i="3"/>
  <c r="E387" i="3"/>
  <c r="L387" i="3" s="1"/>
  <c r="G386" i="3"/>
  <c r="F386" i="3"/>
  <c r="E386" i="3"/>
  <c r="L386" i="3" s="1"/>
  <c r="G385" i="3"/>
  <c r="F385" i="3"/>
  <c r="E385" i="3"/>
  <c r="L385" i="3" s="1"/>
  <c r="G384" i="3"/>
  <c r="F384" i="3"/>
  <c r="E384" i="3"/>
  <c r="L384" i="3" s="1"/>
  <c r="G383" i="3"/>
  <c r="F383" i="3"/>
  <c r="E383" i="3"/>
  <c r="L383" i="3" s="1"/>
  <c r="G382" i="3"/>
  <c r="F382" i="3"/>
  <c r="E382" i="3"/>
  <c r="L382" i="3" s="1"/>
  <c r="G381" i="3"/>
  <c r="F381" i="3"/>
  <c r="E381" i="3"/>
  <c r="L381" i="3" s="1"/>
  <c r="G370" i="3"/>
  <c r="F370" i="3"/>
  <c r="E370" i="3"/>
  <c r="L370" i="3" s="1"/>
  <c r="G369" i="3"/>
  <c r="F369" i="3"/>
  <c r="E369" i="3"/>
  <c r="L369" i="3" s="1"/>
  <c r="E351" i="3"/>
  <c r="H351" i="3" s="1"/>
  <c r="F351" i="3"/>
  <c r="G351" i="3"/>
  <c r="E352" i="3"/>
  <c r="H352" i="3" s="1"/>
  <c r="F352" i="3"/>
  <c r="G352" i="3"/>
  <c r="E353" i="3"/>
  <c r="H353" i="3" s="1"/>
  <c r="F353" i="3"/>
  <c r="G353" i="3"/>
  <c r="E354" i="3"/>
  <c r="H354" i="3" s="1"/>
  <c r="F354" i="3"/>
  <c r="G354" i="3"/>
  <c r="E355" i="3"/>
  <c r="H355" i="3" s="1"/>
  <c r="F355" i="3"/>
  <c r="G355" i="3"/>
  <c r="E356" i="3"/>
  <c r="H356" i="3" s="1"/>
  <c r="F356" i="3"/>
  <c r="G356" i="3"/>
  <c r="E357" i="3"/>
  <c r="H357" i="3" s="1"/>
  <c r="F357" i="3"/>
  <c r="G357" i="3"/>
  <c r="E358" i="3"/>
  <c r="H358" i="3" s="1"/>
  <c r="F358" i="3"/>
  <c r="G358" i="3"/>
  <c r="E359" i="3"/>
  <c r="H359" i="3" s="1"/>
  <c r="F359" i="3"/>
  <c r="G359" i="3"/>
  <c r="E360" i="3"/>
  <c r="H360" i="3" s="1"/>
  <c r="F360" i="3"/>
  <c r="G360" i="3"/>
  <c r="E361" i="3"/>
  <c r="H361" i="3" s="1"/>
  <c r="F361" i="3"/>
  <c r="G361" i="3"/>
  <c r="E362" i="3"/>
  <c r="H362" i="3" s="1"/>
  <c r="F362" i="3"/>
  <c r="G362" i="3"/>
  <c r="E363" i="3"/>
  <c r="H363" i="3" s="1"/>
  <c r="F363" i="3"/>
  <c r="G363" i="3"/>
  <c r="E364" i="3"/>
  <c r="H364" i="3" s="1"/>
  <c r="F364" i="3"/>
  <c r="G364" i="3"/>
  <c r="E365" i="3"/>
  <c r="H365" i="3" s="1"/>
  <c r="F365" i="3"/>
  <c r="G365" i="3"/>
  <c r="E366" i="3"/>
  <c r="H366" i="3" s="1"/>
  <c r="F366" i="3"/>
  <c r="G366" i="3"/>
  <c r="E367" i="3"/>
  <c r="H367" i="3" s="1"/>
  <c r="F367" i="3"/>
  <c r="G367" i="3"/>
  <c r="E347" i="3"/>
  <c r="H347" i="3" s="1"/>
  <c r="F347" i="3"/>
  <c r="G347" i="3"/>
  <c r="E348" i="3"/>
  <c r="H348" i="3" s="1"/>
  <c r="F348" i="3"/>
  <c r="G348" i="3"/>
  <c r="E349" i="3"/>
  <c r="H349" i="3" s="1"/>
  <c r="F349" i="3"/>
  <c r="G349" i="3"/>
  <c r="E350" i="3"/>
  <c r="H350" i="3" s="1"/>
  <c r="F350" i="3"/>
  <c r="G350" i="3"/>
  <c r="E342" i="3"/>
  <c r="H342" i="3" s="1"/>
  <c r="F342" i="3"/>
  <c r="G342" i="3"/>
  <c r="E343" i="3"/>
  <c r="H343" i="3" s="1"/>
  <c r="F343" i="3"/>
  <c r="G343" i="3"/>
  <c r="E344" i="3"/>
  <c r="H344" i="3" s="1"/>
  <c r="F344" i="3"/>
  <c r="G344" i="3"/>
  <c r="E345" i="3"/>
  <c r="H345" i="3" s="1"/>
  <c r="F345" i="3"/>
  <c r="G345" i="3"/>
  <c r="E346" i="3"/>
  <c r="H346" i="3" s="1"/>
  <c r="F346" i="3"/>
  <c r="G346" i="3"/>
  <c r="G341" i="3"/>
  <c r="F341" i="3"/>
  <c r="E341" i="3"/>
  <c r="L341" i="3" s="1"/>
  <c r="G256" i="3"/>
  <c r="F256" i="3"/>
  <c r="E256" i="3"/>
  <c r="L256" i="3" s="1"/>
  <c r="G257" i="3"/>
  <c r="F257" i="3"/>
  <c r="E257" i="3"/>
  <c r="L257" i="3" s="1"/>
  <c r="G258" i="3"/>
  <c r="F258" i="3"/>
  <c r="E258" i="3"/>
  <c r="L258" i="3" s="1"/>
  <c r="G259" i="3"/>
  <c r="F259" i="3"/>
  <c r="E259" i="3"/>
  <c r="L259" i="3" s="1"/>
  <c r="G260" i="3"/>
  <c r="F260" i="3"/>
  <c r="E260" i="3"/>
  <c r="L260" i="3" s="1"/>
  <c r="G261" i="3"/>
  <c r="F261" i="3"/>
  <c r="E261" i="3"/>
  <c r="K261" i="3" s="1"/>
  <c r="G330" i="3"/>
  <c r="F330" i="3"/>
  <c r="E330" i="3"/>
  <c r="L330" i="3" s="1"/>
  <c r="G329" i="3"/>
  <c r="F329" i="3"/>
  <c r="E329" i="3"/>
  <c r="L329" i="3" s="1"/>
  <c r="G328" i="3"/>
  <c r="F328" i="3"/>
  <c r="E328" i="3"/>
  <c r="L328" i="3" s="1"/>
  <c r="G327" i="3"/>
  <c r="F327" i="3"/>
  <c r="E327" i="3"/>
  <c r="L327" i="3" s="1"/>
  <c r="G326" i="3"/>
  <c r="F326" i="3"/>
  <c r="E326" i="3"/>
  <c r="L326" i="3" s="1"/>
  <c r="G325" i="3"/>
  <c r="F325" i="3"/>
  <c r="E325" i="3"/>
  <c r="L325" i="3" s="1"/>
  <c r="G324" i="3"/>
  <c r="F324" i="3"/>
  <c r="E324" i="3"/>
  <c r="L324" i="3" s="1"/>
  <c r="E311" i="3"/>
  <c r="I311" i="3" s="1"/>
  <c r="F311" i="3"/>
  <c r="G311" i="3"/>
  <c r="G315" i="3"/>
  <c r="F315" i="3"/>
  <c r="E315" i="3"/>
  <c r="L315" i="3" s="1"/>
  <c r="G314" i="3"/>
  <c r="F314" i="3"/>
  <c r="E314" i="3"/>
  <c r="L314" i="3" s="1"/>
  <c r="G313" i="3"/>
  <c r="F313" i="3"/>
  <c r="E313" i="3"/>
  <c r="L313" i="3" s="1"/>
  <c r="G312" i="3"/>
  <c r="F312" i="3"/>
  <c r="E312" i="3"/>
  <c r="L312" i="3" s="1"/>
  <c r="G310" i="3"/>
  <c r="F310" i="3"/>
  <c r="E310" i="3"/>
  <c r="L310" i="3" s="1"/>
  <c r="G309" i="3"/>
  <c r="F309" i="3"/>
  <c r="E309" i="3"/>
  <c r="L309" i="3" s="1"/>
  <c r="E297" i="3"/>
  <c r="H297" i="3" s="1"/>
  <c r="G307" i="3"/>
  <c r="F307" i="3"/>
  <c r="E307" i="3"/>
  <c r="L307" i="3" s="1"/>
  <c r="G306" i="3"/>
  <c r="F306" i="3"/>
  <c r="E306" i="3"/>
  <c r="L306" i="3" s="1"/>
  <c r="G305" i="3"/>
  <c r="F305" i="3"/>
  <c r="E305" i="3"/>
  <c r="L305" i="3" s="1"/>
  <c r="F297" i="3"/>
  <c r="G297" i="3"/>
  <c r="G296" i="3"/>
  <c r="F296" i="3"/>
  <c r="E296" i="3"/>
  <c r="L296" i="3" s="1"/>
  <c r="G295" i="3"/>
  <c r="F295" i="3"/>
  <c r="E295" i="3"/>
  <c r="L295" i="3" s="1"/>
  <c r="G294" i="3"/>
  <c r="F294" i="3"/>
  <c r="E294" i="3"/>
  <c r="L294" i="3" s="1"/>
  <c r="G289" i="3"/>
  <c r="F289" i="3"/>
  <c r="E289" i="3"/>
  <c r="L289" i="3" s="1"/>
  <c r="G290" i="3"/>
  <c r="F290" i="3"/>
  <c r="E290" i="3"/>
  <c r="L290" i="3" s="1"/>
  <c r="G291" i="3"/>
  <c r="F291" i="3"/>
  <c r="E291" i="3"/>
  <c r="L291" i="3" s="1"/>
  <c r="G292" i="3"/>
  <c r="F292" i="3"/>
  <c r="E292" i="3"/>
  <c r="L292" i="3" s="1"/>
  <c r="G293" i="3"/>
  <c r="F293" i="3"/>
  <c r="E293" i="3"/>
  <c r="L293" i="3" s="1"/>
  <c r="E280" i="3"/>
  <c r="H280" i="3" s="1"/>
  <c r="F280" i="3"/>
  <c r="G280" i="3"/>
  <c r="E474" i="2"/>
  <c r="F474" i="2" s="1"/>
  <c r="G474" i="2"/>
  <c r="L474" i="2"/>
  <c r="M474" i="2"/>
  <c r="M446" i="2"/>
  <c r="L446" i="2"/>
  <c r="G446" i="2"/>
  <c r="E446" i="2"/>
  <c r="K446" i="2" s="1"/>
  <c r="E450" i="2"/>
  <c r="M473" i="2"/>
  <c r="L473" i="2"/>
  <c r="G473" i="2"/>
  <c r="E473" i="2"/>
  <c r="K473" i="2" s="1"/>
  <c r="M472" i="2"/>
  <c r="L472" i="2"/>
  <c r="G472" i="2"/>
  <c r="E472" i="2"/>
  <c r="K472" i="2" s="1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M160" i="3"/>
  <c r="M159" i="3"/>
  <c r="M158" i="3"/>
  <c r="M157" i="3"/>
  <c r="M156" i="3"/>
  <c r="M155" i="3"/>
  <c r="M154" i="3"/>
  <c r="M153" i="3"/>
  <c r="M152" i="3"/>
  <c r="M15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E164" i="3"/>
  <c r="H164" i="3" s="1"/>
  <c r="F164" i="3"/>
  <c r="G164" i="3"/>
  <c r="L164" i="3"/>
  <c r="E165" i="3"/>
  <c r="H165" i="3" s="1"/>
  <c r="F165" i="3"/>
  <c r="G165" i="3"/>
  <c r="L165" i="3"/>
  <c r="E166" i="3"/>
  <c r="H166" i="3" s="1"/>
  <c r="F166" i="3"/>
  <c r="G166" i="3"/>
  <c r="L166" i="3"/>
  <c r="E167" i="3"/>
  <c r="H167" i="3" s="1"/>
  <c r="F167" i="3"/>
  <c r="G167" i="3"/>
  <c r="L167" i="3"/>
  <c r="E168" i="3"/>
  <c r="H168" i="3" s="1"/>
  <c r="F168" i="3"/>
  <c r="G168" i="3"/>
  <c r="L168" i="3"/>
  <c r="E169" i="3"/>
  <c r="H169" i="3" s="1"/>
  <c r="F169" i="3"/>
  <c r="G169" i="3"/>
  <c r="L169" i="3"/>
  <c r="E170" i="3"/>
  <c r="H170" i="3" s="1"/>
  <c r="F170" i="3"/>
  <c r="G170" i="3"/>
  <c r="L170" i="3"/>
  <c r="E171" i="3"/>
  <c r="H171" i="3" s="1"/>
  <c r="F171" i="3"/>
  <c r="G171" i="3"/>
  <c r="L171" i="3"/>
  <c r="E172" i="3"/>
  <c r="H172" i="3" s="1"/>
  <c r="F172" i="3"/>
  <c r="G172" i="3"/>
  <c r="L172" i="3"/>
  <c r="E173" i="3"/>
  <c r="H173" i="3" s="1"/>
  <c r="F173" i="3"/>
  <c r="G173" i="3"/>
  <c r="L173" i="3"/>
  <c r="E174" i="3"/>
  <c r="H174" i="3" s="1"/>
  <c r="F174" i="3"/>
  <c r="G174" i="3"/>
  <c r="L174" i="3"/>
  <c r="E175" i="3"/>
  <c r="H175" i="3" s="1"/>
  <c r="F175" i="3"/>
  <c r="G175" i="3"/>
  <c r="L175" i="3"/>
  <c r="L163" i="3"/>
  <c r="G163" i="3"/>
  <c r="F163" i="3"/>
  <c r="E163" i="3"/>
  <c r="K163" i="3" s="1"/>
  <c r="L162" i="3"/>
  <c r="G162" i="3"/>
  <c r="F162" i="3"/>
  <c r="E162" i="3"/>
  <c r="K162" i="3" s="1"/>
  <c r="L161" i="3"/>
  <c r="G161" i="3"/>
  <c r="F161" i="3"/>
  <c r="E161" i="3"/>
  <c r="K161" i="3" s="1"/>
  <c r="L160" i="3"/>
  <c r="G160" i="3"/>
  <c r="F160" i="3"/>
  <c r="E160" i="3"/>
  <c r="K160" i="3" s="1"/>
  <c r="L159" i="3"/>
  <c r="G159" i="3"/>
  <c r="F159" i="3"/>
  <c r="E159" i="3"/>
  <c r="K159" i="3" s="1"/>
  <c r="L158" i="3"/>
  <c r="G158" i="3"/>
  <c r="F158" i="3"/>
  <c r="E158" i="3"/>
  <c r="K158" i="3" s="1"/>
  <c r="L157" i="3"/>
  <c r="G157" i="3"/>
  <c r="F157" i="3"/>
  <c r="E157" i="3"/>
  <c r="K157" i="3" s="1"/>
  <c r="L156" i="3"/>
  <c r="G156" i="3"/>
  <c r="F156" i="3"/>
  <c r="E156" i="3"/>
  <c r="K156" i="3" s="1"/>
  <c r="L155" i="3"/>
  <c r="G155" i="3"/>
  <c r="F155" i="3"/>
  <c r="E155" i="3"/>
  <c r="K155" i="3" s="1"/>
  <c r="L154" i="3"/>
  <c r="G154" i="3"/>
  <c r="F154" i="3"/>
  <c r="E154" i="3"/>
  <c r="K154" i="3" s="1"/>
  <c r="L153" i="3"/>
  <c r="G153" i="3"/>
  <c r="F153" i="3"/>
  <c r="E153" i="3"/>
  <c r="K153" i="3" s="1"/>
  <c r="M367" i="2"/>
  <c r="L367" i="2"/>
  <c r="G367" i="2"/>
  <c r="F367" i="2"/>
  <c r="E367" i="2"/>
  <c r="K367" i="2" s="1"/>
  <c r="M366" i="2"/>
  <c r="L366" i="2"/>
  <c r="G366" i="2"/>
  <c r="F366" i="2"/>
  <c r="E366" i="2"/>
  <c r="K366" i="2" s="1"/>
  <c r="L152" i="3"/>
  <c r="G152" i="3"/>
  <c r="F152" i="3"/>
  <c r="E152" i="3"/>
  <c r="K152" i="3" s="1"/>
  <c r="L151" i="3"/>
  <c r="G151" i="3"/>
  <c r="F151" i="3"/>
  <c r="E151" i="3"/>
  <c r="K151" i="3" s="1"/>
  <c r="L244" i="3"/>
  <c r="G244" i="3"/>
  <c r="F244" i="3"/>
  <c r="E244" i="3"/>
  <c r="K244" i="3" s="1"/>
  <c r="L243" i="3"/>
  <c r="G243" i="3"/>
  <c r="F243" i="3"/>
  <c r="E243" i="3"/>
  <c r="K243" i="3" s="1"/>
  <c r="L242" i="3"/>
  <c r="G242" i="3"/>
  <c r="F242" i="3"/>
  <c r="E242" i="3"/>
  <c r="K242" i="3" s="1"/>
  <c r="L241" i="3"/>
  <c r="G241" i="3"/>
  <c r="F241" i="3"/>
  <c r="E241" i="3"/>
  <c r="K241" i="3" s="1"/>
  <c r="L240" i="3"/>
  <c r="G240" i="3"/>
  <c r="F240" i="3"/>
  <c r="E240" i="3"/>
  <c r="K240" i="3" s="1"/>
  <c r="L239" i="3"/>
  <c r="G239" i="3"/>
  <c r="F239" i="3"/>
  <c r="E239" i="3"/>
  <c r="K239" i="3" s="1"/>
  <c r="L238" i="3"/>
  <c r="G238" i="3"/>
  <c r="F238" i="3"/>
  <c r="E238" i="3"/>
  <c r="K238" i="3" s="1"/>
  <c r="L237" i="3"/>
  <c r="G237" i="3"/>
  <c r="F237" i="3"/>
  <c r="E237" i="3"/>
  <c r="K237" i="3" s="1"/>
  <c r="L236" i="3"/>
  <c r="G236" i="3"/>
  <c r="F236" i="3"/>
  <c r="E236" i="3"/>
  <c r="K236" i="3" s="1"/>
  <c r="L235" i="3"/>
  <c r="G235" i="3"/>
  <c r="F235" i="3"/>
  <c r="E235" i="3"/>
  <c r="K235" i="3" s="1"/>
  <c r="L234" i="3"/>
  <c r="G234" i="3"/>
  <c r="F234" i="3"/>
  <c r="E234" i="3"/>
  <c r="K234" i="3" s="1"/>
  <c r="L233" i="3"/>
  <c r="G233" i="3"/>
  <c r="F233" i="3"/>
  <c r="E233" i="3"/>
  <c r="K233" i="3" s="1"/>
  <c r="L232" i="3"/>
  <c r="G232" i="3"/>
  <c r="F232" i="3"/>
  <c r="E232" i="3"/>
  <c r="K232" i="3" s="1"/>
  <c r="L231" i="3"/>
  <c r="G231" i="3"/>
  <c r="F231" i="3"/>
  <c r="E231" i="3"/>
  <c r="K231" i="3" s="1"/>
  <c r="L230" i="3"/>
  <c r="G230" i="3"/>
  <c r="F230" i="3"/>
  <c r="E230" i="3"/>
  <c r="K230" i="3" s="1"/>
  <c r="L229" i="3"/>
  <c r="G229" i="3"/>
  <c r="F229" i="3"/>
  <c r="E229" i="3"/>
  <c r="K229" i="3" s="1"/>
  <c r="L228" i="3"/>
  <c r="G228" i="3"/>
  <c r="F228" i="3"/>
  <c r="E228" i="3"/>
  <c r="K228" i="3" s="1"/>
  <c r="L227" i="3"/>
  <c r="G227" i="3"/>
  <c r="F227" i="3"/>
  <c r="E227" i="3"/>
  <c r="K227" i="3" s="1"/>
  <c r="L226" i="3"/>
  <c r="G226" i="3"/>
  <c r="F226" i="3"/>
  <c r="E226" i="3"/>
  <c r="K226" i="3" s="1"/>
  <c r="L225" i="3"/>
  <c r="G225" i="3"/>
  <c r="F225" i="3"/>
  <c r="E225" i="3"/>
  <c r="K225" i="3" s="1"/>
  <c r="L224" i="3"/>
  <c r="G224" i="3"/>
  <c r="F224" i="3"/>
  <c r="E224" i="3"/>
  <c r="K224" i="3" s="1"/>
  <c r="L223" i="3"/>
  <c r="G223" i="3"/>
  <c r="F223" i="3"/>
  <c r="E223" i="3"/>
  <c r="K223" i="3" s="1"/>
  <c r="L222" i="3"/>
  <c r="G222" i="3"/>
  <c r="F222" i="3"/>
  <c r="E222" i="3"/>
  <c r="K222" i="3" s="1"/>
  <c r="L221" i="3"/>
  <c r="G221" i="3"/>
  <c r="F221" i="3"/>
  <c r="E221" i="3"/>
  <c r="K221" i="3" s="1"/>
  <c r="L220" i="3"/>
  <c r="G220" i="3"/>
  <c r="F220" i="3"/>
  <c r="E220" i="3"/>
  <c r="K220" i="3" s="1"/>
  <c r="L219" i="3"/>
  <c r="G219" i="3"/>
  <c r="F219" i="3"/>
  <c r="E219" i="3"/>
  <c r="K219" i="3" s="1"/>
  <c r="L218" i="3"/>
  <c r="G218" i="3"/>
  <c r="F218" i="3"/>
  <c r="E218" i="3"/>
  <c r="K218" i="3" s="1"/>
  <c r="L217" i="3"/>
  <c r="G217" i="3"/>
  <c r="F217" i="3"/>
  <c r="E217" i="3"/>
  <c r="K217" i="3" s="1"/>
  <c r="L216" i="3"/>
  <c r="G216" i="3"/>
  <c r="F216" i="3"/>
  <c r="E216" i="3"/>
  <c r="K216" i="3" s="1"/>
  <c r="L215" i="3"/>
  <c r="G215" i="3"/>
  <c r="F215" i="3"/>
  <c r="E215" i="3"/>
  <c r="K215" i="3" s="1"/>
  <c r="L214" i="3"/>
  <c r="G214" i="3"/>
  <c r="F214" i="3"/>
  <c r="E214" i="3"/>
  <c r="K214" i="3" s="1"/>
  <c r="L213" i="3"/>
  <c r="G213" i="3"/>
  <c r="F213" i="3"/>
  <c r="E213" i="3"/>
  <c r="K213" i="3" s="1"/>
  <c r="L212" i="3"/>
  <c r="G212" i="3"/>
  <c r="F212" i="3"/>
  <c r="E212" i="3"/>
  <c r="K212" i="3" s="1"/>
  <c r="L211" i="3"/>
  <c r="G211" i="3"/>
  <c r="F211" i="3"/>
  <c r="E211" i="3"/>
  <c r="K211" i="3" s="1"/>
  <c r="L210" i="3"/>
  <c r="G210" i="3"/>
  <c r="F210" i="3"/>
  <c r="E210" i="3"/>
  <c r="K210" i="3" s="1"/>
  <c r="L209" i="3"/>
  <c r="G209" i="3"/>
  <c r="F209" i="3"/>
  <c r="E209" i="3"/>
  <c r="K209" i="3" s="1"/>
  <c r="L208" i="3"/>
  <c r="G208" i="3"/>
  <c r="F208" i="3"/>
  <c r="E208" i="3"/>
  <c r="K208" i="3" s="1"/>
  <c r="L207" i="3"/>
  <c r="G207" i="3"/>
  <c r="F207" i="3"/>
  <c r="E207" i="3"/>
  <c r="K207" i="3" s="1"/>
  <c r="L206" i="3"/>
  <c r="G206" i="3"/>
  <c r="F206" i="3"/>
  <c r="E206" i="3"/>
  <c r="K206" i="3" s="1"/>
  <c r="L205" i="3"/>
  <c r="G205" i="3"/>
  <c r="F205" i="3"/>
  <c r="E205" i="3"/>
  <c r="K205" i="3" s="1"/>
  <c r="L204" i="3"/>
  <c r="G204" i="3"/>
  <c r="F204" i="3"/>
  <c r="E204" i="3"/>
  <c r="K204" i="3" s="1"/>
  <c r="L203" i="3"/>
  <c r="G203" i="3"/>
  <c r="F203" i="3"/>
  <c r="E203" i="3"/>
  <c r="K203" i="3" s="1"/>
  <c r="L202" i="3"/>
  <c r="G202" i="3"/>
  <c r="F202" i="3"/>
  <c r="E202" i="3"/>
  <c r="K202" i="3" s="1"/>
  <c r="L201" i="3"/>
  <c r="G201" i="3"/>
  <c r="F201" i="3"/>
  <c r="E201" i="3"/>
  <c r="K201" i="3" s="1"/>
  <c r="L200" i="3"/>
  <c r="G200" i="3"/>
  <c r="F200" i="3"/>
  <c r="E200" i="3"/>
  <c r="K200" i="3" s="1"/>
  <c r="L199" i="3"/>
  <c r="G199" i="3"/>
  <c r="F199" i="3"/>
  <c r="E199" i="3"/>
  <c r="K199" i="3" s="1"/>
  <c r="L198" i="3"/>
  <c r="G198" i="3"/>
  <c r="F198" i="3"/>
  <c r="E198" i="3"/>
  <c r="K198" i="3" s="1"/>
  <c r="L197" i="3"/>
  <c r="G197" i="3"/>
  <c r="F197" i="3"/>
  <c r="E197" i="3"/>
  <c r="K197" i="3" s="1"/>
  <c r="L196" i="3"/>
  <c r="G196" i="3"/>
  <c r="F196" i="3"/>
  <c r="E196" i="3"/>
  <c r="K196" i="3" s="1"/>
  <c r="L195" i="3"/>
  <c r="G195" i="3"/>
  <c r="F195" i="3"/>
  <c r="L194" i="3"/>
  <c r="G194" i="3"/>
  <c r="F194" i="3"/>
  <c r="E194" i="3"/>
  <c r="K194" i="3" s="1"/>
  <c r="L193" i="3"/>
  <c r="G193" i="3"/>
  <c r="F193" i="3"/>
  <c r="E193" i="3"/>
  <c r="K193" i="3" s="1"/>
  <c r="L192" i="3"/>
  <c r="G192" i="3"/>
  <c r="F192" i="3"/>
  <c r="E192" i="3"/>
  <c r="K192" i="3" s="1"/>
  <c r="L191" i="3"/>
  <c r="G191" i="3"/>
  <c r="F191" i="3"/>
  <c r="E191" i="3"/>
  <c r="K191" i="3" s="1"/>
  <c r="L190" i="3"/>
  <c r="G190" i="3"/>
  <c r="F190" i="3"/>
  <c r="E190" i="3"/>
  <c r="K190" i="3" s="1"/>
  <c r="L189" i="3"/>
  <c r="G189" i="3"/>
  <c r="F189" i="3"/>
  <c r="E189" i="3"/>
  <c r="K189" i="3" s="1"/>
  <c r="M31" i="1"/>
  <c r="L31" i="1"/>
  <c r="G31" i="1"/>
  <c r="F31" i="1"/>
  <c r="E31" i="1"/>
  <c r="K31" i="1" s="1"/>
  <c r="C31" i="1"/>
  <c r="G27" i="3"/>
  <c r="A368" i="2"/>
  <c r="C368" i="2"/>
  <c r="E368" i="2"/>
  <c r="H368" i="2" s="1"/>
  <c r="F368" i="2"/>
  <c r="G368" i="2"/>
  <c r="L368" i="2"/>
  <c r="M368" i="2"/>
  <c r="G420" i="2"/>
  <c r="L416" i="2"/>
  <c r="L417" i="2"/>
  <c r="M416" i="2"/>
  <c r="L361" i="2"/>
  <c r="M361" i="2"/>
  <c r="L362" i="2"/>
  <c r="M362" i="2"/>
  <c r="L363" i="2"/>
  <c r="M363" i="2"/>
  <c r="L364" i="2"/>
  <c r="M364" i="2"/>
  <c r="L365" i="2"/>
  <c r="M365" i="2"/>
  <c r="L369" i="2"/>
  <c r="M369" i="2"/>
  <c r="L370" i="2"/>
  <c r="M370" i="2"/>
  <c r="L371" i="2"/>
  <c r="M371" i="2"/>
  <c r="L372" i="2"/>
  <c r="M372" i="2"/>
  <c r="L374" i="2"/>
  <c r="M374" i="2"/>
  <c r="L373" i="2"/>
  <c r="M373" i="2"/>
  <c r="M388" i="2"/>
  <c r="L388" i="2"/>
  <c r="A361" i="2"/>
  <c r="A363" i="2"/>
  <c r="A364" i="2"/>
  <c r="A367" i="2"/>
  <c r="A369" i="2"/>
  <c r="A370" i="2"/>
  <c r="A371" i="2"/>
  <c r="A372" i="2"/>
  <c r="A374" i="2"/>
  <c r="A373" i="2"/>
  <c r="A388" i="2"/>
  <c r="G361" i="2"/>
  <c r="G362" i="2"/>
  <c r="G363" i="2"/>
  <c r="G364" i="2"/>
  <c r="G365" i="2"/>
  <c r="G369" i="2"/>
  <c r="G370" i="2"/>
  <c r="G371" i="2"/>
  <c r="G372" i="2"/>
  <c r="G374" i="2"/>
  <c r="G373" i="2"/>
  <c r="G388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46" i="2"/>
  <c r="A432" i="2"/>
  <c r="A433" i="2"/>
  <c r="A434" i="2"/>
  <c r="A435" i="2"/>
  <c r="A436" i="2"/>
  <c r="A437" i="2"/>
  <c r="A431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398" i="2"/>
  <c r="A387" i="2"/>
  <c r="A389" i="2"/>
  <c r="A390" i="2"/>
  <c r="A375" i="2"/>
  <c r="A386" i="2"/>
  <c r="M376" i="2"/>
  <c r="L376" i="2"/>
  <c r="G376" i="2"/>
  <c r="F376" i="2"/>
  <c r="E376" i="2"/>
  <c r="K376" i="2" s="1"/>
  <c r="M375" i="2"/>
  <c r="L375" i="2"/>
  <c r="G375" i="2"/>
  <c r="F375" i="2"/>
  <c r="E375" i="2"/>
  <c r="I375" i="2" s="1"/>
  <c r="C375" i="2"/>
  <c r="M390" i="2"/>
  <c r="L390" i="2"/>
  <c r="G390" i="2"/>
  <c r="F390" i="2"/>
  <c r="E390" i="2"/>
  <c r="K390" i="2" s="1"/>
  <c r="C390" i="2"/>
  <c r="M389" i="2"/>
  <c r="L389" i="2"/>
  <c r="G389" i="2"/>
  <c r="F389" i="2"/>
  <c r="E389" i="2"/>
  <c r="I389" i="2" s="1"/>
  <c r="C389" i="2"/>
  <c r="M387" i="2"/>
  <c r="L387" i="2"/>
  <c r="G387" i="2"/>
  <c r="F387" i="2"/>
  <c r="E387" i="2"/>
  <c r="K387" i="2" s="1"/>
  <c r="C387" i="2"/>
  <c r="M386" i="2"/>
  <c r="L386" i="2"/>
  <c r="G386" i="2"/>
  <c r="F386" i="2"/>
  <c r="E386" i="2"/>
  <c r="K386" i="2" s="1"/>
  <c r="C386" i="2"/>
  <c r="E88" i="3"/>
  <c r="F88" i="3"/>
  <c r="G88" i="3"/>
  <c r="G82" i="3"/>
  <c r="F82" i="3"/>
  <c r="E82" i="3"/>
  <c r="C82" i="3" s="1"/>
  <c r="L83" i="3"/>
  <c r="M83" i="3"/>
  <c r="L262" i="3"/>
  <c r="M262" i="3"/>
  <c r="L84" i="3"/>
  <c r="M84" i="3"/>
  <c r="G74" i="2"/>
  <c r="F74" i="2"/>
  <c r="E74" i="2"/>
  <c r="C74" i="2" s="1"/>
  <c r="G58" i="3"/>
  <c r="G59" i="3"/>
  <c r="G60" i="3"/>
  <c r="G61" i="3"/>
  <c r="G62" i="3"/>
  <c r="G63" i="3"/>
  <c r="G64" i="3"/>
  <c r="G65" i="3"/>
  <c r="G66" i="3"/>
  <c r="G67" i="3"/>
  <c r="G68" i="3"/>
  <c r="G70" i="3"/>
  <c r="G71" i="3"/>
  <c r="G72" i="3"/>
  <c r="G73" i="3"/>
  <c r="G74" i="3"/>
  <c r="G75" i="3"/>
  <c r="G76" i="3"/>
  <c r="G77" i="3"/>
  <c r="G78" i="3"/>
  <c r="G79" i="3"/>
  <c r="G80" i="3"/>
  <c r="G81" i="3"/>
  <c r="G57" i="3"/>
  <c r="G262" i="3"/>
  <c r="G84" i="3"/>
  <c r="G83" i="3"/>
  <c r="F83" i="3"/>
  <c r="F262" i="3"/>
  <c r="F84" i="3"/>
  <c r="E83" i="3"/>
  <c r="C83" i="3" s="1"/>
  <c r="E262" i="3"/>
  <c r="C262" i="3" s="1"/>
  <c r="L271" i="2"/>
  <c r="M271" i="2"/>
  <c r="L272" i="2"/>
  <c r="M272" i="2"/>
  <c r="L273" i="2"/>
  <c r="M273" i="2"/>
  <c r="L274" i="2"/>
  <c r="M274" i="2"/>
  <c r="L275" i="2"/>
  <c r="M275" i="2"/>
  <c r="L276" i="2"/>
  <c r="M276" i="2"/>
  <c r="L277" i="2"/>
  <c r="M277" i="2"/>
  <c r="M270" i="2"/>
  <c r="L270" i="2"/>
  <c r="G271" i="2"/>
  <c r="G272" i="2"/>
  <c r="G273" i="2"/>
  <c r="G274" i="2"/>
  <c r="G275" i="2"/>
  <c r="G276" i="2"/>
  <c r="G277" i="2"/>
  <c r="G270" i="2"/>
  <c r="F271" i="2"/>
  <c r="F272" i="2"/>
  <c r="F273" i="2"/>
  <c r="F274" i="2"/>
  <c r="F275" i="2"/>
  <c r="F276" i="2"/>
  <c r="F277" i="2"/>
  <c r="F270" i="2"/>
  <c r="E271" i="2"/>
  <c r="K271" i="2" s="1"/>
  <c r="E272" i="2"/>
  <c r="J272" i="2" s="1"/>
  <c r="E273" i="2"/>
  <c r="H273" i="2" s="1"/>
  <c r="E274" i="2"/>
  <c r="I274" i="2" s="1"/>
  <c r="E275" i="2"/>
  <c r="I275" i="2" s="1"/>
  <c r="E276" i="2"/>
  <c r="H276" i="2" s="1"/>
  <c r="E277" i="2"/>
  <c r="H277" i="2" s="1"/>
  <c r="E270" i="2"/>
  <c r="K270" i="2" s="1"/>
  <c r="C271" i="2"/>
  <c r="C272" i="2"/>
  <c r="C273" i="2"/>
  <c r="C274" i="2"/>
  <c r="C275" i="2"/>
  <c r="C276" i="2"/>
  <c r="C277" i="2"/>
  <c r="C270" i="2"/>
  <c r="G255" i="2"/>
  <c r="G251" i="2"/>
  <c r="G252" i="2"/>
  <c r="G253" i="2"/>
  <c r="G254" i="2"/>
  <c r="G256" i="2"/>
  <c r="G257" i="2"/>
  <c r="G258" i="2"/>
  <c r="G259" i="2"/>
  <c r="G250" i="2"/>
  <c r="G249" i="2"/>
  <c r="G248" i="2"/>
  <c r="E249" i="2"/>
  <c r="E250" i="2"/>
  <c r="E251" i="2"/>
  <c r="E252" i="2"/>
  <c r="E253" i="2"/>
  <c r="E254" i="2"/>
  <c r="E255" i="2"/>
  <c r="E256" i="2"/>
  <c r="E257" i="2"/>
  <c r="E258" i="2"/>
  <c r="E259" i="2"/>
  <c r="E248" i="2"/>
  <c r="C248" i="2"/>
  <c r="F234" i="2"/>
  <c r="F235" i="2"/>
  <c r="F236" i="2"/>
  <c r="F237" i="2"/>
  <c r="F238" i="2"/>
  <c r="F239" i="2"/>
  <c r="F240" i="2"/>
  <c r="F233" i="2"/>
  <c r="E236" i="2"/>
  <c r="C237" i="2"/>
  <c r="E238" i="2"/>
  <c r="K238" i="2" s="1"/>
  <c r="E234" i="2"/>
  <c r="H234" i="2" s="1"/>
  <c r="E235" i="2"/>
  <c r="H235" i="2" s="1"/>
  <c r="E239" i="2"/>
  <c r="J239" i="2" s="1"/>
  <c r="E240" i="2"/>
  <c r="C234" i="2"/>
  <c r="C235" i="2"/>
  <c r="C236" i="2"/>
  <c r="C239" i="2"/>
  <c r="C240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F217" i="2"/>
  <c r="F183" i="2"/>
  <c r="E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183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F165" i="2"/>
  <c r="E165" i="2"/>
  <c r="C166" i="2"/>
  <c r="C167" i="2"/>
  <c r="C168" i="2"/>
  <c r="C169" i="2"/>
  <c r="C170" i="2"/>
  <c r="C171" i="2"/>
  <c r="C172" i="2"/>
  <c r="C165" i="2"/>
  <c r="C128" i="2"/>
  <c r="C129" i="2"/>
  <c r="C130" i="2"/>
  <c r="C131" i="2"/>
  <c r="C132" i="2"/>
  <c r="C127" i="2"/>
  <c r="E128" i="2"/>
  <c r="F128" i="2"/>
  <c r="E129" i="2"/>
  <c r="F129" i="2"/>
  <c r="E130" i="2"/>
  <c r="F130" i="2"/>
  <c r="E131" i="2"/>
  <c r="F131" i="2"/>
  <c r="E132" i="2"/>
  <c r="F132" i="2"/>
  <c r="F127" i="2"/>
  <c r="E127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43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45" i="2"/>
  <c r="F145" i="2"/>
  <c r="E144" i="2"/>
  <c r="F144" i="2"/>
  <c r="F143" i="2"/>
  <c r="E143" i="2"/>
  <c r="M30" i="1"/>
  <c r="L30" i="1"/>
  <c r="G30" i="1"/>
  <c r="F30" i="1"/>
  <c r="E30" i="1"/>
  <c r="K30" i="1" s="1"/>
  <c r="C30" i="1"/>
  <c r="M29" i="1"/>
  <c r="L29" i="1"/>
  <c r="G29" i="1"/>
  <c r="F29" i="1"/>
  <c r="E29" i="1"/>
  <c r="K29" i="1" s="1"/>
  <c r="C29" i="1"/>
  <c r="M28" i="1"/>
  <c r="L28" i="1"/>
  <c r="G28" i="1"/>
  <c r="F28" i="1"/>
  <c r="E28" i="1"/>
  <c r="K28" i="1" s="1"/>
  <c r="C28" i="1"/>
  <c r="E6" i="4"/>
  <c r="I6" i="4" s="1"/>
  <c r="C6" i="4"/>
  <c r="F6" i="4"/>
  <c r="L6" i="4"/>
  <c r="M6" i="4"/>
  <c r="AJ189" i="3"/>
  <c r="AJ190" i="3"/>
  <c r="AJ191" i="3"/>
  <c r="AJ192" i="3"/>
  <c r="AJ193" i="3"/>
  <c r="AJ194" i="3"/>
  <c r="AJ195" i="3"/>
  <c r="AJ196" i="3"/>
  <c r="AJ197" i="3"/>
  <c r="AJ198" i="3"/>
  <c r="AJ199" i="3"/>
  <c r="AJ200" i="3"/>
  <c r="AJ201" i="3"/>
  <c r="AJ202" i="3"/>
  <c r="AJ203" i="3"/>
  <c r="AJ204" i="3"/>
  <c r="AJ205" i="3"/>
  <c r="AJ206" i="3"/>
  <c r="AJ207" i="3"/>
  <c r="AJ208" i="3"/>
  <c r="AJ210" i="3"/>
  <c r="AJ211" i="3"/>
  <c r="AJ212" i="3"/>
  <c r="AJ213" i="3"/>
  <c r="AJ214" i="3"/>
  <c r="AJ218" i="3"/>
  <c r="AJ219" i="3"/>
  <c r="AJ220" i="3"/>
  <c r="AJ221" i="3"/>
  <c r="AJ231" i="3" s="1"/>
  <c r="AJ222" i="3"/>
  <c r="AJ223" i="3"/>
  <c r="AJ224" i="3"/>
  <c r="AJ225" i="3"/>
  <c r="AJ226" i="3"/>
  <c r="AJ227" i="3"/>
  <c r="AJ228" i="3"/>
  <c r="AJ229" i="3"/>
  <c r="AJ230" i="3"/>
  <c r="AJ232" i="3"/>
  <c r="AJ233" i="3"/>
  <c r="AJ234" i="3"/>
  <c r="AJ235" i="3"/>
  <c r="AJ237" i="3"/>
  <c r="AJ238" i="3"/>
  <c r="AJ239" i="3"/>
  <c r="AJ240" i="3"/>
  <c r="AJ241" i="3"/>
  <c r="AJ242" i="3"/>
  <c r="AJ243" i="3"/>
  <c r="AJ236" i="3"/>
  <c r="C361" i="2"/>
  <c r="E361" i="2"/>
  <c r="J361" i="2" s="1"/>
  <c r="F361" i="2"/>
  <c r="C362" i="2"/>
  <c r="E362" i="2"/>
  <c r="H362" i="2" s="1"/>
  <c r="F362" i="2"/>
  <c r="C363" i="2"/>
  <c r="E363" i="2"/>
  <c r="H363" i="2" s="1"/>
  <c r="F363" i="2"/>
  <c r="C364" i="2"/>
  <c r="E364" i="2"/>
  <c r="H364" i="2" s="1"/>
  <c r="F364" i="2"/>
  <c r="E365" i="2"/>
  <c r="H365" i="2" s="1"/>
  <c r="F365" i="2"/>
  <c r="C369" i="2"/>
  <c r="E369" i="2"/>
  <c r="H369" i="2" s="1"/>
  <c r="F369" i="2"/>
  <c r="C370" i="2"/>
  <c r="E370" i="2"/>
  <c r="H370" i="2" s="1"/>
  <c r="F370" i="2"/>
  <c r="C371" i="2"/>
  <c r="E371" i="2"/>
  <c r="J371" i="2" s="1"/>
  <c r="F371" i="2"/>
  <c r="C372" i="2"/>
  <c r="E372" i="2"/>
  <c r="H372" i="2" s="1"/>
  <c r="F372" i="2"/>
  <c r="C374" i="2"/>
  <c r="E374" i="2"/>
  <c r="H374" i="2" s="1"/>
  <c r="F374" i="2"/>
  <c r="C373" i="2"/>
  <c r="E373" i="2"/>
  <c r="H373" i="2" s="1"/>
  <c r="F373" i="2"/>
  <c r="F388" i="2"/>
  <c r="E388" i="2"/>
  <c r="I388" i="2" s="1"/>
  <c r="C388" i="2"/>
  <c r="C46" i="3"/>
  <c r="E46" i="3"/>
  <c r="H46" i="3" s="1"/>
  <c r="F46" i="3"/>
  <c r="G46" i="3"/>
  <c r="L46" i="3"/>
  <c r="M46" i="3"/>
  <c r="G61" i="2"/>
  <c r="C260" i="3"/>
  <c r="C261" i="3"/>
  <c r="C259" i="3"/>
  <c r="C258" i="3"/>
  <c r="C257" i="3"/>
  <c r="C256" i="3"/>
  <c r="G234" i="2"/>
  <c r="G235" i="2"/>
  <c r="G236" i="2"/>
  <c r="G239" i="2"/>
  <c r="BL112" i="1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46" i="2"/>
  <c r="AD447" i="2"/>
  <c r="AD448" i="2"/>
  <c r="G63" i="1"/>
  <c r="AH66" i="1"/>
  <c r="AH59" i="1"/>
  <c r="AH60" i="1"/>
  <c r="AH61" i="1"/>
  <c r="AH62" i="1"/>
  <c r="AH63" i="1"/>
  <c r="AH64" i="1"/>
  <c r="AH65" i="1"/>
  <c r="L293" i="2"/>
  <c r="M293" i="2"/>
  <c r="L294" i="2"/>
  <c r="M294" i="2"/>
  <c r="L295" i="2"/>
  <c r="M295" i="2"/>
  <c r="L296" i="2"/>
  <c r="M296" i="2"/>
  <c r="L297" i="2"/>
  <c r="M297" i="2"/>
  <c r="L298" i="2"/>
  <c r="M298" i="2"/>
  <c r="L299" i="2"/>
  <c r="M299" i="2"/>
  <c r="L300" i="2"/>
  <c r="M300" i="2"/>
  <c r="L301" i="2"/>
  <c r="M301" i="2"/>
  <c r="L302" i="2"/>
  <c r="M302" i="2"/>
  <c r="L303" i="2"/>
  <c r="M303" i="2"/>
  <c r="L304" i="2"/>
  <c r="M304" i="2"/>
  <c r="L305" i="2"/>
  <c r="M305" i="2"/>
  <c r="L306" i="2"/>
  <c r="M306" i="2"/>
  <c r="L307" i="2"/>
  <c r="M307" i="2"/>
  <c r="L308" i="2"/>
  <c r="M308" i="2"/>
  <c r="L309" i="2"/>
  <c r="M309" i="2"/>
  <c r="L310" i="2"/>
  <c r="M310" i="2"/>
  <c r="L311" i="2"/>
  <c r="M311" i="2"/>
  <c r="L312" i="2"/>
  <c r="M312" i="2"/>
  <c r="L313" i="2"/>
  <c r="M313" i="2"/>
  <c r="L314" i="2"/>
  <c r="M314" i="2"/>
  <c r="L315" i="2"/>
  <c r="M315" i="2"/>
  <c r="M292" i="2"/>
  <c r="L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292" i="2"/>
  <c r="E293" i="2"/>
  <c r="H293" i="2" s="1"/>
  <c r="E294" i="2"/>
  <c r="K294" i="2" s="1"/>
  <c r="E295" i="2"/>
  <c r="H295" i="2" s="1"/>
  <c r="E296" i="2"/>
  <c r="K296" i="2" s="1"/>
  <c r="E297" i="2"/>
  <c r="H297" i="2" s="1"/>
  <c r="E298" i="2"/>
  <c r="K298" i="2" s="1"/>
  <c r="E299" i="2"/>
  <c r="H299" i="2" s="1"/>
  <c r="E300" i="2"/>
  <c r="K300" i="2" s="1"/>
  <c r="E301" i="2"/>
  <c r="H301" i="2" s="1"/>
  <c r="E302" i="2"/>
  <c r="K302" i="2" s="1"/>
  <c r="E303" i="2"/>
  <c r="H303" i="2" s="1"/>
  <c r="E304" i="2"/>
  <c r="K304" i="2" s="1"/>
  <c r="E305" i="2"/>
  <c r="H305" i="2" s="1"/>
  <c r="E306" i="2"/>
  <c r="K306" i="2" s="1"/>
  <c r="E307" i="2"/>
  <c r="H307" i="2" s="1"/>
  <c r="E308" i="2"/>
  <c r="K308" i="2" s="1"/>
  <c r="E309" i="2"/>
  <c r="H309" i="2" s="1"/>
  <c r="E310" i="2"/>
  <c r="K310" i="2" s="1"/>
  <c r="E311" i="2"/>
  <c r="H311" i="2" s="1"/>
  <c r="E312" i="2"/>
  <c r="K312" i="2" s="1"/>
  <c r="E313" i="2"/>
  <c r="H313" i="2" s="1"/>
  <c r="E314" i="2"/>
  <c r="K314" i="2" s="1"/>
  <c r="E315" i="2"/>
  <c r="H315" i="2" s="1"/>
  <c r="E292" i="2"/>
  <c r="H292" i="2" s="1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292" i="2"/>
  <c r="K245" i="3" l="1"/>
  <c r="J245" i="3"/>
  <c r="I245" i="3"/>
  <c r="K263" i="3"/>
  <c r="J263" i="3"/>
  <c r="I263" i="3"/>
  <c r="H263" i="3"/>
  <c r="J225" i="2"/>
  <c r="I225" i="2"/>
  <c r="K225" i="2"/>
  <c r="H225" i="2"/>
  <c r="F225" i="2"/>
  <c r="L225" i="2"/>
  <c r="I19" i="2"/>
  <c r="H23" i="2"/>
  <c r="J22" i="2"/>
  <c r="H18" i="2"/>
  <c r="K21" i="2"/>
  <c r="I22" i="2"/>
  <c r="K17" i="2"/>
  <c r="I18" i="2"/>
  <c r="J18" i="2"/>
  <c r="H19" i="2"/>
  <c r="K22" i="2"/>
  <c r="I23" i="2"/>
  <c r="K25" i="2"/>
  <c r="J20" i="2"/>
  <c r="H21" i="2"/>
  <c r="J24" i="2"/>
  <c r="H25" i="2"/>
  <c r="H17" i="2"/>
  <c r="I17" i="2"/>
  <c r="K20" i="2"/>
  <c r="I21" i="2"/>
  <c r="K24" i="2"/>
  <c r="I25" i="2"/>
  <c r="H26" i="2"/>
  <c r="I26" i="2"/>
  <c r="J26" i="2"/>
  <c r="J19" i="2"/>
  <c r="H20" i="2"/>
  <c r="J23" i="2"/>
  <c r="H24" i="2"/>
  <c r="J36" i="2"/>
  <c r="H37" i="2"/>
  <c r="I37" i="2"/>
  <c r="H36" i="2"/>
  <c r="J34" i="2"/>
  <c r="J35" i="2"/>
  <c r="H34" i="2"/>
  <c r="J38" i="2"/>
  <c r="H39" i="2"/>
  <c r="I35" i="2"/>
  <c r="K35" i="2"/>
  <c r="I34" i="2"/>
  <c r="K38" i="2"/>
  <c r="I39" i="2"/>
  <c r="H40" i="2"/>
  <c r="J39" i="2"/>
  <c r="I36" i="2"/>
  <c r="I40" i="2"/>
  <c r="J40" i="2"/>
  <c r="J37" i="2"/>
  <c r="H38" i="2"/>
  <c r="I20" i="3"/>
  <c r="K18" i="3"/>
  <c r="C18" i="3"/>
  <c r="H20" i="3"/>
  <c r="I19" i="3"/>
  <c r="J18" i="3"/>
  <c r="J20" i="3"/>
  <c r="K19" i="3"/>
  <c r="J19" i="3"/>
  <c r="C19" i="3"/>
  <c r="I18" i="3"/>
  <c r="K20" i="3"/>
  <c r="H85" i="3"/>
  <c r="I85" i="3"/>
  <c r="J85" i="3"/>
  <c r="K85" i="3"/>
  <c r="H254" i="3"/>
  <c r="J10" i="4"/>
  <c r="K11" i="4"/>
  <c r="J11" i="4"/>
  <c r="I11" i="4"/>
  <c r="H11" i="4"/>
  <c r="G7" i="4"/>
  <c r="J8" i="4"/>
  <c r="F48" i="2"/>
  <c r="G6" i="4"/>
  <c r="K10" i="4"/>
  <c r="I10" i="4"/>
  <c r="H10" i="4"/>
  <c r="K9" i="4"/>
  <c r="J9" i="4"/>
  <c r="K8" i="4"/>
  <c r="I9" i="4"/>
  <c r="H9" i="4"/>
  <c r="I8" i="4"/>
  <c r="H8" i="4"/>
  <c r="H7" i="4"/>
  <c r="I7" i="4"/>
  <c r="J7" i="4"/>
  <c r="H49" i="2"/>
  <c r="H48" i="2"/>
  <c r="F49" i="2"/>
  <c r="F47" i="2"/>
  <c r="H47" i="2"/>
  <c r="I47" i="2"/>
  <c r="J47" i="2"/>
  <c r="K47" i="2"/>
  <c r="C47" i="2"/>
  <c r="L47" i="2"/>
  <c r="F51" i="2"/>
  <c r="H51" i="2"/>
  <c r="I51" i="2"/>
  <c r="J51" i="2"/>
  <c r="K51" i="2"/>
  <c r="C51" i="2"/>
  <c r="L51" i="2"/>
  <c r="F50" i="2"/>
  <c r="H50" i="2"/>
  <c r="I50" i="2"/>
  <c r="J50" i="2"/>
  <c r="K50" i="2"/>
  <c r="C50" i="2"/>
  <c r="L50" i="2"/>
  <c r="I49" i="2"/>
  <c r="J49" i="2"/>
  <c r="K49" i="2"/>
  <c r="C49" i="2"/>
  <c r="L49" i="2"/>
  <c r="I48" i="2"/>
  <c r="J48" i="2"/>
  <c r="K48" i="2"/>
  <c r="H82" i="3"/>
  <c r="I82" i="3"/>
  <c r="J82" i="3"/>
  <c r="K82" i="3"/>
  <c r="C15" i="3"/>
  <c r="H21" i="1"/>
  <c r="I21" i="1"/>
  <c r="J21" i="1"/>
  <c r="H20" i="1"/>
  <c r="I20" i="1"/>
  <c r="J20" i="1"/>
  <c r="H15" i="3"/>
  <c r="I15" i="3"/>
  <c r="J15" i="3"/>
  <c r="K18" i="1"/>
  <c r="K17" i="1"/>
  <c r="I254" i="3"/>
  <c r="J254" i="3"/>
  <c r="K254" i="3"/>
  <c r="H75" i="2"/>
  <c r="I75" i="2"/>
  <c r="J75" i="2"/>
  <c r="K75" i="2"/>
  <c r="L75" i="2"/>
  <c r="I18" i="1"/>
  <c r="J18" i="1"/>
  <c r="I17" i="1"/>
  <c r="J17" i="1"/>
  <c r="H19" i="1"/>
  <c r="I19" i="1"/>
  <c r="J19" i="1"/>
  <c r="C16" i="3"/>
  <c r="K16" i="3"/>
  <c r="J16" i="3"/>
  <c r="H16" i="3"/>
  <c r="H17" i="3"/>
  <c r="I17" i="3"/>
  <c r="J17" i="3"/>
  <c r="K17" i="3"/>
  <c r="H255" i="3"/>
  <c r="I255" i="3"/>
  <c r="J255" i="3"/>
  <c r="K255" i="3"/>
  <c r="I149" i="3"/>
  <c r="H149" i="3"/>
  <c r="J149" i="3"/>
  <c r="H150" i="3"/>
  <c r="I150" i="3"/>
  <c r="J150" i="3"/>
  <c r="F32" i="1"/>
  <c r="H32" i="1"/>
  <c r="I32" i="1"/>
  <c r="J32" i="1"/>
  <c r="I452" i="2"/>
  <c r="H457" i="2"/>
  <c r="I456" i="2"/>
  <c r="H456" i="2"/>
  <c r="J455" i="2"/>
  <c r="H452" i="2"/>
  <c r="H502" i="2"/>
  <c r="H508" i="2"/>
  <c r="I508" i="2"/>
  <c r="J508" i="2"/>
  <c r="H505" i="2"/>
  <c r="I505" i="2"/>
  <c r="H506" i="2"/>
  <c r="J505" i="2"/>
  <c r="I506" i="2"/>
  <c r="J506" i="2"/>
  <c r="I502" i="2"/>
  <c r="J502" i="2"/>
  <c r="I497" i="2"/>
  <c r="J497" i="2"/>
  <c r="K497" i="2"/>
  <c r="K455" i="2"/>
  <c r="J456" i="2"/>
  <c r="I457" i="2"/>
  <c r="H458" i="2"/>
  <c r="J457" i="2"/>
  <c r="I458" i="2"/>
  <c r="H459" i="2"/>
  <c r="J458" i="2"/>
  <c r="I459" i="2"/>
  <c r="J459" i="2"/>
  <c r="H455" i="2"/>
  <c r="J452" i="2"/>
  <c r="I447" i="2"/>
  <c r="H448" i="2"/>
  <c r="H447" i="2"/>
  <c r="J447" i="2"/>
  <c r="I448" i="2"/>
  <c r="J448" i="2"/>
  <c r="H414" i="2"/>
  <c r="I414" i="2"/>
  <c r="H415" i="2"/>
  <c r="J414" i="2"/>
  <c r="I415" i="2"/>
  <c r="J415" i="2"/>
  <c r="H411" i="2"/>
  <c r="I411" i="2"/>
  <c r="J411" i="2"/>
  <c r="H405" i="2"/>
  <c r="I405" i="2"/>
  <c r="J405" i="2"/>
  <c r="H406" i="2"/>
  <c r="I406" i="2"/>
  <c r="J406" i="2"/>
  <c r="H505" i="3"/>
  <c r="H506" i="3"/>
  <c r="H507" i="3"/>
  <c r="I505" i="3"/>
  <c r="I506" i="3"/>
  <c r="I507" i="3"/>
  <c r="J505" i="3"/>
  <c r="J506" i="3"/>
  <c r="J507" i="3"/>
  <c r="K505" i="3"/>
  <c r="K506" i="3"/>
  <c r="K507" i="3"/>
  <c r="J453" i="3"/>
  <c r="J473" i="3"/>
  <c r="I475" i="3"/>
  <c r="I477" i="3"/>
  <c r="J475" i="3"/>
  <c r="J474" i="3"/>
  <c r="I474" i="3"/>
  <c r="J477" i="3"/>
  <c r="I476" i="3"/>
  <c r="I473" i="3"/>
  <c r="J476" i="3"/>
  <c r="I478" i="3"/>
  <c r="J478" i="3"/>
  <c r="H473" i="3"/>
  <c r="H474" i="3"/>
  <c r="H475" i="3"/>
  <c r="H476" i="3"/>
  <c r="H477" i="3"/>
  <c r="H478" i="3"/>
  <c r="L453" i="3"/>
  <c r="K473" i="3"/>
  <c r="K474" i="3"/>
  <c r="K475" i="3"/>
  <c r="K476" i="3"/>
  <c r="K477" i="3"/>
  <c r="K478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453" i="3"/>
  <c r="I453" i="3"/>
  <c r="H479" i="3"/>
  <c r="I479" i="3"/>
  <c r="J479" i="3"/>
  <c r="K479" i="3"/>
  <c r="H454" i="3"/>
  <c r="H455" i="3"/>
  <c r="H456" i="3"/>
  <c r="H457" i="3"/>
  <c r="H458" i="3"/>
  <c r="H459" i="3"/>
  <c r="H460" i="3"/>
  <c r="H461" i="3"/>
  <c r="I454" i="3"/>
  <c r="I455" i="3"/>
  <c r="I456" i="3"/>
  <c r="I457" i="3"/>
  <c r="I458" i="3"/>
  <c r="I459" i="3"/>
  <c r="I460" i="3"/>
  <c r="I461" i="3"/>
  <c r="J454" i="3"/>
  <c r="J455" i="3"/>
  <c r="J456" i="3"/>
  <c r="J457" i="3"/>
  <c r="J458" i="3"/>
  <c r="J459" i="3"/>
  <c r="J460" i="3"/>
  <c r="J461" i="3"/>
  <c r="K454" i="3"/>
  <c r="K455" i="3"/>
  <c r="K456" i="3"/>
  <c r="K457" i="3"/>
  <c r="K458" i="3"/>
  <c r="K459" i="3"/>
  <c r="K460" i="3"/>
  <c r="K461" i="3"/>
  <c r="H462" i="3"/>
  <c r="I462" i="3"/>
  <c r="J462" i="3"/>
  <c r="K462" i="3"/>
  <c r="H451" i="3"/>
  <c r="H452" i="3"/>
  <c r="I451" i="3"/>
  <c r="I452" i="3"/>
  <c r="J451" i="3"/>
  <c r="J452" i="3"/>
  <c r="K451" i="3"/>
  <c r="K452" i="3"/>
  <c r="H435" i="3"/>
  <c r="H436" i="3"/>
  <c r="H437" i="3"/>
  <c r="H438" i="3"/>
  <c r="H439" i="3"/>
  <c r="H440" i="3"/>
  <c r="I435" i="3"/>
  <c r="I436" i="3"/>
  <c r="I437" i="3"/>
  <c r="I438" i="3"/>
  <c r="I439" i="3"/>
  <c r="I440" i="3"/>
  <c r="J435" i="3"/>
  <c r="J436" i="3"/>
  <c r="J437" i="3"/>
  <c r="J438" i="3"/>
  <c r="J439" i="3"/>
  <c r="J440" i="3"/>
  <c r="K435" i="3"/>
  <c r="K436" i="3"/>
  <c r="K437" i="3"/>
  <c r="K438" i="3"/>
  <c r="K439" i="3"/>
  <c r="K440" i="3"/>
  <c r="L359" i="3"/>
  <c r="L357" i="3"/>
  <c r="L351" i="3"/>
  <c r="L345" i="3"/>
  <c r="L343" i="3"/>
  <c r="L363" i="3"/>
  <c r="J351" i="3"/>
  <c r="J345" i="3"/>
  <c r="J343" i="3"/>
  <c r="L348" i="3"/>
  <c r="L361" i="3"/>
  <c r="L394" i="3"/>
  <c r="L346" i="3"/>
  <c r="L354" i="3"/>
  <c r="L352" i="3"/>
  <c r="J346" i="3"/>
  <c r="L365" i="3"/>
  <c r="J356" i="3"/>
  <c r="J354" i="3"/>
  <c r="J352" i="3"/>
  <c r="L367" i="3"/>
  <c r="J344" i="3"/>
  <c r="L353" i="3"/>
  <c r="L342" i="3"/>
  <c r="L349" i="3"/>
  <c r="L347" i="3"/>
  <c r="L366" i="3"/>
  <c r="L364" i="3"/>
  <c r="L362" i="3"/>
  <c r="L360" i="3"/>
  <c r="L358" i="3"/>
  <c r="L356" i="3"/>
  <c r="J353" i="3"/>
  <c r="J342" i="3"/>
  <c r="L355" i="3"/>
  <c r="L344" i="3"/>
  <c r="J355" i="3"/>
  <c r="H425" i="3"/>
  <c r="I425" i="3"/>
  <c r="J425" i="3"/>
  <c r="K425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H396" i="3"/>
  <c r="H397" i="3"/>
  <c r="H398" i="3"/>
  <c r="H399" i="3"/>
  <c r="I396" i="3"/>
  <c r="I397" i="3"/>
  <c r="I398" i="3"/>
  <c r="I399" i="3"/>
  <c r="J396" i="3"/>
  <c r="J397" i="3"/>
  <c r="J398" i="3"/>
  <c r="J399" i="3"/>
  <c r="K396" i="3"/>
  <c r="K397" i="3"/>
  <c r="K398" i="3"/>
  <c r="K399" i="3"/>
  <c r="K394" i="3"/>
  <c r="J394" i="3"/>
  <c r="I394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H369" i="3"/>
  <c r="H370" i="3"/>
  <c r="I369" i="3"/>
  <c r="I370" i="3"/>
  <c r="J369" i="3"/>
  <c r="J370" i="3"/>
  <c r="K369" i="3"/>
  <c r="K370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J366" i="3"/>
  <c r="J365" i="3"/>
  <c r="J363" i="3"/>
  <c r="J362" i="3"/>
  <c r="J361" i="3"/>
  <c r="J359" i="3"/>
  <c r="J358" i="3"/>
  <c r="J357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J367" i="3"/>
  <c r="J364" i="3"/>
  <c r="J360" i="3"/>
  <c r="K350" i="3"/>
  <c r="K349" i="3"/>
  <c r="K348" i="3"/>
  <c r="K347" i="3"/>
  <c r="J350" i="3"/>
  <c r="J349" i="3"/>
  <c r="J348" i="3"/>
  <c r="J347" i="3"/>
  <c r="I350" i="3"/>
  <c r="I349" i="3"/>
  <c r="I348" i="3"/>
  <c r="I347" i="3"/>
  <c r="L350" i="3"/>
  <c r="K346" i="3"/>
  <c r="K345" i="3"/>
  <c r="K344" i="3"/>
  <c r="K343" i="3"/>
  <c r="K342" i="3"/>
  <c r="I346" i="3"/>
  <c r="I345" i="3"/>
  <c r="I344" i="3"/>
  <c r="I343" i="3"/>
  <c r="I342" i="3"/>
  <c r="H341" i="3"/>
  <c r="I341" i="3"/>
  <c r="J341" i="3"/>
  <c r="K341" i="3"/>
  <c r="H473" i="2"/>
  <c r="L261" i="3"/>
  <c r="H256" i="3"/>
  <c r="I256" i="3"/>
  <c r="J256" i="3"/>
  <c r="K256" i="3"/>
  <c r="H257" i="3"/>
  <c r="I257" i="3"/>
  <c r="J257" i="3"/>
  <c r="K257" i="3"/>
  <c r="I258" i="3"/>
  <c r="J258" i="3"/>
  <c r="H258" i="3"/>
  <c r="K258" i="3"/>
  <c r="I259" i="3"/>
  <c r="H259" i="3"/>
  <c r="J259" i="3"/>
  <c r="K259" i="3"/>
  <c r="H260" i="3"/>
  <c r="I260" i="3"/>
  <c r="J260" i="3"/>
  <c r="K260" i="3"/>
  <c r="H261" i="3"/>
  <c r="I261" i="3"/>
  <c r="J261" i="3"/>
  <c r="H324" i="3"/>
  <c r="H325" i="3"/>
  <c r="H326" i="3"/>
  <c r="H327" i="3"/>
  <c r="H328" i="3"/>
  <c r="H329" i="3"/>
  <c r="H330" i="3"/>
  <c r="I324" i="3"/>
  <c r="I325" i="3"/>
  <c r="I326" i="3"/>
  <c r="I327" i="3"/>
  <c r="I328" i="3"/>
  <c r="I329" i="3"/>
  <c r="I330" i="3"/>
  <c r="J324" i="3"/>
  <c r="J325" i="3"/>
  <c r="J326" i="3"/>
  <c r="J327" i="3"/>
  <c r="J328" i="3"/>
  <c r="J329" i="3"/>
  <c r="J330" i="3"/>
  <c r="K324" i="3"/>
  <c r="K325" i="3"/>
  <c r="K326" i="3"/>
  <c r="K327" i="3"/>
  <c r="K328" i="3"/>
  <c r="K329" i="3"/>
  <c r="K330" i="3"/>
  <c r="L311" i="3"/>
  <c r="K311" i="3"/>
  <c r="J311" i="3"/>
  <c r="H311" i="3"/>
  <c r="H312" i="3"/>
  <c r="H313" i="3"/>
  <c r="H314" i="3"/>
  <c r="H315" i="3"/>
  <c r="I312" i="3"/>
  <c r="I313" i="3"/>
  <c r="I314" i="3"/>
  <c r="I315" i="3"/>
  <c r="J312" i="3"/>
  <c r="J313" i="3"/>
  <c r="J314" i="3"/>
  <c r="J315" i="3"/>
  <c r="K312" i="3"/>
  <c r="K313" i="3"/>
  <c r="K314" i="3"/>
  <c r="K315" i="3"/>
  <c r="H309" i="3"/>
  <c r="H310" i="3"/>
  <c r="I309" i="3"/>
  <c r="I310" i="3"/>
  <c r="J309" i="3"/>
  <c r="J310" i="3"/>
  <c r="K309" i="3"/>
  <c r="K310" i="3"/>
  <c r="H306" i="3"/>
  <c r="H307" i="3"/>
  <c r="I306" i="3"/>
  <c r="I307" i="3"/>
  <c r="J306" i="3"/>
  <c r="J307" i="3"/>
  <c r="K306" i="3"/>
  <c r="K307" i="3"/>
  <c r="H305" i="3"/>
  <c r="I305" i="3"/>
  <c r="J305" i="3"/>
  <c r="K305" i="3"/>
  <c r="L297" i="3"/>
  <c r="K297" i="3"/>
  <c r="J297" i="3"/>
  <c r="I297" i="3"/>
  <c r="I296" i="3"/>
  <c r="H296" i="3"/>
  <c r="J296" i="3"/>
  <c r="K296" i="3"/>
  <c r="H295" i="3"/>
  <c r="I295" i="3"/>
  <c r="J295" i="3"/>
  <c r="K295" i="3"/>
  <c r="H294" i="3"/>
  <c r="I294" i="3"/>
  <c r="J294" i="3"/>
  <c r="K294" i="3"/>
  <c r="H289" i="3"/>
  <c r="I289" i="3"/>
  <c r="J289" i="3"/>
  <c r="K289" i="3"/>
  <c r="H290" i="3"/>
  <c r="I290" i="3"/>
  <c r="J290" i="3"/>
  <c r="K290" i="3"/>
  <c r="H291" i="3"/>
  <c r="I291" i="3"/>
  <c r="J291" i="3"/>
  <c r="K291" i="3"/>
  <c r="H292" i="3"/>
  <c r="I292" i="3"/>
  <c r="J292" i="3"/>
  <c r="K292" i="3"/>
  <c r="H293" i="3"/>
  <c r="I293" i="3"/>
  <c r="J293" i="3"/>
  <c r="K293" i="3"/>
  <c r="F446" i="2"/>
  <c r="K280" i="3"/>
  <c r="J280" i="3"/>
  <c r="I280" i="3"/>
  <c r="F473" i="2"/>
  <c r="H446" i="2"/>
  <c r="K474" i="2"/>
  <c r="J474" i="2"/>
  <c r="I474" i="2"/>
  <c r="H474" i="2"/>
  <c r="I446" i="2"/>
  <c r="J446" i="2"/>
  <c r="I473" i="2"/>
  <c r="J473" i="2"/>
  <c r="F472" i="2"/>
  <c r="H472" i="2"/>
  <c r="I472" i="2"/>
  <c r="J472" i="2"/>
  <c r="J166" i="3"/>
  <c r="I165" i="3"/>
  <c r="J165" i="3"/>
  <c r="J164" i="3"/>
  <c r="I164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J175" i="3"/>
  <c r="J174" i="3"/>
  <c r="J173" i="3"/>
  <c r="J172" i="3"/>
  <c r="J171" i="3"/>
  <c r="J170" i="3"/>
  <c r="J169" i="3"/>
  <c r="J168" i="3"/>
  <c r="J167" i="3"/>
  <c r="I175" i="3"/>
  <c r="I174" i="3"/>
  <c r="I173" i="3"/>
  <c r="I172" i="3"/>
  <c r="I171" i="3"/>
  <c r="I170" i="3"/>
  <c r="I169" i="3"/>
  <c r="I168" i="3"/>
  <c r="I167" i="3"/>
  <c r="I166" i="3"/>
  <c r="H153" i="3"/>
  <c r="H157" i="3"/>
  <c r="H161" i="3"/>
  <c r="I153" i="3"/>
  <c r="I154" i="3"/>
  <c r="I155" i="3"/>
  <c r="I156" i="3"/>
  <c r="I157" i="3"/>
  <c r="I158" i="3"/>
  <c r="I159" i="3"/>
  <c r="I160" i="3"/>
  <c r="I161" i="3"/>
  <c r="I162" i="3"/>
  <c r="I163" i="3"/>
  <c r="H155" i="3"/>
  <c r="H158" i="3"/>
  <c r="H160" i="3"/>
  <c r="H162" i="3"/>
  <c r="J153" i="3"/>
  <c r="J154" i="3"/>
  <c r="J155" i="3"/>
  <c r="J156" i="3"/>
  <c r="J157" i="3"/>
  <c r="J158" i="3"/>
  <c r="J159" i="3"/>
  <c r="J160" i="3"/>
  <c r="J161" i="3"/>
  <c r="J162" i="3"/>
  <c r="J163" i="3"/>
  <c r="H154" i="3"/>
  <c r="H156" i="3"/>
  <c r="H159" i="3"/>
  <c r="H163" i="3"/>
  <c r="H367" i="2"/>
  <c r="I367" i="2"/>
  <c r="J367" i="2"/>
  <c r="H366" i="2"/>
  <c r="I366" i="2"/>
  <c r="J366" i="2"/>
  <c r="H152" i="3"/>
  <c r="I151" i="3"/>
  <c r="H151" i="3"/>
  <c r="J151" i="3"/>
  <c r="I152" i="3"/>
  <c r="J152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H216" i="3"/>
  <c r="I216" i="3"/>
  <c r="J216" i="3"/>
  <c r="H215" i="3"/>
  <c r="I215" i="3"/>
  <c r="J215" i="3"/>
  <c r="H214" i="3"/>
  <c r="I214" i="3"/>
  <c r="J214" i="3"/>
  <c r="H213" i="3"/>
  <c r="I213" i="3"/>
  <c r="J213" i="3"/>
  <c r="H212" i="3"/>
  <c r="J212" i="3"/>
  <c r="I212" i="3"/>
  <c r="H211" i="3"/>
  <c r="I211" i="3"/>
  <c r="J211" i="3"/>
  <c r="H210" i="3"/>
  <c r="I210" i="3"/>
  <c r="J210" i="3"/>
  <c r="H209" i="3"/>
  <c r="I209" i="3"/>
  <c r="J209" i="3"/>
  <c r="H208" i="3"/>
  <c r="I208" i="3"/>
  <c r="J208" i="3"/>
  <c r="H207" i="3"/>
  <c r="J207" i="3"/>
  <c r="I207" i="3"/>
  <c r="H206" i="3"/>
  <c r="I206" i="3"/>
  <c r="J206" i="3"/>
  <c r="H205" i="3"/>
  <c r="I205" i="3"/>
  <c r="J205" i="3"/>
  <c r="I204" i="3"/>
  <c r="H204" i="3"/>
  <c r="J204" i="3"/>
  <c r="I203" i="3"/>
  <c r="H203" i="3"/>
  <c r="J203" i="3"/>
  <c r="H202" i="3"/>
  <c r="I202" i="3"/>
  <c r="J202" i="3"/>
  <c r="H201" i="3"/>
  <c r="I201" i="3"/>
  <c r="J201" i="3"/>
  <c r="H200" i="3"/>
  <c r="I200" i="3"/>
  <c r="J200" i="3"/>
  <c r="H199" i="3"/>
  <c r="I199" i="3"/>
  <c r="J199" i="3"/>
  <c r="H198" i="3"/>
  <c r="I198" i="3"/>
  <c r="J198" i="3"/>
  <c r="H197" i="3"/>
  <c r="I197" i="3"/>
  <c r="J197" i="3"/>
  <c r="H196" i="3"/>
  <c r="I196" i="3"/>
  <c r="J196" i="3"/>
  <c r="H195" i="3"/>
  <c r="I195" i="3"/>
  <c r="J195" i="3"/>
  <c r="H194" i="3"/>
  <c r="I194" i="3"/>
  <c r="J194" i="3"/>
  <c r="H193" i="3"/>
  <c r="I193" i="3"/>
  <c r="J193" i="3"/>
  <c r="H192" i="3"/>
  <c r="I192" i="3"/>
  <c r="J192" i="3"/>
  <c r="H191" i="3"/>
  <c r="I191" i="3"/>
  <c r="J191" i="3"/>
  <c r="H190" i="3"/>
  <c r="I190" i="3"/>
  <c r="J190" i="3"/>
  <c r="H189" i="3"/>
  <c r="I189" i="3"/>
  <c r="J189" i="3"/>
  <c r="H31" i="1"/>
  <c r="I31" i="1"/>
  <c r="J31" i="1"/>
  <c r="K368" i="2"/>
  <c r="J368" i="2"/>
  <c r="I368" i="2"/>
  <c r="K363" i="2"/>
  <c r="K372" i="2"/>
  <c r="I372" i="2"/>
  <c r="K369" i="2"/>
  <c r="K365" i="2"/>
  <c r="I371" i="2"/>
  <c r="K374" i="2"/>
  <c r="J388" i="2"/>
  <c r="K362" i="2"/>
  <c r="I361" i="2"/>
  <c r="K388" i="2"/>
  <c r="J372" i="2"/>
  <c r="H371" i="2"/>
  <c r="J362" i="2"/>
  <c r="H361" i="2"/>
  <c r="I362" i="2"/>
  <c r="J374" i="2"/>
  <c r="J369" i="2"/>
  <c r="J365" i="2"/>
  <c r="J363" i="2"/>
  <c r="K373" i="2"/>
  <c r="I374" i="2"/>
  <c r="K370" i="2"/>
  <c r="I369" i="2"/>
  <c r="I365" i="2"/>
  <c r="K364" i="2"/>
  <c r="I363" i="2"/>
  <c r="J373" i="2"/>
  <c r="J370" i="2"/>
  <c r="J364" i="2"/>
  <c r="H388" i="2"/>
  <c r="I373" i="2"/>
  <c r="K371" i="2"/>
  <c r="I370" i="2"/>
  <c r="I364" i="2"/>
  <c r="K361" i="2"/>
  <c r="H387" i="2"/>
  <c r="I387" i="2"/>
  <c r="H386" i="2"/>
  <c r="I386" i="2"/>
  <c r="J386" i="2"/>
  <c r="J389" i="2"/>
  <c r="H390" i="2"/>
  <c r="J375" i="2"/>
  <c r="H376" i="2"/>
  <c r="K389" i="2"/>
  <c r="I390" i="2"/>
  <c r="K375" i="2"/>
  <c r="I376" i="2"/>
  <c r="J390" i="2"/>
  <c r="J376" i="2"/>
  <c r="J387" i="2"/>
  <c r="H389" i="2"/>
  <c r="H375" i="2"/>
  <c r="M74" i="2"/>
  <c r="L74" i="2"/>
  <c r="K74" i="2"/>
  <c r="J74" i="2"/>
  <c r="I74" i="2"/>
  <c r="I262" i="3"/>
  <c r="C84" i="3"/>
  <c r="H262" i="3"/>
  <c r="K83" i="3"/>
  <c r="J83" i="3"/>
  <c r="K262" i="3"/>
  <c r="I83" i="3"/>
  <c r="J262" i="3"/>
  <c r="H83" i="3"/>
  <c r="K84" i="3"/>
  <c r="J84" i="3"/>
  <c r="I84" i="3"/>
  <c r="H74" i="2"/>
  <c r="K275" i="2"/>
  <c r="J275" i="2"/>
  <c r="I272" i="2"/>
  <c r="H275" i="2"/>
  <c r="H272" i="2"/>
  <c r="H274" i="2"/>
  <c r="J271" i="2"/>
  <c r="K276" i="2"/>
  <c r="K272" i="2"/>
  <c r="I271" i="2"/>
  <c r="J276" i="2"/>
  <c r="H271" i="2"/>
  <c r="H270" i="2"/>
  <c r="K277" i="2"/>
  <c r="I276" i="2"/>
  <c r="K273" i="2"/>
  <c r="I270" i="2"/>
  <c r="J277" i="2"/>
  <c r="J273" i="2"/>
  <c r="J270" i="2"/>
  <c r="I277" i="2"/>
  <c r="K274" i="2"/>
  <c r="I273" i="2"/>
  <c r="J274" i="2"/>
  <c r="K235" i="2"/>
  <c r="J235" i="2"/>
  <c r="I235" i="2"/>
  <c r="K234" i="2"/>
  <c r="J234" i="2"/>
  <c r="I234" i="2"/>
  <c r="H236" i="2"/>
  <c r="I236" i="2"/>
  <c r="J236" i="2"/>
  <c r="K236" i="2"/>
  <c r="G238" i="2"/>
  <c r="C238" i="2"/>
  <c r="E237" i="2"/>
  <c r="G237" i="2"/>
  <c r="I239" i="2"/>
  <c r="H239" i="2"/>
  <c r="J238" i="2"/>
  <c r="I238" i="2"/>
  <c r="K239" i="2"/>
  <c r="H238" i="2"/>
  <c r="I28" i="1"/>
  <c r="J28" i="1"/>
  <c r="H28" i="1"/>
  <c r="I29" i="1"/>
  <c r="H29" i="1"/>
  <c r="J29" i="1"/>
  <c r="H30" i="1"/>
  <c r="I30" i="1"/>
  <c r="J30" i="1"/>
  <c r="K6" i="4"/>
  <c r="J6" i="4"/>
  <c r="H6" i="4"/>
  <c r="K46" i="3"/>
  <c r="J46" i="3"/>
  <c r="I46" i="3"/>
  <c r="J306" i="2"/>
  <c r="J304" i="2"/>
  <c r="J302" i="2"/>
  <c r="I292" i="2"/>
  <c r="J300" i="2"/>
  <c r="J314" i="2"/>
  <c r="J298" i="2"/>
  <c r="J312" i="2"/>
  <c r="J296" i="2"/>
  <c r="J310" i="2"/>
  <c r="J294" i="2"/>
  <c r="J308" i="2"/>
  <c r="J292" i="2"/>
  <c r="I314" i="2"/>
  <c r="I312" i="2"/>
  <c r="I310" i="2"/>
  <c r="I308" i="2"/>
  <c r="I306" i="2"/>
  <c r="I304" i="2"/>
  <c r="I302" i="2"/>
  <c r="I300" i="2"/>
  <c r="I298" i="2"/>
  <c r="I296" i="2"/>
  <c r="I294" i="2"/>
  <c r="K292" i="2"/>
  <c r="H314" i="2"/>
  <c r="H312" i="2"/>
  <c r="H310" i="2"/>
  <c r="H308" i="2"/>
  <c r="H306" i="2"/>
  <c r="H304" i="2"/>
  <c r="H302" i="2"/>
  <c r="H300" i="2"/>
  <c r="H298" i="2"/>
  <c r="H296" i="2"/>
  <c r="H294" i="2"/>
  <c r="K315" i="2"/>
  <c r="K313" i="2"/>
  <c r="K311" i="2"/>
  <c r="K309" i="2"/>
  <c r="K307" i="2"/>
  <c r="K305" i="2"/>
  <c r="K303" i="2"/>
  <c r="K301" i="2"/>
  <c r="K299" i="2"/>
  <c r="K297" i="2"/>
  <c r="K295" i="2"/>
  <c r="K293" i="2"/>
  <c r="J315" i="2"/>
  <c r="J313" i="2"/>
  <c r="J311" i="2"/>
  <c r="J309" i="2"/>
  <c r="J307" i="2"/>
  <c r="J305" i="2"/>
  <c r="J303" i="2"/>
  <c r="J301" i="2"/>
  <c r="J299" i="2"/>
  <c r="J297" i="2"/>
  <c r="J295" i="2"/>
  <c r="J293" i="2"/>
  <c r="I315" i="2"/>
  <c r="I313" i="2"/>
  <c r="I311" i="2"/>
  <c r="I309" i="2"/>
  <c r="I307" i="2"/>
  <c r="I305" i="2"/>
  <c r="I303" i="2"/>
  <c r="I301" i="2"/>
  <c r="I299" i="2"/>
  <c r="I297" i="2"/>
  <c r="I295" i="2"/>
  <c r="I293" i="2"/>
  <c r="M449" i="2"/>
  <c r="M450" i="2"/>
  <c r="M451" i="2"/>
  <c r="M453" i="2"/>
  <c r="M454" i="2"/>
  <c r="M460" i="2"/>
  <c r="L449" i="2"/>
  <c r="L450" i="2"/>
  <c r="L451" i="2"/>
  <c r="L453" i="2"/>
  <c r="L454" i="2"/>
  <c r="L460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E449" i="2"/>
  <c r="F449" i="2" s="1"/>
  <c r="F450" i="2"/>
  <c r="E451" i="2"/>
  <c r="K451" i="2" s="1"/>
  <c r="E453" i="2"/>
  <c r="J453" i="2" s="1"/>
  <c r="E454" i="2"/>
  <c r="F454" i="2" s="1"/>
  <c r="E460" i="2"/>
  <c r="K460" i="2" s="1"/>
  <c r="C446" i="2"/>
  <c r="G449" i="2"/>
  <c r="G450" i="2"/>
  <c r="G451" i="2"/>
  <c r="G453" i="2"/>
  <c r="G454" i="2"/>
  <c r="G460" i="2"/>
  <c r="G437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491" i="2"/>
  <c r="M492" i="2"/>
  <c r="M493" i="2"/>
  <c r="M494" i="2"/>
  <c r="M495" i="2"/>
  <c r="M496" i="2"/>
  <c r="M498" i="2"/>
  <c r="M499" i="2"/>
  <c r="M500" i="2"/>
  <c r="M501" i="2"/>
  <c r="M503" i="2"/>
  <c r="M504" i="2"/>
  <c r="M490" i="2"/>
  <c r="L490" i="2"/>
  <c r="L491" i="2"/>
  <c r="L492" i="2"/>
  <c r="L493" i="2"/>
  <c r="L494" i="2"/>
  <c r="L495" i="2"/>
  <c r="L496" i="2"/>
  <c r="L498" i="2"/>
  <c r="L499" i="2"/>
  <c r="L500" i="2"/>
  <c r="L501" i="2"/>
  <c r="L503" i="2"/>
  <c r="L504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398" i="2"/>
  <c r="M526" i="2"/>
  <c r="M432" i="2"/>
  <c r="M433" i="2"/>
  <c r="M434" i="2"/>
  <c r="M435" i="2"/>
  <c r="M436" i="2"/>
  <c r="M437" i="2"/>
  <c r="M431" i="2"/>
  <c r="L432" i="2"/>
  <c r="L433" i="2"/>
  <c r="L434" i="2"/>
  <c r="L435" i="2"/>
  <c r="L436" i="2"/>
  <c r="L437" i="2"/>
  <c r="L431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7" i="2"/>
  <c r="C418" i="2"/>
  <c r="C419" i="2"/>
  <c r="C420" i="2"/>
  <c r="C421" i="2"/>
  <c r="C422" i="2"/>
  <c r="C423" i="2"/>
  <c r="C432" i="2"/>
  <c r="C433" i="2"/>
  <c r="C434" i="2"/>
  <c r="C435" i="2"/>
  <c r="C436" i="2"/>
  <c r="C437" i="2"/>
  <c r="C431" i="2"/>
  <c r="E432" i="2"/>
  <c r="J432" i="2" s="1"/>
  <c r="E433" i="2"/>
  <c r="I433" i="2" s="1"/>
  <c r="E434" i="2"/>
  <c r="I434" i="2" s="1"/>
  <c r="E435" i="2"/>
  <c r="F435" i="2" s="1"/>
  <c r="E436" i="2"/>
  <c r="F436" i="2" s="1"/>
  <c r="E437" i="2"/>
  <c r="H437" i="2" s="1"/>
  <c r="E431" i="2"/>
  <c r="F431" i="2" s="1"/>
  <c r="G432" i="2"/>
  <c r="G433" i="2"/>
  <c r="G434" i="2"/>
  <c r="G435" i="2"/>
  <c r="G436" i="2"/>
  <c r="G431" i="2"/>
  <c r="M418" i="2"/>
  <c r="M419" i="2"/>
  <c r="M420" i="2"/>
  <c r="M421" i="2"/>
  <c r="M422" i="2"/>
  <c r="M423" i="2"/>
  <c r="M417" i="2"/>
  <c r="M399" i="2"/>
  <c r="M400" i="2"/>
  <c r="M401" i="2"/>
  <c r="M402" i="2"/>
  <c r="M403" i="2"/>
  <c r="M404" i="2"/>
  <c r="M407" i="2"/>
  <c r="M408" i="2"/>
  <c r="M409" i="2"/>
  <c r="M410" i="2"/>
  <c r="M412" i="2"/>
  <c r="M413" i="2"/>
  <c r="M398" i="2"/>
  <c r="L418" i="2"/>
  <c r="L419" i="2"/>
  <c r="L420" i="2"/>
  <c r="L421" i="2"/>
  <c r="L422" i="2"/>
  <c r="L423" i="2"/>
  <c r="L399" i="2"/>
  <c r="L400" i="2"/>
  <c r="L401" i="2"/>
  <c r="L402" i="2"/>
  <c r="L403" i="2"/>
  <c r="L404" i="2"/>
  <c r="L407" i="2"/>
  <c r="L408" i="2"/>
  <c r="L409" i="2"/>
  <c r="L410" i="2"/>
  <c r="L412" i="2"/>
  <c r="L413" i="2"/>
  <c r="E418" i="2"/>
  <c r="F418" i="2" s="1"/>
  <c r="E419" i="2"/>
  <c r="E420" i="2"/>
  <c r="K420" i="2" s="1"/>
  <c r="E421" i="2"/>
  <c r="K421" i="2" s="1"/>
  <c r="E422" i="2"/>
  <c r="F422" i="2" s="1"/>
  <c r="E423" i="2"/>
  <c r="F423" i="2" s="1"/>
  <c r="E417" i="2"/>
  <c r="F417" i="2" s="1"/>
  <c r="E399" i="2"/>
  <c r="F399" i="2" s="1"/>
  <c r="E400" i="2"/>
  <c r="H400" i="2" s="1"/>
  <c r="E401" i="2"/>
  <c r="I401" i="2" s="1"/>
  <c r="E402" i="2"/>
  <c r="J402" i="2" s="1"/>
  <c r="E403" i="2"/>
  <c r="K403" i="2" s="1"/>
  <c r="E404" i="2"/>
  <c r="K404" i="2" s="1"/>
  <c r="E407" i="2"/>
  <c r="K407" i="2" s="1"/>
  <c r="E408" i="2"/>
  <c r="H408" i="2" s="1"/>
  <c r="E409" i="2"/>
  <c r="I409" i="2" s="1"/>
  <c r="E410" i="2"/>
  <c r="J410" i="2" s="1"/>
  <c r="E412" i="2"/>
  <c r="K412" i="2" s="1"/>
  <c r="E413" i="2"/>
  <c r="K413" i="2" s="1"/>
  <c r="E398" i="2"/>
  <c r="F398" i="2" s="1"/>
  <c r="G418" i="2"/>
  <c r="G419" i="2"/>
  <c r="G421" i="2"/>
  <c r="G422" i="2"/>
  <c r="G423" i="2"/>
  <c r="G417" i="2"/>
  <c r="G399" i="2"/>
  <c r="G400" i="2"/>
  <c r="G401" i="2"/>
  <c r="G402" i="2"/>
  <c r="G403" i="2"/>
  <c r="G404" i="2"/>
  <c r="G407" i="2"/>
  <c r="G408" i="2"/>
  <c r="G409" i="2"/>
  <c r="G410" i="2"/>
  <c r="G412" i="2"/>
  <c r="G413" i="2"/>
  <c r="G398" i="2"/>
  <c r="E492" i="2"/>
  <c r="J492" i="2" s="1"/>
  <c r="E493" i="2"/>
  <c r="K493" i="2" s="1"/>
  <c r="E494" i="2"/>
  <c r="K494" i="2" s="1"/>
  <c r="E495" i="2"/>
  <c r="K495" i="2" s="1"/>
  <c r="E496" i="2"/>
  <c r="F496" i="2" s="1"/>
  <c r="E498" i="2"/>
  <c r="H498" i="2" s="1"/>
  <c r="E499" i="2"/>
  <c r="F499" i="2" s="1"/>
  <c r="E500" i="2"/>
  <c r="J500" i="2" s="1"/>
  <c r="E501" i="2"/>
  <c r="K501" i="2" s="1"/>
  <c r="E503" i="2"/>
  <c r="K503" i="2" s="1"/>
  <c r="E504" i="2"/>
  <c r="J504" i="2" s="1"/>
  <c r="E507" i="2"/>
  <c r="F507" i="2" s="1"/>
  <c r="E509" i="2"/>
  <c r="J509" i="2" s="1"/>
  <c r="E510" i="2"/>
  <c r="K510" i="2" s="1"/>
  <c r="E511" i="2"/>
  <c r="F511" i="2" s="1"/>
  <c r="E512" i="2"/>
  <c r="H512" i="2" s="1"/>
  <c r="E513" i="2"/>
  <c r="H513" i="2" s="1"/>
  <c r="E514" i="2"/>
  <c r="F514" i="2" s="1"/>
  <c r="E515" i="2"/>
  <c r="F515" i="2" s="1"/>
  <c r="E516" i="2"/>
  <c r="J516" i="2" s="1"/>
  <c r="E517" i="2"/>
  <c r="J517" i="2" s="1"/>
  <c r="E518" i="2"/>
  <c r="K518" i="2" s="1"/>
  <c r="E519" i="2"/>
  <c r="K519" i="2" s="1"/>
  <c r="E520" i="2"/>
  <c r="H520" i="2" s="1"/>
  <c r="E521" i="2"/>
  <c r="F521" i="2" s="1"/>
  <c r="E522" i="2"/>
  <c r="F522" i="2" s="1"/>
  <c r="E523" i="2"/>
  <c r="F523" i="2" s="1"/>
  <c r="E524" i="2"/>
  <c r="J524" i="2" s="1"/>
  <c r="E525" i="2"/>
  <c r="J525" i="2" s="1"/>
  <c r="E526" i="2"/>
  <c r="J526" i="2" s="1"/>
  <c r="E491" i="2"/>
  <c r="F491" i="2" s="1"/>
  <c r="E490" i="2"/>
  <c r="F490" i="2" s="1"/>
  <c r="G509" i="2"/>
  <c r="G510" i="2"/>
  <c r="G511" i="2"/>
  <c r="G512" i="2"/>
  <c r="G513" i="2"/>
  <c r="G514" i="2"/>
  <c r="G515" i="2"/>
  <c r="G516" i="2"/>
  <c r="G517" i="2"/>
  <c r="G518" i="2"/>
  <c r="G519" i="2"/>
  <c r="G520" i="2"/>
  <c r="G522" i="2"/>
  <c r="G523" i="2"/>
  <c r="G524" i="2"/>
  <c r="G525" i="2"/>
  <c r="G526" i="2"/>
  <c r="G491" i="2"/>
  <c r="G492" i="2"/>
  <c r="G493" i="2"/>
  <c r="G494" i="2"/>
  <c r="G495" i="2"/>
  <c r="G496" i="2"/>
  <c r="G498" i="2"/>
  <c r="G499" i="2"/>
  <c r="G500" i="2"/>
  <c r="G501" i="2"/>
  <c r="G503" i="2"/>
  <c r="G504" i="2"/>
  <c r="G490" i="2"/>
  <c r="E274" i="3"/>
  <c r="I274" i="3" s="1"/>
  <c r="F274" i="3"/>
  <c r="E275" i="3"/>
  <c r="C275" i="3" s="1"/>
  <c r="F275" i="3"/>
  <c r="G275" i="3"/>
  <c r="E276" i="3"/>
  <c r="K276" i="3" s="1"/>
  <c r="F276" i="3"/>
  <c r="G276" i="3"/>
  <c r="E277" i="3"/>
  <c r="J277" i="3" s="1"/>
  <c r="F277" i="3"/>
  <c r="G277" i="3"/>
  <c r="E278" i="3"/>
  <c r="I278" i="3" s="1"/>
  <c r="F278" i="3"/>
  <c r="E279" i="3"/>
  <c r="L279" i="3" s="1"/>
  <c r="F279" i="3"/>
  <c r="G279" i="3"/>
  <c r="C289" i="3"/>
  <c r="C290" i="3"/>
  <c r="C291" i="3"/>
  <c r="C292" i="3"/>
  <c r="C293" i="3"/>
  <c r="C294" i="3"/>
  <c r="C295" i="3"/>
  <c r="C296" i="3"/>
  <c r="C297" i="3"/>
  <c r="G308" i="3"/>
  <c r="H308" i="3"/>
  <c r="I308" i="3"/>
  <c r="J308" i="3"/>
  <c r="K308" i="3"/>
  <c r="E81" i="3"/>
  <c r="E80" i="3"/>
  <c r="F81" i="3"/>
  <c r="F45" i="3"/>
  <c r="M81" i="3"/>
  <c r="L81" i="3"/>
  <c r="AL309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AL307" i="2"/>
  <c r="AL308" i="2"/>
  <c r="AL310" i="2"/>
  <c r="AL311" i="2"/>
  <c r="AL312" i="2"/>
  <c r="AL313" i="2"/>
  <c r="AL314" i="2"/>
  <c r="AL315" i="2"/>
  <c r="AL292" i="2"/>
  <c r="E31" i="9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2" i="3"/>
  <c r="G43" i="3"/>
  <c r="G44" i="3"/>
  <c r="G45" i="3"/>
  <c r="F39" i="3"/>
  <c r="F80" i="3"/>
  <c r="F79" i="3"/>
  <c r="F78" i="3"/>
  <c r="F77" i="3"/>
  <c r="F76" i="3"/>
  <c r="F75" i="3"/>
  <c r="F74" i="3"/>
  <c r="L80" i="3"/>
  <c r="M80" i="3"/>
  <c r="L59" i="1"/>
  <c r="M45" i="3"/>
  <c r="L45" i="3"/>
  <c r="E45" i="3"/>
  <c r="K45" i="3" s="1"/>
  <c r="C45" i="3"/>
  <c r="F42" i="1"/>
  <c r="AI237" i="2"/>
  <c r="F85" i="2"/>
  <c r="AJ102" i="2"/>
  <c r="E27" i="12"/>
  <c r="E16" i="12"/>
  <c r="M79" i="3"/>
  <c r="L79" i="3"/>
  <c r="E79" i="3"/>
  <c r="K73" i="2"/>
  <c r="J73" i="2"/>
  <c r="I73" i="2"/>
  <c r="M73" i="2"/>
  <c r="L73" i="2"/>
  <c r="H73" i="2"/>
  <c r="F73" i="2"/>
  <c r="C73" i="2"/>
  <c r="C27" i="3"/>
  <c r="M44" i="3"/>
  <c r="L44" i="3"/>
  <c r="F44" i="3"/>
  <c r="E44" i="3"/>
  <c r="K44" i="3" s="1"/>
  <c r="C44" i="3"/>
  <c r="M43" i="3"/>
  <c r="L43" i="3"/>
  <c r="F43" i="3"/>
  <c r="E43" i="3"/>
  <c r="I43" i="3" s="1"/>
  <c r="C43" i="3"/>
  <c r="M42" i="3"/>
  <c r="L42" i="3"/>
  <c r="F42" i="3"/>
  <c r="E42" i="3"/>
  <c r="K42" i="3" s="1"/>
  <c r="C42" i="3"/>
  <c r="M41" i="3"/>
  <c r="L41" i="3"/>
  <c r="F41" i="3"/>
  <c r="E41" i="3"/>
  <c r="I41" i="3" s="1"/>
  <c r="C41" i="3"/>
  <c r="M40" i="3"/>
  <c r="L40" i="3"/>
  <c r="F40" i="3"/>
  <c r="E40" i="3"/>
  <c r="K40" i="3" s="1"/>
  <c r="C40" i="3"/>
  <c r="M39" i="3"/>
  <c r="L39" i="3"/>
  <c r="E39" i="3"/>
  <c r="I39" i="3" s="1"/>
  <c r="C39" i="3"/>
  <c r="M38" i="3"/>
  <c r="L38" i="3"/>
  <c r="F38" i="3"/>
  <c r="E38" i="3"/>
  <c r="K38" i="3" s="1"/>
  <c r="C38" i="3"/>
  <c r="M37" i="3"/>
  <c r="L37" i="3"/>
  <c r="F37" i="3"/>
  <c r="E37" i="3"/>
  <c r="I37" i="3" s="1"/>
  <c r="C37" i="3"/>
  <c r="M36" i="3"/>
  <c r="L36" i="3"/>
  <c r="F36" i="3"/>
  <c r="E36" i="3"/>
  <c r="K36" i="3" s="1"/>
  <c r="C36" i="3"/>
  <c r="M35" i="3"/>
  <c r="L35" i="3"/>
  <c r="F35" i="3"/>
  <c r="E35" i="3"/>
  <c r="I35" i="3" s="1"/>
  <c r="C35" i="3"/>
  <c r="M34" i="3"/>
  <c r="L34" i="3"/>
  <c r="F34" i="3"/>
  <c r="E34" i="3"/>
  <c r="K34" i="3" s="1"/>
  <c r="C34" i="3"/>
  <c r="M33" i="3"/>
  <c r="L33" i="3"/>
  <c r="F33" i="3"/>
  <c r="E33" i="3"/>
  <c r="I33" i="3" s="1"/>
  <c r="C33" i="3"/>
  <c r="M32" i="3"/>
  <c r="L32" i="3"/>
  <c r="F32" i="3"/>
  <c r="E32" i="3"/>
  <c r="K32" i="3" s="1"/>
  <c r="C32" i="3"/>
  <c r="M31" i="3"/>
  <c r="L31" i="3"/>
  <c r="F31" i="3"/>
  <c r="E31" i="3"/>
  <c r="I31" i="3" s="1"/>
  <c r="C31" i="3"/>
  <c r="M30" i="3"/>
  <c r="L30" i="3"/>
  <c r="F30" i="3"/>
  <c r="E30" i="3"/>
  <c r="K30" i="3" s="1"/>
  <c r="C30" i="3"/>
  <c r="M29" i="3"/>
  <c r="L29" i="3"/>
  <c r="F29" i="3"/>
  <c r="E29" i="3"/>
  <c r="I29" i="3" s="1"/>
  <c r="C29" i="3"/>
  <c r="M28" i="3"/>
  <c r="L28" i="3"/>
  <c r="F28" i="3"/>
  <c r="E28" i="3"/>
  <c r="K28" i="3" s="1"/>
  <c r="C28" i="3"/>
  <c r="M27" i="3"/>
  <c r="L27" i="3"/>
  <c r="F27" i="3"/>
  <c r="E27" i="3"/>
  <c r="I27" i="3" s="1"/>
  <c r="G129" i="3"/>
  <c r="G130" i="3"/>
  <c r="G131" i="3"/>
  <c r="G132" i="3"/>
  <c r="G133" i="3"/>
  <c r="G134" i="3"/>
  <c r="G135" i="3"/>
  <c r="G136" i="3"/>
  <c r="G137" i="3"/>
  <c r="G138" i="3"/>
  <c r="G139" i="3"/>
  <c r="G140" i="3"/>
  <c r="G119" i="3"/>
  <c r="G120" i="3"/>
  <c r="G121" i="3"/>
  <c r="G122" i="3"/>
  <c r="G123" i="3"/>
  <c r="G124" i="3"/>
  <c r="G125" i="3"/>
  <c r="G126" i="3"/>
  <c r="G127" i="3"/>
  <c r="G128" i="3"/>
  <c r="G118" i="3"/>
  <c r="G109" i="3"/>
  <c r="G107" i="3"/>
  <c r="G108" i="3"/>
  <c r="G106" i="3"/>
  <c r="G95" i="3"/>
  <c r="G96" i="3"/>
  <c r="G97" i="3"/>
  <c r="G98" i="3"/>
  <c r="G99" i="3"/>
  <c r="G100" i="3"/>
  <c r="G101" i="3"/>
  <c r="G102" i="3"/>
  <c r="G103" i="3"/>
  <c r="G104" i="3"/>
  <c r="G105" i="3"/>
  <c r="G94" i="3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184" i="2"/>
  <c r="G167" i="2"/>
  <c r="G168" i="2"/>
  <c r="G169" i="2"/>
  <c r="G170" i="2"/>
  <c r="G171" i="2"/>
  <c r="G172" i="2"/>
  <c r="G166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44" i="2"/>
  <c r="G143" i="2"/>
  <c r="G129" i="2"/>
  <c r="G130" i="2"/>
  <c r="G131" i="2"/>
  <c r="G132" i="2"/>
  <c r="G128" i="2"/>
  <c r="G115" i="2"/>
  <c r="G116" i="2"/>
  <c r="G117" i="2"/>
  <c r="G118" i="2"/>
  <c r="G114" i="2"/>
  <c r="G197" i="1"/>
  <c r="G198" i="1"/>
  <c r="G199" i="1"/>
  <c r="G200" i="1"/>
  <c r="G201" i="1"/>
  <c r="G202" i="1"/>
  <c r="G203" i="1"/>
  <c r="G204" i="1"/>
  <c r="G196" i="1"/>
  <c r="G195" i="1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41" i="17"/>
  <c r="G40" i="17"/>
  <c r="I279" i="3" l="1"/>
  <c r="H80" i="3"/>
  <c r="C80" i="3"/>
  <c r="K79" i="3"/>
  <c r="C79" i="3"/>
  <c r="K81" i="3"/>
  <c r="C81" i="3"/>
  <c r="H237" i="2"/>
  <c r="I237" i="2"/>
  <c r="K237" i="2"/>
  <c r="J237" i="2"/>
  <c r="K419" i="2"/>
  <c r="J419" i="2"/>
  <c r="C18" i="18"/>
  <c r="F419" i="2"/>
  <c r="F421" i="2"/>
  <c r="F420" i="2"/>
  <c r="F526" i="2"/>
  <c r="F510" i="2"/>
  <c r="F451" i="2"/>
  <c r="F509" i="2"/>
  <c r="F407" i="2"/>
  <c r="F501" i="2"/>
  <c r="K436" i="2"/>
  <c r="F434" i="2"/>
  <c r="F493" i="2"/>
  <c r="F516" i="2"/>
  <c r="I420" i="2"/>
  <c r="F410" i="2"/>
  <c r="F500" i="2"/>
  <c r="F402" i="2"/>
  <c r="F498" i="2"/>
  <c r="F401" i="2"/>
  <c r="F518" i="2"/>
  <c r="F517" i="2"/>
  <c r="I431" i="2"/>
  <c r="F413" i="2"/>
  <c r="H431" i="2"/>
  <c r="F492" i="2"/>
  <c r="F412" i="2"/>
  <c r="H434" i="2"/>
  <c r="F504" i="2"/>
  <c r="F520" i="2"/>
  <c r="J431" i="2"/>
  <c r="K500" i="2"/>
  <c r="H407" i="2"/>
  <c r="F525" i="2"/>
  <c r="J436" i="2"/>
  <c r="I408" i="2"/>
  <c r="K422" i="2"/>
  <c r="H525" i="2"/>
  <c r="K509" i="2"/>
  <c r="I504" i="2"/>
  <c r="K496" i="2"/>
  <c r="J434" i="2"/>
  <c r="H413" i="2"/>
  <c r="I404" i="2"/>
  <c r="K418" i="2"/>
  <c r="H517" i="2"/>
  <c r="I498" i="2"/>
  <c r="K492" i="2"/>
  <c r="F408" i="2"/>
  <c r="J433" i="2"/>
  <c r="I400" i="2"/>
  <c r="K410" i="2"/>
  <c r="H509" i="2"/>
  <c r="I496" i="2"/>
  <c r="I398" i="2"/>
  <c r="K408" i="2"/>
  <c r="I525" i="2"/>
  <c r="J490" i="2"/>
  <c r="F495" i="2"/>
  <c r="F433" i="2"/>
  <c r="K434" i="2"/>
  <c r="H399" i="2"/>
  <c r="J417" i="2"/>
  <c r="K402" i="2"/>
  <c r="I517" i="2"/>
  <c r="F404" i="2"/>
  <c r="I436" i="2"/>
  <c r="H423" i="2"/>
  <c r="I422" i="2"/>
  <c r="J413" i="2"/>
  <c r="K400" i="2"/>
  <c r="I509" i="2"/>
  <c r="H501" i="2"/>
  <c r="K504" i="2"/>
  <c r="H453" i="2"/>
  <c r="I432" i="2"/>
  <c r="K423" i="2"/>
  <c r="K398" i="2"/>
  <c r="K525" i="2"/>
  <c r="H493" i="2"/>
  <c r="H451" i="2"/>
  <c r="H422" i="2"/>
  <c r="I412" i="2"/>
  <c r="J401" i="2"/>
  <c r="K517" i="2"/>
  <c r="K498" i="2"/>
  <c r="J409" i="2"/>
  <c r="K526" i="2"/>
  <c r="H519" i="2"/>
  <c r="H511" i="2"/>
  <c r="I521" i="2"/>
  <c r="I513" i="2"/>
  <c r="J523" i="2"/>
  <c r="J515" i="2"/>
  <c r="J499" i="2"/>
  <c r="J491" i="2"/>
  <c r="I454" i="2"/>
  <c r="J460" i="2"/>
  <c r="K450" i="2"/>
  <c r="F503" i="2"/>
  <c r="F494" i="2"/>
  <c r="F519" i="2"/>
  <c r="H433" i="2"/>
  <c r="K435" i="2"/>
  <c r="H398" i="2"/>
  <c r="I407" i="2"/>
  <c r="I399" i="2"/>
  <c r="J408" i="2"/>
  <c r="J400" i="2"/>
  <c r="K417" i="2"/>
  <c r="K409" i="2"/>
  <c r="K401" i="2"/>
  <c r="H518" i="2"/>
  <c r="H510" i="2"/>
  <c r="I520" i="2"/>
  <c r="I512" i="2"/>
  <c r="J522" i="2"/>
  <c r="J514" i="2"/>
  <c r="K524" i="2"/>
  <c r="K516" i="2"/>
  <c r="H504" i="2"/>
  <c r="H496" i="2"/>
  <c r="J498" i="2"/>
  <c r="K490" i="2"/>
  <c r="K499" i="2"/>
  <c r="K491" i="2"/>
  <c r="H454" i="2"/>
  <c r="I453" i="2"/>
  <c r="J451" i="2"/>
  <c r="K449" i="2"/>
  <c r="H432" i="2"/>
  <c r="H421" i="2"/>
  <c r="J407" i="2"/>
  <c r="J399" i="2"/>
  <c r="I519" i="2"/>
  <c r="I511" i="2"/>
  <c r="J521" i="2"/>
  <c r="J513" i="2"/>
  <c r="K523" i="2"/>
  <c r="K515" i="2"/>
  <c r="H503" i="2"/>
  <c r="H495" i="2"/>
  <c r="I460" i="2"/>
  <c r="J450" i="2"/>
  <c r="F403" i="2"/>
  <c r="F437" i="2"/>
  <c r="J435" i="2"/>
  <c r="K433" i="2"/>
  <c r="H420" i="2"/>
  <c r="H412" i="2"/>
  <c r="H404" i="2"/>
  <c r="I421" i="2"/>
  <c r="I413" i="2"/>
  <c r="J422" i="2"/>
  <c r="J398" i="2"/>
  <c r="K399" i="2"/>
  <c r="H524" i="2"/>
  <c r="H516" i="2"/>
  <c r="I518" i="2"/>
  <c r="I510" i="2"/>
  <c r="J520" i="2"/>
  <c r="J512" i="2"/>
  <c r="K522" i="2"/>
  <c r="K514" i="2"/>
  <c r="H494" i="2"/>
  <c r="I503" i="2"/>
  <c r="I495" i="2"/>
  <c r="J496" i="2"/>
  <c r="F453" i="2"/>
  <c r="H460" i="2"/>
  <c r="I451" i="2"/>
  <c r="J449" i="2"/>
  <c r="K432" i="2"/>
  <c r="H419" i="2"/>
  <c r="H403" i="2"/>
  <c r="J421" i="2"/>
  <c r="H523" i="2"/>
  <c r="H515" i="2"/>
  <c r="J519" i="2"/>
  <c r="J511" i="2"/>
  <c r="K521" i="2"/>
  <c r="K513" i="2"/>
  <c r="I494" i="2"/>
  <c r="J503" i="2"/>
  <c r="J495" i="2"/>
  <c r="I450" i="2"/>
  <c r="K454" i="2"/>
  <c r="I435" i="2"/>
  <c r="H418" i="2"/>
  <c r="H410" i="2"/>
  <c r="H402" i="2"/>
  <c r="I419" i="2"/>
  <c r="I403" i="2"/>
  <c r="J420" i="2"/>
  <c r="J412" i="2"/>
  <c r="J404" i="2"/>
  <c r="H526" i="2"/>
  <c r="H522" i="2"/>
  <c r="H514" i="2"/>
  <c r="I524" i="2"/>
  <c r="I516" i="2"/>
  <c r="J518" i="2"/>
  <c r="J510" i="2"/>
  <c r="K520" i="2"/>
  <c r="K512" i="2"/>
  <c r="H500" i="2"/>
  <c r="H492" i="2"/>
  <c r="I501" i="2"/>
  <c r="I493" i="2"/>
  <c r="J494" i="2"/>
  <c r="F460" i="2"/>
  <c r="H450" i="2"/>
  <c r="I449" i="2"/>
  <c r="K453" i="2"/>
  <c r="F513" i="2"/>
  <c r="F524" i="2"/>
  <c r="F512" i="2"/>
  <c r="F409" i="2"/>
  <c r="F400" i="2"/>
  <c r="F432" i="2"/>
  <c r="H436" i="2"/>
  <c r="I423" i="2"/>
  <c r="H417" i="2"/>
  <c r="H409" i="2"/>
  <c r="H401" i="2"/>
  <c r="I418" i="2"/>
  <c r="I410" i="2"/>
  <c r="I402" i="2"/>
  <c r="J403" i="2"/>
  <c r="I526" i="2"/>
  <c r="H521" i="2"/>
  <c r="I523" i="2"/>
  <c r="I515" i="2"/>
  <c r="K511" i="2"/>
  <c r="H490" i="2"/>
  <c r="H499" i="2"/>
  <c r="H491" i="2"/>
  <c r="I500" i="2"/>
  <c r="I492" i="2"/>
  <c r="J501" i="2"/>
  <c r="J493" i="2"/>
  <c r="H449" i="2"/>
  <c r="J454" i="2"/>
  <c r="H435" i="2"/>
  <c r="K431" i="2"/>
  <c r="J423" i="2"/>
  <c r="I417" i="2"/>
  <c r="J418" i="2"/>
  <c r="I522" i="2"/>
  <c r="I514" i="2"/>
  <c r="I490" i="2"/>
  <c r="I499" i="2"/>
  <c r="I491" i="2"/>
  <c r="K277" i="3"/>
  <c r="L274" i="3"/>
  <c r="H276" i="3"/>
  <c r="C276" i="3"/>
  <c r="C274" i="3"/>
  <c r="L276" i="3"/>
  <c r="J276" i="3"/>
  <c r="L278" i="3"/>
  <c r="I277" i="3"/>
  <c r="J274" i="3"/>
  <c r="J278" i="3"/>
  <c r="H274" i="3"/>
  <c r="C278" i="3"/>
  <c r="H278" i="3"/>
  <c r="J279" i="3"/>
  <c r="K275" i="3"/>
  <c r="H279" i="3"/>
  <c r="H277" i="3"/>
  <c r="I276" i="3"/>
  <c r="J275" i="3"/>
  <c r="K274" i="3"/>
  <c r="I275" i="3"/>
  <c r="H275" i="3"/>
  <c r="K279" i="3"/>
  <c r="K278" i="3"/>
  <c r="L277" i="3"/>
  <c r="C277" i="3"/>
  <c r="L275" i="3"/>
  <c r="H81" i="3"/>
  <c r="I81" i="3"/>
  <c r="J81" i="3"/>
  <c r="I80" i="3"/>
  <c r="K80" i="3"/>
  <c r="J80" i="3"/>
  <c r="H45" i="3"/>
  <c r="I45" i="3"/>
  <c r="J45" i="3"/>
  <c r="H79" i="3"/>
  <c r="I79" i="3"/>
  <c r="J79" i="3"/>
  <c r="J37" i="3"/>
  <c r="H32" i="3"/>
  <c r="J31" i="3"/>
  <c r="H34" i="3"/>
  <c r="H39" i="3"/>
  <c r="H30" i="3"/>
  <c r="H41" i="3"/>
  <c r="H43" i="3"/>
  <c r="K41" i="3"/>
  <c r="J29" i="3"/>
  <c r="J33" i="3"/>
  <c r="K39" i="3"/>
  <c r="K43" i="3"/>
  <c r="K27" i="3"/>
  <c r="K33" i="3"/>
  <c r="K31" i="3"/>
  <c r="H38" i="3"/>
  <c r="J39" i="3"/>
  <c r="H40" i="3"/>
  <c r="J41" i="3"/>
  <c r="H42" i="3"/>
  <c r="J43" i="3"/>
  <c r="H44" i="3"/>
  <c r="K35" i="3"/>
  <c r="J27" i="3"/>
  <c r="H28" i="3"/>
  <c r="K29" i="3"/>
  <c r="J35" i="3"/>
  <c r="H36" i="3"/>
  <c r="K37" i="3"/>
  <c r="I28" i="3"/>
  <c r="I30" i="3"/>
  <c r="I32" i="3"/>
  <c r="I34" i="3"/>
  <c r="I38" i="3"/>
  <c r="I40" i="3"/>
  <c r="H27" i="3"/>
  <c r="J28" i="3"/>
  <c r="H29" i="3"/>
  <c r="J30" i="3"/>
  <c r="H31" i="3"/>
  <c r="J32" i="3"/>
  <c r="H33" i="3"/>
  <c r="J34" i="3"/>
  <c r="H35" i="3"/>
  <c r="J36" i="3"/>
  <c r="H37" i="3"/>
  <c r="J38" i="3"/>
  <c r="J40" i="3"/>
  <c r="J42" i="3"/>
  <c r="J44" i="3"/>
  <c r="I36" i="3"/>
  <c r="I42" i="3"/>
  <c r="I44" i="3"/>
  <c r="G173" i="1"/>
  <c r="G174" i="1"/>
  <c r="G175" i="1"/>
  <c r="G176" i="1"/>
  <c r="G177" i="1"/>
  <c r="G178" i="1"/>
  <c r="G179" i="1"/>
  <c r="G180" i="1"/>
  <c r="G181" i="1"/>
  <c r="G182" i="1"/>
  <c r="G183" i="1"/>
  <c r="G184" i="1"/>
  <c r="G186" i="1"/>
  <c r="G187" i="1"/>
  <c r="G172" i="1"/>
  <c r="G164" i="1"/>
  <c r="G163" i="1"/>
  <c r="G161" i="1"/>
  <c r="G149" i="1"/>
  <c r="G150" i="1"/>
  <c r="G151" i="1"/>
  <c r="G152" i="1"/>
  <c r="G153" i="1"/>
  <c r="G154" i="1"/>
  <c r="G155" i="1"/>
  <c r="G156" i="1"/>
  <c r="G157" i="1"/>
  <c r="G158" i="1"/>
  <c r="G148" i="1"/>
  <c r="G132" i="1"/>
  <c r="G133" i="1"/>
  <c r="G134" i="1"/>
  <c r="G135" i="1"/>
  <c r="G136" i="1"/>
  <c r="G137" i="1"/>
  <c r="G138" i="1"/>
  <c r="G139" i="1"/>
  <c r="G140" i="1"/>
  <c r="G131" i="1"/>
  <c r="G121" i="1"/>
  <c r="G120" i="1"/>
  <c r="G112" i="1"/>
  <c r="G111" i="1"/>
  <c r="G100" i="1"/>
  <c r="G101" i="1"/>
  <c r="G102" i="1"/>
  <c r="G103" i="1"/>
  <c r="G99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76" i="1"/>
  <c r="G60" i="1"/>
  <c r="G61" i="1"/>
  <c r="G64" i="1"/>
  <c r="G65" i="1"/>
  <c r="G59" i="1"/>
  <c r="G41" i="1"/>
  <c r="G42" i="1"/>
  <c r="G43" i="1"/>
  <c r="G44" i="1"/>
  <c r="G45" i="1"/>
  <c r="G46" i="1"/>
  <c r="G47" i="1"/>
  <c r="G48" i="1"/>
  <c r="G49" i="1"/>
  <c r="G50" i="1"/>
  <c r="G51" i="1"/>
  <c r="G52" i="1"/>
  <c r="G40" i="1"/>
  <c r="G31" i="17"/>
  <c r="G30" i="17"/>
  <c r="G29" i="17"/>
  <c r="G28" i="17"/>
  <c r="G27" i="17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E77" i="3"/>
  <c r="E76" i="3"/>
  <c r="E72" i="3"/>
  <c r="E58" i="3"/>
  <c r="H58" i="3" s="1"/>
  <c r="F137" i="3"/>
  <c r="E137" i="3"/>
  <c r="F136" i="3"/>
  <c r="E136" i="3"/>
  <c r="J136" i="3" s="1"/>
  <c r="F135" i="3"/>
  <c r="F134" i="3"/>
  <c r="E134" i="3"/>
  <c r="K134" i="3" s="1"/>
  <c r="F130" i="3"/>
  <c r="E130" i="3"/>
  <c r="J130" i="3" s="1"/>
  <c r="E158" i="1"/>
  <c r="F158" i="1" s="1"/>
  <c r="E157" i="1"/>
  <c r="F157" i="1" s="1"/>
  <c r="E156" i="1"/>
  <c r="F156" i="1" s="1"/>
  <c r="E155" i="1"/>
  <c r="F155" i="1" s="1"/>
  <c r="E154" i="1"/>
  <c r="F154" i="1" s="1"/>
  <c r="E153" i="1"/>
  <c r="F153" i="1" s="1"/>
  <c r="E152" i="1"/>
  <c r="F152" i="1" s="1"/>
  <c r="E151" i="1"/>
  <c r="F151" i="1" s="1"/>
  <c r="E150" i="1"/>
  <c r="F150" i="1" s="1"/>
  <c r="E149" i="1"/>
  <c r="F149" i="1" s="1"/>
  <c r="E148" i="1"/>
  <c r="F148" i="1" s="1"/>
  <c r="E140" i="1"/>
  <c r="F140" i="1" s="1"/>
  <c r="E139" i="1"/>
  <c r="F139" i="1" s="1"/>
  <c r="E138" i="1"/>
  <c r="F138" i="1" s="1"/>
  <c r="E137" i="1"/>
  <c r="F137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21" i="1"/>
  <c r="F121" i="1" s="1"/>
  <c r="E120" i="1"/>
  <c r="C120" i="1" s="1"/>
  <c r="E112" i="1"/>
  <c r="F112" i="1" s="1"/>
  <c r="E111" i="1"/>
  <c r="F111" i="1" s="1"/>
  <c r="E103" i="1"/>
  <c r="I103" i="1" s="1"/>
  <c r="F164" i="1"/>
  <c r="F163" i="1"/>
  <c r="F161" i="1"/>
  <c r="I61" i="2"/>
  <c r="D70" i="2"/>
  <c r="G70" i="2" s="1"/>
  <c r="F40" i="1"/>
  <c r="AJ248" i="2"/>
  <c r="AJ259" i="2"/>
  <c r="AJ258" i="2"/>
  <c r="AJ257" i="2"/>
  <c r="AJ256" i="2"/>
  <c r="AJ255" i="2"/>
  <c r="AJ254" i="2"/>
  <c r="AJ253" i="2"/>
  <c r="AJ252" i="2"/>
  <c r="AJ251" i="2"/>
  <c r="AJ250" i="2"/>
  <c r="AJ249" i="2"/>
  <c r="F416" i="2"/>
  <c r="E416" i="2"/>
  <c r="D15" i="18"/>
  <c r="D13" i="18"/>
  <c r="E12" i="18"/>
  <c r="E7" i="18"/>
  <c r="D15" i="8"/>
  <c r="E12" i="8"/>
  <c r="AI233" i="2"/>
  <c r="G240" i="2"/>
  <c r="M103" i="1"/>
  <c r="L103" i="1"/>
  <c r="F103" i="1"/>
  <c r="C104" i="1"/>
  <c r="L101" i="1"/>
  <c r="F101" i="1"/>
  <c r="E101" i="1"/>
  <c r="H101" i="1" s="1"/>
  <c r="L100" i="1"/>
  <c r="F100" i="1"/>
  <c r="E100" i="1"/>
  <c r="H100" i="1" s="1"/>
  <c r="L99" i="1"/>
  <c r="F99" i="1"/>
  <c r="E99" i="1"/>
  <c r="H99" i="1" s="1"/>
  <c r="L102" i="1"/>
  <c r="F102" i="1"/>
  <c r="E102" i="1"/>
  <c r="H102" i="1" s="1"/>
  <c r="L74" i="3"/>
  <c r="M74" i="3"/>
  <c r="L75" i="3"/>
  <c r="M75" i="3"/>
  <c r="L76" i="3"/>
  <c r="M76" i="3"/>
  <c r="L77" i="3"/>
  <c r="M77" i="3"/>
  <c r="L78" i="3"/>
  <c r="M78" i="3"/>
  <c r="E78" i="3"/>
  <c r="E74" i="3"/>
  <c r="C74" i="3" s="1"/>
  <c r="E75" i="3"/>
  <c r="C75" i="3" s="1"/>
  <c r="F95" i="2"/>
  <c r="D95" i="2" s="1"/>
  <c r="G95" i="2" s="1"/>
  <c r="F96" i="2"/>
  <c r="D96" i="2" s="1"/>
  <c r="G96" i="2" s="1"/>
  <c r="F97" i="2"/>
  <c r="D97" i="2" s="1"/>
  <c r="G97" i="2" s="1"/>
  <c r="F98" i="2"/>
  <c r="D98" i="2" s="1"/>
  <c r="G98" i="2" s="1"/>
  <c r="F99" i="2"/>
  <c r="D99" i="2" s="1"/>
  <c r="G99" i="2" s="1"/>
  <c r="F100" i="2"/>
  <c r="D100" i="2" s="1"/>
  <c r="G100" i="2" s="1"/>
  <c r="F101" i="2"/>
  <c r="D101" i="2" s="1"/>
  <c r="G101" i="2" s="1"/>
  <c r="F102" i="2"/>
  <c r="D102" i="2" s="1"/>
  <c r="G102" i="2" s="1"/>
  <c r="F103" i="2"/>
  <c r="D103" i="2" s="1"/>
  <c r="G103" i="2" s="1"/>
  <c r="F104" i="2"/>
  <c r="D104" i="2" s="1"/>
  <c r="G104" i="2" s="1"/>
  <c r="F105" i="2"/>
  <c r="D105" i="2" s="1"/>
  <c r="G105" i="2" s="1"/>
  <c r="F94" i="2"/>
  <c r="D94" i="2" s="1"/>
  <c r="G94" i="2" s="1"/>
  <c r="F248" i="2"/>
  <c r="D7" i="12"/>
  <c r="E118" i="3"/>
  <c r="H118" i="3" s="1"/>
  <c r="L135" i="3"/>
  <c r="E135" i="3"/>
  <c r="H135" i="3" s="1"/>
  <c r="L140" i="3"/>
  <c r="F140" i="3"/>
  <c r="E140" i="3"/>
  <c r="H140" i="3" s="1"/>
  <c r="L139" i="3"/>
  <c r="F139" i="3"/>
  <c r="E139" i="3"/>
  <c r="H139" i="3" s="1"/>
  <c r="L138" i="3"/>
  <c r="F138" i="3"/>
  <c r="E138" i="3"/>
  <c r="H138" i="3" s="1"/>
  <c r="L133" i="3"/>
  <c r="F133" i="3"/>
  <c r="E133" i="3"/>
  <c r="H133" i="3" s="1"/>
  <c r="L132" i="3"/>
  <c r="F132" i="3"/>
  <c r="E132" i="3"/>
  <c r="H132" i="3" s="1"/>
  <c r="L131" i="3"/>
  <c r="F131" i="3"/>
  <c r="E131" i="3"/>
  <c r="H131" i="3" s="1"/>
  <c r="L129" i="3"/>
  <c r="F129" i="3"/>
  <c r="E129" i="3"/>
  <c r="H129" i="3" s="1"/>
  <c r="L128" i="3"/>
  <c r="F128" i="3"/>
  <c r="E128" i="3"/>
  <c r="H128" i="3" s="1"/>
  <c r="L127" i="3"/>
  <c r="F127" i="3"/>
  <c r="E127" i="3"/>
  <c r="H127" i="3" s="1"/>
  <c r="L126" i="3"/>
  <c r="F126" i="3"/>
  <c r="E126" i="3"/>
  <c r="H126" i="3" s="1"/>
  <c r="L125" i="3"/>
  <c r="F125" i="3"/>
  <c r="E125" i="3"/>
  <c r="H125" i="3" s="1"/>
  <c r="L124" i="3"/>
  <c r="F124" i="3"/>
  <c r="E124" i="3"/>
  <c r="H124" i="3" s="1"/>
  <c r="L123" i="3"/>
  <c r="F123" i="3"/>
  <c r="E123" i="3"/>
  <c r="H123" i="3" s="1"/>
  <c r="L122" i="3"/>
  <c r="F122" i="3"/>
  <c r="E122" i="3"/>
  <c r="H122" i="3" s="1"/>
  <c r="L121" i="3"/>
  <c r="F121" i="3"/>
  <c r="E121" i="3"/>
  <c r="H121" i="3" s="1"/>
  <c r="L120" i="3"/>
  <c r="F120" i="3"/>
  <c r="E120" i="3"/>
  <c r="H120" i="3" s="1"/>
  <c r="L119" i="3"/>
  <c r="F119" i="3"/>
  <c r="E119" i="3"/>
  <c r="H119" i="3" s="1"/>
  <c r="L118" i="3"/>
  <c r="F118" i="3"/>
  <c r="M109" i="3"/>
  <c r="L109" i="3"/>
  <c r="F109" i="3"/>
  <c r="E109" i="3"/>
  <c r="M108" i="3"/>
  <c r="L108" i="3"/>
  <c r="F108" i="3"/>
  <c r="E108" i="3"/>
  <c r="M107" i="3"/>
  <c r="L107" i="3"/>
  <c r="F107" i="3"/>
  <c r="E107" i="3"/>
  <c r="M106" i="3"/>
  <c r="L106" i="3"/>
  <c r="F106" i="3"/>
  <c r="E106" i="3"/>
  <c r="M105" i="3"/>
  <c r="L105" i="3"/>
  <c r="F105" i="3"/>
  <c r="E105" i="3"/>
  <c r="M104" i="3"/>
  <c r="L104" i="3"/>
  <c r="F104" i="3"/>
  <c r="E104" i="3"/>
  <c r="M103" i="3"/>
  <c r="L103" i="3"/>
  <c r="F103" i="3"/>
  <c r="E103" i="3"/>
  <c r="M102" i="3"/>
  <c r="L102" i="3"/>
  <c r="F102" i="3"/>
  <c r="E102" i="3"/>
  <c r="M101" i="3"/>
  <c r="L101" i="3"/>
  <c r="F101" i="3"/>
  <c r="E101" i="3"/>
  <c r="M100" i="3"/>
  <c r="L100" i="3"/>
  <c r="F100" i="3"/>
  <c r="E100" i="3"/>
  <c r="M99" i="3"/>
  <c r="L99" i="3"/>
  <c r="F99" i="3"/>
  <c r="E99" i="3"/>
  <c r="M98" i="3"/>
  <c r="L98" i="3"/>
  <c r="F98" i="3"/>
  <c r="E98" i="3"/>
  <c r="M97" i="3"/>
  <c r="L97" i="3"/>
  <c r="F97" i="3"/>
  <c r="E97" i="3"/>
  <c r="M96" i="3"/>
  <c r="L96" i="3"/>
  <c r="F96" i="3"/>
  <c r="E96" i="3"/>
  <c r="M95" i="3"/>
  <c r="L95" i="3"/>
  <c r="F95" i="3"/>
  <c r="E95" i="3"/>
  <c r="M94" i="3"/>
  <c r="L94" i="3"/>
  <c r="F94" i="3"/>
  <c r="I94" i="3"/>
  <c r="M73" i="3"/>
  <c r="L73" i="3"/>
  <c r="F73" i="3"/>
  <c r="E73" i="3"/>
  <c r="M72" i="3"/>
  <c r="L72" i="3"/>
  <c r="F72" i="3"/>
  <c r="M71" i="3"/>
  <c r="L71" i="3"/>
  <c r="F71" i="3"/>
  <c r="M70" i="3"/>
  <c r="L70" i="3"/>
  <c r="F70" i="3"/>
  <c r="E70" i="3"/>
  <c r="M69" i="3"/>
  <c r="L69" i="3"/>
  <c r="F69" i="3"/>
  <c r="E69" i="3"/>
  <c r="M68" i="3"/>
  <c r="L68" i="3"/>
  <c r="F68" i="3"/>
  <c r="E68" i="3"/>
  <c r="M67" i="3"/>
  <c r="L67" i="3"/>
  <c r="F67" i="3"/>
  <c r="E67" i="3"/>
  <c r="M66" i="3"/>
  <c r="L66" i="3"/>
  <c r="F66" i="3"/>
  <c r="E66" i="3"/>
  <c r="M65" i="3"/>
  <c r="L65" i="3"/>
  <c r="F65" i="3"/>
  <c r="M64" i="3"/>
  <c r="L64" i="3"/>
  <c r="F64" i="3"/>
  <c r="J64" i="3"/>
  <c r="M63" i="3"/>
  <c r="F63" i="3"/>
  <c r="E63" i="3"/>
  <c r="K63" i="3" s="1"/>
  <c r="M62" i="3"/>
  <c r="L62" i="3"/>
  <c r="F62" i="3"/>
  <c r="E62" i="3"/>
  <c r="H62" i="3" s="1"/>
  <c r="M61" i="3"/>
  <c r="F61" i="3"/>
  <c r="E61" i="3"/>
  <c r="I61" i="3" s="1"/>
  <c r="M60" i="3"/>
  <c r="L60" i="3"/>
  <c r="L61" i="3" s="1"/>
  <c r="F60" i="3"/>
  <c r="E60" i="3"/>
  <c r="I60" i="3" s="1"/>
  <c r="M59" i="3"/>
  <c r="L59" i="3"/>
  <c r="F59" i="3"/>
  <c r="E59" i="3"/>
  <c r="J59" i="3" s="1"/>
  <c r="M58" i="3"/>
  <c r="L58" i="3"/>
  <c r="F58" i="3"/>
  <c r="M57" i="3"/>
  <c r="L57" i="3"/>
  <c r="F57" i="3"/>
  <c r="I57" i="3"/>
  <c r="D72" i="2"/>
  <c r="G72" i="2" s="1"/>
  <c r="D71" i="2"/>
  <c r="G71" i="2" s="1"/>
  <c r="G67" i="2"/>
  <c r="D66" i="2"/>
  <c r="G66" i="2" s="1"/>
  <c r="D69" i="2"/>
  <c r="G69" i="2" s="1"/>
  <c r="D65" i="2"/>
  <c r="G65" i="2" s="1"/>
  <c r="D64" i="2"/>
  <c r="G64" i="2" s="1"/>
  <c r="D63" i="2"/>
  <c r="G63" i="2" s="1"/>
  <c r="D62" i="2"/>
  <c r="G62" i="2" s="1"/>
  <c r="D68" i="2"/>
  <c r="G68" i="2" s="1"/>
  <c r="M93" i="1"/>
  <c r="L93" i="1"/>
  <c r="F93" i="1"/>
  <c r="E93" i="1"/>
  <c r="I93" i="1" s="1"/>
  <c r="M92" i="1"/>
  <c r="L92" i="1"/>
  <c r="F92" i="1"/>
  <c r="E92" i="1"/>
  <c r="J92" i="1" s="1"/>
  <c r="M91" i="1"/>
  <c r="L91" i="1"/>
  <c r="F91" i="1"/>
  <c r="E91" i="1"/>
  <c r="K91" i="1" s="1"/>
  <c r="M90" i="1"/>
  <c r="L90" i="1"/>
  <c r="F90" i="1"/>
  <c r="E90" i="1"/>
  <c r="H90" i="1" s="1"/>
  <c r="M89" i="1"/>
  <c r="L89" i="1"/>
  <c r="F89" i="1"/>
  <c r="E89" i="1"/>
  <c r="I89" i="1" s="1"/>
  <c r="M88" i="1"/>
  <c r="L88" i="1"/>
  <c r="F88" i="1"/>
  <c r="E88" i="1"/>
  <c r="J88" i="1" s="1"/>
  <c r="M87" i="1"/>
  <c r="L87" i="1"/>
  <c r="F87" i="1"/>
  <c r="E87" i="1"/>
  <c r="K87" i="1" s="1"/>
  <c r="M86" i="1"/>
  <c r="L86" i="1"/>
  <c r="F86" i="1"/>
  <c r="E86" i="1"/>
  <c r="H86" i="1" s="1"/>
  <c r="M85" i="1"/>
  <c r="L85" i="1"/>
  <c r="F85" i="1"/>
  <c r="E85" i="1"/>
  <c r="I85" i="1" s="1"/>
  <c r="M84" i="1"/>
  <c r="L84" i="1"/>
  <c r="F84" i="1"/>
  <c r="E84" i="1"/>
  <c r="J84" i="1" s="1"/>
  <c r="M83" i="1"/>
  <c r="L83" i="1"/>
  <c r="F83" i="1"/>
  <c r="E83" i="1"/>
  <c r="K83" i="1" s="1"/>
  <c r="M82" i="1"/>
  <c r="L82" i="1"/>
  <c r="F82" i="1"/>
  <c r="E82" i="1"/>
  <c r="H82" i="1" s="1"/>
  <c r="M81" i="1"/>
  <c r="L81" i="1"/>
  <c r="F81" i="1"/>
  <c r="E81" i="1"/>
  <c r="I81" i="1" s="1"/>
  <c r="M80" i="1"/>
  <c r="L80" i="1"/>
  <c r="F80" i="1"/>
  <c r="E80" i="1"/>
  <c r="J80" i="1" s="1"/>
  <c r="M79" i="1"/>
  <c r="L79" i="1"/>
  <c r="F79" i="1"/>
  <c r="E79" i="1"/>
  <c r="K79" i="1" s="1"/>
  <c r="M78" i="1"/>
  <c r="L78" i="1"/>
  <c r="F78" i="1"/>
  <c r="E78" i="1"/>
  <c r="H78" i="1" s="1"/>
  <c r="M77" i="1"/>
  <c r="L77" i="1"/>
  <c r="F77" i="1"/>
  <c r="E77" i="1"/>
  <c r="I77" i="1" s="1"/>
  <c r="M76" i="1"/>
  <c r="L76" i="1"/>
  <c r="F76" i="1"/>
  <c r="E76" i="1"/>
  <c r="J76" i="1" s="1"/>
  <c r="M65" i="1"/>
  <c r="L65" i="1"/>
  <c r="F65" i="1"/>
  <c r="E65" i="1"/>
  <c r="I65" i="1" s="1"/>
  <c r="M64" i="1"/>
  <c r="L64" i="1"/>
  <c r="F64" i="1"/>
  <c r="E64" i="1"/>
  <c r="J64" i="1" s="1"/>
  <c r="M63" i="1"/>
  <c r="L63" i="1"/>
  <c r="F63" i="1"/>
  <c r="E63" i="1"/>
  <c r="K63" i="1" s="1"/>
  <c r="M62" i="1"/>
  <c r="L62" i="1"/>
  <c r="F62" i="1"/>
  <c r="E62" i="1"/>
  <c r="H62" i="1" s="1"/>
  <c r="M61" i="1"/>
  <c r="L61" i="1"/>
  <c r="F61" i="1"/>
  <c r="E61" i="1"/>
  <c r="I61" i="1" s="1"/>
  <c r="M60" i="1"/>
  <c r="L60" i="1"/>
  <c r="F60" i="1"/>
  <c r="E60" i="1"/>
  <c r="J60" i="1" s="1"/>
  <c r="M59" i="1"/>
  <c r="F59" i="1"/>
  <c r="E59" i="1"/>
  <c r="K59" i="1" s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L52" i="1"/>
  <c r="F52" i="1"/>
  <c r="E52" i="1"/>
  <c r="H52" i="1" s="1"/>
  <c r="L51" i="1"/>
  <c r="F51" i="1"/>
  <c r="E51" i="1"/>
  <c r="H51" i="1" s="1"/>
  <c r="L50" i="1"/>
  <c r="F50" i="1"/>
  <c r="E50" i="1"/>
  <c r="H50" i="1" s="1"/>
  <c r="L49" i="1"/>
  <c r="F49" i="1"/>
  <c r="E49" i="1"/>
  <c r="H49" i="1" s="1"/>
  <c r="L48" i="1"/>
  <c r="F48" i="1"/>
  <c r="E48" i="1"/>
  <c r="H48" i="1" s="1"/>
  <c r="L47" i="1"/>
  <c r="F47" i="1"/>
  <c r="E47" i="1"/>
  <c r="H47" i="1" s="1"/>
  <c r="L46" i="1"/>
  <c r="F46" i="1"/>
  <c r="E46" i="1"/>
  <c r="H46" i="1" s="1"/>
  <c r="L45" i="1"/>
  <c r="F45" i="1"/>
  <c r="E45" i="1"/>
  <c r="H45" i="1" s="1"/>
  <c r="L44" i="1"/>
  <c r="F44" i="1"/>
  <c r="E44" i="1"/>
  <c r="H44" i="1" s="1"/>
  <c r="L43" i="1"/>
  <c r="F43" i="1"/>
  <c r="E43" i="1"/>
  <c r="H43" i="1" s="1"/>
  <c r="L42" i="1"/>
  <c r="E42" i="1"/>
  <c r="H42" i="1" s="1"/>
  <c r="L41" i="1"/>
  <c r="F41" i="1"/>
  <c r="E41" i="1"/>
  <c r="H41" i="1" s="1"/>
  <c r="E40" i="1"/>
  <c r="J40" i="1" s="1"/>
  <c r="L40" i="1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C6" i="12"/>
  <c r="M72" i="2"/>
  <c r="M71" i="2"/>
  <c r="L72" i="2"/>
  <c r="K72" i="2"/>
  <c r="J72" i="2"/>
  <c r="I72" i="2"/>
  <c r="H72" i="2"/>
  <c r="F72" i="2"/>
  <c r="C72" i="2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E64" i="17"/>
  <c r="K64" i="17" s="1"/>
  <c r="E63" i="17"/>
  <c r="K63" i="17" s="1"/>
  <c r="E62" i="17"/>
  <c r="K62" i="17" s="1"/>
  <c r="E61" i="17"/>
  <c r="K61" i="17" s="1"/>
  <c r="E60" i="17"/>
  <c r="J60" i="17" s="1"/>
  <c r="E59" i="17"/>
  <c r="H59" i="17" s="1"/>
  <c r="E58" i="17"/>
  <c r="K58" i="17" s="1"/>
  <c r="E57" i="17"/>
  <c r="K57" i="17" s="1"/>
  <c r="E56" i="17"/>
  <c r="K56" i="17" s="1"/>
  <c r="E55" i="17"/>
  <c r="H55" i="17" s="1"/>
  <c r="E54" i="17"/>
  <c r="K54" i="17" s="1"/>
  <c r="E53" i="17"/>
  <c r="H53" i="17" s="1"/>
  <c r="E52" i="17"/>
  <c r="J52" i="17" s="1"/>
  <c r="E51" i="17"/>
  <c r="H51" i="17" s="1"/>
  <c r="E50" i="17"/>
  <c r="K50" i="17" s="1"/>
  <c r="E49" i="17"/>
  <c r="K49" i="17" s="1"/>
  <c r="E48" i="17"/>
  <c r="J48" i="17" s="1"/>
  <c r="E47" i="17"/>
  <c r="H47" i="17" s="1"/>
  <c r="E46" i="17"/>
  <c r="H46" i="17" s="1"/>
  <c r="E45" i="17"/>
  <c r="H45" i="17" s="1"/>
  <c r="E44" i="17"/>
  <c r="K44" i="17" s="1"/>
  <c r="E43" i="17"/>
  <c r="H43" i="17" s="1"/>
  <c r="E42" i="17"/>
  <c r="K42" i="17" s="1"/>
  <c r="E41" i="17"/>
  <c r="H41" i="17" s="1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L85" i="2"/>
  <c r="L84" i="2"/>
  <c r="D85" i="2"/>
  <c r="G85" i="2" s="1"/>
  <c r="F84" i="2"/>
  <c r="D84" i="2" s="1"/>
  <c r="G84" i="2" s="1"/>
  <c r="C85" i="2"/>
  <c r="C84" i="2"/>
  <c r="L86" i="2"/>
  <c r="F86" i="2"/>
  <c r="M64" i="17"/>
  <c r="M63" i="17"/>
  <c r="M62" i="17"/>
  <c r="M61" i="17"/>
  <c r="M60" i="17"/>
  <c r="M59" i="17"/>
  <c r="M58" i="17"/>
  <c r="M57" i="17"/>
  <c r="M56" i="17"/>
  <c r="M55" i="17"/>
  <c r="M5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41" i="17"/>
  <c r="M40" i="17"/>
  <c r="F40" i="17"/>
  <c r="E40" i="17"/>
  <c r="K40" i="17" s="1"/>
  <c r="C40" i="17"/>
  <c r="M31" i="17"/>
  <c r="M30" i="17"/>
  <c r="M29" i="17"/>
  <c r="M28" i="17"/>
  <c r="M27" i="17"/>
  <c r="M26" i="17"/>
  <c r="M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E31" i="17"/>
  <c r="J31" i="17" s="1"/>
  <c r="E30" i="17"/>
  <c r="E29" i="17"/>
  <c r="I29" i="17" s="1"/>
  <c r="E28" i="17"/>
  <c r="K28" i="17" s="1"/>
  <c r="E27" i="17"/>
  <c r="K27" i="17" s="1"/>
  <c r="E26" i="17"/>
  <c r="H26" i="17" s="1"/>
  <c r="E25" i="17"/>
  <c r="E24" i="17"/>
  <c r="K24" i="17" s="1"/>
  <c r="E23" i="17"/>
  <c r="K23" i="17" s="1"/>
  <c r="E22" i="17"/>
  <c r="H22" i="17" s="1"/>
  <c r="E21" i="17"/>
  <c r="I21" i="17" s="1"/>
  <c r="E20" i="17"/>
  <c r="K20" i="17" s="1"/>
  <c r="E19" i="17"/>
  <c r="H19" i="17" s="1"/>
  <c r="E18" i="17"/>
  <c r="H18" i="17" s="1"/>
  <c r="E17" i="17"/>
  <c r="I17" i="17" s="1"/>
  <c r="E16" i="17"/>
  <c r="H16" i="17" s="1"/>
  <c r="E15" i="17"/>
  <c r="J15" i="17" s="1"/>
  <c r="E14" i="17"/>
  <c r="E13" i="17"/>
  <c r="J13" i="17" s="1"/>
  <c r="E12" i="17"/>
  <c r="J12" i="17" s="1"/>
  <c r="E11" i="17"/>
  <c r="H11" i="17" s="1"/>
  <c r="E10" i="17"/>
  <c r="H10" i="17" s="1"/>
  <c r="E9" i="17"/>
  <c r="E8" i="17"/>
  <c r="J8" i="17" s="1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M7" i="17"/>
  <c r="F7" i="17"/>
  <c r="E7" i="17"/>
  <c r="H7" i="17" s="1"/>
  <c r="C7" i="17"/>
  <c r="C71" i="2"/>
  <c r="L71" i="2"/>
  <c r="K71" i="2"/>
  <c r="J71" i="2"/>
  <c r="I71" i="2"/>
  <c r="H71" i="2"/>
  <c r="F71" i="2"/>
  <c r="M67" i="2"/>
  <c r="M66" i="2"/>
  <c r="M69" i="2"/>
  <c r="M65" i="2"/>
  <c r="M64" i="2"/>
  <c r="M63" i="2"/>
  <c r="M62" i="2"/>
  <c r="M68" i="2"/>
  <c r="M70" i="2"/>
  <c r="L67" i="2"/>
  <c r="L66" i="2"/>
  <c r="L69" i="2"/>
  <c r="L65" i="2"/>
  <c r="L64" i="2"/>
  <c r="L63" i="2"/>
  <c r="L62" i="2"/>
  <c r="L68" i="2"/>
  <c r="L70" i="2"/>
  <c r="K67" i="2"/>
  <c r="J67" i="2"/>
  <c r="I67" i="2"/>
  <c r="H67" i="2"/>
  <c r="F67" i="2"/>
  <c r="C67" i="2"/>
  <c r="K66" i="2"/>
  <c r="J66" i="2"/>
  <c r="I66" i="2"/>
  <c r="H66" i="2"/>
  <c r="F66" i="2"/>
  <c r="C66" i="2"/>
  <c r="K69" i="2"/>
  <c r="J69" i="2"/>
  <c r="I69" i="2"/>
  <c r="H69" i="2"/>
  <c r="F69" i="2"/>
  <c r="C69" i="2"/>
  <c r="F65" i="2"/>
  <c r="F64" i="2"/>
  <c r="F63" i="2"/>
  <c r="F62" i="2"/>
  <c r="F68" i="2"/>
  <c r="F70" i="2"/>
  <c r="C65" i="2"/>
  <c r="C64" i="2"/>
  <c r="C63" i="2"/>
  <c r="C62" i="2"/>
  <c r="C68" i="2"/>
  <c r="C70" i="2"/>
  <c r="K65" i="2"/>
  <c r="J65" i="2"/>
  <c r="I65" i="2"/>
  <c r="H65" i="2"/>
  <c r="K64" i="2"/>
  <c r="J64" i="2"/>
  <c r="I64" i="2"/>
  <c r="H64" i="2"/>
  <c r="K63" i="2"/>
  <c r="J63" i="2"/>
  <c r="I63" i="2"/>
  <c r="H63" i="2"/>
  <c r="K62" i="2"/>
  <c r="J62" i="2"/>
  <c r="I62" i="2"/>
  <c r="H62" i="2"/>
  <c r="K68" i="2"/>
  <c r="J68" i="2"/>
  <c r="I68" i="2"/>
  <c r="H68" i="2"/>
  <c r="K70" i="2"/>
  <c r="J70" i="2"/>
  <c r="I70" i="2"/>
  <c r="H70" i="2"/>
  <c r="D13" i="8"/>
  <c r="J5" i="12"/>
  <c r="K99" i="3" l="1"/>
  <c r="C99" i="3"/>
  <c r="K107" i="3"/>
  <c r="C107" i="3"/>
  <c r="I97" i="3"/>
  <c r="C97" i="3"/>
  <c r="H95" i="3"/>
  <c r="C95" i="3"/>
  <c r="I101" i="3"/>
  <c r="C101" i="3"/>
  <c r="I109" i="3"/>
  <c r="C109" i="3"/>
  <c r="I105" i="3"/>
  <c r="C105" i="3"/>
  <c r="K96" i="3"/>
  <c r="C96" i="3"/>
  <c r="H98" i="3"/>
  <c r="C98" i="3"/>
  <c r="J100" i="3"/>
  <c r="C100" i="3"/>
  <c r="H102" i="3"/>
  <c r="C102" i="3"/>
  <c r="J104" i="3"/>
  <c r="C104" i="3"/>
  <c r="H106" i="3"/>
  <c r="C106" i="3"/>
  <c r="J108" i="3"/>
  <c r="C108" i="3"/>
  <c r="K103" i="3"/>
  <c r="C103" i="3"/>
  <c r="I65" i="3"/>
  <c r="C65" i="3"/>
  <c r="K67" i="3"/>
  <c r="C67" i="3"/>
  <c r="I69" i="3"/>
  <c r="C69" i="3"/>
  <c r="K71" i="3"/>
  <c r="C71" i="3"/>
  <c r="J72" i="3"/>
  <c r="C72" i="3"/>
  <c r="H66" i="3"/>
  <c r="C66" i="3"/>
  <c r="J68" i="3"/>
  <c r="C68" i="3"/>
  <c r="H70" i="3"/>
  <c r="C70" i="3"/>
  <c r="I76" i="3"/>
  <c r="C76" i="3"/>
  <c r="K77" i="3"/>
  <c r="C77" i="3"/>
  <c r="I73" i="3"/>
  <c r="C73" i="3"/>
  <c r="I78" i="3"/>
  <c r="C78" i="3"/>
  <c r="C18" i="5"/>
  <c r="H416" i="2"/>
  <c r="K416" i="2"/>
  <c r="J416" i="2"/>
  <c r="I416" i="2"/>
  <c r="C112" i="1"/>
  <c r="M112" i="1"/>
  <c r="F120" i="1"/>
  <c r="D86" i="2"/>
  <c r="G86" i="2" s="1"/>
  <c r="K136" i="3"/>
  <c r="M121" i="1"/>
  <c r="H130" i="3"/>
  <c r="K130" i="3"/>
  <c r="C121" i="1"/>
  <c r="J61" i="2"/>
  <c r="M111" i="1"/>
  <c r="M120" i="1"/>
  <c r="C111" i="1"/>
  <c r="M61" i="2"/>
  <c r="K61" i="2"/>
  <c r="F61" i="2"/>
  <c r="H61" i="2"/>
  <c r="C61" i="2"/>
  <c r="L61" i="2"/>
  <c r="I11" i="18"/>
  <c r="H63" i="17"/>
  <c r="I77" i="3"/>
  <c r="H49" i="17"/>
  <c r="H78" i="3"/>
  <c r="K78" i="3"/>
  <c r="J77" i="3"/>
  <c r="C77" i="1"/>
  <c r="C89" i="1"/>
  <c r="C81" i="1"/>
  <c r="C92" i="1"/>
  <c r="C84" i="1"/>
  <c r="C93" i="1"/>
  <c r="C76" i="1"/>
  <c r="C85" i="1"/>
  <c r="M101" i="1"/>
  <c r="C80" i="1"/>
  <c r="C88" i="1"/>
  <c r="C101" i="1"/>
  <c r="M100" i="1"/>
  <c r="C78" i="1"/>
  <c r="C82" i="1"/>
  <c r="C86" i="1"/>
  <c r="C90" i="1"/>
  <c r="C99" i="1"/>
  <c r="J103" i="1"/>
  <c r="C102" i="1"/>
  <c r="M102" i="1"/>
  <c r="C79" i="1"/>
  <c r="C83" i="1"/>
  <c r="C87" i="1"/>
  <c r="C91" i="1"/>
  <c r="C100" i="1"/>
  <c r="I75" i="3"/>
  <c r="K103" i="1"/>
  <c r="C103" i="1"/>
  <c r="H103" i="1"/>
  <c r="M99" i="1"/>
  <c r="I100" i="1"/>
  <c r="J99" i="1"/>
  <c r="J100" i="1"/>
  <c r="J101" i="1"/>
  <c r="K99" i="1"/>
  <c r="K100" i="1"/>
  <c r="K101" i="1"/>
  <c r="I99" i="1"/>
  <c r="I101" i="1"/>
  <c r="K102" i="1"/>
  <c r="I102" i="1"/>
  <c r="J102" i="1"/>
  <c r="K76" i="3"/>
  <c r="J75" i="3"/>
  <c r="K74" i="3"/>
  <c r="H76" i="3"/>
  <c r="H74" i="3"/>
  <c r="J78" i="3"/>
  <c r="H77" i="3"/>
  <c r="J76" i="3"/>
  <c r="H75" i="3"/>
  <c r="J74" i="3"/>
  <c r="K75" i="3"/>
  <c r="I74" i="3"/>
  <c r="C60" i="3"/>
  <c r="H57" i="17"/>
  <c r="H61" i="17"/>
  <c r="C61" i="1"/>
  <c r="J69" i="3"/>
  <c r="K72" i="3"/>
  <c r="C61" i="3"/>
  <c r="K108" i="3"/>
  <c r="J61" i="3"/>
  <c r="H67" i="3"/>
  <c r="C59" i="3"/>
  <c r="H59" i="3"/>
  <c r="H94" i="3"/>
  <c r="C63" i="3"/>
  <c r="J57" i="3"/>
  <c r="J65" i="3"/>
  <c r="K100" i="3"/>
  <c r="H63" i="3"/>
  <c r="K68" i="3"/>
  <c r="H96" i="3"/>
  <c r="K104" i="3"/>
  <c r="H107" i="3"/>
  <c r="J109" i="3"/>
  <c r="K59" i="3"/>
  <c r="J94" i="3"/>
  <c r="K60" i="3"/>
  <c r="J97" i="3"/>
  <c r="J101" i="3"/>
  <c r="C64" i="3"/>
  <c r="J60" i="3"/>
  <c r="K64" i="3"/>
  <c r="H71" i="3"/>
  <c r="J73" i="3"/>
  <c r="K94" i="3"/>
  <c r="H97" i="3"/>
  <c r="H99" i="3"/>
  <c r="H101" i="3"/>
  <c r="H103" i="3"/>
  <c r="J105" i="3"/>
  <c r="I135" i="3"/>
  <c r="J135" i="3"/>
  <c r="K135" i="3"/>
  <c r="I138" i="3"/>
  <c r="I140" i="3"/>
  <c r="J138" i="3"/>
  <c r="J139" i="3"/>
  <c r="J140" i="3"/>
  <c r="K138" i="3"/>
  <c r="K139" i="3"/>
  <c r="K140" i="3"/>
  <c r="I139" i="3"/>
  <c r="I133" i="3"/>
  <c r="J131" i="3"/>
  <c r="J132" i="3"/>
  <c r="J133" i="3"/>
  <c r="I131" i="3"/>
  <c r="I132" i="3"/>
  <c r="K131" i="3"/>
  <c r="K132" i="3"/>
  <c r="K133" i="3"/>
  <c r="I118" i="3"/>
  <c r="I121" i="3"/>
  <c r="I125" i="3"/>
  <c r="I129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I119" i="3"/>
  <c r="I120" i="3"/>
  <c r="I123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I122" i="3"/>
  <c r="I124" i="3"/>
  <c r="I126" i="3"/>
  <c r="I127" i="3"/>
  <c r="I128" i="3"/>
  <c r="K97" i="3"/>
  <c r="J98" i="3"/>
  <c r="I99" i="3"/>
  <c r="H100" i="3"/>
  <c r="K101" i="3"/>
  <c r="J102" i="3"/>
  <c r="I103" i="3"/>
  <c r="H104" i="3"/>
  <c r="K105" i="3"/>
  <c r="J106" i="3"/>
  <c r="I107" i="3"/>
  <c r="H108" i="3"/>
  <c r="K109" i="3"/>
  <c r="I95" i="3"/>
  <c r="I102" i="3"/>
  <c r="I106" i="3"/>
  <c r="J95" i="3"/>
  <c r="K95" i="3"/>
  <c r="J96" i="3"/>
  <c r="K98" i="3"/>
  <c r="J99" i="3"/>
  <c r="I100" i="3"/>
  <c r="K102" i="3"/>
  <c r="J103" i="3"/>
  <c r="I104" i="3"/>
  <c r="H105" i="3"/>
  <c r="K106" i="3"/>
  <c r="J107" i="3"/>
  <c r="I108" i="3"/>
  <c r="H109" i="3"/>
  <c r="I98" i="3"/>
  <c r="I96" i="3"/>
  <c r="I62" i="3"/>
  <c r="I66" i="3"/>
  <c r="I70" i="3"/>
  <c r="K57" i="3"/>
  <c r="J58" i="3"/>
  <c r="I59" i="3"/>
  <c r="H60" i="3"/>
  <c r="K61" i="3"/>
  <c r="J62" i="3"/>
  <c r="I63" i="3"/>
  <c r="H64" i="3"/>
  <c r="K65" i="3"/>
  <c r="J66" i="3"/>
  <c r="I67" i="3"/>
  <c r="H68" i="3"/>
  <c r="K69" i="3"/>
  <c r="J70" i="3"/>
  <c r="I71" i="3"/>
  <c r="H72" i="3"/>
  <c r="K73" i="3"/>
  <c r="I58" i="3"/>
  <c r="C58" i="3"/>
  <c r="H57" i="3"/>
  <c r="K58" i="3"/>
  <c r="H61" i="3"/>
  <c r="K62" i="3"/>
  <c r="J63" i="3"/>
  <c r="I64" i="3"/>
  <c r="H65" i="3"/>
  <c r="K66" i="3"/>
  <c r="J67" i="3"/>
  <c r="I68" i="3"/>
  <c r="H69" i="3"/>
  <c r="K70" i="3"/>
  <c r="J71" i="3"/>
  <c r="I72" i="3"/>
  <c r="H73" i="3"/>
  <c r="C62" i="3"/>
  <c r="K12" i="17"/>
  <c r="K55" i="17"/>
  <c r="K59" i="17"/>
  <c r="H48" i="17"/>
  <c r="H59" i="1"/>
  <c r="C64" i="1"/>
  <c r="J56" i="17"/>
  <c r="C60" i="1"/>
  <c r="K52" i="17"/>
  <c r="J44" i="17"/>
  <c r="K47" i="17"/>
  <c r="K51" i="17"/>
  <c r="I40" i="1"/>
  <c r="K48" i="17"/>
  <c r="H52" i="17"/>
  <c r="K60" i="17"/>
  <c r="J64" i="17"/>
  <c r="C63" i="1"/>
  <c r="H44" i="17"/>
  <c r="H56" i="17"/>
  <c r="H40" i="1"/>
  <c r="C65" i="1"/>
  <c r="H79" i="1"/>
  <c r="J93" i="1"/>
  <c r="J77" i="1"/>
  <c r="J61" i="1"/>
  <c r="H88" i="1"/>
  <c r="K84" i="1"/>
  <c r="K89" i="1"/>
  <c r="K40" i="1"/>
  <c r="K64" i="1"/>
  <c r="H76" i="1"/>
  <c r="K77" i="1"/>
  <c r="J81" i="1"/>
  <c r="H83" i="1"/>
  <c r="K88" i="1"/>
  <c r="H92" i="1"/>
  <c r="K93" i="1"/>
  <c r="K60" i="1"/>
  <c r="K76" i="1"/>
  <c r="H80" i="1"/>
  <c r="K81" i="1"/>
  <c r="J85" i="1"/>
  <c r="H87" i="1"/>
  <c r="K92" i="1"/>
  <c r="H63" i="1"/>
  <c r="J65" i="1"/>
  <c r="K80" i="1"/>
  <c r="H84" i="1"/>
  <c r="K85" i="1"/>
  <c r="J89" i="1"/>
  <c r="H91" i="1"/>
  <c r="I78" i="1"/>
  <c r="I86" i="1"/>
  <c r="I90" i="1"/>
  <c r="I79" i="1"/>
  <c r="I83" i="1"/>
  <c r="J86" i="1"/>
  <c r="J90" i="1"/>
  <c r="I76" i="1"/>
  <c r="H77" i="1"/>
  <c r="K78" i="1"/>
  <c r="J79" i="1"/>
  <c r="I80" i="1"/>
  <c r="H81" i="1"/>
  <c r="K82" i="1"/>
  <c r="J83" i="1"/>
  <c r="I84" i="1"/>
  <c r="H85" i="1"/>
  <c r="K86" i="1"/>
  <c r="J87" i="1"/>
  <c r="I88" i="1"/>
  <c r="H89" i="1"/>
  <c r="K90" i="1"/>
  <c r="J91" i="1"/>
  <c r="I92" i="1"/>
  <c r="H93" i="1"/>
  <c r="I82" i="1"/>
  <c r="J78" i="1"/>
  <c r="J82" i="1"/>
  <c r="I87" i="1"/>
  <c r="I91" i="1"/>
  <c r="I59" i="1"/>
  <c r="H60" i="1"/>
  <c r="K61" i="1"/>
  <c r="J62" i="1"/>
  <c r="I63" i="1"/>
  <c r="H64" i="1"/>
  <c r="K65" i="1"/>
  <c r="J59" i="1"/>
  <c r="I60" i="1"/>
  <c r="H61" i="1"/>
  <c r="K62" i="1"/>
  <c r="J63" i="1"/>
  <c r="I64" i="1"/>
  <c r="H65" i="1"/>
  <c r="I62" i="1"/>
  <c r="I42" i="1"/>
  <c r="J41" i="1"/>
  <c r="J42" i="1"/>
  <c r="J43" i="1"/>
  <c r="J44" i="1"/>
  <c r="J45" i="1"/>
  <c r="J46" i="1"/>
  <c r="J47" i="1"/>
  <c r="J48" i="1"/>
  <c r="J49" i="1"/>
  <c r="J50" i="1"/>
  <c r="J51" i="1"/>
  <c r="J52" i="1"/>
  <c r="I44" i="1"/>
  <c r="I45" i="1"/>
  <c r="I46" i="1"/>
  <c r="I48" i="1"/>
  <c r="I49" i="1"/>
  <c r="I52" i="1"/>
  <c r="K41" i="1"/>
  <c r="K42" i="1"/>
  <c r="K43" i="1"/>
  <c r="K44" i="1"/>
  <c r="K45" i="1"/>
  <c r="K46" i="1"/>
  <c r="K47" i="1"/>
  <c r="K48" i="1"/>
  <c r="K49" i="1"/>
  <c r="K50" i="1"/>
  <c r="K51" i="1"/>
  <c r="K52" i="1"/>
  <c r="I41" i="1"/>
  <c r="I43" i="1"/>
  <c r="I47" i="1"/>
  <c r="I50" i="1"/>
  <c r="I51" i="1"/>
  <c r="C59" i="1"/>
  <c r="C62" i="1"/>
  <c r="J7" i="17"/>
  <c r="H54" i="17"/>
  <c r="J62" i="17"/>
  <c r="J54" i="17"/>
  <c r="J58" i="17"/>
  <c r="H42" i="17"/>
  <c r="H50" i="17"/>
  <c r="J46" i="17"/>
  <c r="J42" i="17"/>
  <c r="K46" i="17"/>
  <c r="J50" i="17"/>
  <c r="I13" i="17"/>
  <c r="K11" i="17"/>
  <c r="J27" i="17"/>
  <c r="H31" i="17"/>
  <c r="H15" i="17"/>
  <c r="K7" i="17"/>
  <c r="K19" i="17"/>
  <c r="J23" i="17"/>
  <c r="K8" i="17"/>
  <c r="H20" i="17"/>
  <c r="J16" i="17"/>
  <c r="K15" i="17"/>
  <c r="H23" i="17"/>
  <c r="H27" i="17"/>
  <c r="K31" i="17"/>
  <c r="J11" i="17"/>
  <c r="I16" i="17"/>
  <c r="J19" i="17"/>
  <c r="K45" i="17"/>
  <c r="K53" i="17"/>
  <c r="H40" i="17"/>
  <c r="J40" i="17"/>
  <c r="K16" i="17"/>
  <c r="I20" i="17"/>
  <c r="J20" i="17"/>
  <c r="H24" i="17"/>
  <c r="H28" i="17"/>
  <c r="H8" i="17"/>
  <c r="H12" i="17"/>
  <c r="I24" i="17"/>
  <c r="J24" i="17"/>
  <c r="I28" i="17"/>
  <c r="J28" i="17"/>
  <c r="I8" i="17"/>
  <c r="I12" i="17"/>
  <c r="K14" i="17"/>
  <c r="J14" i="17"/>
  <c r="K30" i="17"/>
  <c r="J30" i="17"/>
  <c r="H13" i="17"/>
  <c r="K13" i="17"/>
  <c r="H29" i="17"/>
  <c r="K29" i="17"/>
  <c r="J29" i="17"/>
  <c r="H17" i="17"/>
  <c r="K17" i="17"/>
  <c r="J17" i="17"/>
  <c r="K22" i="17"/>
  <c r="J22" i="17"/>
  <c r="I22" i="17"/>
  <c r="K41" i="17"/>
  <c r="J41" i="17"/>
  <c r="I41" i="17"/>
  <c r="K43" i="17"/>
  <c r="J43" i="17"/>
  <c r="I43" i="17"/>
  <c r="H9" i="17"/>
  <c r="K9" i="17"/>
  <c r="J9" i="17"/>
  <c r="I14" i="17"/>
  <c r="H25" i="17"/>
  <c r="K25" i="17"/>
  <c r="J25" i="17"/>
  <c r="I30" i="17"/>
  <c r="K18" i="17"/>
  <c r="J18" i="17"/>
  <c r="I18" i="17"/>
  <c r="I9" i="17"/>
  <c r="K10" i="17"/>
  <c r="J10" i="17"/>
  <c r="I10" i="17"/>
  <c r="H14" i="17"/>
  <c r="H21" i="17"/>
  <c r="K21" i="17"/>
  <c r="J21" i="17"/>
  <c r="I25" i="17"/>
  <c r="K26" i="17"/>
  <c r="J26" i="17"/>
  <c r="I26" i="17"/>
  <c r="H30" i="17"/>
  <c r="I49" i="17"/>
  <c r="I51" i="17"/>
  <c r="I53" i="17"/>
  <c r="I55" i="17"/>
  <c r="I57" i="17"/>
  <c r="I59" i="17"/>
  <c r="I61" i="17"/>
  <c r="I63" i="17"/>
  <c r="I23" i="17"/>
  <c r="J49" i="17"/>
  <c r="J51" i="17"/>
  <c r="J53" i="17"/>
  <c r="J55" i="17"/>
  <c r="J57" i="17"/>
  <c r="H58" i="17"/>
  <c r="J59" i="17"/>
  <c r="H60" i="17"/>
  <c r="J61" i="17"/>
  <c r="H62" i="17"/>
  <c r="J63" i="17"/>
  <c r="H64" i="17"/>
  <c r="I45" i="17"/>
  <c r="I47" i="17"/>
  <c r="I7" i="17"/>
  <c r="I11" i="17"/>
  <c r="I15" i="17"/>
  <c r="I19" i="17"/>
  <c r="I27" i="17"/>
  <c r="I31" i="17"/>
  <c r="J45" i="17"/>
  <c r="J47" i="17"/>
  <c r="I40" i="17"/>
  <c r="I42" i="17"/>
  <c r="I44" i="17"/>
  <c r="I46" i="17"/>
  <c r="I48" i="17"/>
  <c r="I50" i="17"/>
  <c r="I52" i="17"/>
  <c r="I54" i="17"/>
  <c r="I56" i="17"/>
  <c r="I58" i="17"/>
  <c r="I60" i="17"/>
  <c r="I62" i="17"/>
  <c r="I64" i="17"/>
  <c r="A93" i="3" l="1"/>
  <c r="BG50" i="1" l="1"/>
  <c r="BG49" i="1"/>
  <c r="BG48" i="1"/>
  <c r="BG47" i="1"/>
  <c r="BG46" i="1"/>
  <c r="BG45" i="1"/>
  <c r="B45" i="1"/>
  <c r="BG44" i="1"/>
  <c r="BG43" i="1"/>
  <c r="B43" i="1"/>
  <c r="BG42" i="1"/>
  <c r="BG41" i="1"/>
  <c r="BG40" i="1"/>
  <c r="K112" i="1" l="1"/>
  <c r="J112" i="1"/>
  <c r="I112" i="1"/>
  <c r="H112" i="1"/>
  <c r="K111" i="1"/>
  <c r="J111" i="1"/>
  <c r="I111" i="1"/>
  <c r="H111" i="1"/>
  <c r="B23" i="18" l="1"/>
  <c r="E29" i="18"/>
  <c r="B29" i="18"/>
  <c r="E26" i="18"/>
  <c r="B26" i="18"/>
  <c r="E23" i="18"/>
  <c r="E32" i="18"/>
  <c r="B32" i="18"/>
  <c r="K85" i="2"/>
  <c r="J85" i="2"/>
  <c r="I85" i="2"/>
  <c r="H85" i="2"/>
  <c r="K84" i="2"/>
  <c r="J84" i="2"/>
  <c r="I84" i="2"/>
  <c r="H84" i="2"/>
  <c r="K86" i="2"/>
  <c r="J86" i="2"/>
  <c r="I86" i="2"/>
  <c r="H86" i="2"/>
  <c r="AI240" i="2"/>
  <c r="K240" i="2"/>
  <c r="J240" i="2"/>
  <c r="I240" i="2"/>
  <c r="H240" i="2"/>
  <c r="AI239" i="2"/>
  <c r="AI238" i="2"/>
  <c r="AI236" i="2"/>
  <c r="AI235" i="2"/>
  <c r="AI234" i="2"/>
  <c r="K248" i="2"/>
  <c r="J248" i="2"/>
  <c r="I248" i="2"/>
  <c r="H248" i="2"/>
  <c r="AE347" i="2"/>
  <c r="AN347" i="2" s="1"/>
  <c r="AE346" i="2"/>
  <c r="AN346" i="2" s="1"/>
  <c r="AE345" i="2"/>
  <c r="AN345" i="2" s="1"/>
  <c r="AE344" i="2"/>
  <c r="AN344" i="2" s="1"/>
  <c r="AE343" i="2"/>
  <c r="AN343" i="2" s="1"/>
  <c r="AE342" i="2"/>
  <c r="AN342" i="2" s="1"/>
  <c r="AE341" i="2"/>
  <c r="AN341" i="2" s="1"/>
  <c r="AE340" i="2"/>
  <c r="AN340" i="2" s="1"/>
  <c r="AE339" i="2"/>
  <c r="AN339" i="2" s="1"/>
  <c r="AE338" i="2"/>
  <c r="AN338" i="2" s="1"/>
  <c r="AE337" i="2"/>
  <c r="AN337" i="2" s="1"/>
  <c r="AE336" i="2"/>
  <c r="AN336" i="2" s="1"/>
  <c r="AE335" i="2"/>
  <c r="AN335" i="2" s="1"/>
  <c r="AE334" i="2"/>
  <c r="AN334" i="2" s="1"/>
  <c r="AE333" i="2"/>
  <c r="AN333" i="2" s="1"/>
  <c r="AE332" i="2"/>
  <c r="AN332" i="2" s="1"/>
  <c r="AE331" i="2"/>
  <c r="AN331" i="2" s="1"/>
  <c r="AE330" i="2"/>
  <c r="AN330" i="2" s="1"/>
  <c r="AE329" i="2"/>
  <c r="AN329" i="2" s="1"/>
  <c r="AE328" i="2"/>
  <c r="AN328" i="2" s="1"/>
  <c r="AE327" i="2"/>
  <c r="AN327" i="2" s="1"/>
  <c r="AE326" i="2"/>
  <c r="AN326" i="2" s="1"/>
  <c r="AE325" i="2"/>
  <c r="AN325" i="2" s="1"/>
  <c r="AE324" i="2"/>
  <c r="AN324" i="2" s="1"/>
  <c r="BG121" i="1"/>
  <c r="K121" i="1"/>
  <c r="J121" i="1"/>
  <c r="I121" i="1"/>
  <c r="H121" i="1"/>
  <c r="BG120" i="1"/>
  <c r="K120" i="1"/>
  <c r="J120" i="1"/>
  <c r="I120" i="1"/>
  <c r="H120" i="1"/>
  <c r="B23" i="5" l="1"/>
  <c r="E27" i="5"/>
  <c r="E29" i="5"/>
  <c r="G121" i="4"/>
  <c r="G120" i="4"/>
  <c r="G112" i="4"/>
  <c r="G111" i="4"/>
  <c r="G110" i="4"/>
  <c r="G109" i="4"/>
  <c r="G103" i="4"/>
  <c r="G102" i="4"/>
  <c r="G99" i="4"/>
  <c r="G96" i="4"/>
  <c r="G95" i="4"/>
  <c r="G91" i="4"/>
  <c r="G90" i="4"/>
  <c r="G89" i="4"/>
  <c r="G88" i="4"/>
  <c r="G87" i="4"/>
  <c r="G86" i="4"/>
  <c r="G79" i="4"/>
  <c r="G80" i="4"/>
  <c r="G70" i="4"/>
  <c r="G68" i="4"/>
  <c r="G75" i="4"/>
  <c r="G74" i="4"/>
  <c r="G73" i="4"/>
  <c r="G72" i="4"/>
  <c r="G71" i="4"/>
  <c r="G69" i="4"/>
  <c r="G60" i="4"/>
  <c r="G57" i="4"/>
  <c r="G55" i="4"/>
  <c r="G52" i="4"/>
  <c r="G50" i="4"/>
  <c r="G61" i="4"/>
  <c r="G59" i="4"/>
  <c r="G58" i="4"/>
  <c r="G56" i="4"/>
  <c r="G54" i="4"/>
  <c r="G53" i="4"/>
  <c r="G51" i="4"/>
  <c r="G49" i="4"/>
  <c r="G48" i="4"/>
  <c r="G47" i="4"/>
  <c r="G41" i="4"/>
  <c r="K80" i="4" l="1"/>
  <c r="J80" i="4"/>
  <c r="I80" i="4"/>
  <c r="H80" i="4"/>
  <c r="K121" i="4"/>
  <c r="K120" i="4"/>
  <c r="J121" i="4"/>
  <c r="J120" i="4"/>
  <c r="I121" i="4"/>
  <c r="I120" i="4"/>
  <c r="H121" i="4"/>
  <c r="H120" i="4"/>
  <c r="K112" i="4"/>
  <c r="K111" i="4"/>
  <c r="K110" i="4"/>
  <c r="K109" i="4"/>
  <c r="J112" i="4"/>
  <c r="J111" i="4"/>
  <c r="J110" i="4"/>
  <c r="J109" i="4"/>
  <c r="I112" i="4"/>
  <c r="I111" i="4"/>
  <c r="I110" i="4"/>
  <c r="I109" i="4"/>
  <c r="H112" i="4"/>
  <c r="H111" i="4"/>
  <c r="H110" i="4"/>
  <c r="H109" i="4"/>
  <c r="K103" i="4"/>
  <c r="K102" i="4"/>
  <c r="K101" i="4"/>
  <c r="K100" i="4"/>
  <c r="K99" i="4"/>
  <c r="K98" i="4"/>
  <c r="K97" i="4"/>
  <c r="K96" i="4"/>
  <c r="K95" i="4"/>
  <c r="J103" i="4"/>
  <c r="J102" i="4"/>
  <c r="J101" i="4"/>
  <c r="J100" i="4"/>
  <c r="J99" i="4"/>
  <c r="J98" i="4"/>
  <c r="J97" i="4"/>
  <c r="J96" i="4"/>
  <c r="J95" i="4"/>
  <c r="I103" i="4"/>
  <c r="I102" i="4"/>
  <c r="I101" i="4"/>
  <c r="I100" i="4"/>
  <c r="I99" i="4"/>
  <c r="I98" i="4"/>
  <c r="I97" i="4"/>
  <c r="I96" i="4"/>
  <c r="I95" i="4"/>
  <c r="H103" i="4"/>
  <c r="H102" i="4"/>
  <c r="H101" i="4"/>
  <c r="H100" i="4"/>
  <c r="H99" i="4"/>
  <c r="H98" i="4"/>
  <c r="H97" i="4"/>
  <c r="H96" i="4"/>
  <c r="H95" i="4"/>
  <c r="K91" i="4"/>
  <c r="K90" i="4"/>
  <c r="K89" i="4"/>
  <c r="K88" i="4"/>
  <c r="K87" i="4"/>
  <c r="K86" i="4"/>
  <c r="J91" i="4"/>
  <c r="J90" i="4"/>
  <c r="J89" i="4"/>
  <c r="J88" i="4"/>
  <c r="J87" i="4"/>
  <c r="J86" i="4"/>
  <c r="I91" i="4"/>
  <c r="I90" i="4"/>
  <c r="I89" i="4"/>
  <c r="I88" i="4"/>
  <c r="I87" i="4"/>
  <c r="I86" i="4"/>
  <c r="H91" i="4"/>
  <c r="H90" i="4"/>
  <c r="H89" i="4"/>
  <c r="H88" i="4"/>
  <c r="H87" i="4"/>
  <c r="H86" i="4"/>
  <c r="K79" i="4"/>
  <c r="K78" i="4"/>
  <c r="K77" i="4"/>
  <c r="K76" i="4"/>
  <c r="K75" i="4"/>
  <c r="K74" i="4"/>
  <c r="K73" i="4"/>
  <c r="K72" i="4"/>
  <c r="K71" i="4"/>
  <c r="K70" i="4"/>
  <c r="K69" i="4"/>
  <c r="K68" i="4"/>
  <c r="J79" i="4"/>
  <c r="J78" i="4"/>
  <c r="J77" i="4"/>
  <c r="J76" i="4"/>
  <c r="J75" i="4"/>
  <c r="J74" i="4"/>
  <c r="J73" i="4"/>
  <c r="J72" i="4"/>
  <c r="J71" i="4"/>
  <c r="J70" i="4"/>
  <c r="J69" i="4"/>
  <c r="J68" i="4"/>
  <c r="I79" i="4"/>
  <c r="I78" i="4"/>
  <c r="I77" i="4"/>
  <c r="I76" i="4"/>
  <c r="I75" i="4"/>
  <c r="I74" i="4"/>
  <c r="I73" i="4"/>
  <c r="I72" i="4"/>
  <c r="I71" i="4"/>
  <c r="I70" i="4"/>
  <c r="I69" i="4"/>
  <c r="I68" i="4"/>
  <c r="H79" i="4"/>
  <c r="H78" i="4"/>
  <c r="H77" i="4"/>
  <c r="H76" i="4"/>
  <c r="H75" i="4"/>
  <c r="H74" i="4"/>
  <c r="H73" i="4"/>
  <c r="H72" i="4"/>
  <c r="H71" i="4"/>
  <c r="H70" i="4"/>
  <c r="H69" i="4"/>
  <c r="H68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I16" i="4"/>
  <c r="K16" i="4"/>
  <c r="J16" i="4"/>
  <c r="H16" i="4"/>
  <c r="J166" i="2" l="1"/>
  <c r="B155" i="1"/>
  <c r="B157" i="1"/>
  <c r="K168" i="2"/>
  <c r="J168" i="2"/>
  <c r="I168" i="2"/>
  <c r="K167" i="2"/>
  <c r="J167" i="2"/>
  <c r="I167" i="2"/>
  <c r="H168" i="2"/>
  <c r="H169" i="2"/>
  <c r="K170" i="2"/>
  <c r="J170" i="2"/>
  <c r="I170" i="2"/>
  <c r="H170" i="2"/>
  <c r="K172" i="2"/>
  <c r="J172" i="2"/>
  <c r="I172" i="2"/>
  <c r="H172" i="2"/>
  <c r="J152" i="2"/>
  <c r="I152" i="2"/>
  <c r="H152" i="2"/>
  <c r="G63" i="12" l="1"/>
  <c r="E58" i="12"/>
  <c r="D57" i="12"/>
  <c r="F57" i="12" s="1"/>
  <c r="C57" i="12"/>
  <c r="B57" i="12"/>
  <c r="D56" i="12"/>
  <c r="F56" i="12" s="1"/>
  <c r="C56" i="12"/>
  <c r="B56" i="12"/>
  <c r="D55" i="12"/>
  <c r="F55" i="12" s="1"/>
  <c r="C55" i="12"/>
  <c r="B55" i="12"/>
  <c r="D54" i="12"/>
  <c r="F54" i="12" s="1"/>
  <c r="C54" i="12"/>
  <c r="B54" i="12"/>
  <c r="E48" i="12"/>
  <c r="D47" i="12"/>
  <c r="F47" i="12" s="1"/>
  <c r="C47" i="12"/>
  <c r="B47" i="12"/>
  <c r="D46" i="12"/>
  <c r="F46" i="12" s="1"/>
  <c r="C46" i="12"/>
  <c r="B46" i="12"/>
  <c r="D45" i="12"/>
  <c r="F45" i="12" s="1"/>
  <c r="C45" i="12"/>
  <c r="B45" i="12"/>
  <c r="D44" i="12"/>
  <c r="F44" i="12" s="1"/>
  <c r="C44" i="12"/>
  <c r="B44" i="12"/>
  <c r="E38" i="12"/>
  <c r="D37" i="12"/>
  <c r="F37" i="12" s="1"/>
  <c r="C37" i="12"/>
  <c r="B37" i="12"/>
  <c r="D36" i="12"/>
  <c r="F36" i="12" s="1"/>
  <c r="C36" i="12"/>
  <c r="B36" i="12"/>
  <c r="D35" i="12"/>
  <c r="F35" i="12" s="1"/>
  <c r="C35" i="12"/>
  <c r="B35" i="12"/>
  <c r="D34" i="12"/>
  <c r="F34" i="12" s="1"/>
  <c r="C34" i="12"/>
  <c r="B34" i="12"/>
  <c r="D26" i="12"/>
  <c r="F26" i="12" s="1"/>
  <c r="C26" i="12"/>
  <c r="B26" i="12"/>
  <c r="D25" i="12"/>
  <c r="F25" i="12" s="1"/>
  <c r="C25" i="12"/>
  <c r="B25" i="12"/>
  <c r="D24" i="12"/>
  <c r="F24" i="12" s="1"/>
  <c r="C24" i="12"/>
  <c r="B24" i="12"/>
  <c r="D23" i="12"/>
  <c r="F23" i="12" s="1"/>
  <c r="C23" i="12"/>
  <c r="B23" i="12"/>
  <c r="D15" i="12"/>
  <c r="F15" i="12" s="1"/>
  <c r="C15" i="12"/>
  <c r="B15" i="12"/>
  <c r="D14" i="12"/>
  <c r="F14" i="12" s="1"/>
  <c r="C14" i="12"/>
  <c r="B14" i="12"/>
  <c r="F13" i="12"/>
  <c r="C13" i="12"/>
  <c r="B13" i="12"/>
  <c r="F12" i="12"/>
  <c r="C12" i="12"/>
  <c r="B12" i="12"/>
  <c r="H7" i="12"/>
  <c r="F17" i="11"/>
  <c r="BD65" i="10"/>
  <c r="BD64" i="10"/>
  <c r="BD63" i="10"/>
  <c r="BD62" i="10"/>
  <c r="BD61" i="10"/>
  <c r="BD60" i="10"/>
  <c r="BD59" i="10"/>
  <c r="BD58" i="10"/>
  <c r="BD57" i="10"/>
  <c r="BD56" i="10"/>
  <c r="BD55" i="10"/>
  <c r="BI18" i="10"/>
  <c r="BH18" i="10"/>
  <c r="BI7" i="10"/>
  <c r="BH7" i="10"/>
  <c r="BI6" i="10"/>
  <c r="BH6" i="10"/>
  <c r="BI5" i="10"/>
  <c r="BH5" i="10"/>
  <c r="BI4" i="10"/>
  <c r="BH4" i="10"/>
  <c r="BI3" i="10"/>
  <c r="BH3" i="10"/>
  <c r="G126" i="9"/>
  <c r="E125" i="9"/>
  <c r="J125" i="9" s="1"/>
  <c r="E122" i="9"/>
  <c r="D121" i="9"/>
  <c r="F121" i="9" s="1"/>
  <c r="C121" i="9"/>
  <c r="B121" i="9"/>
  <c r="D120" i="9"/>
  <c r="F120" i="9" s="1"/>
  <c r="C120" i="9"/>
  <c r="B120" i="9"/>
  <c r="D119" i="9"/>
  <c r="F119" i="9" s="1"/>
  <c r="C119" i="9"/>
  <c r="B119" i="9"/>
  <c r="D118" i="9"/>
  <c r="F118" i="9" s="1"/>
  <c r="C118" i="9"/>
  <c r="B118" i="9"/>
  <c r="D117" i="9"/>
  <c r="F117" i="9" s="1"/>
  <c r="C117" i="9"/>
  <c r="B117" i="9"/>
  <c r="D116" i="9"/>
  <c r="F116" i="9" s="1"/>
  <c r="C116" i="9"/>
  <c r="B116" i="9"/>
  <c r="E112" i="9"/>
  <c r="E109" i="9"/>
  <c r="D108" i="9"/>
  <c r="F108" i="9" s="1"/>
  <c r="C108" i="9"/>
  <c r="B108" i="9"/>
  <c r="D107" i="9"/>
  <c r="F107" i="9" s="1"/>
  <c r="C107" i="9"/>
  <c r="B107" i="9"/>
  <c r="D106" i="9"/>
  <c r="F106" i="9" s="1"/>
  <c r="C106" i="9"/>
  <c r="B106" i="9"/>
  <c r="D105" i="9"/>
  <c r="F105" i="9" s="1"/>
  <c r="C105" i="9"/>
  <c r="B105" i="9"/>
  <c r="D104" i="9"/>
  <c r="F104" i="9" s="1"/>
  <c r="C104" i="9"/>
  <c r="B104" i="9"/>
  <c r="D103" i="9"/>
  <c r="F103" i="9" s="1"/>
  <c r="C103" i="9"/>
  <c r="B103" i="9"/>
  <c r="E96" i="9"/>
  <c r="D95" i="9"/>
  <c r="F95" i="9" s="1"/>
  <c r="C95" i="9"/>
  <c r="B95" i="9"/>
  <c r="D94" i="9"/>
  <c r="F94" i="9" s="1"/>
  <c r="C94" i="9"/>
  <c r="B94" i="9"/>
  <c r="D93" i="9"/>
  <c r="F93" i="9" s="1"/>
  <c r="C93" i="9"/>
  <c r="B93" i="9"/>
  <c r="D92" i="9"/>
  <c r="F92" i="9" s="1"/>
  <c r="C92" i="9"/>
  <c r="B92" i="9"/>
  <c r="D91" i="9"/>
  <c r="F91" i="9" s="1"/>
  <c r="C91" i="9"/>
  <c r="B91" i="9"/>
  <c r="D90" i="9"/>
  <c r="F90" i="9" s="1"/>
  <c r="C90" i="9"/>
  <c r="B90" i="9"/>
  <c r="E83" i="9"/>
  <c r="D82" i="9"/>
  <c r="F82" i="9" s="1"/>
  <c r="C82" i="9"/>
  <c r="B82" i="9"/>
  <c r="D81" i="9"/>
  <c r="F81" i="9" s="1"/>
  <c r="C81" i="9"/>
  <c r="B81" i="9"/>
  <c r="D80" i="9"/>
  <c r="F80" i="9" s="1"/>
  <c r="C80" i="9"/>
  <c r="B80" i="9"/>
  <c r="D79" i="9"/>
  <c r="F79" i="9" s="1"/>
  <c r="C79" i="9"/>
  <c r="B79" i="9"/>
  <c r="D78" i="9"/>
  <c r="F78" i="9" s="1"/>
  <c r="C78" i="9"/>
  <c r="B78" i="9"/>
  <c r="D77" i="9"/>
  <c r="F77" i="9" s="1"/>
  <c r="C77" i="9"/>
  <c r="B77" i="9"/>
  <c r="E70" i="9"/>
  <c r="D69" i="9"/>
  <c r="F69" i="9" s="1"/>
  <c r="C69" i="9"/>
  <c r="B69" i="9"/>
  <c r="D68" i="9"/>
  <c r="F68" i="9" s="1"/>
  <c r="C68" i="9"/>
  <c r="B68" i="9"/>
  <c r="D67" i="9"/>
  <c r="F67" i="9" s="1"/>
  <c r="C67" i="9"/>
  <c r="B67" i="9"/>
  <c r="D66" i="9"/>
  <c r="F66" i="9" s="1"/>
  <c r="C66" i="9"/>
  <c r="B66" i="9"/>
  <c r="D65" i="9"/>
  <c r="F65" i="9" s="1"/>
  <c r="C65" i="9"/>
  <c r="B65" i="9"/>
  <c r="D64" i="9"/>
  <c r="F64" i="9" s="1"/>
  <c r="C64" i="9"/>
  <c r="B64" i="9"/>
  <c r="E57" i="9"/>
  <c r="D56" i="9"/>
  <c r="F56" i="9" s="1"/>
  <c r="C56" i="9"/>
  <c r="B56" i="9"/>
  <c r="D55" i="9"/>
  <c r="F55" i="9" s="1"/>
  <c r="C55" i="9"/>
  <c r="B55" i="9"/>
  <c r="D54" i="9"/>
  <c r="F54" i="9" s="1"/>
  <c r="C54" i="9"/>
  <c r="B54" i="9"/>
  <c r="D53" i="9"/>
  <c r="F53" i="9" s="1"/>
  <c r="C53" i="9"/>
  <c r="B53" i="9"/>
  <c r="D52" i="9"/>
  <c r="F52" i="9" s="1"/>
  <c r="C52" i="9"/>
  <c r="B52" i="9"/>
  <c r="D51" i="9"/>
  <c r="F51" i="9" s="1"/>
  <c r="C51" i="9"/>
  <c r="B51" i="9"/>
  <c r="E44" i="9"/>
  <c r="D43" i="9"/>
  <c r="F43" i="9" s="1"/>
  <c r="C43" i="9"/>
  <c r="B43" i="9"/>
  <c r="D42" i="9"/>
  <c r="F42" i="9" s="1"/>
  <c r="C42" i="9"/>
  <c r="B42" i="9"/>
  <c r="D41" i="9"/>
  <c r="F41" i="9" s="1"/>
  <c r="C41" i="9"/>
  <c r="B41" i="9"/>
  <c r="D40" i="9"/>
  <c r="F40" i="9" s="1"/>
  <c r="C40" i="9"/>
  <c r="B40" i="9"/>
  <c r="D39" i="9"/>
  <c r="F39" i="9" s="1"/>
  <c r="C39" i="9"/>
  <c r="B39" i="9"/>
  <c r="D38" i="9"/>
  <c r="F38" i="9" s="1"/>
  <c r="C38" i="9"/>
  <c r="B38" i="9"/>
  <c r="D30" i="9"/>
  <c r="F30" i="9" s="1"/>
  <c r="C30" i="9"/>
  <c r="B30" i="9"/>
  <c r="D29" i="9"/>
  <c r="F29" i="9" s="1"/>
  <c r="C29" i="9"/>
  <c r="B29" i="9"/>
  <c r="D28" i="9"/>
  <c r="F28" i="9" s="1"/>
  <c r="C28" i="9"/>
  <c r="B28" i="9"/>
  <c r="D27" i="9"/>
  <c r="F27" i="9" s="1"/>
  <c r="C27" i="9"/>
  <c r="B27" i="9"/>
  <c r="D26" i="9"/>
  <c r="F26" i="9" s="1"/>
  <c r="C26" i="9"/>
  <c r="B26" i="9"/>
  <c r="D25" i="9"/>
  <c r="F25" i="9" s="1"/>
  <c r="C25" i="9"/>
  <c r="B25" i="9"/>
  <c r="E18" i="9"/>
  <c r="D17" i="9"/>
  <c r="F17" i="9" s="1"/>
  <c r="C17" i="9"/>
  <c r="B17" i="9"/>
  <c r="D16" i="9"/>
  <c r="F16" i="9" s="1"/>
  <c r="C16" i="9"/>
  <c r="B16" i="9"/>
  <c r="D15" i="9"/>
  <c r="F15" i="9" s="1"/>
  <c r="C15" i="9"/>
  <c r="B15" i="9"/>
  <c r="D14" i="9"/>
  <c r="F14" i="9" s="1"/>
  <c r="C14" i="9"/>
  <c r="B14" i="9"/>
  <c r="D13" i="9"/>
  <c r="F13" i="9" s="1"/>
  <c r="C13" i="9"/>
  <c r="B13" i="9"/>
  <c r="D12" i="9"/>
  <c r="F12" i="9" s="1"/>
  <c r="C12" i="9"/>
  <c r="B12" i="9"/>
  <c r="D7" i="9"/>
  <c r="C6" i="9"/>
  <c r="E32" i="8"/>
  <c r="B32" i="8"/>
  <c r="E29" i="8"/>
  <c r="B29" i="8"/>
  <c r="E26" i="8"/>
  <c r="B26" i="8"/>
  <c r="E23" i="8"/>
  <c r="B23" i="8"/>
  <c r="C18" i="8"/>
  <c r="I11" i="8" s="1"/>
  <c r="E7" i="8"/>
  <c r="E33" i="5"/>
  <c r="B33" i="5"/>
  <c r="E31" i="5"/>
  <c r="B31" i="5"/>
  <c r="B29" i="5"/>
  <c r="B27" i="5"/>
  <c r="E25" i="5"/>
  <c r="B25" i="5"/>
  <c r="E23" i="5"/>
  <c r="D13" i="5"/>
  <c r="E6" i="5"/>
  <c r="BL113" i="4"/>
  <c r="BK113" i="4"/>
  <c r="BL112" i="4"/>
  <c r="BK112" i="4"/>
  <c r="BL111" i="4"/>
  <c r="BK111" i="4"/>
  <c r="BL110" i="4"/>
  <c r="BK110" i="4"/>
  <c r="BL109" i="4"/>
  <c r="BK109" i="4"/>
  <c r="BL60" i="4"/>
  <c r="BL59" i="4"/>
  <c r="BL58" i="4"/>
  <c r="BL56" i="4"/>
  <c r="BL54" i="4"/>
  <c r="BL52" i="4"/>
  <c r="BL49" i="4"/>
  <c r="BL47" i="4"/>
  <c r="BL46" i="4"/>
  <c r="BL45" i="4"/>
  <c r="BL43" i="4"/>
  <c r="BL42" i="4"/>
  <c r="BL41" i="4"/>
  <c r="BL33" i="4"/>
  <c r="BL32" i="4"/>
  <c r="BL31" i="4"/>
  <c r="BL30" i="4"/>
  <c r="BL29" i="4"/>
  <c r="BL28" i="4"/>
  <c r="BK28" i="4"/>
  <c r="BL27" i="4"/>
  <c r="BL26" i="4"/>
  <c r="BK26" i="4"/>
  <c r="BL25" i="4"/>
  <c r="BK25" i="4"/>
  <c r="BL24" i="4"/>
  <c r="BK24" i="4"/>
  <c r="BL23" i="4"/>
  <c r="BK23" i="4"/>
  <c r="BL22" i="4"/>
  <c r="BL21" i="4"/>
  <c r="BK21" i="4"/>
  <c r="BL20" i="4"/>
  <c r="BK20" i="4"/>
  <c r="BL18" i="4"/>
  <c r="BK18" i="4"/>
  <c r="BL17" i="4"/>
  <c r="BK17" i="4"/>
  <c r="BL16" i="4"/>
  <c r="BK16" i="4"/>
  <c r="U370" i="3"/>
  <c r="U369" i="3"/>
  <c r="U367" i="3"/>
  <c r="U364" i="3"/>
  <c r="U363" i="3"/>
  <c r="U361" i="3"/>
  <c r="U360" i="3"/>
  <c r="U359" i="3"/>
  <c r="U358" i="3"/>
  <c r="U357" i="3"/>
  <c r="U355" i="3"/>
  <c r="U354" i="3"/>
  <c r="U353" i="3"/>
  <c r="U352" i="3"/>
  <c r="U351" i="3"/>
  <c r="U346" i="3"/>
  <c r="U345" i="3"/>
  <c r="U344" i="3"/>
  <c r="U343" i="3"/>
  <c r="U341" i="3"/>
  <c r="K215" i="2"/>
  <c r="J215" i="2"/>
  <c r="I215" i="2"/>
  <c r="H215" i="2"/>
  <c r="K214" i="2"/>
  <c r="J214" i="2"/>
  <c r="I214" i="2"/>
  <c r="H214" i="2"/>
  <c r="AK213" i="2"/>
  <c r="K213" i="2"/>
  <c r="J213" i="2"/>
  <c r="I213" i="2"/>
  <c r="H213" i="2"/>
  <c r="AK212" i="2"/>
  <c r="K212" i="2"/>
  <c r="J212" i="2"/>
  <c r="I212" i="2"/>
  <c r="H212" i="2"/>
  <c r="AK211" i="2"/>
  <c r="K211" i="2"/>
  <c r="J211" i="2"/>
  <c r="I211" i="2"/>
  <c r="H211" i="2"/>
  <c r="AK210" i="2"/>
  <c r="K210" i="2"/>
  <c r="J210" i="2"/>
  <c r="I210" i="2"/>
  <c r="H210" i="2"/>
  <c r="AK209" i="2"/>
  <c r="K209" i="2"/>
  <c r="J209" i="2"/>
  <c r="I209" i="2"/>
  <c r="H209" i="2"/>
  <c r="AK208" i="2"/>
  <c r="K208" i="2"/>
  <c r="J208" i="2"/>
  <c r="I208" i="2"/>
  <c r="H208" i="2"/>
  <c r="AK207" i="2"/>
  <c r="K207" i="2"/>
  <c r="J207" i="2"/>
  <c r="I207" i="2"/>
  <c r="H207" i="2"/>
  <c r="AK206" i="2"/>
  <c r="K206" i="2"/>
  <c r="J206" i="2"/>
  <c r="I206" i="2"/>
  <c r="H206" i="2"/>
  <c r="AK205" i="2"/>
  <c r="K205" i="2"/>
  <c r="J205" i="2"/>
  <c r="I205" i="2"/>
  <c r="H205" i="2"/>
  <c r="K204" i="2"/>
  <c r="J204" i="2"/>
  <c r="I204" i="2"/>
  <c r="H204" i="2"/>
  <c r="AK203" i="2"/>
  <c r="K203" i="2"/>
  <c r="J203" i="2"/>
  <c r="I203" i="2"/>
  <c r="H203" i="2"/>
  <c r="AK202" i="2"/>
  <c r="K202" i="2"/>
  <c r="J202" i="2"/>
  <c r="I202" i="2"/>
  <c r="H202" i="2"/>
  <c r="AK201" i="2"/>
  <c r="K201" i="2"/>
  <c r="J201" i="2"/>
  <c r="I201" i="2"/>
  <c r="H201" i="2"/>
  <c r="AK200" i="2"/>
  <c r="K200" i="2"/>
  <c r="J200" i="2"/>
  <c r="I200" i="2"/>
  <c r="H200" i="2"/>
  <c r="AK199" i="2"/>
  <c r="K199" i="2"/>
  <c r="J199" i="2"/>
  <c r="I199" i="2"/>
  <c r="H199" i="2"/>
  <c r="AK198" i="2"/>
  <c r="K198" i="2"/>
  <c r="J198" i="2"/>
  <c r="I198" i="2"/>
  <c r="H198" i="2"/>
  <c r="K197" i="2"/>
  <c r="J197" i="2"/>
  <c r="I197" i="2"/>
  <c r="H197" i="2"/>
  <c r="K196" i="2"/>
  <c r="J196" i="2"/>
  <c r="I196" i="2"/>
  <c r="H196" i="2"/>
  <c r="K195" i="2"/>
  <c r="J195" i="2"/>
  <c r="I195" i="2"/>
  <c r="H195" i="2"/>
  <c r="AF197" i="2"/>
  <c r="AK197" i="2" s="1"/>
  <c r="K194" i="2"/>
  <c r="J194" i="2"/>
  <c r="I194" i="2"/>
  <c r="H194" i="2"/>
  <c r="AF196" i="2"/>
  <c r="K193" i="2"/>
  <c r="J193" i="2"/>
  <c r="I193" i="2"/>
  <c r="H193" i="2"/>
  <c r="AF195" i="2"/>
  <c r="K192" i="2"/>
  <c r="J192" i="2"/>
  <c r="I192" i="2"/>
  <c r="H192" i="2"/>
  <c r="AF194" i="2"/>
  <c r="K191" i="2"/>
  <c r="J191" i="2"/>
  <c r="I191" i="2"/>
  <c r="H191" i="2"/>
  <c r="AF193" i="2"/>
  <c r="AK190" i="2" s="1"/>
  <c r="K190" i="2"/>
  <c r="J190" i="2"/>
  <c r="I190" i="2"/>
  <c r="H190" i="2"/>
  <c r="AF192" i="2"/>
  <c r="AK188" i="2"/>
  <c r="K188" i="2"/>
  <c r="J188" i="2"/>
  <c r="I188" i="2"/>
  <c r="H188" i="2"/>
  <c r="AK187" i="2"/>
  <c r="K187" i="2"/>
  <c r="J187" i="2"/>
  <c r="I187" i="2"/>
  <c r="H187" i="2"/>
  <c r="AK186" i="2"/>
  <c r="K186" i="2"/>
  <c r="J186" i="2"/>
  <c r="I186" i="2"/>
  <c r="H186" i="2"/>
  <c r="AK185" i="2"/>
  <c r="K185" i="2"/>
  <c r="J185" i="2"/>
  <c r="I185" i="2"/>
  <c r="H185" i="2"/>
  <c r="AK184" i="2"/>
  <c r="K184" i="2"/>
  <c r="J184" i="2"/>
  <c r="I184" i="2"/>
  <c r="H184" i="2"/>
  <c r="K171" i="2"/>
  <c r="J171" i="2"/>
  <c r="I171" i="2"/>
  <c r="H171" i="2"/>
  <c r="H167" i="2"/>
  <c r="K169" i="2"/>
  <c r="J169" i="2"/>
  <c r="I169" i="2"/>
  <c r="H166" i="2"/>
  <c r="K152" i="2"/>
  <c r="K151" i="2"/>
  <c r="J151" i="2"/>
  <c r="I151" i="2"/>
  <c r="H151" i="2"/>
  <c r="K157" i="2"/>
  <c r="J157" i="2"/>
  <c r="I157" i="2"/>
  <c r="H157" i="2"/>
  <c r="K156" i="2"/>
  <c r="J156" i="2"/>
  <c r="I156" i="2"/>
  <c r="H156" i="2"/>
  <c r="K155" i="2"/>
  <c r="J155" i="2"/>
  <c r="I155" i="2"/>
  <c r="H155" i="2"/>
  <c r="K154" i="2"/>
  <c r="J154" i="2"/>
  <c r="I154" i="2"/>
  <c r="H154" i="2"/>
  <c r="K153" i="2"/>
  <c r="J153" i="2"/>
  <c r="I153" i="2"/>
  <c r="H153" i="2"/>
  <c r="K149" i="2"/>
  <c r="J149" i="2"/>
  <c r="I149" i="2"/>
  <c r="H149" i="2"/>
  <c r="K148" i="2"/>
  <c r="J148" i="2"/>
  <c r="I148" i="2"/>
  <c r="H148" i="2"/>
  <c r="K147" i="2"/>
  <c r="J147" i="2"/>
  <c r="I147" i="2"/>
  <c r="H147" i="2"/>
  <c r="K146" i="2"/>
  <c r="J146" i="2"/>
  <c r="I146" i="2"/>
  <c r="H146" i="2"/>
  <c r="K145" i="2"/>
  <c r="J145" i="2"/>
  <c r="I145" i="2"/>
  <c r="H145" i="2"/>
  <c r="K144" i="2"/>
  <c r="J144" i="2"/>
  <c r="I144" i="2"/>
  <c r="H144" i="2"/>
  <c r="K143" i="2"/>
  <c r="J143" i="2"/>
  <c r="I143" i="2"/>
  <c r="H143" i="2"/>
  <c r="K132" i="2"/>
  <c r="J132" i="2"/>
  <c r="I132" i="2"/>
  <c r="H132" i="2"/>
  <c r="K130" i="2"/>
  <c r="J130" i="2"/>
  <c r="I130" i="2"/>
  <c r="H130" i="2"/>
  <c r="K129" i="2"/>
  <c r="J129" i="2"/>
  <c r="I129" i="2"/>
  <c r="H129" i="2"/>
  <c r="K128" i="2"/>
  <c r="J128" i="2"/>
  <c r="I128" i="2"/>
  <c r="H128" i="2"/>
  <c r="K116" i="2"/>
  <c r="J116" i="2"/>
  <c r="I116" i="2"/>
  <c r="H116" i="2"/>
  <c r="K115" i="2"/>
  <c r="J115" i="2"/>
  <c r="I115" i="2"/>
  <c r="H115" i="2"/>
  <c r="K114" i="2"/>
  <c r="J114" i="2"/>
  <c r="I114" i="2"/>
  <c r="H114" i="2"/>
  <c r="K105" i="2"/>
  <c r="J105" i="2"/>
  <c r="I105" i="2"/>
  <c r="H105" i="2"/>
  <c r="K104" i="2"/>
  <c r="J104" i="2"/>
  <c r="I104" i="2"/>
  <c r="H104" i="2"/>
  <c r="K103" i="2"/>
  <c r="J103" i="2"/>
  <c r="I103" i="2"/>
  <c r="H103" i="2"/>
  <c r="K102" i="2"/>
  <c r="J102" i="2"/>
  <c r="I102" i="2"/>
  <c r="H102" i="2"/>
  <c r="K101" i="2"/>
  <c r="J101" i="2"/>
  <c r="I101" i="2"/>
  <c r="K100" i="2"/>
  <c r="J100" i="2"/>
  <c r="I100" i="2"/>
  <c r="H100" i="2"/>
  <c r="K99" i="2"/>
  <c r="J99" i="2"/>
  <c r="I99" i="2"/>
  <c r="H99" i="2"/>
  <c r="K98" i="2"/>
  <c r="J98" i="2"/>
  <c r="I98" i="2"/>
  <c r="H98" i="2"/>
  <c r="K97" i="2"/>
  <c r="J97" i="2"/>
  <c r="I97" i="2"/>
  <c r="H97" i="2"/>
  <c r="K96" i="2"/>
  <c r="J96" i="2"/>
  <c r="I96" i="2"/>
  <c r="H96" i="2"/>
  <c r="K95" i="2"/>
  <c r="J95" i="2"/>
  <c r="I95" i="2"/>
  <c r="H95" i="2"/>
  <c r="K94" i="2"/>
  <c r="J94" i="2"/>
  <c r="I94" i="2"/>
  <c r="H94" i="2"/>
  <c r="M269" i="2"/>
  <c r="K269" i="2"/>
  <c r="J269" i="2"/>
  <c r="I269" i="2"/>
  <c r="AB204" i="1"/>
  <c r="K204" i="1"/>
  <c r="J204" i="1"/>
  <c r="I204" i="1"/>
  <c r="H204" i="1"/>
  <c r="AB203" i="1"/>
  <c r="K203" i="1"/>
  <c r="J203" i="1"/>
  <c r="I203" i="1"/>
  <c r="H203" i="1"/>
  <c r="AB202" i="1"/>
  <c r="K202" i="1"/>
  <c r="J202" i="1"/>
  <c r="I202" i="1"/>
  <c r="H202" i="1"/>
  <c r="AB201" i="1"/>
  <c r="K201" i="1"/>
  <c r="J201" i="1"/>
  <c r="I201" i="1"/>
  <c r="H201" i="1"/>
  <c r="AB200" i="1"/>
  <c r="K200" i="1"/>
  <c r="J200" i="1"/>
  <c r="I200" i="1"/>
  <c r="H200" i="1"/>
  <c r="AB199" i="1"/>
  <c r="K199" i="1"/>
  <c r="J199" i="1"/>
  <c r="I199" i="1"/>
  <c r="H199" i="1"/>
  <c r="AB198" i="1"/>
  <c r="K198" i="1"/>
  <c r="J198" i="1"/>
  <c r="I198" i="1"/>
  <c r="H198" i="1"/>
  <c r="AB197" i="1"/>
  <c r="K197" i="1"/>
  <c r="J197" i="1"/>
  <c r="I197" i="1"/>
  <c r="H197" i="1"/>
  <c r="AB196" i="1"/>
  <c r="K196" i="1"/>
  <c r="J196" i="1"/>
  <c r="I196" i="1"/>
  <c r="H196" i="1"/>
  <c r="AB195" i="1"/>
  <c r="K195" i="1"/>
  <c r="J195" i="1"/>
  <c r="I195" i="1"/>
  <c r="H195" i="1"/>
  <c r="K187" i="1"/>
  <c r="J187" i="1"/>
  <c r="I187" i="1"/>
  <c r="H187" i="1"/>
  <c r="K186" i="1"/>
  <c r="J186" i="1"/>
  <c r="I186" i="1"/>
  <c r="H186" i="1"/>
  <c r="K184" i="1"/>
  <c r="J184" i="1"/>
  <c r="I184" i="1"/>
  <c r="H184" i="1"/>
  <c r="K183" i="1"/>
  <c r="J183" i="1"/>
  <c r="I183" i="1"/>
  <c r="H183" i="1"/>
  <c r="K182" i="1"/>
  <c r="J182" i="1"/>
  <c r="I182" i="1"/>
  <c r="H182" i="1"/>
  <c r="K181" i="1"/>
  <c r="J181" i="1"/>
  <c r="I181" i="1"/>
  <c r="H181" i="1"/>
  <c r="K180" i="1"/>
  <c r="J180" i="1"/>
  <c r="I180" i="1"/>
  <c r="H180" i="1"/>
  <c r="K179" i="1"/>
  <c r="J179" i="1"/>
  <c r="I179" i="1"/>
  <c r="H179" i="1"/>
  <c r="K178" i="1"/>
  <c r="J178" i="1"/>
  <c r="I178" i="1"/>
  <c r="H178" i="1"/>
  <c r="K177" i="1"/>
  <c r="J177" i="1"/>
  <c r="I177" i="1"/>
  <c r="H177" i="1"/>
  <c r="K176" i="1"/>
  <c r="J176" i="1"/>
  <c r="I176" i="1"/>
  <c r="H176" i="1"/>
  <c r="K175" i="1"/>
  <c r="J175" i="1"/>
  <c r="I175" i="1"/>
  <c r="H175" i="1"/>
  <c r="K174" i="1"/>
  <c r="J174" i="1"/>
  <c r="I174" i="1"/>
  <c r="H174" i="1"/>
  <c r="K173" i="1"/>
  <c r="J173" i="1"/>
  <c r="I173" i="1"/>
  <c r="H173" i="1"/>
  <c r="K172" i="1"/>
  <c r="J172" i="1"/>
  <c r="I172" i="1"/>
  <c r="H172" i="1"/>
  <c r="K164" i="1"/>
  <c r="J164" i="1"/>
  <c r="I164" i="1"/>
  <c r="H164" i="1"/>
  <c r="K163" i="1"/>
  <c r="J163" i="1"/>
  <c r="I163" i="1"/>
  <c r="H163" i="1"/>
  <c r="B162" i="1"/>
  <c r="K161" i="1"/>
  <c r="J161" i="1"/>
  <c r="I161" i="1"/>
  <c r="H161" i="1"/>
  <c r="K158" i="1"/>
  <c r="J158" i="1"/>
  <c r="I158" i="1"/>
  <c r="H158" i="1"/>
  <c r="K157" i="1"/>
  <c r="J157" i="1"/>
  <c r="I157" i="1"/>
  <c r="H157" i="1"/>
  <c r="K156" i="1"/>
  <c r="J156" i="1"/>
  <c r="I156" i="1"/>
  <c r="H156" i="1"/>
  <c r="K155" i="1"/>
  <c r="J155" i="1"/>
  <c r="I155" i="1"/>
  <c r="H155" i="1"/>
  <c r="K154" i="1"/>
  <c r="J154" i="1"/>
  <c r="I154" i="1"/>
  <c r="H154" i="1"/>
  <c r="K153" i="1"/>
  <c r="J153" i="1"/>
  <c r="I153" i="1"/>
  <c r="H153" i="1"/>
  <c r="B153" i="1"/>
  <c r="K152" i="1"/>
  <c r="J152" i="1"/>
  <c r="I152" i="1"/>
  <c r="H152" i="1"/>
  <c r="K151" i="1"/>
  <c r="J151" i="1"/>
  <c r="I151" i="1"/>
  <c r="H151" i="1"/>
  <c r="B151" i="1"/>
  <c r="K150" i="1"/>
  <c r="J150" i="1"/>
  <c r="I150" i="1"/>
  <c r="H150" i="1"/>
  <c r="B149" i="1"/>
  <c r="K148" i="1"/>
  <c r="J148" i="1"/>
  <c r="I148" i="1"/>
  <c r="H148" i="1"/>
  <c r="K139" i="1"/>
  <c r="J139" i="1"/>
  <c r="I139" i="1"/>
  <c r="H139" i="1"/>
  <c r="K138" i="1"/>
  <c r="J138" i="1"/>
  <c r="I138" i="1"/>
  <c r="H138" i="1"/>
  <c r="K137" i="1"/>
  <c r="J137" i="1"/>
  <c r="I137" i="1"/>
  <c r="H137" i="1"/>
  <c r="K136" i="1"/>
  <c r="J136" i="1"/>
  <c r="I136" i="1"/>
  <c r="H136" i="1"/>
  <c r="K135" i="1"/>
  <c r="J135" i="1"/>
  <c r="I135" i="1"/>
  <c r="H135" i="1"/>
  <c r="K134" i="1"/>
  <c r="J134" i="1"/>
  <c r="I134" i="1"/>
  <c r="H134" i="1"/>
  <c r="K133" i="1"/>
  <c r="J133" i="1"/>
  <c r="I133" i="1"/>
  <c r="H133" i="1"/>
  <c r="K132" i="1"/>
  <c r="J132" i="1"/>
  <c r="I132" i="1"/>
  <c r="H132" i="1"/>
  <c r="K131" i="1"/>
  <c r="J131" i="1"/>
  <c r="I131" i="1"/>
  <c r="H131" i="1"/>
  <c r="G25" i="9" l="1"/>
  <c r="G34" i="12"/>
  <c r="G54" i="12"/>
  <c r="G116" i="9"/>
  <c r="E65" i="12"/>
  <c r="G12" i="12"/>
  <c r="G23" i="12"/>
  <c r="G44" i="12"/>
  <c r="G103" i="9"/>
  <c r="AK196" i="2"/>
  <c r="AK193" i="2"/>
  <c r="AK194" i="2"/>
  <c r="AK191" i="2"/>
  <c r="AK195" i="2"/>
  <c r="AK192" i="2"/>
  <c r="I12" i="5"/>
  <c r="G38" i="9"/>
  <c r="G51" i="9"/>
  <c r="G12" i="9"/>
  <c r="G90" i="9"/>
  <c r="G64" i="9"/>
  <c r="G77" i="9"/>
  <c r="E130" i="9" l="1"/>
  <c r="E67" i="12"/>
  <c r="C233" i="2"/>
  <c r="E233" i="2" l="1"/>
  <c r="G233" i="2"/>
  <c r="J233" i="2" l="1"/>
  <c r="H233" i="2"/>
  <c r="K233" i="2"/>
  <c r="I233" i="2"/>
  <c r="H256" i="2"/>
  <c r="I256" i="2"/>
  <c r="J256" i="2"/>
  <c r="K256" i="2"/>
  <c r="I250" i="2"/>
  <c r="J250" i="2"/>
  <c r="K250" i="2"/>
  <c r="H250" i="2"/>
  <c r="H258" i="2"/>
  <c r="J258" i="2"/>
  <c r="I258" i="2"/>
  <c r="K258" i="2"/>
  <c r="J251" i="2"/>
  <c r="I251" i="2"/>
  <c r="K251" i="2"/>
  <c r="H251" i="2"/>
  <c r="K259" i="2"/>
  <c r="I259" i="2"/>
  <c r="J259" i="2"/>
  <c r="H259" i="2"/>
  <c r="J252" i="2"/>
  <c r="H252" i="2"/>
  <c r="I252" i="2"/>
  <c r="K252" i="2"/>
  <c r="J249" i="2"/>
  <c r="I249" i="2"/>
  <c r="K249" i="2"/>
  <c r="H249" i="2"/>
  <c r="I257" i="2"/>
  <c r="J257" i="2"/>
  <c r="K257" i="2"/>
  <c r="H257" i="2"/>
  <c r="I253" i="2"/>
  <c r="K253" i="2"/>
  <c r="J253" i="2"/>
  <c r="H253" i="2"/>
  <c r="J255" i="2"/>
  <c r="I255" i="2"/>
  <c r="K255" i="2"/>
  <c r="H255" i="2"/>
  <c r="J254" i="2"/>
  <c r="K254" i="2"/>
  <c r="H254" i="2"/>
  <c r="I254" i="2"/>
  <c r="F256" i="2"/>
  <c r="C256" i="2" s="1"/>
  <c r="F252" i="2"/>
  <c r="C252" i="2" s="1"/>
  <c r="F255" i="2"/>
  <c r="C255" i="2"/>
  <c r="F259" i="2"/>
  <c r="C259" i="2" s="1"/>
  <c r="F251" i="2"/>
  <c r="C251" i="2" s="1"/>
  <c r="F254" i="2"/>
  <c r="C254" i="2" s="1"/>
  <c r="F258" i="2"/>
  <c r="C258" i="2" s="1"/>
  <c r="F250" i="2"/>
  <c r="C250" i="2" s="1"/>
  <c r="F253" i="2"/>
  <c r="C253" i="2" s="1"/>
  <c r="F257" i="2"/>
  <c r="C257" i="2" s="1"/>
  <c r="F249" i="2"/>
  <c r="C24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tc={80E1FAD4-27AF-4E2C-A73D-48AA1ACB99F9}</author>
  </authors>
  <commentList>
    <comment ref="G3" authorId="0" shapeId="0" xr:uid="{80E1FAD4-27AF-4E2C-A73D-48AA1ACB99F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=SI.ERROR(BUSCARV(D93,Tabla3,5,FALSO),"")   Formula para buscar el nombre respecto al No. De Alumno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IUAF- LAP</author>
    <author>tc={742BCB2B-838A-417F-A2EC-36329582DF21}</author>
    <author/>
  </authors>
  <commentList>
    <comment ref="AY41" authorId="0" shapeId="0" xr:uid="{6293C407-1BA1-4A46-A1BD-D37C378412C5}">
      <text>
        <r>
          <rPr>
            <b/>
            <sz val="9"/>
            <color indexed="81"/>
            <rFont val="Tahoma"/>
            <family val="2"/>
          </rPr>
          <t>IUAF- LAP:</t>
        </r>
        <r>
          <rPr>
            <sz val="9"/>
            <color indexed="81"/>
            <rFont val="Tahoma"/>
            <family val="2"/>
          </rPr>
          <t xml:space="preserve">
Asistió al taller de nulidades</t>
        </r>
      </text>
    </comment>
    <comment ref="BB45" authorId="0" shapeId="0" xr:uid="{29256A38-BFE2-41D3-AAEC-8CB04C9F42C4}">
      <text>
        <r>
          <rPr>
            <b/>
            <sz val="9"/>
            <color indexed="81"/>
            <rFont val="Tahoma"/>
            <family val="2"/>
          </rPr>
          <t>IUAF- LAP:</t>
        </r>
        <r>
          <rPr>
            <sz val="9"/>
            <color indexed="81"/>
            <rFont val="Tahoma"/>
            <family val="2"/>
          </rPr>
          <t xml:space="preserve">
Asistió al taller de nulidades
</t>
        </r>
      </text>
    </comment>
    <comment ref="AI79" authorId="0" shapeId="0" xr:uid="{3E6DAD4C-D54A-48DF-9523-5FCFFB091A05}">
      <text>
        <r>
          <rPr>
            <b/>
            <sz val="9"/>
            <color indexed="81"/>
            <rFont val="Tahoma"/>
            <family val="2"/>
          </rPr>
          <t>IUAF- LAP:</t>
        </r>
        <r>
          <rPr>
            <sz val="9"/>
            <color indexed="81"/>
            <rFont val="Tahoma"/>
            <family val="2"/>
          </rPr>
          <t xml:space="preserve">
Se avisó a su chat y no respondío</t>
        </r>
      </text>
    </comment>
    <comment ref="AB85" authorId="0" shapeId="0" xr:uid="{F0B04855-FA52-49D9-A35A-41E8C06A8460}">
      <text>
        <r>
          <rPr>
            <b/>
            <sz val="9"/>
            <color indexed="81"/>
            <rFont val="Tahoma"/>
            <family val="2"/>
          </rPr>
          <t>IUAF- LAP: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87" authorId="1" shapeId="0" xr:uid="{742BCB2B-838A-417F-A2EC-36329582DF2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dio de baja en este mes 
</t>
      </text>
    </comment>
    <comment ref="AU173" authorId="2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======
ID#AAAAPIAzmdM
OFICINA IUAF    (2021-06-15 16:16:46)
+2 puntos taller de ortografía</t>
        </r>
      </text>
    </comment>
    <comment ref="AU175" authorId="2" shapeId="0" xr:uid="{00000000-0006-0000-0000-000013000000}">
      <text>
        <r>
          <rPr>
            <sz val="11"/>
            <color theme="1"/>
            <rFont val="Calibri"/>
            <family val="2"/>
            <scheme val="minor"/>
          </rPr>
          <t>======
ID#AAAAPIAzmcM
OFICINA IUAF    (2021-06-15 16:16:46)
+2 puntos taller de ortografía</t>
        </r>
      </text>
    </comment>
    <comment ref="AS177" authorId="2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======
ID#AAAAPIAzmcs
OFICINA IUAF    (2021-06-15 16:16:46)
+1 punto taller de otrografía</t>
        </r>
      </text>
    </comment>
    <comment ref="AU178" authorId="2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======
ID#AAAAPIAzmcw
OFICINA IUAF    (2021-06-15 16:16:46)
+1 punto taller de otrografía</t>
        </r>
      </text>
    </comment>
    <comment ref="AS179" authorId="2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======
ID#AAAAPIAzmbQ
OFICINA IUAF    (2021-06-15 16:16:46)
+1 punto taller de otrografía</t>
        </r>
      </text>
    </comment>
    <comment ref="T181" authorId="2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ID#AAAAPIAzmcc
Coordinación Escolar    (2021-06-15 23:59:52)
TOMO JT</t>
        </r>
      </text>
    </comment>
    <comment ref="U181" authorId="2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ID#AAAAPIAzmbk
Coordinación Escolar    (2021-06-16 00:00:03)
EQUIVALENCIA</t>
        </r>
      </text>
    </comment>
    <comment ref="AA181" authorId="2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======
ID#AAAAPIAzmck
OFICINA IUAF    (2021-06-15 16:16:46)
9 en equivalencia</t>
        </r>
      </text>
    </comment>
    <comment ref="AC181" authorId="2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ID#AAAAPIAzmbg
M.A. Yasmin Campos    (2021-06-25 21:04:02)
NO SE HAN TOMADO</t>
        </r>
      </text>
    </comment>
    <comment ref="AW181" authorId="2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======
ID#AAAAPIAzmdI
OFICINA IUAF    (2021-06-15 16:16:46)
6 en equivalencia</t>
        </r>
      </text>
    </comment>
    <comment ref="AT182" authorId="2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ID#AAAAPIAzmbc
OFICINA IUAF    (2021-06-15 16:16:46)
+1 punto taller de otrografía</t>
        </r>
      </text>
    </comment>
    <comment ref="AS185" authorId="2" shapeId="0" xr:uid="{00000000-0006-0000-0000-000011000000}">
      <text>
        <r>
          <rPr>
            <sz val="11"/>
            <color theme="1"/>
            <rFont val="Calibri"/>
            <family val="2"/>
            <scheme val="minor"/>
          </rPr>
          <t>======
ID#AAAAPIAzmdE
OFICINA IUAF    (2021-06-15 16:16:46)
+2 puntos taller de ortografía</t>
        </r>
      </text>
    </comment>
    <comment ref="AS187" authorId="2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======
ID#AAAAPIAzmcY
OFICINA IUAF    (2021-06-15 16:16:46)
+1 punto taller de otrografía</t>
        </r>
      </text>
    </comment>
    <comment ref="AH195" authorId="2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======
ID#AAAAPIAzmbU
OFICINA IUAF    (2021-06-15 16:16:46)
+1 punto por taller de ortografía</t>
        </r>
      </text>
    </comment>
    <comment ref="AG196" authorId="2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ID#AAAAPIAzmc8
OFICINA IUAF    (2021-06-15 16:16:46)
+1 punto por taller de otrografía.</t>
        </r>
      </text>
    </comment>
    <comment ref="AH196" authorId="2" shapeId="0" xr:uid="{00000000-0006-0000-0000-000015000000}">
      <text>
        <r>
          <rPr>
            <sz val="11"/>
            <color theme="1"/>
            <rFont val="Calibri"/>
            <family val="2"/>
            <scheme val="minor"/>
          </rPr>
          <t>======
ID#AAAAPIAzmb4
OFICINA IUAF    (2021-06-15 16:16:46)
+1 punto por taller de otrografía.</t>
        </r>
      </text>
    </comment>
    <comment ref="S198" authorId="2" shapeId="0" xr:uid="{00000000-0006-0000-0000-000018000000}">
      <text>
        <r>
          <rPr>
            <sz val="11"/>
            <color theme="1"/>
            <rFont val="Calibri"/>
            <family val="2"/>
            <scheme val="minor"/>
          </rPr>
          <t>======
ID#AAAAPIAzmco
Ventas !    (2020-06-05 08:30:02)
Entregó trabajo</t>
        </r>
      </text>
    </comment>
    <comment ref="AG198" authorId="2" shapeId="0" xr:uid="{00000000-0006-0000-0000-000014000000}">
      <text>
        <r>
          <rPr>
            <sz val="11"/>
            <color theme="1"/>
            <rFont val="Calibri"/>
            <family val="2"/>
            <scheme val="minor"/>
          </rPr>
          <t>======
ID#AAAAPIAzmcI
OFICINA IUAF    (2021-06-15 16:16:46)
+1 punto por taller de otrografía.</t>
        </r>
      </text>
    </comment>
    <comment ref="AK199" authorId="2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======
ID#AAAAPIAzmc0
OFICINA IUAF    (2021-06-15 16:16:46)
+1 punto por taller de otrografía.</t>
        </r>
      </text>
    </comment>
    <comment ref="AG200" authorId="2" shapeId="0" xr:uid="{00000000-0006-0000-0000-000012000000}">
      <text>
        <r>
          <rPr>
            <sz val="11"/>
            <color theme="1"/>
            <rFont val="Calibri"/>
            <family val="2"/>
            <scheme val="minor"/>
          </rPr>
          <t>======
ID#AAAAPIAzmcg
OFICINA IUAF    (2021-06-15 16:16:46)
+1 punto por taller de otrografía.</t>
        </r>
      </text>
    </comment>
    <comment ref="AG201" authorId="2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======
ID#AAAAPIAzmbw
OFICINA IUAF    (2021-06-15 16:16:46)
+1 punto por taller de otrografía.</t>
        </r>
      </text>
    </comment>
    <comment ref="AH201" authorId="2" shapeId="0" xr:uid="{00000000-0006-0000-0000-000016000000}">
      <text>
        <r>
          <rPr>
            <sz val="11"/>
            <color theme="1"/>
            <rFont val="Calibri"/>
            <family val="2"/>
            <scheme val="minor"/>
          </rPr>
          <t>======
ID#AAAAPIAzmbs
OFICINA IUAF    (2021-06-15 16:16:46)
+1 punto por taller de otrografía.</t>
        </r>
      </text>
    </comment>
    <comment ref="AG203" authorId="2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ID#AAAAPIAzmbY
OFICINA IUAF    (2021-06-15 16:16:46)
+1 punto por taller de otrografía.</t>
        </r>
      </text>
    </comment>
    <comment ref="AG204" authorId="2" shapeId="0" xr:uid="{00000000-0006-0000-0000-000017000000}">
      <text>
        <r>
          <rPr>
            <sz val="11"/>
            <color theme="1"/>
            <rFont val="Calibri"/>
            <family val="2"/>
            <scheme val="minor"/>
          </rPr>
          <t>======
ID#AAAAPIAzmcQ
OFICINA IUAF    (2021-06-15 16:16:46)
+1 punto por taller de otrografía.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c4fyMYRgo0ahv0Ojy2+0Lr363X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tc={E50FD699-280C-492E-9C02-9167329000A9}</author>
    <author>HP</author>
    <author/>
    <author>tc={231469C6-A2E3-4EFD-994F-3411C9DA5FE3}</author>
    <author>tc={44CDA761-1B4F-4D3E-B4DE-2A5E87433F00}</author>
  </authors>
  <commentList>
    <comment ref="G13" authorId="0" shapeId="0" xr:uid="{E50FD699-280C-492E-9C02-9167329000A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=SI.ERROR(BUSCARV(D93,Tabla3,5,FALSO),"")   Formula para buscar el nombre respecto al No. De Alumno</t>
      </text>
    </comment>
    <comment ref="N17" authorId="1" shapeId="0" xr:uid="{E520F8CE-E3D4-4C0D-B072-39FEA3FA9EB8}">
      <text>
        <r>
          <rPr>
            <b/>
            <sz val="9"/>
            <color indexed="81"/>
            <rFont val="Tahoma"/>
            <charset val="1"/>
          </rPr>
          <t>EL ALUMNO TOMO SU CLASE :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N184" authorId="2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ID#AAAAPIAzmb8
M.A. Yasmin Campos    (2020-06-09 02:16:01)
P/C</t>
        </r>
      </text>
    </comment>
    <comment ref="N185" authorId="2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ID#AAAAPIAzmcU
M.A. Yasmin Campos    (2020-06-09 02:16:18)
P/C  PROMEDIO SIN CURSAR</t>
        </r>
      </text>
    </comment>
    <comment ref="N201" authorId="2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ID#AAAAPIAzmdQ
M.A. Yasmin Campos    (2020-06-09 02:17:49)
por cursar</t>
        </r>
      </text>
    </comment>
    <comment ref="AC201" authorId="2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ID#AAAAPIAzmcA
OFICINA IUAF    (2021-06-18 17:52:37)
precisa pago de colegiatura</t>
        </r>
      </text>
    </comment>
    <comment ref="AE205" authorId="2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ID#AAAAPIAzmc4
M.A. Yasmin Campos    (2021-09-03 00:21:10)
SEMINARIO DE TESIS</t>
        </r>
      </text>
    </comment>
    <comment ref="M206" authorId="2" shapeId="0" xr:uid="{6C251435-E3C0-42E3-A8D9-BF42044EFDC7}">
      <text>
        <r>
          <rPr>
            <sz val="11"/>
            <color theme="1"/>
            <rFont val="Calibri"/>
            <family val="2"/>
            <scheme val="minor"/>
          </rPr>
          <t>======
ID#AAAAPIAzmb0
M.A. Yasmin Campos    (2021-07-06 19:49:45)
DESFASE DE UN MES, INICIÓ EN MAYO</t>
        </r>
      </text>
    </comment>
    <comment ref="AE211" authorId="2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ID#AAAAPIAzmdA
M.A. Yasmin Campos    (2021-09-03 00:22:11)
SEMINARIO DE TESIS</t>
        </r>
      </text>
    </comment>
    <comment ref="R291" authorId="1" shapeId="0" xr:uid="{4D9E9C20-5A77-4B05-9708-323FEACF70D0}">
      <text>
        <r>
          <rPr>
            <b/>
            <sz val="9"/>
            <color indexed="81"/>
            <rFont val="Tahoma"/>
            <family val="2"/>
          </rPr>
          <t xml:space="preserve">HP:503. RECURSOS EN EL PROCEDIMIENTO ESCRITO Y JUICIO ORAL
</t>
        </r>
        <r>
          <rPr>
            <sz val="9"/>
            <color indexed="81"/>
            <rFont val="Tahoma"/>
            <family val="2"/>
          </rPr>
          <t>Se uso calificaciones para</t>
        </r>
        <r>
          <rPr>
            <b/>
            <sz val="9"/>
            <color indexed="81"/>
            <rFont val="Tahoma"/>
            <family val="2"/>
          </rPr>
          <t xml:space="preserve"> SEQ.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91" authorId="1" shapeId="0" xr:uid="{F06946F1-C069-4083-9645-19ECFD072DB4}">
      <text>
        <r>
          <rPr>
            <b/>
            <sz val="9"/>
            <color indexed="81"/>
            <rFont val="Tahoma"/>
            <family val="2"/>
          </rPr>
          <t xml:space="preserve">HP: MD 501. PRÁCTICA FORENSE EN DERECHO PROCESAL CIVIL 
</t>
        </r>
        <r>
          <rPr>
            <sz val="9"/>
            <color indexed="81"/>
            <rFont val="Tahoma"/>
            <family val="2"/>
          </rPr>
          <t>materia en</t>
        </r>
        <r>
          <rPr>
            <b/>
            <sz val="9"/>
            <color indexed="81"/>
            <rFont val="Tahoma"/>
            <family val="2"/>
          </rPr>
          <t xml:space="preserve"> SEQ </t>
        </r>
        <r>
          <rPr>
            <sz val="9"/>
            <color indexed="81"/>
            <rFont val="Tahoma"/>
            <family val="2"/>
          </rPr>
          <t>se uso calificación</t>
        </r>
      </text>
    </comment>
    <comment ref="AH291" authorId="3" shapeId="0" xr:uid="{231469C6-A2E3-4EFD-994F-3411C9DA5FE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MD 502. DERECHO DE AMPARO   se uso calificación para SEQ</t>
      </text>
    </comment>
    <comment ref="T361" authorId="1" shapeId="0" xr:uid="{1E006905-7C8A-4EC1-9459-A9190F375196}">
      <text>
        <r>
          <rPr>
            <b/>
            <sz val="9"/>
            <color indexed="81"/>
            <rFont val="Tahoma"/>
            <family val="2"/>
          </rPr>
          <t>HP:Calificación</t>
        </r>
        <r>
          <rPr>
            <sz val="9"/>
            <color indexed="81"/>
            <rFont val="Tahoma"/>
            <family val="2"/>
          </rPr>
          <t xml:space="preserve">
Se uso para la materia de TEORÍA DEL CASO -</t>
        </r>
      </text>
    </comment>
    <comment ref="U361" authorId="1" shapeId="0" xr:uid="{9EAC5FB1-219B-451B-AF4A-2B59D02597DB}">
      <text>
        <r>
          <rPr>
            <b/>
            <sz val="9"/>
            <color indexed="81"/>
            <rFont val="Tahoma"/>
            <family val="2"/>
          </rPr>
          <t>HP: Calificación
Se uso para la materia de OBTENCIÓN Y MEDIOS DE PRUEBA -</t>
        </r>
      </text>
    </comment>
    <comment ref="T362" authorId="1" shapeId="0" xr:uid="{138DF4AF-E4C0-4598-8041-A3B80DA73A37}">
      <text>
        <r>
          <rPr>
            <b/>
            <sz val="9"/>
            <color indexed="81"/>
            <rFont val="Tahoma"/>
            <family val="2"/>
          </rPr>
          <t xml:space="preserve">HP:Calificacion 
Se uso para la clase de TEORÍA DEL CASO </t>
        </r>
      </text>
    </comment>
    <comment ref="U362" authorId="1" shapeId="0" xr:uid="{162319FC-7A82-4287-95E7-8EA0B9891A20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uso para la materia de 
OBTENCIÓN Y MEDIOS DE PRUEBA
</t>
        </r>
      </text>
    </comment>
    <comment ref="T363" authorId="1" shapeId="0" xr:uid="{7C5FD184-7082-42B1-96B6-DBA28367E652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uso para la  materia de TEORÍA DEL CASO </t>
        </r>
      </text>
    </comment>
    <comment ref="U363" authorId="1" shapeId="0" xr:uid="{D8DECCFA-B5E5-41FC-99E2-D64EDE58AEA5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uso para la materia de 
OBTENCIÓN Y MEDIOS DE PRUEBA</t>
        </r>
      </text>
    </comment>
    <comment ref="T364" authorId="1" shapeId="0" xr:uid="{42A31C6A-3F6E-461F-9AB6-8963B520AF5C}">
      <text>
        <r>
          <rPr>
            <b/>
            <sz val="9"/>
            <color indexed="81"/>
            <rFont val="Tahoma"/>
            <family val="2"/>
          </rPr>
          <t xml:space="preserve">HP: Calificación </t>
        </r>
        <r>
          <rPr>
            <sz val="9"/>
            <color indexed="81"/>
            <rFont val="Tahoma"/>
            <family val="2"/>
          </rPr>
          <t xml:space="preserve">se uso para la materia de </t>
        </r>
        <r>
          <rPr>
            <b/>
            <sz val="9"/>
            <color indexed="81"/>
            <rFont val="Tahoma"/>
            <family val="2"/>
          </rPr>
          <t>Teoria del Caso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64" authorId="1" shapeId="0" xr:uid="{3F38E018-A4AE-4727-AE35-BAE526FDE9F2}">
      <text>
        <r>
          <rPr>
            <b/>
            <sz val="9"/>
            <color indexed="81"/>
            <rFont val="Tahoma"/>
            <family val="2"/>
          </rPr>
          <t xml:space="preserve">HP:La calificación 
Se uso para la materia de OBTENCIÓN Y MEDIOS DE PRUEBA
</t>
        </r>
      </text>
    </comment>
    <comment ref="G386" authorId="4" shapeId="0" xr:uid="{44CDA761-1B4F-4D3E-B4DE-2A5E87433F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tiene materias iniciales mayo 24</t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zM/oHZSHjU2yatPt++LMwhRCHDQ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AN79" authorId="0" shapeId="0" xr:uid="{3BC9028C-7226-4B62-943F-F7B4AF220EEB}">
      <text>
        <r>
          <rPr>
            <b/>
            <sz val="9"/>
            <color indexed="81"/>
            <rFont val="Tahoma"/>
            <family val="2"/>
          </rPr>
          <t xml:space="preserve">CALIFICACION:
</t>
        </r>
        <r>
          <rPr>
            <sz val="9"/>
            <color indexed="81"/>
            <rFont val="Tahoma"/>
            <family val="2"/>
          </rPr>
          <t>SE ANOTA EN SEQ SE REALIZA POR PROMEDIO</t>
        </r>
      </text>
    </comment>
    <comment ref="AI148" authorId="0" shapeId="0" xr:uid="{6B6F191D-DD7C-4218-B8D4-8DDC0E66789E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monto solo para plataforma SEQ.
</t>
        </r>
      </text>
    </comment>
    <comment ref="AI188" authorId="0" shapeId="0" xr:uid="{1ED59976-EA00-4FBE-BEB0-37C6CFEAADD6}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Se monto solo para plataforma SEQ.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U51" authorId="0" shapeId="0" xr:uid="{77F9AA99-FE2F-43D3-A53B-FA9B58986557}">
      <text>
        <r>
          <rPr>
            <sz val="11"/>
            <color theme="1"/>
            <rFont val="Calibri"/>
            <family val="2"/>
            <scheme val="minor"/>
          </rPr>
          <t>======
ID#AAAAPIAzmcc
Coordinación Escolar    (2021-06-15 23:59:52)
TOMO JT</t>
        </r>
      </text>
    </comment>
    <comment ref="V51" authorId="0" shapeId="0" xr:uid="{9C1F7487-D4EC-4CC1-B08B-7F4D995F4FCA}">
      <text>
        <r>
          <rPr>
            <sz val="11"/>
            <color theme="1"/>
            <rFont val="Calibri"/>
            <family val="2"/>
            <scheme val="minor"/>
          </rPr>
          <t>======
ID#AAAAPIAzmbk
Coordinación Escolar    (2021-06-16 00:00:03)
EQUIVALENCIA</t>
        </r>
      </text>
    </comment>
    <comment ref="AB51" authorId="0" shapeId="0" xr:uid="{713C255F-01FC-439E-B75C-891019AC11A4}">
      <text>
        <r>
          <rPr>
            <sz val="11"/>
            <color theme="1"/>
            <rFont val="Calibri"/>
            <family val="2"/>
            <scheme val="minor"/>
          </rPr>
          <t>======
ID#AAAAPIAzmck
OFICINA IUAF    (2021-06-15 16:16:46)
9 en equivalencia</t>
        </r>
      </text>
    </comment>
    <comment ref="AD51" authorId="0" shapeId="0" xr:uid="{D6434A34-648B-4396-BE8F-CFE75A1A3680}">
      <text>
        <r>
          <rPr>
            <sz val="11"/>
            <color theme="1"/>
            <rFont val="Calibri"/>
            <family val="2"/>
            <scheme val="minor"/>
          </rPr>
          <t>======
ID#AAAAPIAzmbg
M.A. Yasmin Campos    (2021-06-25 21:04:02)
NO SE HAN TOMADO</t>
        </r>
      </text>
    </comment>
    <comment ref="AX51" authorId="0" shapeId="0" xr:uid="{0937EEA3-0DED-4847-8D3D-D213D3DE59DC}">
      <text>
        <r>
          <rPr>
            <sz val="11"/>
            <color theme="1"/>
            <rFont val="Calibri"/>
            <family val="2"/>
            <scheme val="minor"/>
          </rPr>
          <t>======
ID#AAAAPIAzmdI
OFICINA IUAF    (2021-06-15 16:16:46)
6 en equivalencia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88C934-8DB6-482C-B8E8-99F1F91D6649}" keepAlive="1" name="Consulta - Tabla3" description="Conexión a la consulta 'Tabla3' en el libro." type="5" refreshedVersion="8" background="1" refreshOnLoad="1" saveData="1">
    <dbPr connection="Provider=Microsoft.Mashup.OleDb.1;Data Source=$Workbook$;Location=Tabla3;Extended Properties=&quot;&quot;" command="SELECT * FROM [Tabla3]"/>
  </connection>
</connections>
</file>

<file path=xl/sharedStrings.xml><?xml version="1.0" encoding="utf-8"?>
<sst xmlns="http://schemas.openxmlformats.org/spreadsheetml/2006/main" count="19347" uniqueCount="5540">
  <si>
    <t xml:space="preserve">ALUMNO EN ROJO ES BAJA , YA NO TENDRÁ CALIFICACIONES, ELIMINAR DE LA LISTA DE GRUPO </t>
  </si>
  <si>
    <t>PROMEDIO YA EN R</t>
  </si>
  <si>
    <t>SOMBREADO PARA CALIFICACIÓN POR SISTEMA O MATERIA NO CURSADA</t>
  </si>
  <si>
    <t>-7 extraordinarios</t>
  </si>
  <si>
    <t>MATERIA REPROBADA</t>
  </si>
  <si>
    <t>No.</t>
  </si>
  <si>
    <t>CLAVE UNICA DE REGISTRO DE POBLACIÓN
CURP</t>
  </si>
  <si>
    <t>MATRÍCULA</t>
  </si>
  <si>
    <t>NOMBRE COMPLETO DE LOS ALUMNOS</t>
  </si>
  <si>
    <t>SEXO</t>
  </si>
  <si>
    <t>FECHA DE NACIMIENTO</t>
  </si>
  <si>
    <t xml:space="preserve">PRIMER CUATRIMESTRE </t>
  </si>
  <si>
    <t>SEGUNDO CUATRI JUNIO -SEP 2022</t>
  </si>
  <si>
    <t>TERCER CUATRI (MAYO - AGOSTO)</t>
  </si>
  <si>
    <t>CUARTO CUATRI (SEPTIEMBRE - DICIEMBRE)</t>
  </si>
  <si>
    <t>QUINTO CUATRI ( - )</t>
  </si>
  <si>
    <t>SEXTO CUATRI ( -)</t>
  </si>
  <si>
    <t>SEPTIMO CUATRI ( -)</t>
  </si>
  <si>
    <t>OCTAVO CUATRI ( -)</t>
  </si>
  <si>
    <t>NOVENO</t>
  </si>
  <si>
    <t>https://classroom.google.com/r/NDYwNDQ5MzQyNDUz/sort-last-name</t>
  </si>
  <si>
    <t>https://classroom.google.com/w/NDYyMjE5OTYzMjc5/t/all</t>
  </si>
  <si>
    <t>https://classroom.google.com/w/NDYyMjIyOTY3NjQy/t/all</t>
  </si>
  <si>
    <t>https://classroom.google.com/w/NDYyMjIyOTY3ODE0/t/all</t>
  </si>
  <si>
    <t>https://classroom.google.com/w/NDY2OTI2NDIyOTEy/t/all</t>
  </si>
  <si>
    <t>https://classroom.google.com/w/NDY2OTMyMjg1MTMy/t/all</t>
  </si>
  <si>
    <t>https://classroom.google.com/c/MzkxMDEzMzYxNjYx</t>
  </si>
  <si>
    <t>GRUPO DE CURSO</t>
  </si>
  <si>
    <t>sabatino</t>
  </si>
  <si>
    <t>01LD</t>
  </si>
  <si>
    <t>02LD</t>
  </si>
  <si>
    <t>03LD</t>
  </si>
  <si>
    <t>04LD</t>
  </si>
  <si>
    <t>05LD</t>
  </si>
  <si>
    <t>06LD</t>
  </si>
  <si>
    <t>08LD</t>
  </si>
  <si>
    <t>09LD</t>
  </si>
  <si>
    <t>13LD</t>
  </si>
  <si>
    <t>10LD</t>
  </si>
  <si>
    <t>11LD</t>
  </si>
  <si>
    <t>12LD</t>
  </si>
  <si>
    <t>14LD</t>
  </si>
  <si>
    <t>15LD</t>
  </si>
  <si>
    <t>16LD</t>
  </si>
  <si>
    <t>17LD</t>
  </si>
  <si>
    <t>18LD</t>
  </si>
  <si>
    <t>20LD</t>
  </si>
  <si>
    <t>19LD</t>
  </si>
  <si>
    <t>40LD</t>
  </si>
  <si>
    <t>21LD</t>
  </si>
  <si>
    <t>23LD</t>
  </si>
  <si>
    <t>22LD</t>
  </si>
  <si>
    <t>24LD</t>
  </si>
  <si>
    <t>25LD</t>
  </si>
  <si>
    <t>26LD</t>
  </si>
  <si>
    <t>27LD</t>
  </si>
  <si>
    <t>28LD</t>
  </si>
  <si>
    <t>29LD</t>
  </si>
  <si>
    <t>30LD</t>
  </si>
  <si>
    <t>31LD</t>
  </si>
  <si>
    <t>32LD</t>
  </si>
  <si>
    <t xml:space="preserve">33LD </t>
  </si>
  <si>
    <t>34LD</t>
  </si>
  <si>
    <t>35LD</t>
  </si>
  <si>
    <t>36LD</t>
  </si>
  <si>
    <t>37LD</t>
  </si>
  <si>
    <t>38LD</t>
  </si>
  <si>
    <t>39LD</t>
  </si>
  <si>
    <t>41LD</t>
  </si>
  <si>
    <t>42LD</t>
  </si>
  <si>
    <t>43LD</t>
  </si>
  <si>
    <t>44LD</t>
  </si>
  <si>
    <t>45LD</t>
  </si>
  <si>
    <t>46LD</t>
  </si>
  <si>
    <t>47LD</t>
  </si>
  <si>
    <t>07LD</t>
  </si>
  <si>
    <t>48LD</t>
  </si>
  <si>
    <t>INICIO 12-FEB-2022</t>
  </si>
  <si>
    <t xml:space="preserve"> TRANSCRIBIRLO FIELMENTE DEL ACTA DE NACIMIENTO      PRIMER APELLIDO/SEGUNDO APELLIDO*NOMBRE (S)</t>
  </si>
  <si>
    <t>AÑO</t>
  </si>
  <si>
    <t>MES</t>
  </si>
  <si>
    <t>DIA</t>
  </si>
  <si>
    <t>INTRODUCCIÓN AL DERECHO</t>
  </si>
  <si>
    <t>TEORÍA POLÍTICA</t>
  </si>
  <si>
    <t xml:space="preserve">TEORÍA GENERAL DEL PROCESO I </t>
  </si>
  <si>
    <t xml:space="preserve"> INVESTIGACIÓN DOCUMENTAL Y EMPÍRICA</t>
  </si>
  <si>
    <t>TEORÍA DE LA CONSTITUCIÓN</t>
  </si>
  <si>
    <t>TEORÍA DEL DERECHO</t>
  </si>
  <si>
    <t>TEORIA DEL DERECHO PENAL Y DEL DELITO</t>
  </si>
  <si>
    <t>SOCIOLOGIA JURIDICA</t>
  </si>
  <si>
    <t xml:space="preserve">ARGUMENTACION JURIDICA Y EMPIRICA </t>
  </si>
  <si>
    <t>SOCIEDADES Y ASOCIACIONES CIVILES</t>
  </si>
  <si>
    <t>DERECHO MERCANTIL</t>
  </si>
  <si>
    <t>TECNICAS DE LA INVESTIGACIÓN JURIDICA</t>
  </si>
  <si>
    <t>TÍTULOS Y OPERACIONES DE CRÉDITO</t>
  </si>
  <si>
    <t>DERECHO PROCESAL PENAL</t>
  </si>
  <si>
    <t xml:space="preserve">DERECHO PROCESAL LABORAL </t>
  </si>
  <si>
    <t xml:space="preserve">DERECHO INTERNACIONAL PRIVADO </t>
  </si>
  <si>
    <t>TECNICAS DE EXPRESIÓN ORAL Y ESCRITA</t>
  </si>
  <si>
    <t>ÉTICA PROFESIONAL</t>
  </si>
  <si>
    <t xml:space="preserve">DELITOS EN PARTICULAR </t>
  </si>
  <si>
    <t>DERECHO INTERNACIONAL PÚBLICO</t>
  </si>
  <si>
    <t>DERECHO ADMINISTRATIVO</t>
  </si>
  <si>
    <t>DERECHOS HUMANOS Y FUNDAMENTALES</t>
  </si>
  <si>
    <t>AMPARO</t>
  </si>
  <si>
    <t>DERECHO PROCESAL CIVIL</t>
  </si>
  <si>
    <t>TEORIA GENERAL DEL PROCESO II</t>
  </si>
  <si>
    <t>CONTRATOS</t>
  </si>
  <si>
    <t>DERECHO PROCESA ADMINISTRATIVO</t>
  </si>
  <si>
    <t>LIDERAZGO</t>
  </si>
  <si>
    <t>ECONOMÍA DEL DERECHO</t>
  </si>
  <si>
    <t>DERECHO FISCAL</t>
  </si>
  <si>
    <t>PERSONAS Y FAMILIA</t>
  </si>
  <si>
    <t>BIENES Y DERECHO LABORAL</t>
  </si>
  <si>
    <t>DERECHO LABORAL</t>
  </si>
  <si>
    <t>GESTIÓN DEL EMPRENDIMIENTO</t>
  </si>
  <si>
    <t>MEDIOS ALTERNOS DE SOLUCIÓN DE CONFLICTOS</t>
  </si>
  <si>
    <t>SOCIEDADES MERCANTILES</t>
  </si>
  <si>
    <t>DERECHO FAMILIAR Y SUCESIONES</t>
  </si>
  <si>
    <t>CONTRATOS MERCANTILES</t>
  </si>
  <si>
    <t xml:space="preserve">ETAPAS DE LA INVESTIGACIÓN E INTERMEDIA </t>
  </si>
  <si>
    <t xml:space="preserve"> DERECHO INTERNACIONAL PÚBLICO</t>
  </si>
  <si>
    <t>DERECHO PROCESAL MERCANTIL</t>
  </si>
  <si>
    <t>JUICIO ORAL</t>
  </si>
  <si>
    <t>DERECHO MIGRATORIO</t>
  </si>
  <si>
    <t>PREVENCIÓN Y SEGURIDAD HUMANA</t>
  </si>
  <si>
    <t xml:space="preserve"> POLÍTICAS PÚBLICAS Y REGULACIÓN</t>
  </si>
  <si>
    <t>DERECHO ELECTORAL</t>
  </si>
  <si>
    <t>EQUIDAD Y PERSPECTIVA DE GÉNERO</t>
  </si>
  <si>
    <t>ARGUMENTACIÓN Y ESCRITURA JURÍDICA EN INGLÉS</t>
  </si>
  <si>
    <t>SEMINARIO DE TITULACION</t>
  </si>
  <si>
    <t>BARA961008HQRZDN02</t>
  </si>
  <si>
    <t>64LD05A-01</t>
  </si>
  <si>
    <t>BAEZA RODRIGUEZ ANDRES</t>
  </si>
  <si>
    <t>LD04A</t>
  </si>
  <si>
    <t>P/C</t>
  </si>
  <si>
    <t>p/c</t>
  </si>
  <si>
    <t>CAGC870715MNENRN06</t>
  </si>
  <si>
    <t>64LD05A-02</t>
  </si>
  <si>
    <t>CANTU GARZA CANTALICIA</t>
  </si>
  <si>
    <t>GOBA880316HCSNLB02</t>
  </si>
  <si>
    <t>64LD05A-03</t>
  </si>
  <si>
    <t>GONZALEZ BALBOA ABRAHAM</t>
  </si>
  <si>
    <t>HESJ780125HZSRRN06</t>
  </si>
  <si>
    <t>64LD05A-04</t>
  </si>
  <si>
    <t>HERNANDEZ SORIANO JUAN DE DIOS</t>
  </si>
  <si>
    <t>MORF960825MDFRMR00</t>
  </si>
  <si>
    <t>64LD05A-05</t>
  </si>
  <si>
    <t>PAAM720306MYNCKR08</t>
  </si>
  <si>
    <t>64LD05A-06</t>
  </si>
  <si>
    <t>POCL991024MQRLRN00</t>
  </si>
  <si>
    <t>64LD05A-09</t>
  </si>
  <si>
    <t>POOL CRUZ LANDY ESTHER</t>
  </si>
  <si>
    <t>SALR971024HJCNZB04</t>
  </si>
  <si>
    <t>64LD05A-07</t>
  </si>
  <si>
    <t>TEDR720718HNLRZB01</t>
  </si>
  <si>
    <t>TREVIÑO DIAZ ROBERTO</t>
  </si>
  <si>
    <t xml:space="preserve">MAYO </t>
  </si>
  <si>
    <t>JULIO -agosto</t>
  </si>
  <si>
    <t>sep</t>
  </si>
  <si>
    <t>SEP-DIC 2020</t>
  </si>
  <si>
    <t>SEGUNDO CUATRI (ENE- ABRIL 2021)</t>
  </si>
  <si>
    <t>TERCER CUATRI (MAYO - AGOSTO 2021)</t>
  </si>
  <si>
    <t>CUARTO CUATRI (SEPTIEMBRE - DICIEMBRE 2021)</t>
  </si>
  <si>
    <t>QUINTO CUATRIMESTRE (ENERO- ABRIL 2022)</t>
  </si>
  <si>
    <t>SEXTO CUATRIMESTRE ( MAYO-AGOSTO 2022)</t>
  </si>
  <si>
    <t>SEPTIMO CUATRIMESTRE (SEPTIEMBRE - DICIEMBRE 2022)</t>
  </si>
  <si>
    <t>OCTAVO CUATRIMESTRE ( ENERO-ABRIL 2023)</t>
  </si>
  <si>
    <t>https://classroom.google.com/c/MTg0NDM4MDExNDQ0</t>
  </si>
  <si>
    <t>https://classroom.google.com/c/MTU5NzQ2NDk2MDQx</t>
  </si>
  <si>
    <t>https://classroom.google.com/c/MTU5NzQ2NDk2MTE0</t>
  </si>
  <si>
    <t>https://classroom.google.com/c/MjY4ODcyMTM3NTE0</t>
  </si>
  <si>
    <t>https://classroom.google.com/c/MjA3ODA1ODc0Njgx</t>
  </si>
  <si>
    <t xml:space="preserve"> </t>
  </si>
  <si>
    <t>https://classroom.google.com/c/MTk2NDA2OTcyODAx</t>
  </si>
  <si>
    <t>https://classroom.google.com/c/MjUyNDM5NDIyOTc0</t>
  </si>
  <si>
    <t>https://classroom.google.com/c/MjY4ODY4MTI3NzE5</t>
  </si>
  <si>
    <t>https://classroom.google.com/c/MjY4ODY5MDU3NDEx</t>
  </si>
  <si>
    <t>https://classroom.google.com/c/MjY4ODY5MDU3NTcz</t>
  </si>
  <si>
    <t>https://classroom.google.com/c/MzA1MTk5MDYwNTg5</t>
  </si>
  <si>
    <t>https://classroom.google.com/c/MzI0MTAxNDQxNTUy</t>
  </si>
  <si>
    <t>https://classroom.google.com/c/MzI0MTAxNDQxNjIz</t>
  </si>
  <si>
    <t>https://classroom.google.com/c/MzM3NjAwNDE1NDMy</t>
  </si>
  <si>
    <t>https://classroom.google.com/c/MzgzMjMxNDE1NDU2</t>
  </si>
  <si>
    <t>https://classroom.google.com/c/MzU3MjY0OTY2Njc3</t>
  </si>
  <si>
    <t>https://classroom.google.com/c/MzgzMjI4ODE2Njc4</t>
  </si>
  <si>
    <t>https://classroom.google.com/r/MzkxMDEzODc4MjUy/sort-last-name</t>
  </si>
  <si>
    <t>https://classroom.google.com/c/MzkxMDE4NTkwNDQz</t>
  </si>
  <si>
    <t>https://classroom.google.com/c/NDExNzk0MzM1OTk2</t>
  </si>
  <si>
    <t>https://classroom.google.com/c/NDExNzk0MzM2MjYw?cjc=wmanj3y</t>
  </si>
  <si>
    <t>https://classroom.google.com/u/0/c/NDQzODcwNTc1MjUz</t>
  </si>
  <si>
    <t>https://classroom.google.com/u/0/w/NDQzODcwNTc1ODIz/t/all</t>
  </si>
  <si>
    <t>https://classroom.google.com/w/NDYwOTAzNjkyODM3/t/all</t>
  </si>
  <si>
    <t>https://classroom.google.com/w/NDYxOTcyNzAxMTkx/t/all</t>
  </si>
  <si>
    <t>https://classroom.google.com/c/NDgyNjcwODEyOTA5</t>
  </si>
  <si>
    <t xml:space="preserve">link de classroom </t>
  </si>
  <si>
    <t>link de classroom</t>
  </si>
  <si>
    <t>LD 03C</t>
  </si>
  <si>
    <t>INICIO (sep 20)</t>
  </si>
  <si>
    <t>https://classroom.google.com/c/MzkxMDEzODc3NzQ1</t>
  </si>
  <si>
    <t>https://classroom.google.com/c/MzkxMDEzODc4MjUy</t>
  </si>
  <si>
    <t>https://classroom.google.com/c/NDAxNDU4OTMzNTI5?cjc=2qsluli</t>
  </si>
  <si>
    <t>CAMBIAR GRUPO</t>
  </si>
  <si>
    <t>PABC921206HYNLNR06</t>
  </si>
  <si>
    <t>PALOMO BONILLA CARLOS EDUARDO</t>
  </si>
  <si>
    <t>CAGM010321MVZHNRA6</t>
  </si>
  <si>
    <t>64LD03C-03</t>
  </si>
  <si>
    <t>CHAIN GONZALEZ MARIA</t>
  </si>
  <si>
    <t>PC</t>
  </si>
  <si>
    <t>LADJ990603HQRRLR02</t>
  </si>
  <si>
    <t>LARA DELGADO JERRY VENTURA</t>
  </si>
  <si>
    <t>LISA921027HSPRLR02</t>
  </si>
  <si>
    <t>LIRA SOLIS ARMANDO</t>
  </si>
  <si>
    <t>LOAK960213HOCPLV01</t>
  </si>
  <si>
    <t>64LD03C-08</t>
  </si>
  <si>
    <t>LOPEZ ALCALA KEVIN</t>
  </si>
  <si>
    <t>TERI990829MDFHYT00</t>
  </si>
  <si>
    <t>TEHUTLE RAYA ITZHEL</t>
  </si>
  <si>
    <t>ZEIV030316HQRLBRA4</t>
  </si>
  <si>
    <t>ZELAYA IBARRA JOSE VIRGILIO</t>
  </si>
  <si>
    <t>GOGF741017MVZNLR02</t>
  </si>
  <si>
    <t>EN ESPERA</t>
  </si>
  <si>
    <t>TAMAYO CACHON BRANDON STEVEN</t>
  </si>
  <si>
    <t xml:space="preserve">BAJAS </t>
  </si>
  <si>
    <t>CAMR770530HQRMNM07</t>
  </si>
  <si>
    <t>baja</t>
  </si>
  <si>
    <t>CAAMAL MENDOZA ROMAN ABRAHAM</t>
  </si>
  <si>
    <t>CERN840329MYNTZY07</t>
  </si>
  <si>
    <t>CETINA RUIZ NAYELY GUADALUPE</t>
  </si>
  <si>
    <t>MAMT610307HDFRRM04</t>
  </si>
  <si>
    <t>MARIN MARTINEZ TOMAS</t>
  </si>
  <si>
    <t>AUMM790127MDFGCN08</t>
  </si>
  <si>
    <t>LD02AB</t>
  </si>
  <si>
    <t>SEGUNDO CUATRI (ENE- ABRIL)</t>
  </si>
  <si>
    <t>CUARTO CUATRI ( - )</t>
  </si>
  <si>
    <t xml:space="preserve">NOVENO </t>
  </si>
  <si>
    <t>https://classroom.google.com/c/MTU5NTI3MDAxOTM2</t>
  </si>
  <si>
    <t>https://classroom.google.com/c/MTQ2MTUyNjcwMzE1</t>
  </si>
  <si>
    <t>https://classroom.google.com/c/MzQwNjI1NTc4ODFa</t>
  </si>
  <si>
    <t>https://classroom.google.com/c/MTQ2MzQ5NjA1NzIw</t>
  </si>
  <si>
    <t>https://classroom.google.com/c/MTcyNDE0OTc0NTY5</t>
  </si>
  <si>
    <t>https://classroom.google.com/c/MTczMTI4MjkyMTEx</t>
  </si>
  <si>
    <t>https://classroom.google.com/c/Mzc3MTA1Mjk4NDc1</t>
  </si>
  <si>
    <t>https://classroom.google.com/c/MjQ3Mzc5MTAxODY2</t>
  </si>
  <si>
    <t>https://classroom.google.com/c/MjY4NTM1MDY2Mzky</t>
  </si>
  <si>
    <t>https://classroom.google.com/c/MjY4NTM1MDY2NDA4</t>
  </si>
  <si>
    <t>https://classroom.google.com/c/MjUzNzQxNzAyNDUz</t>
  </si>
  <si>
    <t>https://classroom.google.com/c/MjUzNzQxNzAyNTk4</t>
  </si>
  <si>
    <t>https://classroom.google.com/c/MzI0MTAxNDAxODMz</t>
  </si>
  <si>
    <t>https://classroom.google.com/c/MzI0MTAxNDAxOTU4</t>
  </si>
  <si>
    <t>https://classroom.google.com/c/MzMxNTk2ODk1NzE1</t>
  </si>
  <si>
    <t>https://classroom.google.com/c/MzMxNjA4MzQ3MDM0</t>
  </si>
  <si>
    <t>https://classroom.google.com/c/MzY5MjEyMTM2Nzgy</t>
  </si>
  <si>
    <t>https://classroom.google.com/c/MzA1ODg1NDc3NDYy</t>
  </si>
  <si>
    <t>https://classroom.google.com/c/MzgzMjIxMTE1MDY3</t>
  </si>
  <si>
    <t>https://classroom.google.com/c/MzgzMjU1MjAxNTQx</t>
  </si>
  <si>
    <t>https://classroom.google.com/c/NDIxNTAwMTQwMjIx?cjc=oz2hywy</t>
  </si>
  <si>
    <t>https://classroom.google.com/c/NDI2NTgzMjA5NTM5?cjc=vx4zfl2</t>
  </si>
  <si>
    <t>https://classroom.google.com/w/NDExNzk0MzM1ODg0/t/all</t>
  </si>
  <si>
    <t>https://classroom.google.com/c/NDQ0OTY3MjkxMjA0</t>
  </si>
  <si>
    <t>33LD</t>
  </si>
  <si>
    <t>40LD EXTRA</t>
  </si>
  <si>
    <t>URZUA</t>
  </si>
  <si>
    <t>INICIO:</t>
  </si>
  <si>
    <t>Introduccion al Derecho</t>
  </si>
  <si>
    <t>Teoria General del Proceso</t>
  </si>
  <si>
    <t>Teoria Politica</t>
  </si>
  <si>
    <t>INVESTIGACIÓN DOCUMENTAL Y EMPIRICA</t>
  </si>
  <si>
    <t>Teoria de la Constitucion</t>
  </si>
  <si>
    <t>Teria del Derecho</t>
  </si>
  <si>
    <t>TEORÍA DEL DERECHO PENAL Y DEL DELITO</t>
  </si>
  <si>
    <t xml:space="preserve">SOCIOLOGÍA JURÍDICA </t>
  </si>
  <si>
    <t xml:space="preserve">SOCIEDADES Y ASOCIACIONES CIVILES </t>
  </si>
  <si>
    <t>TÉCNICAS DE INVESTIGACIÓN JURÍDICA</t>
  </si>
  <si>
    <t>ARGUMENTACIÓN JURÍDICA E INTERPRETACIÓN</t>
  </si>
  <si>
    <t>DERECHO PROCESAL LABORAL</t>
  </si>
  <si>
    <t>DERECHO INTERNACIONAL PRIVADO</t>
  </si>
  <si>
    <t>TÉCNICAS DE EXPRESIÓN ORAL Y ESCRITA</t>
  </si>
  <si>
    <t>DELITOS EN PARTICULAR</t>
  </si>
  <si>
    <t>DERECHOS HUMANOS Y FUND</t>
  </si>
  <si>
    <t>TEORÍA GENERAL DEL PROCESO II</t>
  </si>
  <si>
    <t>DERECHO PROCESAL ADMINISTRATIVO</t>
  </si>
  <si>
    <t>LIDERAZGO Y ÉTICA PROFESIONAL</t>
  </si>
  <si>
    <t>gestión del emprendimiento</t>
  </si>
  <si>
    <t xml:space="preserve">PERSONAS Y FAMILIA </t>
  </si>
  <si>
    <t xml:space="preserve">ECONOMÍA DEL DERECHO </t>
  </si>
  <si>
    <t xml:space="preserve">BIENES Y DERECHOS REALES </t>
  </si>
  <si>
    <t xml:space="preserve">DERECHO LABORAL </t>
  </si>
  <si>
    <t xml:space="preserve">MEDIOS ALTERNOS DE SOLUCIÓN DE CONFLICTOS </t>
  </si>
  <si>
    <t xml:space="preserve">SOCIEDADES MERCANTILES </t>
  </si>
  <si>
    <t>oratoria jurídica</t>
  </si>
  <si>
    <t>POLÍTICAS PÚBLICAS Y REGULACIÓN</t>
  </si>
  <si>
    <t>CONCURSO DE JUICIO ORAL</t>
  </si>
  <si>
    <t>AOGJ940816MQRLRD05</t>
  </si>
  <si>
    <t>64LD02B-01</t>
  </si>
  <si>
    <t>1PXS ELECTORAL 1PXS PREVENCIÓN</t>
  </si>
  <si>
    <t>AEHJ961123HQRNRH00</t>
  </si>
  <si>
    <t>64LD02B-02</t>
  </si>
  <si>
    <t>2PXS POLITICAS PUBLICAS Y REGULACIÓN</t>
  </si>
  <si>
    <t>CASF840629MQRHGT02</t>
  </si>
  <si>
    <t>64LD02B-05</t>
  </si>
  <si>
    <t>LOIG850720HYNRND05</t>
  </si>
  <si>
    <t>64LD02B-06</t>
  </si>
  <si>
    <t>ROAE860131HTCDVD01</t>
  </si>
  <si>
    <t>64LD02B-08</t>
  </si>
  <si>
    <t>pc</t>
  </si>
  <si>
    <t>SARS950816MTCNYL06</t>
  </si>
  <si>
    <t>64LD02B-09</t>
  </si>
  <si>
    <t>VEVJ981103MMCLLZ00</t>
  </si>
  <si>
    <t>64LD02B-10</t>
  </si>
  <si>
    <t>1PXS MIGRATORIO 1PXS PREVENCIÓN</t>
  </si>
  <si>
    <t>VIGE780529HQRLMD09</t>
  </si>
  <si>
    <t>64LD02B-11</t>
  </si>
  <si>
    <t>VILLAMIL GOMEZ EDUARDO</t>
  </si>
  <si>
    <t>SAUJ870910HTCNRN01</t>
  </si>
  <si>
    <t>64LD03A-18</t>
  </si>
  <si>
    <t>2PXS EN EQUIDAD</t>
  </si>
  <si>
    <t>HUMU981218HMCCXR10</t>
  </si>
  <si>
    <t>64LD03A2-11</t>
  </si>
  <si>
    <t>HUICOCHEA MUÑOZ URI OSMAR</t>
  </si>
  <si>
    <t>2PXS ELECTORAL</t>
  </si>
  <si>
    <t>64LD02A-02</t>
  </si>
  <si>
    <t>BAUTISTA DE DIOS YESICA</t>
  </si>
  <si>
    <t>2PXS POLÍTICAS PÚBLICAS</t>
  </si>
  <si>
    <t>OOLH711231HQRSXC00</t>
  </si>
  <si>
    <t>64LD02A-05</t>
  </si>
  <si>
    <t>8.9</t>
  </si>
  <si>
    <t>2PXS MIGRATORIO</t>
  </si>
  <si>
    <t>VIGM710129MTCDLN03</t>
  </si>
  <si>
    <t>64LD03A-17</t>
  </si>
  <si>
    <t>AUMB970810HVZQNR04</t>
  </si>
  <si>
    <t>64LD02B-03</t>
  </si>
  <si>
    <t>AQUINO MONTILLO BRIAN ELOY</t>
  </si>
  <si>
    <t>CECJ840615HQRTRL06</t>
  </si>
  <si>
    <t xml:space="preserve">EN ESPERA </t>
  </si>
  <si>
    <t>CETINA CARRILLO JULIO MANUEL</t>
  </si>
  <si>
    <t>MOMI791016MCSRRR06</t>
  </si>
  <si>
    <t>LD 2C</t>
  </si>
  <si>
    <t>CUARTO CUATRI ( -)</t>
  </si>
  <si>
    <t>QUINTO CUATRI ( - ) abril-julio</t>
  </si>
  <si>
    <t>SEXTO CUATRI ( -) AGOSTO A NOVI 2021</t>
  </si>
  <si>
    <t xml:space="preserve">kantunilkin </t>
  </si>
  <si>
    <t>https://classroom.google.com/c/MjcxOTAxMTQ2NDM0</t>
  </si>
  <si>
    <t>https://classroom.google.com/c/MjczNTA5MDc0ODEy</t>
  </si>
  <si>
    <t>https://classroom.google.com/c/MzAzMzE2OTU0OTky</t>
  </si>
  <si>
    <t>https://classroom.google.com/c/MjgwNDM5NzY1NjY2</t>
  </si>
  <si>
    <t>https://classroom.google.com/c/MzM3NjAwMzMyMDY4</t>
  </si>
  <si>
    <t>https://classroom.google.com/c/MzMxNjQ4NjI3MzQ2</t>
  </si>
  <si>
    <t>https://classroom.google.com/c/MzY1Mzg1MDk3NjM3</t>
  </si>
  <si>
    <t>https://classroom.google.com/c/MzcxNjczMjE1NzY3</t>
  </si>
  <si>
    <t>https://classroom.google.com/c/MzgzMjA5MzUxMzA2</t>
  </si>
  <si>
    <t>https://classroom.google.com/c/MzgzMjU1MjAxNzY3</t>
  </si>
  <si>
    <t>https://classroom.google.com/c/NDEyNDIyNTEwMDQ2?cjc=xmec2si</t>
  </si>
  <si>
    <t>https://classroom.google.com/u/0/c/NDQ0MzUxMDM0MDgz</t>
  </si>
  <si>
    <t>https://classroom.google.com/u/0/w/NDQzODcwNTc1NTA1/t/all</t>
  </si>
  <si>
    <t>https://classroom.google.com/w/NDYxNzc1Mzg0Mjk4/t/all</t>
  </si>
  <si>
    <t>https://classroom.google.com/c/MzgzMjU1MjAxNzY3?cjc=4eycj3d</t>
  </si>
  <si>
    <t>https://classroom.google.com/w/NDYxOTcyNzAxOTM0/t/all</t>
  </si>
  <si>
    <t xml:space="preserve">https://classroom.google.com/w/NDY3OTI1NjkxMzg5/t/all </t>
  </si>
  <si>
    <t xml:space="preserve">https://classroom.google.com/w/NDYxOTgzNTE2OTY5/t/all </t>
  </si>
  <si>
    <t>https://classroom.google.com/c/NTEwMjI4MjE5NDc2</t>
  </si>
  <si>
    <t>https://classroom.google.com/c/NDg2NDI1NTM3MTA5?cjc=bhyrk5v</t>
  </si>
  <si>
    <t>https://classroom.google.com/c/NTExMjgzMjkwNTM3?cjc=xwzpoey</t>
  </si>
  <si>
    <t>TEORÍA GENERAL DEL PROCESO</t>
  </si>
  <si>
    <t xml:space="preserve">INCESTIGSACIÓN DOCUMENTAL Y EMPÍRICA </t>
  </si>
  <si>
    <t xml:space="preserve">TEORÍA DEL DERECHO </t>
  </si>
  <si>
    <t xml:space="preserve"> ARGUMENTACIÓN  JURÍDICA Y EMPIRICA </t>
  </si>
  <si>
    <t>SOCIOLOGÍA JURÍDICA</t>
  </si>
  <si>
    <t xml:space="preserve"> TÉCNICAS DE LA INVESTIGACIÓN JURÍDICA</t>
  </si>
  <si>
    <t>DERECHO INTERNCIONAL PRIVADO</t>
  </si>
  <si>
    <t xml:space="preserve">ARGUMENTACIÓN JURÍDICA E INTERPRETACIÓN </t>
  </si>
  <si>
    <t xml:space="preserve">TÉCNICAS DE EXPRESIÓN ORAL </t>
  </si>
  <si>
    <t xml:space="preserve">DERECHOS HUMANOS Y FUNDAMENTALES </t>
  </si>
  <si>
    <t>ECONOMIA DEL DERECHO</t>
  </si>
  <si>
    <t>DERECHO  FISCAL</t>
  </si>
  <si>
    <t>BIENES Y DERECHOS REALES</t>
  </si>
  <si>
    <t>MEDIO ALTERNOS DE SOLUCIÓN DE CONFLICTOS</t>
  </si>
  <si>
    <t>CACR871220HQRBNS16</t>
  </si>
  <si>
    <t>64LD02C-01</t>
  </si>
  <si>
    <t>CAB CANCHE RUSSEL JOSUE</t>
  </si>
  <si>
    <t>CEPF911107HQRHCR00</t>
  </si>
  <si>
    <t>64LD02C-02</t>
  </si>
  <si>
    <t>CHE PECH FRANCISCO JAVIER</t>
  </si>
  <si>
    <t>64LD02C-07</t>
  </si>
  <si>
    <t>HOY HAU LUIS ALBERTO</t>
  </si>
  <si>
    <t>KOKM890428MQRYMY09</t>
  </si>
  <si>
    <t>64LD02C-08</t>
  </si>
  <si>
    <t>KOYOC KUMUL MAYRA LETICIA</t>
  </si>
  <si>
    <t>MADL820509MQRYZN06</t>
  </si>
  <si>
    <t>64LD02C-10</t>
  </si>
  <si>
    <t>MAY DZIB LANDY MARIA</t>
  </si>
  <si>
    <t>OIGJ811219HTCRRN04</t>
  </si>
  <si>
    <t>64LD02C-12</t>
  </si>
  <si>
    <t>ORTIZ GARCIA JOSE JUAN</t>
  </si>
  <si>
    <t>OECB800124MQRXCL02</t>
  </si>
  <si>
    <t>64LD02C-13</t>
  </si>
  <si>
    <t>OXTE CAUICH BELCY ASAREEL</t>
  </si>
  <si>
    <t>POCD820928HQRLCV09</t>
  </si>
  <si>
    <t>64LD02C-16</t>
  </si>
  <si>
    <t>TIQC880818HQRZTR09</t>
  </si>
  <si>
    <t>64LD02C-17</t>
  </si>
  <si>
    <t>TZIU QUETZAL CARLOS FERNANDO</t>
  </si>
  <si>
    <t>KUPB730511HQRMCR06</t>
  </si>
  <si>
    <t>64LD03A-09</t>
  </si>
  <si>
    <t>KUMUL PECH BERNALDO AGUILLER</t>
  </si>
  <si>
    <t>cuarto cuatrimestre</t>
  </si>
  <si>
    <t>Derecho Procesal Acusatorio</t>
  </si>
  <si>
    <t>MDP01</t>
  </si>
  <si>
    <t>CICLO</t>
  </si>
  <si>
    <t xml:space="preserve">GRUPO DE CURSO </t>
  </si>
  <si>
    <t>Sistema de Justicia Penal en
México</t>
  </si>
  <si>
    <t>Argumentación Jurídica</t>
  </si>
  <si>
    <t>Técnicas, actos y medios de investigación I</t>
  </si>
  <si>
    <t>Técnicas, actos y medios de investigación II</t>
  </si>
  <si>
    <t>Teoria del Caaso</t>
  </si>
  <si>
    <t>Obtención y Medios de prueba</t>
  </si>
  <si>
    <t>Amparo Penal I</t>
  </si>
  <si>
    <t>Amparo Penal II</t>
  </si>
  <si>
    <t>Formalidades y procedimientos en las audiencias inicial, intermedia y debate</t>
  </si>
  <si>
    <t>Ejecución de penas</t>
  </si>
  <si>
    <t>Impugnación y sistema internacional de protección de derechos humanos II</t>
  </si>
  <si>
    <t xml:space="preserve">Impugnación y sistema internacional de protección de derechos humanos I </t>
  </si>
  <si>
    <t xml:space="preserve">Sistema Actuales del proceso penal acusatorio </t>
  </si>
  <si>
    <t>Retórica Argumentativa de los procesos penales</t>
  </si>
  <si>
    <t>Mecanismo de medios de solución de conflictos</t>
  </si>
  <si>
    <t>Sistema de Justicia Penal en México</t>
  </si>
  <si>
    <t>GUCG651128HDFZRR06</t>
  </si>
  <si>
    <t>64MDP01-01</t>
  </si>
  <si>
    <t>GUZMAN CERVANTES GERARDO</t>
  </si>
  <si>
    <t xml:space="preserve">MDPP </t>
  </si>
  <si>
    <t>CUGR820227MCCRNS07</t>
  </si>
  <si>
    <t>DE LA CRUZ GONZALEZ ROSENDA MARIA</t>
  </si>
  <si>
    <t>M</t>
  </si>
  <si>
    <t>H</t>
  </si>
  <si>
    <t>QUBJ891204MTSXRN06</t>
  </si>
  <si>
    <t>64MDP01-03</t>
  </si>
  <si>
    <t>QUIÑONES BARRON JANNIA ANABAENA</t>
  </si>
  <si>
    <t>ROAL560923HDFDYS03</t>
  </si>
  <si>
    <t>64MDP01-04</t>
  </si>
  <si>
    <t>RODRIGUEZ AYALA JOSE LUIS</t>
  </si>
  <si>
    <t>64MDP01-05</t>
  </si>
  <si>
    <t>VEGJ530126HVZLMR08</t>
  </si>
  <si>
    <t>64MDP01-06</t>
  </si>
  <si>
    <t>VELARDE GOMEZ JORGE</t>
  </si>
  <si>
    <t>GUERRA LUCAS MARIO RENE</t>
  </si>
  <si>
    <t>FEBRERO</t>
  </si>
  <si>
    <t>MARZO</t>
  </si>
  <si>
    <t xml:space="preserve"> ABRIL </t>
  </si>
  <si>
    <t>MAYO</t>
  </si>
  <si>
    <t>JUNIO</t>
  </si>
  <si>
    <t xml:space="preserve"> JULIO</t>
  </si>
  <si>
    <t>AGOSTO</t>
  </si>
  <si>
    <t>SEPTIEMBRE</t>
  </si>
  <si>
    <t>OCTUBRE</t>
  </si>
  <si>
    <t>NOVIEMBRE</t>
  </si>
  <si>
    <t>ARLENE GUEVARA</t>
  </si>
  <si>
    <t>POLANCO</t>
  </si>
  <si>
    <t>isabel gonzález</t>
  </si>
  <si>
    <t>mario acosta</t>
  </si>
  <si>
    <t>MD 6A</t>
  </si>
  <si>
    <t>https://classroom.google.com/c/NDQ3NzQyMzE3NTMx</t>
  </si>
  <si>
    <t>https://classroom.google.com/c/NDU1MDUwMjA5MDU2</t>
  </si>
  <si>
    <t>https://classroom.google.com/w/NDYxOTY5MDMwMjgy/t/all</t>
  </si>
  <si>
    <t xml:space="preserve"> https://classroom.google.com/w/NDYyMTk3NTc4ODAz/t/all</t>
  </si>
  <si>
    <t>CICLO ENE-22-AGO 2023</t>
  </si>
  <si>
    <t xml:space="preserve"> MD14</t>
  </si>
  <si>
    <t xml:space="preserve"> MD15</t>
  </si>
  <si>
    <t xml:space="preserve"> MD16</t>
  </si>
  <si>
    <t>MD17</t>
  </si>
  <si>
    <t>MD18</t>
  </si>
  <si>
    <t>MD19</t>
  </si>
  <si>
    <t>MD20</t>
  </si>
  <si>
    <t xml:space="preserve"> Tratados y Organismos Internacionales</t>
  </si>
  <si>
    <t xml:space="preserve"> Derecho de Amparo </t>
  </si>
  <si>
    <t xml:space="preserve"> Derecho Admistrativo</t>
  </si>
  <si>
    <t xml:space="preserve"> Informática Júridca I</t>
  </si>
  <si>
    <t xml:space="preserve"> Informática Júridca II</t>
  </si>
  <si>
    <t xml:space="preserve"> Recursos en el procedimiento Escrito y el Juicio oral</t>
  </si>
  <si>
    <t>AAVF761106HMCLRL08</t>
  </si>
  <si>
    <t>MD05A/5B</t>
  </si>
  <si>
    <t>AAQF800229HQRLJL01</t>
  </si>
  <si>
    <t>64MD06A-02</t>
  </si>
  <si>
    <t>EUMA870225HPLSCL09</t>
  </si>
  <si>
    <t>ESQUIDE MACIAS ALFONSO</t>
  </si>
  <si>
    <t>GUSK790708MYNLLR05</t>
  </si>
  <si>
    <t>64MD06A-04</t>
  </si>
  <si>
    <t>LEDA950305MPLTZL06</t>
  </si>
  <si>
    <t>MECV700422MDFNRR06</t>
  </si>
  <si>
    <t>64MD06A-05</t>
  </si>
  <si>
    <t>MENDOZA CARREÑO VERONICA EDITH</t>
  </si>
  <si>
    <t>MOGA851228MCCRRN07</t>
  </si>
  <si>
    <t>OIOX890708MMSRCC08</t>
  </si>
  <si>
    <t>64MD06A-07</t>
  </si>
  <si>
    <t>ORTIZ OCAMPO XOCHIQUETZAL</t>
  </si>
  <si>
    <t>PEEA680613HYNRCL09</t>
  </si>
  <si>
    <t>64MD06A-08</t>
  </si>
  <si>
    <t>PEREZ ECHEVERRIA ALFONSO ANTONIO</t>
  </si>
  <si>
    <t>PEGJ910408MQRRRS06</t>
  </si>
  <si>
    <t>64MD06A-09</t>
  </si>
  <si>
    <t>PEREIRA GARCIA DE LA CRUZ JESSICA</t>
  </si>
  <si>
    <t>ROVO620206MVZDVL06</t>
  </si>
  <si>
    <t>64MD06A-11</t>
  </si>
  <si>
    <t>RODRIGUEZ VIVEROS OLIVIA</t>
  </si>
  <si>
    <t>SACG950925MQRNTL00</t>
  </si>
  <si>
    <t>64MD06A-10</t>
  </si>
  <si>
    <t>SANCHEZ CATZIM GLENDY MARGARITA</t>
  </si>
  <si>
    <t>MD 6B</t>
  </si>
  <si>
    <t>SANTARITA</t>
  </si>
  <si>
    <t>64MD06B-01</t>
  </si>
  <si>
    <t>ABREGO CABALLERO DE CARRILLO RUTH MAGALY</t>
  </si>
  <si>
    <t>MD PAN</t>
  </si>
  <si>
    <t>64MD06B-02</t>
  </si>
  <si>
    <t>ACOSTA BETEGON MARUKEL SOLEDAD</t>
  </si>
  <si>
    <t>64MD06B-03</t>
  </si>
  <si>
    <t>AROSEMENA ZUÑIGA LUZGARDO ELIAS</t>
  </si>
  <si>
    <t>64MD06B-04</t>
  </si>
  <si>
    <t>BATISTA PANDALEZ LUIS ERNESTO</t>
  </si>
  <si>
    <t>64MD06B-05</t>
  </si>
  <si>
    <t>CADEÑO RODRIGUEZ ISIS OSIRIS</t>
  </si>
  <si>
    <t>64MD06B-06</t>
  </si>
  <si>
    <t>CARDENAS GONZALEZ YARINETH GRACIELA</t>
  </si>
  <si>
    <t>64MD06B-07</t>
  </si>
  <si>
    <t>CASTILLO IGLESIAS ARLINA HELENA</t>
  </si>
  <si>
    <t>64MD06B-08</t>
  </si>
  <si>
    <t>CASTILLO TORIBIO JOSE ANGEL</t>
  </si>
  <si>
    <t>64MD06B-09</t>
  </si>
  <si>
    <t>DAVIS MATOS SUE ELLEN ELIZABETH</t>
  </si>
  <si>
    <t>64MD06B-10</t>
  </si>
  <si>
    <t>ESPINO GONZALEZ MARISSA LOURDES</t>
  </si>
  <si>
    <t>64MD06B-11</t>
  </si>
  <si>
    <t>HERNANDEZ RODRIGUEZ SUSSETH DENISSE</t>
  </si>
  <si>
    <t>64MD06B-12</t>
  </si>
  <si>
    <t>LOPEZ DE ICAZA DE MARTIN MARTA ELENA</t>
  </si>
  <si>
    <t>64MD06B-13</t>
  </si>
  <si>
    <t>MENDEZ DE GARCIA RAQUEL</t>
  </si>
  <si>
    <t>64MD06B-14</t>
  </si>
  <si>
    <t>QUIROZ GOVEA ALEXIS JAVIER</t>
  </si>
  <si>
    <t>64MD06B-15</t>
  </si>
  <si>
    <t>RAMOS OMAR ANTONIO</t>
  </si>
  <si>
    <t>64MD06B-16</t>
  </si>
  <si>
    <t>REAL FRANCO MIGUELL ANGEL</t>
  </si>
  <si>
    <t>64MD06B-17</t>
  </si>
  <si>
    <t>RENTERIA ROBLES DOMINGO</t>
  </si>
  <si>
    <t>64MD06B-18</t>
  </si>
  <si>
    <t>RODRIGUEZ CREUS JORGE ALBERTO</t>
  </si>
  <si>
    <t>64MD06B-19</t>
  </si>
  <si>
    <t>SANTAMARINA JACKSON KITZY KATHERINE</t>
  </si>
  <si>
    <t>64MD06B-20</t>
  </si>
  <si>
    <t>SOTO MARTINELLI ALEXIA DEL CARMEN</t>
  </si>
  <si>
    <t>64MD06B-21</t>
  </si>
  <si>
    <t>TIJERINO DE LEON MARTIN JORGE</t>
  </si>
  <si>
    <t>64MD06B-22</t>
  </si>
  <si>
    <t>TREJOS VASQUEZ LORENA RAQUEL</t>
  </si>
  <si>
    <t>64MD06B-23</t>
  </si>
  <si>
    <t>VALVERDE VANELA JHIRWIN</t>
  </si>
  <si>
    <t>64MD06B-24</t>
  </si>
  <si>
    <t>VAZQUEZ BOSQUEZ MARLYN ARGELIS</t>
  </si>
  <si>
    <t>mayo</t>
  </si>
  <si>
    <t>Enero</t>
  </si>
  <si>
    <t>Febrero</t>
  </si>
  <si>
    <t>Marzo</t>
  </si>
  <si>
    <t>Abril</t>
  </si>
  <si>
    <t>JULIO</t>
  </si>
  <si>
    <t>SEPT 2021</t>
  </si>
  <si>
    <t>MD04B</t>
  </si>
  <si>
    <t>MD202</t>
  </si>
  <si>
    <t>MD203</t>
  </si>
  <si>
    <t>MD201</t>
  </si>
  <si>
    <t>MD603</t>
  </si>
  <si>
    <t>MD301</t>
  </si>
  <si>
    <t>MD302</t>
  </si>
  <si>
    <t>MD303</t>
  </si>
  <si>
    <t>MD401</t>
  </si>
  <si>
    <t>MD402</t>
  </si>
  <si>
    <t>MD502</t>
  </si>
  <si>
    <t>MD403</t>
  </si>
  <si>
    <t>MD501</t>
  </si>
  <si>
    <t>MD503</t>
  </si>
  <si>
    <t>MD601</t>
  </si>
  <si>
    <t>MD602</t>
  </si>
  <si>
    <t>EGRESADOS</t>
  </si>
  <si>
    <t>silvia Bonilla</t>
  </si>
  <si>
    <t>S. Bonilla</t>
  </si>
  <si>
    <t>Eliz Hdz</t>
  </si>
  <si>
    <t xml:space="preserve">IRIS CUREÑO </t>
  </si>
  <si>
    <t>Diosdado</t>
  </si>
  <si>
    <t>HIDMAN</t>
  </si>
  <si>
    <t>Pineda</t>
  </si>
  <si>
    <t>Ruben Toledo</t>
  </si>
  <si>
    <t xml:space="preserve">Adrian Polanco </t>
  </si>
  <si>
    <t>CAMPOS</t>
  </si>
  <si>
    <t>MORA</t>
  </si>
  <si>
    <t>Glennie</t>
  </si>
  <si>
    <t>MARIO</t>
  </si>
  <si>
    <t>Yasmin Campos</t>
  </si>
  <si>
    <t>Teoría General de la Constitución</t>
  </si>
  <si>
    <t xml:space="preserve">El Derecho Procesal Constitucional Funcional   </t>
  </si>
  <si>
    <t>Métodos y Técnicas de la Investigación Jurídica.</t>
  </si>
  <si>
    <t>Seminario de Tesis</t>
  </si>
  <si>
    <t>Derecho civil</t>
  </si>
  <si>
    <t>Derecho Familiar</t>
  </si>
  <si>
    <t>Juicios Orales Civil</t>
  </si>
  <si>
    <t xml:space="preserve">Juicios Orales Familiar </t>
  </si>
  <si>
    <t>Juicios ORales MErcantil</t>
  </si>
  <si>
    <t>Medios Alternos de Solucion de Conflicto</t>
  </si>
  <si>
    <t>Derecho de Amparo</t>
  </si>
  <si>
    <t>TRATADOS Y ORGANISMOS INTERNACIONALES</t>
  </si>
  <si>
    <t>PRACTICA FORENSE EN DERECHO PROCESAL</t>
  </si>
  <si>
    <t>RECURSOS EN EL PROCEDIMIENTO ESCRITO Y JUICIO ORAL</t>
  </si>
  <si>
    <t xml:space="preserve">INFORMATICA JURIDICA </t>
  </si>
  <si>
    <t>SEMINARIO DE TESIS</t>
  </si>
  <si>
    <t>https://classroom.google.com/c/MjY4NTMzNjM0ODM5</t>
  </si>
  <si>
    <t>https://classroom.google.com/c/MjIwNDUzNTE3MTcx</t>
  </si>
  <si>
    <t>https://classroom.google.com/c/MzgzMjUwOTk0NDgy</t>
  </si>
  <si>
    <t>https://classroom.google.com/c/MzA0OTIwMTA5MjM3</t>
  </si>
  <si>
    <t>https://classroom.google.com/c/MzcxNjM1MzcyNzY2</t>
  </si>
  <si>
    <t>https://classroom.google.com/c/MzgzMjE4MTIwMDMx</t>
  </si>
  <si>
    <t>GAMM791005MTCRYL07</t>
  </si>
  <si>
    <t>64MD04B-01</t>
  </si>
  <si>
    <t>GARCIA MAYA MILCA NOEMI</t>
  </si>
  <si>
    <t>Cursando</t>
  </si>
  <si>
    <t>PATO770412HYNLRS03</t>
  </si>
  <si>
    <t>64MD04B-03</t>
  </si>
  <si>
    <t>PALMA TRACONIS OSCAR HUMBERTO</t>
  </si>
  <si>
    <t>BASE740601MYNSLR01</t>
  </si>
  <si>
    <t>64MD04C2-02</t>
  </si>
  <si>
    <t>BASULTO SOLIS ERIKA RAQUEL</t>
  </si>
  <si>
    <t>TOSO831201HTCRNS05</t>
  </si>
  <si>
    <t>64LD03A-20</t>
  </si>
  <si>
    <t>BAJA</t>
  </si>
  <si>
    <t>|</t>
  </si>
  <si>
    <t>pl0</t>
  </si>
  <si>
    <t>jtmd</t>
  </si>
  <si>
    <t>SARR600502HYNNDF02</t>
  </si>
  <si>
    <t>SANCHEZ RODRIGUEZ JOSE RAFAEL</t>
  </si>
  <si>
    <t>MD04C</t>
  </si>
  <si>
    <t>60</t>
  </si>
  <si>
    <t>05</t>
  </si>
  <si>
    <t>02</t>
  </si>
  <si>
    <t xml:space="preserve">EN PROCESO DE TITULACIÓN </t>
  </si>
  <si>
    <t xml:space="preserve">Febrero </t>
  </si>
  <si>
    <t>Mayo</t>
  </si>
  <si>
    <t>SEP</t>
  </si>
  <si>
    <t>junio</t>
  </si>
  <si>
    <t xml:space="preserve">JULIO </t>
  </si>
  <si>
    <t>MD 4B2</t>
  </si>
  <si>
    <t xml:space="preserve">YASMIN </t>
  </si>
  <si>
    <t>CIFUENTES</t>
  </si>
  <si>
    <t>DIOSDADO</t>
  </si>
  <si>
    <t>DERECHO CIVIL</t>
  </si>
  <si>
    <t>DERECHO FAMILIAR</t>
  </si>
  <si>
    <t>JUICIOS ORAL CIVIL</t>
  </si>
  <si>
    <t>JUICIOS ORAL FAMILIAR</t>
  </si>
  <si>
    <t>JUICIOS ORAL MERCANTIL</t>
  </si>
  <si>
    <t>DERECHO DE AMPARO</t>
  </si>
  <si>
    <t>INFORMATICA JURIDICA</t>
  </si>
  <si>
    <t>METODOS Y TECNICAS DE LA INVESTIGACION JURIDICA</t>
  </si>
  <si>
    <t xml:space="preserve">DERECHO PROCESAL CONSTITUCIONAL FUNCIONAL  </t>
  </si>
  <si>
    <t>cursando</t>
  </si>
  <si>
    <t>NILM990705HDFLZG05</t>
  </si>
  <si>
    <t>64MD04B2-02</t>
  </si>
  <si>
    <t>reponen sep</t>
  </si>
  <si>
    <t>AAZM750428HDFLRS04</t>
  </si>
  <si>
    <t>64MD04B2-01</t>
  </si>
  <si>
    <t>MABN890408MQRRRN04</t>
  </si>
  <si>
    <t>64MD04B2-04</t>
  </si>
  <si>
    <t>MARTINEZ BARRIOS NANCY ROBERTA</t>
  </si>
  <si>
    <t>89</t>
  </si>
  <si>
    <t>04</t>
  </si>
  <si>
    <t>08</t>
  </si>
  <si>
    <t>VAVM830303HYNLVN00</t>
  </si>
  <si>
    <t>64MD03A1-06</t>
  </si>
  <si>
    <t>VALENZUELA VIVAS MANUEL JESUS</t>
  </si>
  <si>
    <t xml:space="preserve">ADELANTARON MATERIA </t>
  </si>
  <si>
    <t>ENERO</t>
  </si>
  <si>
    <t>Elizabeth</t>
  </si>
  <si>
    <t>FELIX</t>
  </si>
  <si>
    <t>SALDAÑA</t>
  </si>
  <si>
    <t>ORALIA</t>
  </si>
  <si>
    <t>SALAS</t>
  </si>
  <si>
    <t xml:space="preserve"> Cifuentes </t>
  </si>
  <si>
    <t>toledo</t>
  </si>
  <si>
    <t>MALDONADO</t>
  </si>
  <si>
    <t>javier campos</t>
  </si>
  <si>
    <t>Dra. Arlene Guevara</t>
  </si>
  <si>
    <t>ISABEL GLZ</t>
  </si>
  <si>
    <t>MARIO ACOSTA</t>
  </si>
  <si>
    <t>https://classroom.google.com/c/MTg1NTI4MzA3Mjk5</t>
  </si>
  <si>
    <t>https://classroom.google.com/c/MTk1MjA1NTQwNzY1</t>
  </si>
  <si>
    <t>https://classroom.google.com/c/MjY4NTMzNjM0ODY2</t>
  </si>
  <si>
    <t>https://classroom.google.com/c/MjIwNDUzNTE3MTg0</t>
  </si>
  <si>
    <t>https://classroom.google.com/c/MjIwNDUxNDY5Nzk2</t>
  </si>
  <si>
    <t>https://classroom.google.com/c/MTUyMzQ1MzE4NDU1</t>
  </si>
  <si>
    <t>https://classroom.google.com/u/0/r/MzM3NjAwMzY5NTk3/sort-last-name</t>
  </si>
  <si>
    <t>https://classroom.google.com/c/MzA1OTIxNjcxNzQ2</t>
  </si>
  <si>
    <t>https://classroom.google.com/c/MzcxNjY1MjQ4NDIz</t>
  </si>
  <si>
    <t>https://classroom.google.com/c/MzkxMDEzMzYxMjA1</t>
  </si>
  <si>
    <t>https://classroom.google.com/u/0/c/NDQzNjI0ODc1MzA4/gb/sort-last-name</t>
  </si>
  <si>
    <t>https://classroom.google.com/u/0/w/NDQ3NzQyMzE3NTMx/t/all</t>
  </si>
  <si>
    <t>https://classroom.google.com/w/NDU1MDUwMjA5MDU2/t/all</t>
  </si>
  <si>
    <t>MD01</t>
  </si>
  <si>
    <t>MD02</t>
  </si>
  <si>
    <t>MD03</t>
  </si>
  <si>
    <t>MD04</t>
  </si>
  <si>
    <t>MD05</t>
  </si>
  <si>
    <t>MD06</t>
  </si>
  <si>
    <t>MD07</t>
  </si>
  <si>
    <t>MD08</t>
  </si>
  <si>
    <t>MD09</t>
  </si>
  <si>
    <t>MD10</t>
  </si>
  <si>
    <t>MD11</t>
  </si>
  <si>
    <t>MD12</t>
  </si>
  <si>
    <t>MD13</t>
  </si>
  <si>
    <t>Medios Alternos de Solución de Conflictos</t>
  </si>
  <si>
    <t>Métodos y Técnicas de la Investigación Jurídica</t>
  </si>
  <si>
    <t>El Derecho Procesal Constitucional Funcional</t>
  </si>
  <si>
    <t>Juicios Orales Familiar</t>
  </si>
  <si>
    <t>Juicios Orales Mercantil</t>
  </si>
  <si>
    <t>Etapa del Juicio Oral Penal</t>
  </si>
  <si>
    <t>PROCEDIMIENTOS ESPECIALES</t>
  </si>
  <si>
    <t>RECURSOS EN EL SISTEMA PENAL ACUSATORIO</t>
  </si>
  <si>
    <t>Pruebas,teoría del caso y la etapa intermendia</t>
  </si>
  <si>
    <t xml:space="preserve">justicia para adolescentes </t>
  </si>
  <si>
    <t xml:space="preserve"> Destrezas y Taller de litigación</t>
  </si>
  <si>
    <t>AAMI880618MDFLNL07</t>
  </si>
  <si>
    <t>ALVARADO MONTAÑO ILSE MONSERRAT</t>
  </si>
  <si>
    <t>CURSANDO</t>
  </si>
  <si>
    <t>AIGA970403MQRVNN06</t>
  </si>
  <si>
    <t xml:space="preserve"> p/c</t>
  </si>
  <si>
    <t>GACO670410HDFRRS00</t>
  </si>
  <si>
    <t>GARCIA CRUZ OSCAR RICARDO</t>
  </si>
  <si>
    <t>md05 gen</t>
  </si>
  <si>
    <t>GOMV760827MMCMRN05</t>
  </si>
  <si>
    <t>GOMEZ MARQUEZ VANIA</t>
  </si>
  <si>
    <t>LURA870316HQRNMN02</t>
  </si>
  <si>
    <t>LUNA RAMOS ANGEL GUILLERMO</t>
  </si>
  <si>
    <t>tarea</t>
  </si>
  <si>
    <t>NOGL901010HQRVNS00</t>
  </si>
  <si>
    <t>OOMK861127MSLCNS03</t>
  </si>
  <si>
    <t>AISM880311MMCRNG00</t>
  </si>
  <si>
    <t>MD 5 GEN</t>
  </si>
  <si>
    <t>GAOG820303MVZRRR02</t>
  </si>
  <si>
    <t>64MD05B-03</t>
  </si>
  <si>
    <t xml:space="preserve">CURSANDO </t>
  </si>
  <si>
    <t>MEHA671215HJCNRR08</t>
  </si>
  <si>
    <t>en espera</t>
  </si>
  <si>
    <t>DOUD841229HCCMCR07</t>
  </si>
  <si>
    <t>DOMINGUEZ UC DARWIN DAVID</t>
  </si>
  <si>
    <t>RAMM930219MYNMZY08</t>
  </si>
  <si>
    <t>RAMOS MEZA MAYRA ALEJANDRA</t>
  </si>
  <si>
    <t>UXAA961123HQRCBN04</t>
  </si>
  <si>
    <t>UC ABAN ANGEL EDUARDO</t>
  </si>
  <si>
    <t>REPONER CON MD SEP</t>
  </si>
  <si>
    <t>YACM970924MQRMHR01</t>
  </si>
  <si>
    <t>YAM CAHUIL MERCEDES MARIVI</t>
  </si>
  <si>
    <t>MD 5A/ 5B</t>
  </si>
  <si>
    <t>Isabeel Glez</t>
  </si>
  <si>
    <t>https://classroom.google.com/c/MzIxMDUxNzA2MTA0</t>
  </si>
  <si>
    <t>https://classroom.google.com/c/MzgzMjIwOTk5MzA2</t>
  </si>
  <si>
    <t>64MD05B-01</t>
  </si>
  <si>
    <t>EGRESADA</t>
  </si>
  <si>
    <t>64MD05B-06</t>
  </si>
  <si>
    <t>GARCIA ORTEGA GRISELDA</t>
  </si>
  <si>
    <t>SABS730516HQRLSM01</t>
  </si>
  <si>
    <t>SALAZAR BASTO SAMUEL</t>
  </si>
  <si>
    <t>ABRIL</t>
  </si>
  <si>
    <t xml:space="preserve">JUNIO </t>
  </si>
  <si>
    <t>belda</t>
  </si>
  <si>
    <t xml:space="preserve">polanco </t>
  </si>
  <si>
    <t>MD16</t>
  </si>
  <si>
    <t xml:space="preserve">ENERO </t>
  </si>
  <si>
    <t xml:space="preserve">RESOLUCIONES Y SENTENCIAS </t>
  </si>
  <si>
    <t>JUCIO EJECUTIVO CIVIL</t>
  </si>
  <si>
    <t xml:space="preserve">CONTROVERSIAS FAMILIARES </t>
  </si>
  <si>
    <t xml:space="preserve">AMPARO DE MATERIA CIVIL Y MERCANTIL </t>
  </si>
  <si>
    <t xml:space="preserve">AGOSTO </t>
  </si>
  <si>
    <t xml:space="preserve">PROMEDIO </t>
  </si>
  <si>
    <t>MD 04A</t>
  </si>
  <si>
    <t>egresados</t>
  </si>
  <si>
    <t>Marisol Orta</t>
  </si>
  <si>
    <t xml:space="preserve">RANGEL </t>
  </si>
  <si>
    <t>Lataban</t>
  </si>
  <si>
    <t>Larios</t>
  </si>
  <si>
    <t>Anaid</t>
  </si>
  <si>
    <t>Cifuentes</t>
  </si>
  <si>
    <t>Saul C</t>
  </si>
  <si>
    <t>Santa R</t>
  </si>
  <si>
    <t>medina</t>
  </si>
  <si>
    <t>https://classroom.google.com/c/MzU3MjY0OTY2ODEy</t>
  </si>
  <si>
    <t>cifuentes</t>
  </si>
  <si>
    <t>grupo</t>
  </si>
  <si>
    <t>MD14</t>
  </si>
  <si>
    <t>MD15</t>
  </si>
  <si>
    <t xml:space="preserve">NATURALEZA JURÍDICA DE LAS RELACIONES INDIVIDUALES Y COLECTIVAS DE TRABAJO </t>
  </si>
  <si>
    <t xml:space="preserve">ARGUMENTACIÓN JURÍDICA </t>
  </si>
  <si>
    <t xml:space="preserve">CONFLICTOS COLECTIVOS Y PROCEDIMIENTOS DE PRUEBA </t>
  </si>
  <si>
    <t xml:space="preserve">MÉTODOS ALTERNATIVOS DE NEGOCIACIÓN DE LOS CONFLICTOS LABORALES </t>
  </si>
  <si>
    <t>TEORÍA DEL PROCESO</t>
  </si>
  <si>
    <t>LAUDO ARBITRAL Y JUCIO DE AMPARO</t>
  </si>
  <si>
    <t xml:space="preserve">MÉTODOS PARA EL ESTUDIO DE CASOS EN SEGURIDAD SOCIAL Y JURISPRUDENCIA </t>
  </si>
  <si>
    <t xml:space="preserve">PRINCIPIOS DEL PROCESO PENAL </t>
  </si>
  <si>
    <t xml:space="preserve">CADENA DE CUSTODIA </t>
  </si>
  <si>
    <t xml:space="preserve">INVESTIGACIÓN INICIAL Y COMPLEMENTARIA </t>
  </si>
  <si>
    <t xml:space="preserve">ETAPA Y AUDIENCIA INTERMEDIA </t>
  </si>
  <si>
    <t>ETAPA DE JUICIO ORAL</t>
  </si>
  <si>
    <t>SALIDAS ALTERNAS Y FORMAS DE TERMINACIÓN ANTICIPADA</t>
  </si>
  <si>
    <t xml:space="preserve">DEBIDO PROCESO EN EL SISTEMA INTEGRAL DE JUSTICIA PARA ADOLESCENTES </t>
  </si>
  <si>
    <t>JURISDICCIÓN Y COMPETENCIA DEL PODER JUDICIAL FEDERAL Y LOCAL</t>
  </si>
  <si>
    <t xml:space="preserve">EJECUCION DE SENTENCIAS Y GARANTÍAS </t>
  </si>
  <si>
    <t>https://classroom.google.com/c/MzcxNjcxNTE3MTE2</t>
  </si>
  <si>
    <t>CACS950925HCCNRR09</t>
  </si>
  <si>
    <t>64MD04A-01</t>
  </si>
  <si>
    <t>CAN CRUZ SERGIO DOLORES</t>
  </si>
  <si>
    <t>MD04A</t>
  </si>
  <si>
    <t>CARD630427HCCNJL13</t>
  </si>
  <si>
    <t>64MD04A-02</t>
  </si>
  <si>
    <t>CAN REJON JOSE DOLORES</t>
  </si>
  <si>
    <t>CATR660730MCCNRB03</t>
  </si>
  <si>
    <t>64MD04A-03</t>
  </si>
  <si>
    <t>CANUL TORRES REBECA</t>
  </si>
  <si>
    <t>CAEV711220MTCSSN07</t>
  </si>
  <si>
    <t>64MD04A-04</t>
  </si>
  <si>
    <t>CASTRO ESPINOSA VIANEY</t>
  </si>
  <si>
    <t>COHE941214MCCLTL09</t>
  </si>
  <si>
    <t>64MD04A-05</t>
  </si>
  <si>
    <t>COLMENARES HUETO MARIA ELENA</t>
  </si>
  <si>
    <t>FILA940419HCCRPR05</t>
  </si>
  <si>
    <t>64MD04A-07</t>
  </si>
  <si>
    <t>FIERRO LOPEZ JOSE ARMANDO</t>
  </si>
  <si>
    <t>GODG730725MQRNZL13</t>
  </si>
  <si>
    <t>64MD04A-08</t>
  </si>
  <si>
    <t>GONZALEZ DIAZ GLADYS MINERVA</t>
  </si>
  <si>
    <t>GONA670503MCCNTD06</t>
  </si>
  <si>
    <t>64MD04A-09</t>
  </si>
  <si>
    <t>GUSE911010MCSZNS07</t>
  </si>
  <si>
    <t>64MD04A-10</t>
  </si>
  <si>
    <t>GUZMAN SANCHEZ ESMERALDA</t>
  </si>
  <si>
    <t>HEMM720229MCCRYR01</t>
  </si>
  <si>
    <t>64MD04A-12</t>
  </si>
  <si>
    <t>HERNANDEZ MAY MERCEDALIA</t>
  </si>
  <si>
    <t>64MD04A-13</t>
  </si>
  <si>
    <t>HERNANDEZ REYES ELIZABETH</t>
  </si>
  <si>
    <t>LOGO910903MCCPND16</t>
  </si>
  <si>
    <t>64MD04A-14</t>
  </si>
  <si>
    <t>LOPEZ GONZALEZ ODEMARIS ASTRID</t>
  </si>
  <si>
    <t>LORM811011MCCPJL02</t>
  </si>
  <si>
    <t>64MD04A-15</t>
  </si>
  <si>
    <t>LOPEZ REJON MILDRED</t>
  </si>
  <si>
    <t>LUGM780803MCCNZR07</t>
  </si>
  <si>
    <t>64MD04A-16</t>
  </si>
  <si>
    <t>LUNA GUZMAN MERCY OSSANA</t>
  </si>
  <si>
    <t>MOCS940121MCCRNM04</t>
  </si>
  <si>
    <t>64MD04A-17</t>
  </si>
  <si>
    <t>MORA CANTO SAMANTHA ANDREA</t>
  </si>
  <si>
    <t>PEJM860625HCCCRL02</t>
  </si>
  <si>
    <t>64MD04A-18</t>
  </si>
  <si>
    <t>PETA660820MCCRJD07</t>
  </si>
  <si>
    <t>64MD04A-19</t>
  </si>
  <si>
    <t>RECG920830MCCYHL08</t>
  </si>
  <si>
    <t>64MD04A-20</t>
  </si>
  <si>
    <t>REYES CHAN GLENDI</t>
  </si>
  <si>
    <t>CUHF690713HDFRRS09</t>
  </si>
  <si>
    <t>64MD04A2-01</t>
  </si>
  <si>
    <t>64MD02B-04</t>
  </si>
  <si>
    <t>DIAZ HERNANDEZ JOSE MARTIN</t>
  </si>
  <si>
    <t>JASF800617MMCRNR00</t>
  </si>
  <si>
    <t>64MD04A2-02</t>
  </si>
  <si>
    <t>JARDON SANCHEZ FRANCIA MARGARITA</t>
  </si>
  <si>
    <t>OOLD780911MMCSPN04</t>
  </si>
  <si>
    <t>OSORIO LOPEZ DIANA</t>
  </si>
  <si>
    <t>64MD04A2-04</t>
  </si>
  <si>
    <t>PECH JIMENEZ SERGIO ALFONSO</t>
  </si>
  <si>
    <t>ROXD810410MCCDXL07</t>
  </si>
  <si>
    <t>RODRIGUEZ DOLORES JOSEFINA</t>
  </si>
  <si>
    <t>ROML900705HCCSXS06</t>
  </si>
  <si>
    <t>ROSADO MUÑOZ LUIS HUMBERTO</t>
  </si>
  <si>
    <t>SARR920104MCCNMY01</t>
  </si>
  <si>
    <t>64MD04A2-07</t>
  </si>
  <si>
    <t>SANTIAGO RAMIREZ REYNA MARIA</t>
  </si>
  <si>
    <t>TOVS760527MGRRLG14</t>
  </si>
  <si>
    <t>TORRESCANO VELAZQUEZ SUGEY ALMA JEANET</t>
  </si>
  <si>
    <t>VAMA931216MVZSRN07</t>
  </si>
  <si>
    <t>VASQUEZ MARTINEZ ANA KARINA</t>
  </si>
  <si>
    <t>ZAMG761001MCCVRB06</t>
  </si>
  <si>
    <t>MERA710813HMCNBR07</t>
  </si>
  <si>
    <t>POMM810818MOCBNR14</t>
  </si>
  <si>
    <t>64MD04B-04</t>
  </si>
  <si>
    <t>POBLANO MANCILLA MARGARITA IVETTE</t>
  </si>
  <si>
    <t>ALUMNOS EN BAJA TEMPORAL O DEFINITIVA (NO INGRESA A LISTAS)</t>
  </si>
  <si>
    <t>ALUMNO EN SUSPENSIÓN (NO INGRESA A LISTAS)</t>
  </si>
  <si>
    <t>https://classroom.google.com/c/NDMzNDkxNzM1NTE4</t>
  </si>
  <si>
    <t>https://classroom.google.com/u/0/w/NDMyNjU4NjY4MzY5/t/all</t>
  </si>
  <si>
    <t>https://classroom.google.com/c/NDQzODcwNTc0Nzc3</t>
  </si>
  <si>
    <t>https://classroom.google.com/c/NDQ4NTg2MzM0OTg5</t>
  </si>
  <si>
    <t>DIAP 01</t>
  </si>
  <si>
    <t>MTR. CESAR</t>
  </si>
  <si>
    <t>DR- OSIRIS</t>
  </si>
  <si>
    <t>DRA. GRACIELA</t>
  </si>
  <si>
    <t>Dra. Arlene Guevara Rosas</t>
  </si>
  <si>
    <t>DIAP10 GESTIÓN DE POLÍTICAS PÚBLICAS</t>
  </si>
  <si>
    <t>DIAP02 METODOLOGÍA DE LA INVESTIGACIÓN</t>
  </si>
  <si>
    <t>DIAP03 ANÁLISIS DE SISTEMAS</t>
  </si>
  <si>
    <t>DIAP04 SEMINARIO DE INVESTIGACIÓN</t>
  </si>
  <si>
    <t>DIAP05 MODELOS DE INVESTIGACIÓN REGIONAL</t>
  </si>
  <si>
    <t>PLANIFICACIÓN ESTRATEGICA</t>
  </si>
  <si>
    <t>ECONOMIA DISRUPTIVA</t>
  </si>
  <si>
    <t>GESTIÓN DE POLÍTICAS PÚBLICAS</t>
  </si>
  <si>
    <t>INNOVACIÓN Y DESARROLLO</t>
  </si>
  <si>
    <t>DESARROLLO SUSTENTABLE</t>
  </si>
  <si>
    <t>GESTIÓN DE LA BIG DATA</t>
  </si>
  <si>
    <t>PRESENTACIÓN DE PROYECTOS</t>
  </si>
  <si>
    <t>BAFA910604MASLLL09</t>
  </si>
  <si>
    <t>BALDERAS FLORES ALEJANDRA</t>
  </si>
  <si>
    <t>CACY751015MSLMHS07</t>
  </si>
  <si>
    <t>CAMPOS COHUO YASMIN RUBI</t>
  </si>
  <si>
    <t>DIOP570627HGRZRB09</t>
  </si>
  <si>
    <t>64DIA01-03</t>
  </si>
  <si>
    <t>DIAZ OROPEZA PABLO</t>
  </si>
  <si>
    <t>EAMA760424HQRSDL07</t>
  </si>
  <si>
    <t>64DIA01-04</t>
  </si>
  <si>
    <t>ESCALANTE MEDINA ALEJANDRO ANTONIO</t>
  </si>
  <si>
    <t>GARJ710624HSPRCN04</t>
  </si>
  <si>
    <t>64DIA01-05</t>
  </si>
  <si>
    <t>N/A</t>
  </si>
  <si>
    <t>GULY811203HCSLPN06</t>
  </si>
  <si>
    <t>64DIA01-06</t>
  </si>
  <si>
    <t>MEPL870813MTSNNZ02</t>
  </si>
  <si>
    <t>64DIA01-07</t>
  </si>
  <si>
    <t>MENDEZ PINEDA LIZETH NAYELLI</t>
  </si>
  <si>
    <t>MUSE800201MMCXLR00</t>
  </si>
  <si>
    <t>64DIA01-08</t>
  </si>
  <si>
    <t>ROCK680816MTCDNR00</t>
  </si>
  <si>
    <t>64DIA01-09</t>
  </si>
  <si>
    <t>ROSE820911MVZJRR04</t>
  </si>
  <si>
    <t>ROJAS SORIA ERIKA</t>
  </si>
  <si>
    <t>VITA851202MQRLNR05</t>
  </si>
  <si>
    <t>64DIA01-11</t>
  </si>
  <si>
    <t>DICIEMBRE</t>
  </si>
  <si>
    <t>DD 03A</t>
  </si>
  <si>
    <t>Campos</t>
  </si>
  <si>
    <t>IRIS CUREÑO</t>
  </si>
  <si>
    <t>GUADARRAMA</t>
  </si>
  <si>
    <t>MONDRAGON</t>
  </si>
  <si>
    <t>SANABRIA</t>
  </si>
  <si>
    <t>MONTAÑO</t>
  </si>
  <si>
    <t>MAGALY</t>
  </si>
  <si>
    <t>Toledo</t>
  </si>
  <si>
    <t>Apaez</t>
  </si>
  <si>
    <t>Raquel</t>
  </si>
  <si>
    <t>GLORIA</t>
  </si>
  <si>
    <t>DD01</t>
  </si>
  <si>
    <t>DD02</t>
  </si>
  <si>
    <t>DD04</t>
  </si>
  <si>
    <t>DD03</t>
  </si>
  <si>
    <t>DD05</t>
  </si>
  <si>
    <t>DD06</t>
  </si>
  <si>
    <t>DD07</t>
  </si>
  <si>
    <t>DD08</t>
  </si>
  <si>
    <t>DD09</t>
  </si>
  <si>
    <t>DD010</t>
  </si>
  <si>
    <t>DD11</t>
  </si>
  <si>
    <t>DD012</t>
  </si>
  <si>
    <t>DD013</t>
  </si>
  <si>
    <t>DD014</t>
  </si>
  <si>
    <t>DD14</t>
  </si>
  <si>
    <t>DD015</t>
  </si>
  <si>
    <t>SEMINARIO DE FILOSOFÍA JURÍDICA</t>
  </si>
  <si>
    <t xml:space="preserve">SEMINARIO DE IN TEPRETACIÓN METÓDOLOGIA JURIDÍCA </t>
  </si>
  <si>
    <t xml:space="preserve">SEMINARIO DE JUICIO ORAL FAMILIAR </t>
  </si>
  <si>
    <t>SEMINARIO DE JUICIO ORAL CIVIL Y MERCANTIL</t>
  </si>
  <si>
    <t xml:space="preserve">SEMINARIO DE INVESTIGACIÓN DE MEDIACIÓN PRIVADA FAMILIAR Y JUSTICIA RESTAURATIVA </t>
  </si>
  <si>
    <t>GESTION DE CONFLICTOS</t>
  </si>
  <si>
    <t xml:space="preserve">SEMINARIO DE INVESTIGACIÓN PRIVADA PENAL Y DE JUSTICIA PARA ADOLESCENTES, CIVIL Y MERCANTIL I </t>
  </si>
  <si>
    <t>SEMINARIO DE INVESTIGACIÓN GÉNERO Y DERECHO</t>
  </si>
  <si>
    <t>CLINICA DERECHO PROCESAL CIVIL</t>
  </si>
  <si>
    <t xml:space="preserve">CLIN DE ESTRA PROCESO PENAL </t>
  </si>
  <si>
    <t xml:space="preserve">CLINICA DE ESTRATEGIAS DEL PROCESO PENAL </t>
  </si>
  <si>
    <t>CLINICA DERECHO PROCESAL LABORAL</t>
  </si>
  <si>
    <t>SEMINARIO DE DERECHO PROCESAL DE AMPARO I</t>
  </si>
  <si>
    <t>SEMINARIO DE DERECHO PROCESAL DE AMPARO II</t>
  </si>
  <si>
    <t>SEMINARIO DERECHO ADUANERO Y COMERCIO EXT</t>
  </si>
  <si>
    <t>SEMINARIO DE DERECHO FISCAL</t>
  </si>
  <si>
    <t>SEMINARIO DE DERECHO FISCAL ll</t>
  </si>
  <si>
    <t>SEMINARIO DE DERECHO SOCIETARIO Y CORPORATIVO</t>
  </si>
  <si>
    <t>SEMINARIO DE DERECHO SOCIETARIO Y CORPORATIVO II</t>
  </si>
  <si>
    <t>AUGJ730206HCCZTR03</t>
  </si>
  <si>
    <t>64DD03A-01</t>
  </si>
  <si>
    <t>BOPJ760722HCCLRN07</t>
  </si>
  <si>
    <t>64DD03A-02</t>
  </si>
  <si>
    <t>BOLON PEREZ JUAN ALBERTO</t>
  </si>
  <si>
    <t>CIZE680827HCCCVR09</t>
  </si>
  <si>
    <t>64DD03A-03</t>
  </si>
  <si>
    <t>CICLER ZAVALA ERIC UVENCE MARTIN</t>
  </si>
  <si>
    <t>CUMM720408HCCRNR07</t>
  </si>
  <si>
    <t>64DD03A-04</t>
  </si>
  <si>
    <t>CRUZ MENDEZ JOSE MARIA</t>
  </si>
  <si>
    <t>DIVM760820MTCZGR08</t>
  </si>
  <si>
    <t>DIAZ VEGA MARLY ELIZABETH</t>
  </si>
  <si>
    <t>DURS850922MCCRMG04</t>
  </si>
  <si>
    <t>64DD03A-06</t>
  </si>
  <si>
    <t>DURAN RAMOS SAGRARIO ALEJANDRA</t>
  </si>
  <si>
    <t>JT DD</t>
  </si>
  <si>
    <t>64DD03A-09</t>
  </si>
  <si>
    <t>GIL LOPEZ CRISTINA GUADALUPE</t>
  </si>
  <si>
    <t>64DD03A-10</t>
  </si>
  <si>
    <t>GIL LOPEZ DORIS MARIA</t>
  </si>
  <si>
    <t>64DD03A-11</t>
  </si>
  <si>
    <t>GIL TUN ANGEL ARMANDO</t>
  </si>
  <si>
    <t>64DD03A-12</t>
  </si>
  <si>
    <t>GUEVARA GUERRERO SERGIO</t>
  </si>
  <si>
    <t>GOHD790705HHGNRN06</t>
  </si>
  <si>
    <t>64DD03A-07</t>
  </si>
  <si>
    <t>JUVI851024HDFRRR01</t>
  </si>
  <si>
    <t>64DD03A-08</t>
  </si>
  <si>
    <t>KIRR871015HCCDMB08</t>
  </si>
  <si>
    <t>KIDNIE RAMOS ROBERTO DE JESUS</t>
  </si>
  <si>
    <t>LACM880925MCCGRR02</t>
  </si>
  <si>
    <t>LAGUNA CRUZ MARCELINA</t>
  </si>
  <si>
    <t>LUCD820913HCCNHV03</t>
  </si>
  <si>
    <t>LUNA CHI DAVID GIBRAN</t>
  </si>
  <si>
    <t>egresado</t>
  </si>
  <si>
    <t>MOZM691110HCCRVN00</t>
  </si>
  <si>
    <t>64DD03A-13</t>
  </si>
  <si>
    <t>MUNM750703HCCGVG04</t>
  </si>
  <si>
    <t>64DD03A-14</t>
  </si>
  <si>
    <t>MUGARTEGUI NEVERO MIGUEL ANGEL</t>
  </si>
  <si>
    <t>PALO870411HOCLPM07</t>
  </si>
  <si>
    <t>64DD03A-15</t>
  </si>
  <si>
    <t>PEHJ910714HCCRRS04</t>
  </si>
  <si>
    <t>64DD03A-17</t>
  </si>
  <si>
    <t>PEJS910415MCCRVB04</t>
  </si>
  <si>
    <t>64DD03A-18</t>
  </si>
  <si>
    <t>PEREZ JAVIER SABRINA DEL CARMEN</t>
  </si>
  <si>
    <t>PEZL750420HCCTVP08</t>
  </si>
  <si>
    <t>64DD03A-19</t>
  </si>
  <si>
    <t>PETRES ZAVALA LEOPOLDO</t>
  </si>
  <si>
    <t>PIRS811208MTCRDN03</t>
  </si>
  <si>
    <t>64DD03A1-8</t>
  </si>
  <si>
    <t>PRIANI RODRIGUEZ SANDRA LETICIA</t>
  </si>
  <si>
    <t>RAES670926MCCMSG03</t>
  </si>
  <si>
    <t>64DD03A1-9</t>
  </si>
  <si>
    <t>RAMOS ESPOSITOS MARIA SAGRARIO DE JESUS</t>
  </si>
  <si>
    <t>REXM771005HTCYXX07</t>
  </si>
  <si>
    <t>64DD03A1-10</t>
  </si>
  <si>
    <t>9.0</t>
  </si>
  <si>
    <t>ROHM780911HCCDRG02</t>
  </si>
  <si>
    <t>64DD03A1-11</t>
  </si>
  <si>
    <t>SAOB811112MVZNRN05</t>
  </si>
  <si>
    <t>64DD03A1-12</t>
  </si>
  <si>
    <t xml:space="preserve">SAENZ ORTEGA BIANCA EUGENIA </t>
  </si>
  <si>
    <t>TEPH890120HCCJXG00</t>
  </si>
  <si>
    <t>TEJERO PIÑA HUGO ARTURO</t>
  </si>
  <si>
    <t>64DD04A-09</t>
  </si>
  <si>
    <t>número de materia</t>
  </si>
  <si>
    <t>MIRELLA</t>
  </si>
  <si>
    <t>MARIO MONTAÑO</t>
  </si>
  <si>
    <t>RAQUEL MORA</t>
  </si>
  <si>
    <t>AA POLANCO</t>
  </si>
  <si>
    <t>ANA MARIA</t>
  </si>
  <si>
    <t>Dra Katy</t>
  </si>
  <si>
    <t>Dra Ana</t>
  </si>
  <si>
    <t>https://classroom.google.com/c/NDgxNDU5OTcxNjk1</t>
  </si>
  <si>
    <t>https://classroom.google.com/c/MTk1MjA1NTQwNjg4</t>
  </si>
  <si>
    <t>https://classroom.google.com/c/MTcyMTU3MTMzMTE4</t>
  </si>
  <si>
    <t>https://classroom.google.com/c/MTcyMTU3Njg4OTgw</t>
  </si>
  <si>
    <t>https://classroom.google.com/c/MjIwNDUxNDcwMDgz</t>
  </si>
  <si>
    <t>https://classroom.google.com/c/MzEwMjcxNTMwOTY4</t>
  </si>
  <si>
    <t>https://classroom.google.com/c/MzU3MjYxNTM3MzQ2</t>
  </si>
  <si>
    <t>https://classroom.google.com/c/MzkxMDExNDYyNTc1</t>
  </si>
  <si>
    <t>https://classroom.google.com/c/NDExNzk0MzEyMDIz</t>
  </si>
  <si>
    <t>https://classroom.google.com/c/NDQzODcwNTc0NzUy</t>
  </si>
  <si>
    <t>DD 03B</t>
  </si>
  <si>
    <t>DD15</t>
  </si>
  <si>
    <t>DD10</t>
  </si>
  <si>
    <t>DD12</t>
  </si>
  <si>
    <t>DD13</t>
  </si>
  <si>
    <t>EN TITULACIÓN</t>
  </si>
  <si>
    <t>SEMINARIO JUICIO ORAL FAMILIAR</t>
  </si>
  <si>
    <t>SEMINARIO DE GESTION DE CONFLICTOS</t>
  </si>
  <si>
    <t>SEMINARIO SOLUCION DE CONFLICTOS Y JUSTICIA RESTAURATIVA</t>
  </si>
  <si>
    <t>SEMINARIO JUICIO ORAL CIVIL, MERCANTIL</t>
  </si>
  <si>
    <t>SEMINARIO INVESTIGACIÓN GÉNERO Y DERECHO</t>
  </si>
  <si>
    <t>CLIN DER PROCESAL CIVIL</t>
  </si>
  <si>
    <t>SEMINARIO ESTRATEGIAS PROCESO PENAL</t>
  </si>
  <si>
    <t xml:space="preserve">SEMINARIO ESTRATEGIAS PROCESO PENAL </t>
  </si>
  <si>
    <t>DERECHO PROCESAL LABORAL a paez</t>
  </si>
  <si>
    <t>SEMINARIO DE INTERPRETACIÓN Y METODOLOGÍA JURÍDICA</t>
  </si>
  <si>
    <t>SEMINARIO DE DERECHO ADUANERO Y COMERCIO EXTERIOR</t>
  </si>
  <si>
    <t>SEMINARIO DE DERECHO FISCAL I</t>
  </si>
  <si>
    <t>SEMINARIO DE DERECHO FISCAL II</t>
  </si>
  <si>
    <t>SEMINARIO DE DERECHO SOCIETARIO Y CORPORATIVO I</t>
  </si>
  <si>
    <t>SEMINARIO DE JUSTICIA PARA ADOLESCENTES</t>
  </si>
  <si>
    <t>AATO770506HMCLRC02</t>
  </si>
  <si>
    <t>64DD03B-1</t>
  </si>
  <si>
    <t>DD03B</t>
  </si>
  <si>
    <t>sep-20 abril 2021</t>
  </si>
  <si>
    <t>BALR750424HQRSNN04</t>
  </si>
  <si>
    <t>64DD03B-2</t>
  </si>
  <si>
    <t>DD02B</t>
  </si>
  <si>
    <t>64DD03B-3</t>
  </si>
  <si>
    <t>CACF711030HSLMHR07</t>
  </si>
  <si>
    <t>64DD03B-4</t>
  </si>
  <si>
    <t>CAMPOS COUOH FRANCISCO JAVIER</t>
  </si>
  <si>
    <t>4A</t>
  </si>
  <si>
    <t>64DD03B-5</t>
  </si>
  <si>
    <t>DD03B2</t>
  </si>
  <si>
    <t>COSE820318HMNRND03</t>
  </si>
  <si>
    <t>CORREA SANCHEZ EDUARDO REY</t>
  </si>
  <si>
    <t>COSE730820HDFRND02</t>
  </si>
  <si>
    <t>64DD03B-7</t>
  </si>
  <si>
    <t>GAGL850510HCHRNS08</t>
  </si>
  <si>
    <t>GRAJEDA GONZALEZ LUIS CARLOS</t>
  </si>
  <si>
    <t>HUMJ760710HQRSRN08</t>
  </si>
  <si>
    <t>64DD03B-9</t>
  </si>
  <si>
    <t>DD04A</t>
  </si>
  <si>
    <t>PEAA890922HDFRLR03</t>
  </si>
  <si>
    <t>64DD03B-10</t>
  </si>
  <si>
    <t>PERALTA ALVAREZ ARTURO</t>
  </si>
  <si>
    <t>RAAM941103HVZMRG02</t>
  </si>
  <si>
    <t>64DD03B-11</t>
  </si>
  <si>
    <t>TICC871222MQRNSL00</t>
  </si>
  <si>
    <t>64DD03B-12</t>
  </si>
  <si>
    <t>TINOCO COSIO CLAUDIA GUADALUPE</t>
  </si>
  <si>
    <t>JTDD</t>
  </si>
  <si>
    <t>SEPT 21</t>
  </si>
  <si>
    <t>TOAJ790819HMCRBL07</t>
  </si>
  <si>
    <t>64DD03B-13</t>
  </si>
  <si>
    <t>64DD03B-14</t>
  </si>
  <si>
    <t>VILLANUEVA TUN ARACELI GUADALUPE</t>
  </si>
  <si>
    <t>N/P</t>
  </si>
  <si>
    <t>por calificar</t>
  </si>
  <si>
    <t>4a</t>
  </si>
  <si>
    <t>HUESCA MARZUCA JUAN CARLOS</t>
  </si>
  <si>
    <t>tomara Nv Gp</t>
  </si>
  <si>
    <t>VEMC790815HGRGRR04</t>
  </si>
  <si>
    <t>SAMM870221MSLNRN01</t>
  </si>
  <si>
    <t>SANDOVAL MARTINEZ MONICA JAZMIN</t>
  </si>
  <si>
    <t xml:space="preserve">P/C </t>
  </si>
  <si>
    <t>Junio</t>
  </si>
  <si>
    <t>Julio</t>
  </si>
  <si>
    <t>Agosto</t>
  </si>
  <si>
    <t>Octubre</t>
  </si>
  <si>
    <t>Noviembre</t>
  </si>
  <si>
    <t>Diciembre</t>
  </si>
  <si>
    <t>ELIZABETH</t>
  </si>
  <si>
    <t>APAEZ</t>
  </si>
  <si>
    <t>A POLANCO</t>
  </si>
  <si>
    <t>ANA RAMIREZ</t>
  </si>
  <si>
    <t>DD 03C/ 3C2</t>
  </si>
  <si>
    <t>LINK DE CLASSROOM</t>
  </si>
  <si>
    <t>https://classroom.google.com/c/MTk1MjA1NTQwNzAz</t>
  </si>
  <si>
    <t>https://classroom.google.com/c/MjczNTExMjMwMjYz</t>
  </si>
  <si>
    <t>https://classroom.google.com/r/MzcyMDY4Mjk5NjYz/sort-last-name</t>
  </si>
  <si>
    <t>https://classroom.google.com/c/MzgzMTc5NjEzOTk0</t>
  </si>
  <si>
    <t>https://classroom.google.com/c/NDQ4OTY2NzU5ODYz</t>
  </si>
  <si>
    <t>https://classroom.google.com/w/NDU5NDQxNDUxODMz/t/all</t>
  </si>
  <si>
    <t>olga sanabria</t>
  </si>
  <si>
    <t xml:space="preserve">CLÍNICA DE DERECHO PROCESAL LABORAL </t>
  </si>
  <si>
    <t>SEMINARIO DE TESIS I</t>
  </si>
  <si>
    <t>Seminario de derecho fiscal II</t>
  </si>
  <si>
    <t>Seminario de derecho societario y Corporativo</t>
  </si>
  <si>
    <t>Seminario de derecho societario y corporativo II</t>
  </si>
  <si>
    <t>Seminario de Justicia para Adolescentes</t>
  </si>
  <si>
    <t>Seminario Juicio Oral Familiar</t>
  </si>
  <si>
    <t>Seminario Gestión de Conflictos</t>
  </si>
  <si>
    <t>Seminario Solución de conflictos y JTR</t>
  </si>
  <si>
    <t>Seminario de INVESTIGACIÓN GENERO Y DERECHO</t>
  </si>
  <si>
    <t>Seminario de juicio oral civil, mercantil</t>
  </si>
  <si>
    <t>Clínica de derecho procesal civil</t>
  </si>
  <si>
    <t>AALN760217MOCLPT06</t>
  </si>
  <si>
    <t>64DD03C-01</t>
  </si>
  <si>
    <t>ALCALA LOPEZ NATIVIDAD</t>
  </si>
  <si>
    <t>Por Calificar</t>
  </si>
  <si>
    <t>AUGB811128MBCRRL02</t>
  </si>
  <si>
    <t>64DD03C-02</t>
  </si>
  <si>
    <t>ARGUMEDO GUERRA BLANCA DANNALY</t>
  </si>
  <si>
    <t>BOCA680311HDFLRR07</t>
  </si>
  <si>
    <t>64DD03C-03</t>
  </si>
  <si>
    <t>BOLIO CERDAN ARTURO</t>
  </si>
  <si>
    <t>BALL690923MYNLZN07</t>
  </si>
  <si>
    <t>64DD03C-04</t>
  </si>
  <si>
    <t>BLANCO LIZAMA LANDY BEATRIZ</t>
  </si>
  <si>
    <t>DIGS770724MMCZNS06</t>
  </si>
  <si>
    <t>64DD03C-05</t>
  </si>
  <si>
    <t>DIAZ GONZALEZ SUSANA</t>
  </si>
  <si>
    <t>DOSA710403MDFMRR02</t>
  </si>
  <si>
    <t>64DD03C-06</t>
  </si>
  <si>
    <t>DOMINGUEZ SERRET ARACELI</t>
  </si>
  <si>
    <t>feb 2021-sep 2021</t>
  </si>
  <si>
    <t>DUZE780819HDFRXD00</t>
  </si>
  <si>
    <t>64DD03C-07</t>
  </si>
  <si>
    <t>DURAN ZUÑIGA EDUARDO</t>
  </si>
  <si>
    <t>GOLM800129HQRNPG07</t>
  </si>
  <si>
    <t>64DD03C-08</t>
  </si>
  <si>
    <t>GONZALEZ LOPEZ MIGUEL JESUS</t>
  </si>
  <si>
    <t>EGRESADO</t>
  </si>
  <si>
    <t>GOZL800926HOCNRS04</t>
  </si>
  <si>
    <t>GONZALEZ ZARATE LUIS HERIBERTO</t>
  </si>
  <si>
    <t>MACX731004MMCRRC07</t>
  </si>
  <si>
    <t>64DD03C-10</t>
  </si>
  <si>
    <t>MARTINEZ CORREA XOCHITLH</t>
  </si>
  <si>
    <t>MAMC710607MMCRRR04</t>
  </si>
  <si>
    <t>64DD03C-11</t>
  </si>
  <si>
    <t>04/21</t>
  </si>
  <si>
    <t>ROMERO RUIZ CARLOS</t>
  </si>
  <si>
    <t>RONJ661005MYNSVN08</t>
  </si>
  <si>
    <t>ROSADO NOVELO JEANETTE DE LOS ANGELES</t>
  </si>
  <si>
    <t>DD03C</t>
  </si>
  <si>
    <t>ROYE631012HYNSMF19</t>
  </si>
  <si>
    <t>ROSADO YAM EFRAIN MARTIN</t>
  </si>
  <si>
    <t>TOCJ661023HBCRLN09</t>
  </si>
  <si>
    <t>TORREZ CALATAYUD JUAN</t>
  </si>
  <si>
    <t>PUHL771029MYNCRZ07</t>
  </si>
  <si>
    <t>suspensión</t>
  </si>
  <si>
    <t>febrero</t>
  </si>
  <si>
    <t>abril</t>
  </si>
  <si>
    <t>julio</t>
  </si>
  <si>
    <t>agosto</t>
  </si>
  <si>
    <t>RAQUEL MORA/ ARLENE</t>
  </si>
  <si>
    <t>Dra Ana ramirez</t>
  </si>
  <si>
    <t>mondragón</t>
  </si>
  <si>
    <t>montaño</t>
  </si>
  <si>
    <t>CLAVE UNICA DE REGISTRO DE POBLACIÓN</t>
  </si>
  <si>
    <t>Seminario de INVISTAGACIÓN GENERO Y DERECHO</t>
  </si>
  <si>
    <t>64DD04A-04</t>
  </si>
  <si>
    <t>HUGY840518MDFRZH03</t>
  </si>
  <si>
    <t>64DD04A-03</t>
  </si>
  <si>
    <t>HUERTA GUZMAN YAHAIRA YAITZIRI</t>
  </si>
  <si>
    <t>GATA670516MNLRRD04</t>
  </si>
  <si>
    <t>64DD04A-02</t>
  </si>
  <si>
    <t>AISR891008MCCVNX01</t>
  </si>
  <si>
    <t>64DD04A-01</t>
  </si>
  <si>
    <t>MEVB800304MCLDLL00</t>
  </si>
  <si>
    <t>64DD04A-05</t>
  </si>
  <si>
    <t>SACA780407MCCNRL05</t>
  </si>
  <si>
    <t xml:space="preserve">julio </t>
  </si>
  <si>
    <t xml:space="preserve">Marzo </t>
  </si>
  <si>
    <t>octubre</t>
  </si>
  <si>
    <t>enero</t>
  </si>
  <si>
    <t>marzo</t>
  </si>
  <si>
    <t>https://classroom.google.com/c/MzkxMDExNzE0Mjk2</t>
  </si>
  <si>
    <t>https://classroom.google.com/c/NDQzNjI4MzMwNzEy</t>
  </si>
  <si>
    <t>ARLENE SEPTIEMBRE)</t>
  </si>
  <si>
    <t>ADRIÁN POLANCO</t>
  </si>
  <si>
    <t>FABIAN M</t>
  </si>
  <si>
    <t>DR. MONDRAGON</t>
  </si>
  <si>
    <t>mario montaño</t>
  </si>
  <si>
    <t>DD05A</t>
  </si>
  <si>
    <t>DD05B</t>
  </si>
  <si>
    <t>CURP</t>
  </si>
  <si>
    <t>DERECHO ADUANERO</t>
  </si>
  <si>
    <t>FILOSOFIA JURIDICA</t>
  </si>
  <si>
    <t xml:space="preserve">SEM JO CIVIL, MERCANTIL </t>
  </si>
  <si>
    <t>Clinia de estrategias del proceso penal I</t>
  </si>
  <si>
    <t>Clinica de Estrategia de proceso penal II</t>
  </si>
  <si>
    <t>Seminario de derecho aduanero y comercio</t>
  </si>
  <si>
    <t>Clinics de derecho procesal Laboral</t>
  </si>
  <si>
    <t>Seminario de derecho procesal de amparo I</t>
  </si>
  <si>
    <t>Seminario de derecho procesal de amparo II</t>
  </si>
  <si>
    <t>Seminario de derecho fiscal I</t>
  </si>
  <si>
    <t>Seminario de derecho societario y corporativo I</t>
  </si>
  <si>
    <t>CAAM800127HJCHGR04</t>
  </si>
  <si>
    <t>CHAVEZ AGUAYO MARCO ANTONIO</t>
  </si>
  <si>
    <t>64DD04A-07</t>
  </si>
  <si>
    <t>64DD04A-08</t>
  </si>
  <si>
    <t>RUIC961226HNEBNH00</t>
  </si>
  <si>
    <t>RUBLEE INSIGNARES CHARLES ALBERT</t>
  </si>
  <si>
    <t>TRAER CALIFICACIONES DEL DD03B</t>
  </si>
  <si>
    <t>VEGA MARTINEZ CARLOS</t>
  </si>
  <si>
    <t>TOMAR SUS CALIFICACIONES DEL GRUPO DE CLASE DD03B</t>
  </si>
  <si>
    <t xml:space="preserve">BAJA </t>
  </si>
  <si>
    <t>MACI810921MQRYHL00</t>
  </si>
  <si>
    <t xml:space="preserve">BAJA TEMPORAL </t>
  </si>
  <si>
    <t>PEJS780105HCCCMR03</t>
  </si>
  <si>
    <t>DD03A</t>
  </si>
  <si>
    <t xml:space="preserve">DR.MARIO MONTAÑO </t>
  </si>
  <si>
    <t>OLGA SANABRIA</t>
  </si>
  <si>
    <t>GENERACIÓN ENE 22-AGOS 23</t>
  </si>
  <si>
    <t>SEMINARIO DE JUICIO ORAL CIVIL, MERCANTIL</t>
  </si>
  <si>
    <t xml:space="preserve">SEMINARIO DE TESIS </t>
  </si>
  <si>
    <t>IACM730613MQRBNR18</t>
  </si>
  <si>
    <t>64DD05A-01</t>
  </si>
  <si>
    <t>VEGH731229HTCRRC07</t>
  </si>
  <si>
    <t>64DD05A-06</t>
  </si>
  <si>
    <t>VERA GARCIA HECTOR</t>
  </si>
  <si>
    <t>64DD05A-03</t>
  </si>
  <si>
    <t>64DD05A-04</t>
  </si>
  <si>
    <t>RORC750108HMCMZR07</t>
  </si>
  <si>
    <t>64DD05A-05</t>
  </si>
  <si>
    <t>64DD05A-02</t>
  </si>
  <si>
    <t>LAAI750417HJCYRS07</t>
  </si>
  <si>
    <t>LAY ARELLANO ISRAEL TONATIUH</t>
  </si>
  <si>
    <t>https://classroom.google.com/u/0/w/MzkxMDExNzE0Mjk2/t/all</t>
  </si>
  <si>
    <t>https://classroom.google.com/w/NDQ4OTY2NzU5ODYz/t/all</t>
  </si>
  <si>
    <t>JUSTICIA RESTAURATIVA</t>
  </si>
  <si>
    <t xml:space="preserve">SEMINARIO DE TESIS II </t>
  </si>
  <si>
    <t>AAMR660625HDFYRL08</t>
  </si>
  <si>
    <t>64DD03B2-1</t>
  </si>
  <si>
    <t>AYALA MORENO RAUL</t>
  </si>
  <si>
    <t>BUSS861112MMCSNN07</t>
  </si>
  <si>
    <t>64DD03B2-2</t>
  </si>
  <si>
    <t>BUSTAMANTE SANCHEZ SINAI ALEJANDRA</t>
  </si>
  <si>
    <t>CARH740525HPLSVC08</t>
  </si>
  <si>
    <t>64DD03B2-3</t>
  </si>
  <si>
    <t>CUMC760224HDFRRR08</t>
  </si>
  <si>
    <t>64DD03B2-4</t>
  </si>
  <si>
    <t>CUGH530226HCSRNC09</t>
  </si>
  <si>
    <t>64DD03B2-5</t>
  </si>
  <si>
    <t>CRUZ GONZALEZ HECTOR ALEJANDRO</t>
  </si>
  <si>
    <t>CURA570915HSLNDN03</t>
  </si>
  <si>
    <t>64DD03B2-6</t>
  </si>
  <si>
    <t>CUEN RODRIGUEZ ANIBAL GUILLERMO</t>
  </si>
  <si>
    <t>DIGD740815HDFZRN08</t>
  </si>
  <si>
    <t>64DD03B2-7</t>
  </si>
  <si>
    <t>DIAZ GARCIA DANIEL</t>
  </si>
  <si>
    <t>DORR560207HMCMGM08</t>
  </si>
  <si>
    <t>64DD03B2-8</t>
  </si>
  <si>
    <t>DOMINGUEZ ROGEL ROMUALDO CARLOS</t>
  </si>
  <si>
    <t>GAGR820713HDFRRD06</t>
  </si>
  <si>
    <t>64DD03B2-9</t>
  </si>
  <si>
    <t>HECH740407HMNRSC02</t>
  </si>
  <si>
    <t>64DD03B2-10</t>
  </si>
  <si>
    <t>HERNANDEZ CASTILLO HECTOR</t>
  </si>
  <si>
    <t>HEJA701212HDFRRL00</t>
  </si>
  <si>
    <t>64DD03B2-11</t>
  </si>
  <si>
    <t>HERNANDEZ JARQUIN ALBERTO GUADALUPE</t>
  </si>
  <si>
    <t>MOMJ931123HMCNDN09</t>
  </si>
  <si>
    <t>64DD03B2-12</t>
  </si>
  <si>
    <t>MOVL690208MPLRLR05</t>
  </si>
  <si>
    <t>64DD03B2-13</t>
  </si>
  <si>
    <t>MORALES VILLAGRAN LAURA ELISA</t>
  </si>
  <si>
    <t>PARE790130HMCLMS06</t>
  </si>
  <si>
    <t>64DD03B2-14</t>
  </si>
  <si>
    <t>PALACIOS RAMIREZ EUSEBIO</t>
  </si>
  <si>
    <t>64DD03B2-15</t>
  </si>
  <si>
    <t xml:space="preserve">PEREZ DOMINGUEZ GEISLER SMAILLE </t>
  </si>
  <si>
    <t>09</t>
  </si>
  <si>
    <t>DD04G</t>
  </si>
  <si>
    <t>ROFH700420HDFDGM02</t>
  </si>
  <si>
    <t>TEGL820923MPLCTR09</t>
  </si>
  <si>
    <t>CAGH860506HHGNMC04</t>
  </si>
  <si>
    <t>CANO GOMEZ HECTOR DOMINGO</t>
  </si>
  <si>
    <t>R´S</t>
  </si>
  <si>
    <t>EQ</t>
  </si>
  <si>
    <t>SEXTO CUATRIMESTRE</t>
  </si>
  <si>
    <t>LD03A</t>
  </si>
  <si>
    <t>01LD INTRODUCCIÓN AL DERECHO</t>
  </si>
  <si>
    <t xml:space="preserve">02LD TEORÍA POLÍTICA </t>
  </si>
  <si>
    <t>03LD TEORÍA GENERAL DEL PROCESO I</t>
  </si>
  <si>
    <t xml:space="preserve">04LD Investigacion documental y empirica </t>
  </si>
  <si>
    <t xml:space="preserve">05LD TEORÍA DE LA CONSTITUCIÓN </t>
  </si>
  <si>
    <t>06LD Teoria del Derecho</t>
  </si>
  <si>
    <t xml:space="preserve">07LD ARGUMENTACIÓN Y ESCRITURA JURÍDICA EN INGLÉS </t>
  </si>
  <si>
    <t>08LD TEORÍA DEL DERECHO PENAL Y DEL DELITO</t>
  </si>
  <si>
    <t>09LD SOCIOLOGÍA JURÍDICA</t>
  </si>
  <si>
    <t>10LD Sociedades y Asociasiones Civiles</t>
  </si>
  <si>
    <t xml:space="preserve">11LD DERECHO MERCANTIL </t>
  </si>
  <si>
    <t xml:space="preserve">12LD          TÉCNICAS DE LA INVESTIGACIÓN JURÍDICA </t>
  </si>
  <si>
    <t>13LD ARGUMENTACIÓN JURÍDICA E INTERPRETACIÓN</t>
  </si>
  <si>
    <t>14LD     TÍTULOS Y OPERACIONES DE CRÉDITO</t>
  </si>
  <si>
    <t xml:space="preserve">15LD DERECHO PROCESAL PENAL </t>
  </si>
  <si>
    <t>16LD DERECHO PROCESAL LABORAL</t>
  </si>
  <si>
    <t xml:space="preserve">17LD DERECHO INTERNACIONAL PRIVADO </t>
  </si>
  <si>
    <t>18LD TÉCNICAS DE EXPRESIÓN ORAL Y ESCRITA</t>
  </si>
  <si>
    <t>19LD DELITOS EN PARTICULAR</t>
  </si>
  <si>
    <t>20LD ÉTICA PROFESIONAL</t>
  </si>
  <si>
    <t>21LD DERECHO ADMINISTRATIVO</t>
  </si>
  <si>
    <t>22LD AMPARO</t>
  </si>
  <si>
    <t>23LD DERECHOS HUMANOS Y FUNDAMENTALES</t>
  </si>
  <si>
    <t>24LD DERECHO PROCESAL CIVIL</t>
  </si>
  <si>
    <t>25LD TEORIA GENERAL DEL PROCESO II</t>
  </si>
  <si>
    <t>26LD CONTRATOS</t>
  </si>
  <si>
    <t>27LD DERECHO PROCESAL ADMINISTRATIVO</t>
  </si>
  <si>
    <t>28 LD LIDERAZGO</t>
  </si>
  <si>
    <t>29LD ECONOMÍA DEL DERECHO</t>
  </si>
  <si>
    <t>30LD DERECHO FISCAL</t>
  </si>
  <si>
    <t>31LD PERSONAS Y FAMILIA</t>
  </si>
  <si>
    <t>32LD BIENES Y DERECHOS REALES</t>
  </si>
  <si>
    <t>33LD DERECHO LABORAL</t>
  </si>
  <si>
    <t>34LD       GESTIÓN DEL EMPRENDIMIENTO</t>
  </si>
  <si>
    <t>35LD MEDIOS ALTERNOS DE SOLUCIÓN DE CONFLICTOS</t>
  </si>
  <si>
    <t>36LD SOCIEDADES MERCANTILES</t>
  </si>
  <si>
    <t>37LD     DERECHO FAMILIAR Y SUCESIONES</t>
  </si>
  <si>
    <t>38LD CONTRATOS MERCANTILES</t>
  </si>
  <si>
    <t xml:space="preserve">39LD ETAPAS DE LA INVESTIGACIÓN INTERMEDIA </t>
  </si>
  <si>
    <t>40LD DERECHO INTERNACIONAL PÚBLICO</t>
  </si>
  <si>
    <t>41LD DERECHO PROCESAL MERCANTIL</t>
  </si>
  <si>
    <t xml:space="preserve">42 JUICIO ORAL </t>
  </si>
  <si>
    <t>43LD                DERECHO MIGRATORIO</t>
  </si>
  <si>
    <t>44LD PREVENCIÓN Y SEGURIDAD HUMANA</t>
  </si>
  <si>
    <t>45LD POLÍTICAS PÚBLICAS Y REGULACIÓN</t>
  </si>
  <si>
    <t>46LD DERECHO ELECTORAL</t>
  </si>
  <si>
    <t>47LD EQUIDAD Y PERSPECTIVA DE GÉNERO</t>
  </si>
  <si>
    <t xml:space="preserve">48LD SEMINARIO DE TESIS </t>
  </si>
  <si>
    <t>PROMEDIO</t>
  </si>
  <si>
    <t>AIBS850416HMCDTP03</t>
  </si>
  <si>
    <t>AIPL820913HYNVCS05</t>
  </si>
  <si>
    <t>64LD03A-02</t>
  </si>
  <si>
    <t>AVILA PECH LUIS ANTONIO</t>
  </si>
  <si>
    <t>BAVE761013HJCLLD06</t>
  </si>
  <si>
    <t>64LD03A-03</t>
  </si>
  <si>
    <t>BALLESTEROS VALDEZ EDUARDO OMAR</t>
  </si>
  <si>
    <t>COYJ780719HYNRMM01</t>
  </si>
  <si>
    <t>64LD03A-05</t>
  </si>
  <si>
    <t>CORTES YAMA JAIME ARMIN</t>
  </si>
  <si>
    <t>COCL730531HCCNRS05</t>
  </si>
  <si>
    <t>64LD03A-06</t>
  </si>
  <si>
    <t>CONTRERAS CORDOVA JOSE LUIS</t>
  </si>
  <si>
    <t>COZN791004MDFRQN01</t>
  </si>
  <si>
    <t>64LD03A-07</t>
  </si>
  <si>
    <t>CORONADO ZEQUEIDA NANCY AZUCENA</t>
  </si>
  <si>
    <t>EUPJ771124HYNNCN01</t>
  </si>
  <si>
    <t>64LD03A-08</t>
  </si>
  <si>
    <t>EUAN PECH JUAN DE LA CRUZ</t>
  </si>
  <si>
    <t>LOBE830902MVZPCV03</t>
  </si>
  <si>
    <t>64LD03A-10</t>
  </si>
  <si>
    <t>LOPEZ BACAB MARIA EVANGELINA</t>
  </si>
  <si>
    <t>MASM740328HYNYNR05</t>
  </si>
  <si>
    <t>64LD03A-11</t>
  </si>
  <si>
    <t>FEBERO 2021-sep 2021</t>
  </si>
  <si>
    <t>MAAM840531MCCRLR06</t>
  </si>
  <si>
    <t>64LD03A-12</t>
  </si>
  <si>
    <t>MARTINEZ ALCOCER MARTHA PATRICIA</t>
  </si>
  <si>
    <t>LD03C3</t>
  </si>
  <si>
    <t>64LD03A-13</t>
  </si>
  <si>
    <t xml:space="preserve">MORENO GARCIA ANGELICA JANETT </t>
  </si>
  <si>
    <t>NAOC850826MQRHRL04</t>
  </si>
  <si>
    <t>64LD03A-14</t>
  </si>
  <si>
    <t>NAHUAT ORTIZ CLARA BEATRIZ</t>
  </si>
  <si>
    <t>NANA941125MQRVGN14</t>
  </si>
  <si>
    <t>64LD03A-15</t>
  </si>
  <si>
    <t>NAVA NEGRON MARIA DE LOS ANGELES</t>
  </si>
  <si>
    <t>NASE820307HCCVRD05</t>
  </si>
  <si>
    <t>64LD03A-16</t>
  </si>
  <si>
    <t>NAVARRETE SIERRA EDWIN FERNANDO</t>
  </si>
  <si>
    <t>TITULADO</t>
  </si>
  <si>
    <t>64LD03A-19</t>
  </si>
  <si>
    <t xml:space="preserve">TORRES SANCHEZ OSIEL </t>
  </si>
  <si>
    <t xml:space="preserve">FAVOR DE NO CAMBIAR del SÉPTIMO  NI CON ACTAS. </t>
  </si>
  <si>
    <t>LD03A2</t>
  </si>
  <si>
    <t>1ER CUATRI (ENE-ABR 20)</t>
  </si>
  <si>
    <t>2DO CUATRI (MAY-AGO 20)</t>
  </si>
  <si>
    <t>3ER CUATRI (SEP-DIC 20)</t>
  </si>
  <si>
    <t>4TO CUATRI (ENE-ABR 21)</t>
  </si>
  <si>
    <t>5TO CUATRI (MAY-AGO 21)</t>
  </si>
  <si>
    <t>6TO CUATRI (SEP-DIC 21)</t>
  </si>
  <si>
    <t>7MO CUATRI (ENE-ABRIL 22)</t>
  </si>
  <si>
    <t>8VO CUATRI (MAY-AGO 22)</t>
  </si>
  <si>
    <t>INICIO</t>
  </si>
  <si>
    <t xml:space="preserve">42LD JUICIO ORAL </t>
  </si>
  <si>
    <t>CURSADAS</t>
  </si>
  <si>
    <t>https://docs.google.com/spreadsheets/d/13lTnpTTCDDmE-X5M78vDKjh7eYzaxlhf/edit#gid=671474346</t>
  </si>
  <si>
    <t>https://docs.google.com/spreadsheets/d/1BxxbyNQ3BaPVZBfMLYE_hKIHTY6fHqJe/edit#gid=552205921</t>
  </si>
  <si>
    <t>https://classroom.google.com/u/0/c/NDQzODcwNTc1NTA1</t>
  </si>
  <si>
    <t>https://docs.google.com/spreadsheets/d/1lM3zZ0qX3VNqGetdi7d8PhaDUPZIkqxf/edit#gid=1699764749</t>
  </si>
  <si>
    <t>AAPP771127HDFLRD06</t>
  </si>
  <si>
    <t>64LD03A2-01</t>
  </si>
  <si>
    <t>ALVAREZ PEREZ PEDRO</t>
  </si>
  <si>
    <t>AURL670118HQTGDB02</t>
  </si>
  <si>
    <t>64LD03A2-02</t>
  </si>
  <si>
    <t>AGUILLON RODRIGUEZ LEOBARDO SANTIAGO</t>
  </si>
  <si>
    <t>ld03a3</t>
  </si>
  <si>
    <t>AALE821228MSRYYL05</t>
  </si>
  <si>
    <t>64LD03A2-03</t>
  </si>
  <si>
    <t>AYALA LEYVA ELBA PAULINA</t>
  </si>
  <si>
    <t>BACD601213HYNRBC01</t>
  </si>
  <si>
    <t>64LD03A2-04</t>
  </si>
  <si>
    <t>BRAGA COB DECIDERIO</t>
  </si>
  <si>
    <t>CAAM750401HPLBQL08</t>
  </si>
  <si>
    <t>64LD03A2-05</t>
  </si>
  <si>
    <t>CABAÑAS AQUINO MELITON</t>
  </si>
  <si>
    <t>CAZA741220MYNCLL08</t>
  </si>
  <si>
    <t>64LD03A2-06</t>
  </si>
  <si>
    <t>CACHON ZALAZAR ALINA YASURI</t>
  </si>
  <si>
    <t>GALG691024HOCLRB12</t>
  </si>
  <si>
    <t>64LD03A2-07</t>
  </si>
  <si>
    <t>GALAN LARA GABINO</t>
  </si>
  <si>
    <t>sep 2'</t>
  </si>
  <si>
    <t>GORA790202HDFNJB03</t>
  </si>
  <si>
    <t>64LD03A2-09</t>
  </si>
  <si>
    <t>GONZALEZ ROJAS ABELARDO SANTOS</t>
  </si>
  <si>
    <t>GOSA930505HMCNLL04</t>
  </si>
  <si>
    <t>GONZALEZ SALAZAR ALLAN LEONARDO</t>
  </si>
  <si>
    <t>SEP-2021</t>
  </si>
  <si>
    <t>HOEF740213HQRLSR03</t>
  </si>
  <si>
    <t>64LD03A2-10</t>
  </si>
  <si>
    <t>HOIL ESCAMILLA FERNANDO JAVIER</t>
  </si>
  <si>
    <t>ld03c2</t>
  </si>
  <si>
    <t>64LD03A2-12</t>
  </si>
  <si>
    <t>MENDOZA HERNANDEZ JOSE ARTURO</t>
  </si>
  <si>
    <t>MOCC740823MOCNRR08</t>
  </si>
  <si>
    <t>64LD03A2-13</t>
  </si>
  <si>
    <t>MONTALVO CORTES CRUZ LUCERO</t>
  </si>
  <si>
    <t>LD03C2</t>
  </si>
  <si>
    <t>64LD03A2-14</t>
  </si>
  <si>
    <t>RIBL750227MPLVNR01</t>
  </si>
  <si>
    <t>64LD03A2-15</t>
  </si>
  <si>
    <t>RIVERA BONILLA MARIA DE LOURDES</t>
  </si>
  <si>
    <t>SARL650130MSRXDR02</t>
  </si>
  <si>
    <t>64LD03A2-16</t>
  </si>
  <si>
    <t>SAÑUDO RODRIGUEZ LAURA LUZ</t>
  </si>
  <si>
    <t>SOGL770303MYNSRZ09</t>
  </si>
  <si>
    <t>64LD03A2-17</t>
  </si>
  <si>
    <t>TAMK761229MYNHNL08</t>
  </si>
  <si>
    <t>64LD03A2-18</t>
  </si>
  <si>
    <t>TAH MONTEJO KEILA DE GARMI</t>
  </si>
  <si>
    <t>TUMD880615MQRZDN05</t>
  </si>
  <si>
    <t>64LD03A2-19</t>
  </si>
  <si>
    <t>TUZ MEDINA DIANA PATRICIA</t>
  </si>
  <si>
    <t>VIDV791004MCHLRR04</t>
  </si>
  <si>
    <t>64LD03A2-20</t>
  </si>
  <si>
    <t>VILLALBA DURAN VIRGINIA</t>
  </si>
  <si>
    <t>VIBG781010MQRLJR00</t>
  </si>
  <si>
    <t>64LD03A2-21</t>
  </si>
  <si>
    <t>VILLANUEVA BOJORQUEZ GEORGINA MARGARITA</t>
  </si>
  <si>
    <t>LD03A3</t>
  </si>
  <si>
    <t>QUINTO CUATRIMESTRE</t>
  </si>
  <si>
    <t>42LD  JUICIO ORAL</t>
  </si>
  <si>
    <t>PROMEDIO GLOBAL</t>
  </si>
  <si>
    <t>AOZY820121MVZRXZ06</t>
  </si>
  <si>
    <t>64LD03A3-01</t>
  </si>
  <si>
    <t>ARCOS ZUÑIGA YAZMIN</t>
  </si>
  <si>
    <t>AOSE820315HYNNLR03</t>
  </si>
  <si>
    <t>64LD03A3-02</t>
  </si>
  <si>
    <t>ANTONIO SILVA ERIK RODRIGO</t>
  </si>
  <si>
    <t>EANF680402HMCSTR04</t>
  </si>
  <si>
    <t>64LD03A3-03</t>
  </si>
  <si>
    <t>ESTRADA NIETO FRANCISCO</t>
  </si>
  <si>
    <t>GOMA841030HSRNRD06</t>
  </si>
  <si>
    <t>64LD03A3-04</t>
  </si>
  <si>
    <t>GONZALEZ MERCER ADRIAN</t>
  </si>
  <si>
    <t>CHECAR PAPELES</t>
  </si>
  <si>
    <t>GOMO831021HSRNRM08</t>
  </si>
  <si>
    <t>64LD03A3-05</t>
  </si>
  <si>
    <t>GONZALEZ MERCER OMAR</t>
  </si>
  <si>
    <t>JUAD810907MNLRLN03</t>
  </si>
  <si>
    <t>64LD03A3-06</t>
  </si>
  <si>
    <t>JUAREZ ALVARADO DIANA JANETH</t>
  </si>
  <si>
    <t>MOHC790119MSRLRL03</t>
  </si>
  <si>
    <t>64LD03A3-07</t>
  </si>
  <si>
    <t>SOMJ770621HQRLNR08</t>
  </si>
  <si>
    <t>64LD03A3-08</t>
  </si>
  <si>
    <t>SOLER MANZANARES JORGE MANUEL</t>
  </si>
  <si>
    <t>TEHP841221HDFRRB01</t>
  </si>
  <si>
    <t>64LD03A3-09</t>
  </si>
  <si>
    <t>TERRES HERNANDEZ PABLO GUILLERMO</t>
  </si>
  <si>
    <t>64LD03D-01</t>
  </si>
  <si>
    <t>LD04A4</t>
  </si>
  <si>
    <t>ENERO 2021-</t>
  </si>
  <si>
    <t>AAMC721212MDFLRR04</t>
  </si>
  <si>
    <t>ALANIS MORENO CAROLINA</t>
  </si>
  <si>
    <t>ROMI900521MVZSTS01</t>
  </si>
  <si>
    <t>64LD03D-02</t>
  </si>
  <si>
    <t>DE LA ROSA MATA ISSA GUADALUPE</t>
  </si>
  <si>
    <t>64LD03D-03</t>
  </si>
  <si>
    <t>MAJM790326MVZRRR06</t>
  </si>
  <si>
    <t>64LD03D-04</t>
  </si>
  <si>
    <t>MARTINEZ JARA MIRNA KARINA</t>
  </si>
  <si>
    <t>TORA720210MGTVXN08</t>
  </si>
  <si>
    <t>64LD03D-05</t>
  </si>
  <si>
    <t>TOVAR ROA ANA LILIA</t>
  </si>
  <si>
    <t>RETL840311HDFYRS06</t>
  </si>
  <si>
    <t>64LD03D-06</t>
  </si>
  <si>
    <t>REYES TREJO LUIS ALONSO</t>
  </si>
  <si>
    <t>LD03C JORNADA</t>
  </si>
  <si>
    <t>DOVM720929HSRMLG06</t>
  </si>
  <si>
    <t>64LD03C-04</t>
  </si>
  <si>
    <t>DOMINGUEZ VALDEZ MIGUEL ANGEL</t>
  </si>
  <si>
    <t>HEBS771012MTCRRR02</t>
  </si>
  <si>
    <t>HERNANDEZ BROCA SARA</t>
  </si>
  <si>
    <t>AECM930314HCHCCN07</t>
  </si>
  <si>
    <t>64LD03C-01</t>
  </si>
  <si>
    <t>ACEVEDO COCOM MANUEL JESUS</t>
  </si>
  <si>
    <t>AORN750911MTCLMT00</t>
  </si>
  <si>
    <t>64LD03C-02</t>
  </si>
  <si>
    <t>ALFONSO ROMERO NATALIA</t>
  </si>
  <si>
    <t>EQLD</t>
  </si>
  <si>
    <t>b</t>
  </si>
  <si>
    <t>34LD GESTIÓN DEL EMPRENDIMIENTO</t>
  </si>
  <si>
    <t>64LD03A-04</t>
  </si>
  <si>
    <t xml:space="preserve">LD03B </t>
  </si>
  <si>
    <t>LD03B</t>
  </si>
  <si>
    <t>GOGJ781020HQRMRN08</t>
  </si>
  <si>
    <t>GOMEZ GARCIA JUAN CARLOS</t>
  </si>
  <si>
    <t>JORNADA</t>
  </si>
  <si>
    <t>AEGM580603HDGRRN05</t>
  </si>
  <si>
    <t>64LD04A1-01</t>
  </si>
  <si>
    <t>ARELLANO GARCIA MANUEL DE JESUS</t>
  </si>
  <si>
    <t>Cancún, Quintana Roo,</t>
  </si>
  <si>
    <t>TABLA DE CALIFICACIONES</t>
  </si>
  <si>
    <t xml:space="preserve">Alumno </t>
  </si>
  <si>
    <t>Correspondiente a las materias de la</t>
  </si>
  <si>
    <t>Licenciatura en Derecho</t>
  </si>
  <si>
    <t xml:space="preserve">cursadas en el periodo cuatrimestral </t>
  </si>
  <si>
    <t>Nombre del Estudiante:</t>
  </si>
  <si>
    <t>MATERIA</t>
  </si>
  <si>
    <t>CALIFICACIÓN</t>
  </si>
  <si>
    <t>*P/C = Por Cursar.</t>
  </si>
  <si>
    <t xml:space="preserve">Nombre y Firma </t>
  </si>
  <si>
    <t xml:space="preserve">YASMIN CAMPOS </t>
  </si>
  <si>
    <t>Dirección General y de Servicios Escolares</t>
  </si>
  <si>
    <t xml:space="preserve">Formación Integral para el Éxito </t>
  </si>
  <si>
    <t>LICENCIATURA</t>
  </si>
  <si>
    <t>Grupo</t>
  </si>
  <si>
    <t>RVOE</t>
  </si>
  <si>
    <t>201915LD</t>
  </si>
  <si>
    <t>I CUATRIMESTRE</t>
  </si>
  <si>
    <t>II CUATRIMESTRE</t>
  </si>
  <si>
    <t>III CUATRIMESTRE</t>
  </si>
  <si>
    <t>IV CUATRIMESTRE</t>
  </si>
  <si>
    <t>V CUATRIMESTRE</t>
  </si>
  <si>
    <t>VI CUATRIMESTRE</t>
  </si>
  <si>
    <t>VII CUATRIMESTRE</t>
  </si>
  <si>
    <t>VIII CUATRIMESTRE</t>
  </si>
  <si>
    <t>XI CUATRIMESTRE</t>
  </si>
  <si>
    <t>Clave</t>
  </si>
  <si>
    <t>X</t>
  </si>
  <si>
    <t xml:space="preserve">Materia </t>
  </si>
  <si>
    <t xml:space="preserve">A L U M N O </t>
  </si>
  <si>
    <t>MAESTRÍA</t>
  </si>
  <si>
    <t>DOCTORADO</t>
  </si>
  <si>
    <t>MD</t>
  </si>
  <si>
    <t>201946MD</t>
  </si>
  <si>
    <t>DIAP</t>
  </si>
  <si>
    <t>202162DIAyPP</t>
  </si>
  <si>
    <t>DD</t>
  </si>
  <si>
    <t>201879DD</t>
  </si>
  <si>
    <t>MDPP</t>
  </si>
  <si>
    <t>202161MDPPyJO</t>
  </si>
  <si>
    <t xml:space="preserve">Programa </t>
  </si>
  <si>
    <t>LD</t>
  </si>
  <si>
    <t xml:space="preserve">Periodo </t>
  </si>
  <si>
    <t xml:space="preserve">copiar y PEGAR ALUMNOS Y MATERIAS DEL CICLO </t>
  </si>
  <si>
    <t>MENOS DE 10 LLEVA 1 DECIMAL</t>
  </si>
  <si>
    <t xml:space="preserve">10 EVITE PONER DECIMAL </t>
  </si>
  <si>
    <t>MATERIAS DEL CUATRIMESTRE</t>
  </si>
  <si>
    <t>ALUMNO</t>
  </si>
  <si>
    <t>2018179DD</t>
  </si>
  <si>
    <t>CCT: 23PSU0064H</t>
  </si>
  <si>
    <t>PROGRAMA</t>
  </si>
  <si>
    <t>MAESTRIA EN DERECHO</t>
  </si>
  <si>
    <t xml:space="preserve">DOCTORADO EN DERECHO </t>
  </si>
  <si>
    <t xml:space="preserve">MAESTRIA EN DERECHO PROCESAL PENAL </t>
  </si>
  <si>
    <t>Correspondiente a las materias  del programa de</t>
  </si>
  <si>
    <t>DOCTORADO EN INNOVACION</t>
  </si>
  <si>
    <t xml:space="preserve">R.V.O.E. </t>
  </si>
  <si>
    <t xml:space="preserve">  </t>
  </si>
  <si>
    <t>Documento informativo para control interno/ Contempla materias de un periodo cuatrimestral</t>
  </si>
  <si>
    <t xml:space="preserve">      Boulevard Kukulkán mz. 30, Km. 3.5, Cancún        Tel. 998 253 67 50     dgeneral@iuaf.edu.mx</t>
  </si>
  <si>
    <t>INSTITUTO UNIVERSITARIO DE ALTA FORMACION IUAF</t>
  </si>
  <si>
    <t>DEPARTAMENTO DE CONTROL ESCOLAR</t>
  </si>
  <si>
    <t xml:space="preserve"> KARDEX DEL ALUMNO</t>
  </si>
  <si>
    <t>Alumno</t>
  </si>
  <si>
    <t xml:space="preserve">HISTORIAL DE CALIFICACIONES </t>
  </si>
  <si>
    <t xml:space="preserve">NOMBRE </t>
  </si>
  <si>
    <t>CCT:</t>
  </si>
  <si>
    <t>23PSU0064H</t>
  </si>
  <si>
    <t>GRUPO</t>
  </si>
  <si>
    <t>LICENCIATURA EN DERECHO</t>
  </si>
  <si>
    <t>CLAVE</t>
  </si>
  <si>
    <t>ASIGNATURA</t>
  </si>
  <si>
    <t xml:space="preserve">     CALIFICACIONES PARCIALES</t>
  </si>
  <si>
    <t>CALIF. FINAL</t>
  </si>
  <si>
    <t>REVISADO Y CONFRONTADO</t>
  </si>
  <si>
    <t>CALIF</t>
  </si>
  <si>
    <t>CRED</t>
  </si>
  <si>
    <t>DIA   MES   AÑO</t>
  </si>
  <si>
    <t>TOTAL</t>
  </si>
  <si>
    <t xml:space="preserve">REPETICIÓN DEL CURSO </t>
  </si>
  <si>
    <t xml:space="preserve">vo.Bo. </t>
  </si>
  <si>
    <t>IX CUATRIMESTRE</t>
  </si>
  <si>
    <t>Fecha de Emisión:</t>
  </si>
  <si>
    <t xml:space="preserve">Documento interno para efectos informativos, no es representación del sistema oficial </t>
  </si>
  <si>
    <t>Boulevard Kukulkan mz. 30 lote D-09-08 Cancún, Q.R. cp. 77500 km. 3.5.</t>
  </si>
  <si>
    <t>JT</t>
  </si>
  <si>
    <t>28 LIDERAZGO</t>
  </si>
  <si>
    <t xml:space="preserve">JUICIO ORAL </t>
  </si>
  <si>
    <t>Marzo 2021-sep 2021</t>
  </si>
  <si>
    <t>EQUIVALENCIA</t>
  </si>
  <si>
    <t>-</t>
  </si>
  <si>
    <t>64LD03A2-08</t>
  </si>
  <si>
    <t xml:space="preserve">MOLINA HERNANDEZ CLAUDIA LORENA </t>
  </si>
  <si>
    <t xml:space="preserve">BUSCAR CALIFICACIONES 3 Y 7 DE ABRIL </t>
  </si>
  <si>
    <t>CCT</t>
  </si>
  <si>
    <t>HGHGHG</t>
  </si>
  <si>
    <t xml:space="preserve">PROGRAMA </t>
  </si>
  <si>
    <t>DOCTORADO  EN DERECHO</t>
  </si>
  <si>
    <t>DD011</t>
  </si>
  <si>
    <t>DOCTORADO EN INNOVACIÓN</t>
  </si>
  <si>
    <t>MAESTRÍA EN DERECHO</t>
  </si>
  <si>
    <t>DOCTORADO EN DERECHO</t>
  </si>
  <si>
    <t>MDP</t>
  </si>
  <si>
    <t xml:space="preserve">MAESTRIA EN DERECHO PROCESAL </t>
  </si>
  <si>
    <t xml:space="preserve">Boulevard Kukulkan mz. 30 lote D-09-08 Cancún, Q.R. cp. 77500 km. 3.5.  / www.iuaf.edu.mx </t>
  </si>
  <si>
    <t>MD05A</t>
  </si>
  <si>
    <t>GUTIERREZ VAZQUEZ ANGEL</t>
  </si>
  <si>
    <t>GUVA820215HCCTZN03</t>
  </si>
  <si>
    <t>RELL</t>
  </si>
  <si>
    <t>ZAPATERO GONZALEZ GUILLERMO</t>
  </si>
  <si>
    <t>ZAGG930625HGTPNL07</t>
  </si>
  <si>
    <t>https://classroom.google.com/c/NDU0ODU4NjU0NDYw?cjc=grmhut4</t>
  </si>
  <si>
    <t>https://classroom.google.com/c/NDkzMjU4Nzk3Nzk5</t>
  </si>
  <si>
    <t xml:space="preserve">Mtra Paola Barreiro Estrada </t>
  </si>
  <si>
    <t>Dr. Omar Alpuche Leal</t>
  </si>
  <si>
    <t>https://classroom.google.com/c/NTA5Njc1MDM5MzUx</t>
  </si>
  <si>
    <t>Dr. Manuel Montes de Oca</t>
  </si>
  <si>
    <t xml:space="preserve">      Boulevard Kukulkán mz. 30, Km. 3.5, Cancún        Tel. 998 253 67 50       coordinacion@iuaf.edu.mx</t>
  </si>
  <si>
    <t>LD03C</t>
  </si>
  <si>
    <t>LD03C-</t>
  </si>
  <si>
    <t>CHECAR</t>
  </si>
  <si>
    <t>64LD03A2--- REVISAR</t>
  </si>
  <si>
    <t xml:space="preserve">ARELLANO MANUEL </t>
  </si>
  <si>
    <t>JORNADA LD03C2 /4B</t>
  </si>
  <si>
    <t>VAGR710527HMCLRB07</t>
  </si>
  <si>
    <t>VALDES GARCIA ROBERTO</t>
  </si>
  <si>
    <t>64MD05A-01</t>
  </si>
  <si>
    <t>64MD05A-02</t>
  </si>
  <si>
    <t>64MD05A-04</t>
  </si>
  <si>
    <t>64MD05A-05</t>
  </si>
  <si>
    <t>64MD05A-06</t>
  </si>
  <si>
    <t>64MD05A-07</t>
  </si>
  <si>
    <t>64MD05A-08</t>
  </si>
  <si>
    <t>64MD05A-11</t>
  </si>
  <si>
    <t>md04b2</t>
  </si>
  <si>
    <t>MD 5B</t>
  </si>
  <si>
    <t>64MD05B-08</t>
  </si>
  <si>
    <t>CLAVE MATERIA</t>
  </si>
  <si>
    <t>PRIMER CUATRIMESTRE FEB-MAY 22</t>
  </si>
  <si>
    <t>CLAVE DE MATERIA</t>
  </si>
  <si>
    <t>MD06B  (PANAMA)</t>
  </si>
  <si>
    <t>MD 5A</t>
  </si>
  <si>
    <t>AVILES GONZALEZ ANAHI</t>
  </si>
  <si>
    <t>AUEJ720619HVZGSL08</t>
  </si>
  <si>
    <t>64DIA02-01</t>
  </si>
  <si>
    <t>AGUILAR ESTRADA JULIAN</t>
  </si>
  <si>
    <t>CACR860113HMCRNN01</t>
  </si>
  <si>
    <t>64DIA02-02</t>
  </si>
  <si>
    <t>CARDENAS CONTRERAS RENE LAZARO</t>
  </si>
  <si>
    <t>CAMM710629MMNZRR00</t>
  </si>
  <si>
    <t>64DIA02-03</t>
  </si>
  <si>
    <t>CAZARES MORAN MARTHA ALICIA</t>
  </si>
  <si>
    <t>64DIA02-04</t>
  </si>
  <si>
    <t>MAAC650331MNLRYR06</t>
  </si>
  <si>
    <t>64DIA02-05</t>
  </si>
  <si>
    <t>MARTINEZ AYALA MA CRISTINA</t>
  </si>
  <si>
    <t>DIAP 02</t>
  </si>
  <si>
    <t>DIAP01</t>
  </si>
  <si>
    <t xml:space="preserve">FECHA DE INICIO </t>
  </si>
  <si>
    <t>sexo</t>
  </si>
  <si>
    <t>mes</t>
  </si>
  <si>
    <t>DIAP09 GESTIÓN DE LA CALIDAD</t>
  </si>
  <si>
    <t>DIAP15 SEMINARIO DE EVALUACIÓN DE PROYECTOS</t>
  </si>
  <si>
    <t>DIAP01 ECONOMÍA DISRUPTIVA</t>
  </si>
  <si>
    <t>https://classroom.google.com/u/0/c/NDU0ODI1MTY5ODg4</t>
  </si>
  <si>
    <t>https://classroom.google.com/w/NDYxOTY5MDMwNDg1/t/all</t>
  </si>
  <si>
    <t>https://classroom.google.com/c/NDYxOTY5MDMwNDg1</t>
  </si>
  <si>
    <t>https://classroom.google.com/u/0/c/NDQ3MzI1MTYwMTQz</t>
  </si>
  <si>
    <t>Maricela Cifuentes</t>
  </si>
  <si>
    <t>Nancy Villafan</t>
  </si>
  <si>
    <t>ESTATUS</t>
  </si>
  <si>
    <t>LD04A1</t>
  </si>
  <si>
    <t>VIGENTE</t>
  </si>
  <si>
    <t>BAJATEM</t>
  </si>
  <si>
    <t>LD02A</t>
  </si>
  <si>
    <t>JTMD</t>
  </si>
  <si>
    <t>64DD04A-10</t>
  </si>
  <si>
    <t>AOCL700927HCHCRS07</t>
  </si>
  <si>
    <t>PANAMÁ</t>
  </si>
  <si>
    <t>https://classroom.google.com/w/NDgwNjg3Nzk1MjUy/t/all</t>
  </si>
  <si>
    <t>NANCY VILLAFAN</t>
  </si>
  <si>
    <t>PROCEDIMIENTOS ALTERNOS DE SOLUCIÓN DE CONFLICTOS</t>
  </si>
  <si>
    <t>CICLO Mayo 22-Dic 2023</t>
  </si>
  <si>
    <t>CICLO NOV 2021-JULIO 2023</t>
  </si>
  <si>
    <t>ACTIVO</t>
  </si>
  <si>
    <t>https://classroom.google.com/c/NTEwMzU0MTQwNTk3?cjc=s4zzr76</t>
  </si>
  <si>
    <t>GESTIÓN DE POLITICAS PÚBLICAS II</t>
  </si>
  <si>
    <t>Dr. César Augusto Barrios Pacheco</t>
  </si>
  <si>
    <t>DIAP10 GESTIÓN DE POLÍTICAS PÚBLICAS II</t>
  </si>
  <si>
    <t>https://classroom.google.com/c/NTEwNzY4NTQ5ODA1?cjc=ie2rjha</t>
  </si>
  <si>
    <t>BOLETA DE CALIFICACIONES</t>
  </si>
  <si>
    <t>MAESTRÍA EN DERECHO PROCESAL</t>
  </si>
  <si>
    <t>Matrícula Of. SEQ</t>
  </si>
  <si>
    <t>TELEFONO</t>
  </si>
  <si>
    <t>CORREO</t>
  </si>
  <si>
    <t>NO DE PAGOS (MESES)</t>
  </si>
  <si>
    <t>Meses de Programa</t>
  </si>
  <si>
    <t>INSCRIPCIÓN</t>
  </si>
  <si>
    <t>Reinscripcion</t>
  </si>
  <si>
    <t>Monto de Colegiatura (A PAGAR)</t>
  </si>
  <si>
    <t>Grupo de clase</t>
  </si>
  <si>
    <t>FECHA DE INICIO (PRIMERA CLASE CALENDARIO)</t>
  </si>
  <si>
    <t>Termina Programa</t>
  </si>
  <si>
    <t>Fecha Pago 1a Colegiatura</t>
  </si>
  <si>
    <t>Termina Pagos</t>
  </si>
  <si>
    <t>Sexo</t>
  </si>
  <si>
    <t>Grado</t>
  </si>
  <si>
    <t>SEDE</t>
  </si>
  <si>
    <t>Precio General</t>
  </si>
  <si>
    <t>Porcentaje de la Beca</t>
  </si>
  <si>
    <t>Monto del Descuento</t>
  </si>
  <si>
    <t># Reinsc</t>
  </si>
  <si>
    <t>Equivalencia</t>
  </si>
  <si>
    <t>Titulación</t>
  </si>
  <si>
    <t>ALCOCER GARCIA JUDITH JAQUELINE</t>
  </si>
  <si>
    <t>jjalcocer94@gmail.com</t>
  </si>
  <si>
    <t>LD02B</t>
  </si>
  <si>
    <t>PUERTO M</t>
  </si>
  <si>
    <t>ANTELE HERNANDEZ JEHU</t>
  </si>
  <si>
    <t>antele96@hotmail.com</t>
  </si>
  <si>
    <t>BADY970407MTCTSS04</t>
  </si>
  <si>
    <t>bautista.yesica.ld2bpm@iuaf.edu.mx</t>
  </si>
  <si>
    <t>jucetcetina@gmail.com</t>
  </si>
  <si>
    <t>CHAVEZ SEGURA FATIMA GUADALUPE</t>
  </si>
  <si>
    <t>IsabelaNayroby@gmail.com</t>
  </si>
  <si>
    <t>LORIA INTERIAN GUADALUPE DE JESUS</t>
  </si>
  <si>
    <t>loria.guadalupe.ld2b@iuaf.edu.mx</t>
  </si>
  <si>
    <t>moralesmoralesirma75@gmail.com</t>
  </si>
  <si>
    <t>OSORIO LEO HECTOR BALTAZAR</t>
  </si>
  <si>
    <t>hectorbosorio71@gmail.com</t>
  </si>
  <si>
    <t>RODRIGUEZ AVALOS EDUARDO ALONSO</t>
  </si>
  <si>
    <t>rodriguezavaloseduardo@gmail.com</t>
  </si>
  <si>
    <t>SANDOVAL REYES SELENA ENCARNACION</t>
  </si>
  <si>
    <t>selena_Reyes.14@hotmail.com</t>
  </si>
  <si>
    <t>VELAZQUEZ DEL VALLE JAZMIN</t>
  </si>
  <si>
    <t>Jazame98@hotmail.com</t>
  </si>
  <si>
    <t>eduardovfiscalia@gmail.com</t>
  </si>
  <si>
    <t>russel_airmc@hotmail.com</t>
  </si>
  <si>
    <t>LD02C</t>
  </si>
  <si>
    <t>javierchepe@outlook.es</t>
  </si>
  <si>
    <t>HOHL900225HQRYXS08</t>
  </si>
  <si>
    <t>albertohoy@hotmail.com</t>
  </si>
  <si>
    <t>mayrakoyoc1989@gmail.com</t>
  </si>
  <si>
    <t>maydziblandymaria@gmail.com</t>
  </si>
  <si>
    <t>ortizgarciajosejuan86@gmail.com</t>
  </si>
  <si>
    <t>beljumayri@hotmail.com</t>
  </si>
  <si>
    <t>poolcauichdavidjeysser@gmail.com</t>
  </si>
  <si>
    <t>64MD04A-25</t>
  </si>
  <si>
    <t>gaby_zavala761@autlook.com</t>
  </si>
  <si>
    <t>CIUDAD DEL C</t>
  </si>
  <si>
    <t>JTLD</t>
  </si>
  <si>
    <t>64LD03A-01</t>
  </si>
  <si>
    <t>spencer_adn@hotmail.com</t>
  </si>
  <si>
    <t>JT EN LICENCIATURA EN DERECHO</t>
  </si>
  <si>
    <t>CANCUN</t>
  </si>
  <si>
    <t>avilapechl@yahoo.com</t>
  </si>
  <si>
    <t>eobv@hotmail.com</t>
  </si>
  <si>
    <t>erika.sol1102@gmail.com</t>
  </si>
  <si>
    <t>Mer_2491997@hotmail.com</t>
  </si>
  <si>
    <t>614 601 9403</t>
  </si>
  <si>
    <t>villalba791044@gmail.com</t>
  </si>
  <si>
    <t>CANCÚN</t>
  </si>
  <si>
    <t>64LD03B-02</t>
  </si>
  <si>
    <t>nancymartinezb88@gmail.com</t>
  </si>
  <si>
    <t>nauj99@hotmail.com</t>
  </si>
  <si>
    <t>bernaldoku@hotmail.com</t>
  </si>
  <si>
    <t>evita_b_20@hotmail.com</t>
  </si>
  <si>
    <t>maysantos1974@gmail.com</t>
  </si>
  <si>
    <t>Patrixia84mtz@gmail.com</t>
  </si>
  <si>
    <t>angelica_moreno85@hotmail.com</t>
  </si>
  <si>
    <t>sincorreo@sindominio.com</t>
  </si>
  <si>
    <t>LD01A</t>
  </si>
  <si>
    <t>angelesnavanegron94@gmail.com</t>
  </si>
  <si>
    <t>carlitoswo@hotmail.com</t>
  </si>
  <si>
    <t>nellyvidalg@hotmail.com</t>
  </si>
  <si>
    <t>santiago.juan.ld2b@iuaf.edu.mx</t>
  </si>
  <si>
    <t>998 436 9074</t>
  </si>
  <si>
    <t>984 106 3448</t>
  </si>
  <si>
    <t>vegamtzc505@hotmail.com</t>
  </si>
  <si>
    <t>rodrigo.prevencion@hotmail.com</t>
  </si>
  <si>
    <t>BAJA TEMPORAL</t>
  </si>
  <si>
    <t>cachonalina97@hotmail.com</t>
  </si>
  <si>
    <t>escorpiongalanlara@gmail.com</t>
  </si>
  <si>
    <t>662 204 8446</t>
  </si>
  <si>
    <t>adrian.gmercer@gmail.com</t>
  </si>
  <si>
    <t>662 419 1719</t>
  </si>
  <si>
    <t>oglzmercer@gmail.com</t>
  </si>
  <si>
    <t>despachodecobranzacampeche@gmail.com</t>
  </si>
  <si>
    <t>998 457 0407</t>
  </si>
  <si>
    <t>osmar12345678922@gmail.com</t>
  </si>
  <si>
    <t>jamhg121567@gmail.com</t>
  </si>
  <si>
    <t>662 223 2199</t>
  </si>
  <si>
    <t>Claudia87gtc@gmail.com</t>
  </si>
  <si>
    <t>983 137 7401</t>
  </si>
  <si>
    <t>mairitts@gmail.com</t>
  </si>
  <si>
    <t>662 120 2020</t>
  </si>
  <si>
    <t>enfermeritalaura@gmail.com</t>
  </si>
  <si>
    <t>998 141 9651</t>
  </si>
  <si>
    <t>cancer.jmsm.1977@gmail.com</t>
  </si>
  <si>
    <t>keila_tah_montejo@hotmail.com</t>
  </si>
  <si>
    <t>987 138 0622</t>
  </si>
  <si>
    <t>998 241 0550</t>
  </si>
  <si>
    <t>Mircamil@hotmail.com</t>
  </si>
  <si>
    <t>DIKJ950605MYNZXS01</t>
  </si>
  <si>
    <t>64MD03A1-02</t>
  </si>
  <si>
    <t>DZIB KU JESSICA GUADALUPE</t>
  </si>
  <si>
    <t>jessguadalupee@gmail.com</t>
  </si>
  <si>
    <t>MD03A</t>
  </si>
  <si>
    <t>MERL831106HSPDBN02</t>
  </si>
  <si>
    <t>64MD03A1-03</t>
  </si>
  <si>
    <t>MEDINA RUBIO LEONEL</t>
  </si>
  <si>
    <t>leomr-06@hotmail.com</t>
  </si>
  <si>
    <t>MOTJ590305HYNXPR02</t>
  </si>
  <si>
    <t>64MD03A1-04</t>
  </si>
  <si>
    <t>983 113 7242</t>
  </si>
  <si>
    <t>dario_mootepal@hotmail.com</t>
  </si>
  <si>
    <t>64MD03A1-05</t>
  </si>
  <si>
    <t>998 136 8013</t>
  </si>
  <si>
    <t>legaliz.contigo@outlook.com</t>
  </si>
  <si>
    <t>robe_r_74@hotmail.com</t>
  </si>
  <si>
    <t>sergiocan_6@hotmail.com</t>
  </si>
  <si>
    <t>938 133 9624</t>
  </si>
  <si>
    <t>jose_dolores97@hotmail.com</t>
  </si>
  <si>
    <t>938 383 3552</t>
  </si>
  <si>
    <t>rebeca066@hotmail.com</t>
  </si>
  <si>
    <t>938 110 0924</t>
  </si>
  <si>
    <t>vianeyc2012@hotmail.com</t>
  </si>
  <si>
    <t>suheytorrescano@hotmail.com</t>
  </si>
  <si>
    <t>JT MAESTRIA EN DERECHO</t>
  </si>
  <si>
    <t>TOLUCA</t>
  </si>
  <si>
    <t>DADE840424HCCMZB05</t>
  </si>
  <si>
    <t>64MD04A-06</t>
  </si>
  <si>
    <t>DAMAS DIAZ EBER DEL JESUS</t>
  </si>
  <si>
    <t>era_247@hotmail.com</t>
  </si>
  <si>
    <t>josefo9470@gmail.com</t>
  </si>
  <si>
    <t>983 124 0469</t>
  </si>
  <si>
    <t>glasglez42@gmail.com</t>
  </si>
  <si>
    <t>adriana67@live.com.mx</t>
  </si>
  <si>
    <t>esmeraldaguzmans@hotmail.com</t>
  </si>
  <si>
    <t>HEGL811010MVZRNZ02</t>
  </si>
  <si>
    <t>64MD04A-11</t>
  </si>
  <si>
    <t>HERNANDEZ GONZALEZ LUZ MARIA</t>
  </si>
  <si>
    <t>luma416a@gmail.com</t>
  </si>
  <si>
    <t>mhmay@delfin.unacar.mx</t>
  </si>
  <si>
    <t>firmalegalmstcampeche@gmail.com</t>
  </si>
  <si>
    <t>938 125 2578</t>
  </si>
  <si>
    <t>odelopez03@gmail.com</t>
  </si>
  <si>
    <t>686 197 5465</t>
  </si>
  <si>
    <t>torrezcalatayud@hotmail.com</t>
  </si>
  <si>
    <t>64DD03B-15</t>
  </si>
  <si>
    <t>JT DOCTORADO EN DERECHO</t>
  </si>
  <si>
    <t>samch_morac121@hotmail.com</t>
  </si>
  <si>
    <t>938 385 3858</t>
  </si>
  <si>
    <t>miltonpech@hotmail.com</t>
  </si>
  <si>
    <t>PEREZ TEJERO ADDY ZOILA</t>
  </si>
  <si>
    <t>938 129 3267</t>
  </si>
  <si>
    <t>caballo40_ary@hotmail.com</t>
  </si>
  <si>
    <t>999 705 2940</t>
  </si>
  <si>
    <t>juriscoyote0007@gmail.com</t>
  </si>
  <si>
    <t>$ -</t>
  </si>
  <si>
    <t>MAESTRIA EN DERECHO PROCESAL PENAL Y JUICIOS ORALES</t>
  </si>
  <si>
    <t>64MD04A-21</t>
  </si>
  <si>
    <t>lolita_1382@hotmail.com</t>
  </si>
  <si>
    <t>64MD04A-22</t>
  </si>
  <si>
    <t>938 164 1646</t>
  </si>
  <si>
    <t>luishrosado@outlook.com</t>
  </si>
  <si>
    <t>64MD04A-23</t>
  </si>
  <si>
    <t>938 121 8897</t>
  </si>
  <si>
    <t>reina_492@hotmail.com</t>
  </si>
  <si>
    <t>64MD04A-24</t>
  </si>
  <si>
    <t>938 107 1093</t>
  </si>
  <si>
    <t>kari93.kv@gmail.com</t>
  </si>
  <si>
    <t>938 119 9622</t>
  </si>
  <si>
    <t>asc1439@gmail.com</t>
  </si>
  <si>
    <t>981 111 5323</t>
  </si>
  <si>
    <t>milk_marinera@hotmail.com</t>
  </si>
  <si>
    <t>64MD04B-02</t>
  </si>
  <si>
    <t>armando.mendoza@outlook.com</t>
  </si>
  <si>
    <t>efrainrosado_abogados@hotmail.com</t>
  </si>
  <si>
    <t>64DD03C-09</t>
  </si>
  <si>
    <t>rosadojeanette@gmail.com</t>
  </si>
  <si>
    <t>DIHM660312HDFZRR10</t>
  </si>
  <si>
    <t>papa.jose.20072@gmail.com</t>
  </si>
  <si>
    <t>228 304 2400</t>
  </si>
  <si>
    <t>erickaar1988@gmail.com</t>
  </si>
  <si>
    <t>DOCTORADO EN INNOVACION, ADMON Y POLITICAS PUBLICAS</t>
  </si>
  <si>
    <t>miguel_9907@icloud.com</t>
  </si>
  <si>
    <t>MD04B2</t>
  </si>
  <si>
    <t>VIMS810207MDFLDN08</t>
  </si>
  <si>
    <t>64MD04B2-03</t>
  </si>
  <si>
    <t>pauvillame@hotmail.com</t>
  </si>
  <si>
    <t>RODRIGUEZ HEREDIA MIGUEL ANTONIO</t>
  </si>
  <si>
    <t>938 386 0722</t>
  </si>
  <si>
    <t>heredias20@hotmail.com</t>
  </si>
  <si>
    <t>DD03A2</t>
  </si>
  <si>
    <t>64MD03A-03</t>
  </si>
  <si>
    <t>yass.campos@iuaf.edu.mx</t>
  </si>
  <si>
    <t>CAVE910116MQRBNS01</t>
  </si>
  <si>
    <t>64MD03A-04</t>
  </si>
  <si>
    <t>CABALLERO VANEGAS ESTEFANIA CAROLINA</t>
  </si>
  <si>
    <t>estefania.c.vanegas@hotmail.com</t>
  </si>
  <si>
    <t>CHETUMAL</t>
  </si>
  <si>
    <t>CXCA621213MYNBHD02</t>
  </si>
  <si>
    <t>64MD03A-05</t>
  </si>
  <si>
    <t>CAB Y CHUC ADELINA</t>
  </si>
  <si>
    <t>ade_lind@hotmail.com</t>
  </si>
  <si>
    <t>64MD03A-06</t>
  </si>
  <si>
    <t>442 595 7042</t>
  </si>
  <si>
    <t>lic_doseara@hotmail.com</t>
  </si>
  <si>
    <t>NAHL780618HQRVRS07</t>
  </si>
  <si>
    <t>64MD03A-07</t>
  </si>
  <si>
    <t>NAVA HERNANDEZ LUIS HERNAN</t>
  </si>
  <si>
    <t>998 259 2502</t>
  </si>
  <si>
    <t>navah1806@gmail.com</t>
  </si>
  <si>
    <t>PELE761206HQRRZD08</t>
  </si>
  <si>
    <t>64MD03A-10</t>
  </si>
  <si>
    <t>nic_lup@hotmail.com</t>
  </si>
  <si>
    <t>PEMJ850926MVZRNC03</t>
  </si>
  <si>
    <t>64MD03A-11</t>
  </si>
  <si>
    <t>64MD03A-13</t>
  </si>
  <si>
    <t>998 147 1157</t>
  </si>
  <si>
    <t>VAAC750416MQRNCR03</t>
  </si>
  <si>
    <t>64MD03A-14</t>
  </si>
  <si>
    <t>VANEGAS ACEVES CAROLINA</t>
  </si>
  <si>
    <t>venegas1604@gmail.com</t>
  </si>
  <si>
    <t>RODRIGUEZ FIGUEROA HOMERO</t>
  </si>
  <si>
    <t>Justiciaexpedita@gmail.com</t>
  </si>
  <si>
    <t>998 120 6330</t>
  </si>
  <si>
    <t>krinagemma@hotmail.com</t>
  </si>
  <si>
    <t>RAAC730314MCCYLN00</t>
  </si>
  <si>
    <t>64DD02B-11</t>
  </si>
  <si>
    <t>RAYGOZA ALCOCER MARIA CANDELARIA</t>
  </si>
  <si>
    <t>candy.raygoza@iuaf.edu.mx</t>
  </si>
  <si>
    <t>RAMIREZ ARAGON MIGUEL ANGEL</t>
  </si>
  <si>
    <t>228 776 3262</t>
  </si>
  <si>
    <t>NOVELO GONZALEZ LUIS CARLOS</t>
  </si>
  <si>
    <t>luis.novelo.90@gmail.com</t>
  </si>
  <si>
    <t>OCHOA MONTELONGO KESSIA YEMINA</t>
  </si>
  <si>
    <t>656 606 8235</t>
  </si>
  <si>
    <t>kessia1526@gmail.com</t>
  </si>
  <si>
    <t>REUW880805HSPYRL03</t>
  </si>
  <si>
    <t>REYNA URESTI WALDO FRANCISCO</t>
  </si>
  <si>
    <t>744 207 9987</t>
  </si>
  <si>
    <t>lic.waldo.reyna.uresti@gmail.com</t>
  </si>
  <si>
    <t>eduardooaban@gmail.com</t>
  </si>
  <si>
    <t>PUC HERNANDEZ LEZLIE EUNICE</t>
  </si>
  <si>
    <t>984 154 7400</t>
  </si>
  <si>
    <t>poblano.ivette@gmail.com</t>
  </si>
  <si>
    <t>64DD03A-24</t>
  </si>
  <si>
    <t>petresabogados@hotmail.com</t>
  </si>
  <si>
    <t>DD03A1</t>
  </si>
  <si>
    <t>64DD02C-05</t>
  </si>
  <si>
    <t>DD02C</t>
  </si>
  <si>
    <t>SABM860810HCCNZN04</t>
  </si>
  <si>
    <t>64DD02C-06</t>
  </si>
  <si>
    <t>SANCHEZ BAEZA MANUEL ATOCHA</t>
  </si>
  <si>
    <t>983 108 4724</t>
  </si>
  <si>
    <t>manuel_ordaz2000@hotmail.com</t>
  </si>
  <si>
    <t>HEMY580611MDFRRL08</t>
  </si>
  <si>
    <t>64DD01A-05</t>
  </si>
  <si>
    <t>HERNANDEZ MARIN YOLANDA ELIZABETH</t>
  </si>
  <si>
    <t>998 578 1284</t>
  </si>
  <si>
    <t>ylizhema3@hotmail.com</t>
  </si>
  <si>
    <t>AACA760901HDFNRL07</t>
  </si>
  <si>
    <t>64DD03A1-1</t>
  </si>
  <si>
    <t>662 155 7458</t>
  </si>
  <si>
    <t>andradedelc@hotmail.com</t>
  </si>
  <si>
    <t>662 847 0038</t>
  </si>
  <si>
    <t>oablanco@hotmail.com</t>
  </si>
  <si>
    <t>64DD03A-22</t>
  </si>
  <si>
    <t>938 389 1755</t>
  </si>
  <si>
    <t>dominguez.zaacaa@gmail.com</t>
  </si>
  <si>
    <t>CILM700124MDFFPR07</t>
  </si>
  <si>
    <t>64DD03A1-4</t>
  </si>
  <si>
    <t>CIFUENTES LOPEZ MARISELA DOLORES</t>
  </si>
  <si>
    <t>55 5432 6880</t>
  </si>
  <si>
    <t>mariselacifuentesl@gmail.com</t>
  </si>
  <si>
    <t>PEPA820510MQRCCD05</t>
  </si>
  <si>
    <t>64DD03A1-7</t>
  </si>
  <si>
    <t>PECH PECH ADDY PAULINA</t>
  </si>
  <si>
    <t>998 844 7708</t>
  </si>
  <si>
    <t>addypaulina@gmail.com</t>
  </si>
  <si>
    <t>GAGH791018HCLRRG06</t>
  </si>
  <si>
    <t>64DD03A1-6</t>
  </si>
  <si>
    <t>GARCIA GARCIA HUGO</t>
  </si>
  <si>
    <t>646 947 8682</t>
  </si>
  <si>
    <t>hugogarciagarcia102810@gmail.com</t>
  </si>
  <si>
    <t>938 123 2066</t>
  </si>
  <si>
    <t>sergiopech78@hotmail.com</t>
  </si>
  <si>
    <t>938 387 6318</t>
  </si>
  <si>
    <t>sandrapriani@hotmail.com</t>
  </si>
  <si>
    <t>938 389 8004</t>
  </si>
  <si>
    <t>msramose@hotmail.com</t>
  </si>
  <si>
    <t>REYES MAXIMILIANO</t>
  </si>
  <si>
    <t>reyesmaximiliano@hotmail.com</t>
  </si>
  <si>
    <t>opalma15@hotmail.com</t>
  </si>
  <si>
    <t>SAENZ ORTEGA BIANCA EUGENIA</t>
  </si>
  <si>
    <t>saenz_bianca@hotmail.com</t>
  </si>
  <si>
    <t>938 103 7227</t>
  </si>
  <si>
    <t>tejerop_hugo@hotmail.com</t>
  </si>
  <si>
    <t>jazcuaga@hotmail.com</t>
  </si>
  <si>
    <t>bolon.juan.dd3acdc@iuaf.edu.mx</t>
  </si>
  <si>
    <t>938 400 9201</t>
  </si>
  <si>
    <t>cicler19@gmail.com</t>
  </si>
  <si>
    <t>josemaria966@hotmail.com</t>
  </si>
  <si>
    <t>OAMM800904HQRRRN07</t>
  </si>
  <si>
    <t>64DD02B-09</t>
  </si>
  <si>
    <t>ORDAZ MARTINEZ MANUEL DE ATOCHA</t>
  </si>
  <si>
    <t>OIGG741009HCSLRL01</t>
  </si>
  <si>
    <t>64MD03B-06</t>
  </si>
  <si>
    <t>OLIVA GARRIDO GUILLERMO MANUEL</t>
  </si>
  <si>
    <t>983 154 1956</t>
  </si>
  <si>
    <t>oliva.guillermo.md3ach@iuaf.edu.mx</t>
  </si>
  <si>
    <t>MD03B</t>
  </si>
  <si>
    <t>GONZALEZ HERNANDEZ DANIEL ANTONIO</t>
  </si>
  <si>
    <t>938 100 2896</t>
  </si>
  <si>
    <t>gonzalez.daniel.dd3acdc@iuaf.edu.mx</t>
  </si>
  <si>
    <t>irving_juarez85@hotmail.com</t>
  </si>
  <si>
    <t>938 129 2751</t>
  </si>
  <si>
    <t>robertokidnieramos@hotmail.com</t>
  </si>
  <si>
    <t>64DD03A-16</t>
  </si>
  <si>
    <t>938 116 2838</t>
  </si>
  <si>
    <t>marce_18_1047@hotmail.com</t>
  </si>
  <si>
    <t>938 119 3527</t>
  </si>
  <si>
    <t>gibranluna@gmail.com</t>
  </si>
  <si>
    <t>NASA710608HDFVNR00</t>
  </si>
  <si>
    <t>joseartemiopjf@yahoo.com.mx</t>
  </si>
  <si>
    <t>moreno.manuel.dd3acdc@iuaf.edu.mx</t>
  </si>
  <si>
    <t>NOIG890815HQRVBB01</t>
  </si>
  <si>
    <t>64DD02B-08</t>
  </si>
  <si>
    <t>983 119 2619</t>
  </si>
  <si>
    <t>gaernoib89@hotmail.com</t>
  </si>
  <si>
    <t>64DD03A-21</t>
  </si>
  <si>
    <t>PALESTINO LOPEZ OMAR FRANCISCO</t>
  </si>
  <si>
    <t>omarpalestino_1@hotmail.com</t>
  </si>
  <si>
    <t>998 165 8822</t>
  </si>
  <si>
    <t>md03a</t>
  </si>
  <si>
    <t>64DD03A-23</t>
  </si>
  <si>
    <t>938 159 2675</t>
  </si>
  <si>
    <t>sabrinaperezjavier@hotmail.com</t>
  </si>
  <si>
    <t>64DD03A-20</t>
  </si>
  <si>
    <t>938 124 3322</t>
  </si>
  <si>
    <t>miguel.mugartegui@cgasi.com.mx</t>
  </si>
  <si>
    <t>AAED800708HQRRSN02</t>
  </si>
  <si>
    <t>64DD02B-01</t>
  </si>
  <si>
    <t>ARAGON ESQUIVEL DIONICIO RICARDO</t>
  </si>
  <si>
    <t>dionicioricardoa@gmail.com</t>
  </si>
  <si>
    <t>AORK830202MQRRVR01</t>
  </si>
  <si>
    <t>64DD02B-02</t>
  </si>
  <si>
    <t>ARJONA RIVERA KARINA FRINE</t>
  </si>
  <si>
    <t>karina2arjona@gmail.com</t>
  </si>
  <si>
    <t>AIDD831202MQRVMY02</t>
  </si>
  <si>
    <t>64DD02B-04</t>
  </si>
  <si>
    <t>AVILES DEMENEGHI DEYLIANA</t>
  </si>
  <si>
    <t>deyliana.demeneghi@gmail.com</t>
  </si>
  <si>
    <t>BAKJ750816HQRLMR02</t>
  </si>
  <si>
    <t>64DD02B-05</t>
  </si>
  <si>
    <t>BALLOTE KAMBRONY JORGE HIRAN</t>
  </si>
  <si>
    <t>ballote.jorge.dd2b@iuaf.edu.mx</t>
  </si>
  <si>
    <t>MD05GEN</t>
  </si>
  <si>
    <t>GUGP661012HCHDNB05</t>
  </si>
  <si>
    <t>64DD02B-07</t>
  </si>
  <si>
    <t>GUADARRAMA GONZALEZ PABLO FABIAN</t>
  </si>
  <si>
    <t>983 164 8911</t>
  </si>
  <si>
    <t>pabloguadarrama@gmail.com</t>
  </si>
  <si>
    <t>222 310 9031</t>
  </si>
  <si>
    <t>revisionlegal@ymail.com</t>
  </si>
  <si>
    <t>MEME821217HDFNRR01</t>
  </si>
  <si>
    <t>55 3194 0451</t>
  </si>
  <si>
    <t>erickmena1982@yahoo.com</t>
  </si>
  <si>
    <t>722 522 2379</t>
  </si>
  <si>
    <t>camimarroquin71@gmail.com</t>
  </si>
  <si>
    <t>TICC821117HDFNSR06</t>
  </si>
  <si>
    <t>64DD02B-13</t>
  </si>
  <si>
    <t>TINOCO COSIO CARLOS ANGEL</t>
  </si>
  <si>
    <t>983 185 6395</t>
  </si>
  <si>
    <t>catinoco@inea.gob.mx</t>
  </si>
  <si>
    <t>ALARCON TERRON OCTAVIO</t>
  </si>
  <si>
    <t>ocalte@hotmail.com</t>
  </si>
  <si>
    <t>BASTARRACHEA DE LEON RANDY SALVADOR</t>
  </si>
  <si>
    <t>983 700 5400</t>
  </si>
  <si>
    <t>bastarrachea.randy.dd2b@iuaf.edu.mx</t>
  </si>
  <si>
    <t>COGO691009MMCNZR09</t>
  </si>
  <si>
    <t>CONTRERAS GUZMAN ORALIA</t>
  </si>
  <si>
    <t>722 510 1294</t>
  </si>
  <si>
    <t>oconguz@hotmail.com</t>
  </si>
  <si>
    <t>CORTES SANTOS JOSE EDUARDO</t>
  </si>
  <si>
    <t>cursosjecs@gmail.com o cortessantos@hotmail.com</t>
  </si>
  <si>
    <t>9831251290‬</t>
  </si>
  <si>
    <t>karinamartinezjara@gmail.com</t>
  </si>
  <si>
    <t>625 125 0053</t>
  </si>
  <si>
    <t>licluisgrajeda@hotmail.com</t>
  </si>
  <si>
    <t>983 102 5533</t>
  </si>
  <si>
    <t>huesca25@hotmail.com</t>
  </si>
  <si>
    <t>983 106 3814</t>
  </si>
  <si>
    <t>998 225 5177</t>
  </si>
  <si>
    <t>agluna87@gmail.com</t>
  </si>
  <si>
    <t>322 109 6877</t>
  </si>
  <si>
    <t>Lic.mjsandoval@hotmail.com</t>
  </si>
  <si>
    <t>983 104 7966</t>
  </si>
  <si>
    <t>ossana3878@hotmail.com</t>
  </si>
  <si>
    <t>villanueva_ara85@hotmail.com</t>
  </si>
  <si>
    <t>AAAD690316MQRLMN02</t>
  </si>
  <si>
    <t>64MD03B-01</t>
  </si>
  <si>
    <t>ALAMILLA AMOROS DIANA ALCIRA</t>
  </si>
  <si>
    <t>998 401 3763</t>
  </si>
  <si>
    <t>diana_alamilla@hotmail.com</t>
  </si>
  <si>
    <t>CUBB831102MVZRRL03</t>
  </si>
  <si>
    <t>64MD03B-02</t>
  </si>
  <si>
    <t>CRUZ BARREIRO BLANCA ESTHER</t>
  </si>
  <si>
    <t>984 145 5650</t>
  </si>
  <si>
    <t>blankita2709@hotmail.com</t>
  </si>
  <si>
    <t>lopez.mildred.md4acdc@iuaf.ed.mx</t>
  </si>
  <si>
    <t>64MD03B-04</t>
  </si>
  <si>
    <t>832 504 6678</t>
  </si>
  <si>
    <t>consultoriajuridica.yahair@gmail.com</t>
  </si>
  <si>
    <t>MAHJ821112HYNNRR08</t>
  </si>
  <si>
    <t>64MD03B-05</t>
  </si>
  <si>
    <t>MANCILLA HERNANDEZ JORGE ALEJANDRO</t>
  </si>
  <si>
    <t>998 240 5101</t>
  </si>
  <si>
    <t>jamancilla82@gmail.com</t>
  </si>
  <si>
    <t>64MD06A-03</t>
  </si>
  <si>
    <t>itzel.let0503@gmail.com</t>
  </si>
  <si>
    <t>OULY780523MVZZYL09</t>
  </si>
  <si>
    <t>64MD03B-07</t>
  </si>
  <si>
    <t>OZUNA LEYVA YULMA</t>
  </si>
  <si>
    <t>998 155 8035</t>
  </si>
  <si>
    <t>amadaley1107@hotmail.com</t>
  </si>
  <si>
    <t>UANG870621MQRCHL02</t>
  </si>
  <si>
    <t>64MD03B-08</t>
  </si>
  <si>
    <t>UCAN NOH GLADYS NOEMI</t>
  </si>
  <si>
    <t>998 810 3336</t>
  </si>
  <si>
    <t>Ucan.Gladys.md3acun@iuaf.edu.mx</t>
  </si>
  <si>
    <t>alcanaty@hotmail.com</t>
  </si>
  <si>
    <t>832 504-6678</t>
  </si>
  <si>
    <t>HERE730121MVZRYL02</t>
  </si>
  <si>
    <t>938 129 5858</t>
  </si>
  <si>
    <t>hdezreyes_ely@outlook.com</t>
  </si>
  <si>
    <t>eduardoduranzu@gmail.com.mx</t>
  </si>
  <si>
    <t>983 753 9674</t>
  </si>
  <si>
    <t>miguelxtequila@hotmail.com</t>
  </si>
  <si>
    <t>GUGS740115HGRVRR06</t>
  </si>
  <si>
    <t>998 200 1047</t>
  </si>
  <si>
    <t>951 149 3263</t>
  </si>
  <si>
    <t>luisherigz01@hotmail.com</t>
  </si>
  <si>
    <t>556 769 1752</t>
  </si>
  <si>
    <t>abe_gr@hotmail.com</t>
  </si>
  <si>
    <t>64LD04AB-03</t>
  </si>
  <si>
    <t>998 241 7991</t>
  </si>
  <si>
    <t>mariaglennie@hotmail.com</t>
  </si>
  <si>
    <t>luisini27@outlook.com</t>
  </si>
  <si>
    <t>999 189 2305</t>
  </si>
  <si>
    <t>dbraga2010@yahoo.com</t>
  </si>
  <si>
    <t>938 212 0901</t>
  </si>
  <si>
    <t>darwin.dominguez@iuaf.edu.mx</t>
  </si>
  <si>
    <t>dianajanethja@yahoo.com.mx</t>
  </si>
  <si>
    <t>GIAL711221MDFLCZ09</t>
  </si>
  <si>
    <t>64DD02C-04</t>
  </si>
  <si>
    <t>GIL ACOSTA LUZ ELVA</t>
  </si>
  <si>
    <t>luzgil_1@hotmail.com</t>
  </si>
  <si>
    <t>AGUILAR MACEDA MINERVA</t>
  </si>
  <si>
    <t>GARCIA TREVIÑO ADRIANA DEL CARMEN</t>
  </si>
  <si>
    <t>81 1486 1098</t>
  </si>
  <si>
    <t>adrigt16@hotmail.com</t>
  </si>
  <si>
    <t>998 426 1102</t>
  </si>
  <si>
    <t>djerrylara22@gmail.com</t>
  </si>
  <si>
    <t>481 103 0661</t>
  </si>
  <si>
    <t>armando_10-92@hotmail.com</t>
  </si>
  <si>
    <t>64LD03C-09</t>
  </si>
  <si>
    <t>kevin.alcala@iuaf.edu.mx</t>
  </si>
  <si>
    <t>64LD03C-13</t>
  </si>
  <si>
    <t>998 463 0149</t>
  </si>
  <si>
    <t>itzhel.tehue@iuaf.edu.mx</t>
  </si>
  <si>
    <t>64LD03C-15</t>
  </si>
  <si>
    <t>998 499 2876</t>
  </si>
  <si>
    <t>FUES740730MDFNSS02</t>
  </si>
  <si>
    <t>64MD03B-03</t>
  </si>
  <si>
    <t>FUENTES ESCAMILLA SUSANA GUADALUPE</t>
  </si>
  <si>
    <t>sumarcadmon@gmail.com</t>
  </si>
  <si>
    <t>iusesquide@hotmail.com</t>
  </si>
  <si>
    <t>QUCK891107MHGNNR08</t>
  </si>
  <si>
    <t>QUINTERO CANALES KARINA</t>
  </si>
  <si>
    <t>spencer9540@gmail.com</t>
  </si>
  <si>
    <t>64MD03A1-01</t>
  </si>
  <si>
    <t>722 566 2011</t>
  </si>
  <si>
    <t>eduardoduranzu@gmail.com</t>
  </si>
  <si>
    <t>312 594 2325</t>
  </si>
  <si>
    <t>998 203 7162</t>
  </si>
  <si>
    <t>NAVA NEGRÓN MARIA DE LOS ANGELES</t>
  </si>
  <si>
    <t>998 424 2479</t>
  </si>
  <si>
    <t>998 214 9436</t>
  </si>
  <si>
    <t>duran.sagrario.dd3acdc@iauf.edu.mx</t>
  </si>
  <si>
    <t>griseldagarciaortega382@gmail.com</t>
  </si>
  <si>
    <t>55 5401 7528</t>
  </si>
  <si>
    <t>DIVF640804HDFZLL09</t>
  </si>
  <si>
    <t>64DD03A1-5</t>
  </si>
  <si>
    <t>DIAZ VILLALOBOS FELIX</t>
  </si>
  <si>
    <t>998 577 0191</t>
  </si>
  <si>
    <t>felixfdv1@gmail.com</t>
  </si>
  <si>
    <t>64LD03A3-10</t>
  </si>
  <si>
    <t>998 734 6514</t>
  </si>
  <si>
    <t>pabterrsteam@outlook.es</t>
  </si>
  <si>
    <t>729 107 9299</t>
  </si>
  <si>
    <t>fran.jarsan@gmail.com</t>
  </si>
  <si>
    <t>951 274 0464</t>
  </si>
  <si>
    <t>sergiorosas@masred.mx</t>
  </si>
  <si>
    <t>938 109 0884</t>
  </si>
  <si>
    <t>marly.diaz@cgasi.comm.mx</t>
  </si>
  <si>
    <t>PESB940311MGRRLR01</t>
  </si>
  <si>
    <t>64MD05B-05</t>
  </si>
  <si>
    <t>722 527 9891</t>
  </si>
  <si>
    <t>56 1462 0040</t>
  </si>
  <si>
    <t>cruzmor@ymail.com</t>
  </si>
  <si>
    <t>64MD05B-04</t>
  </si>
  <si>
    <t>722 127 5294</t>
  </si>
  <si>
    <t>dianaol_3@yahoo.con.mx</t>
  </si>
  <si>
    <t>983 212 0901</t>
  </si>
  <si>
    <t>darwindominguezuc@hotmail.com</t>
  </si>
  <si>
    <t>33 1345 1175</t>
  </si>
  <si>
    <t>GILD870205MYNLPR03</t>
  </si>
  <si>
    <t>987 112 0773</t>
  </si>
  <si>
    <t>GITA551202HYNLNN04</t>
  </si>
  <si>
    <t>983 732 3505</t>
  </si>
  <si>
    <t>GILC840706MYNLPR03</t>
  </si>
  <si>
    <t>cristina_gillopez@hotmail.com</t>
  </si>
  <si>
    <t>558 550 0367</t>
  </si>
  <si>
    <t>fauszx@gmail.com</t>
  </si>
  <si>
    <t>jaimecortes79@hotmail.com</t>
  </si>
  <si>
    <t>eddyrexus@yahoo.com.mx</t>
  </si>
  <si>
    <t>1 56 1489 8553</t>
  </si>
  <si>
    <t>844 452 4541</t>
  </si>
  <si>
    <t>Annelmevi77@gmail.com</t>
  </si>
  <si>
    <t>938 383 3221</t>
  </si>
  <si>
    <t>glendireyes92@gmail.com</t>
  </si>
  <si>
    <t>RACM840109MMCMTR02</t>
  </si>
  <si>
    <t>RAMIREZ COTERO MARICELA</t>
  </si>
  <si>
    <t>722 292 8291</t>
  </si>
  <si>
    <t>marycelaramyrez@gmail.com</t>
  </si>
  <si>
    <t>demontazgirl@gmail.com</t>
  </si>
  <si>
    <t>998 392 9838</t>
  </si>
  <si>
    <t>saribroca77@gmail.com</t>
  </si>
  <si>
    <t>64DD03B-16</t>
  </si>
  <si>
    <t>jutoab@yahoo.com</t>
  </si>
  <si>
    <t>923 131 5468</t>
  </si>
  <si>
    <t>nataliaalfonsoromero75@gmail.com</t>
  </si>
  <si>
    <t>998 279 8005</t>
  </si>
  <si>
    <t>fernandohoil.1@gmail.com</t>
  </si>
  <si>
    <t>983 123 1635</t>
  </si>
  <si>
    <t>maluribo75@gmail. com</t>
  </si>
  <si>
    <t>998 440 9195</t>
  </si>
  <si>
    <t>durangolimited@outlook.com</t>
  </si>
  <si>
    <t>411 136 0045</t>
  </si>
  <si>
    <t>SOSA GARCIA LIZBETH REGINA</t>
  </si>
  <si>
    <t>983 100 4928</t>
  </si>
  <si>
    <t>liz_sosa03@hotmail.com</t>
  </si>
  <si>
    <t>elenacolmenaresh@gmail.com</t>
  </si>
  <si>
    <t>501 615-6922</t>
  </si>
  <si>
    <t>Charlierublee@gmail.com</t>
  </si>
  <si>
    <t>marcochavezaguayo@gmail.com</t>
  </si>
  <si>
    <t>CAFG901105HYNCNV03</t>
  </si>
  <si>
    <t>CAUICH FONSECA GEOVANNI ALEJANDRO</t>
  </si>
  <si>
    <t>998 161 6067</t>
  </si>
  <si>
    <t>pale_13@hotmail.com</t>
  </si>
  <si>
    <t>998 224 4236</t>
  </si>
  <si>
    <t>64MD04B-05</t>
  </si>
  <si>
    <t>64DD04A2-02</t>
  </si>
  <si>
    <t>55 8550 0367</t>
  </si>
  <si>
    <t>55 4353 0412</t>
  </si>
  <si>
    <t>raul_chinahui@hotmail.com</t>
  </si>
  <si>
    <t>CEMH750925HDFRRC07</t>
  </si>
  <si>
    <t>64DD03A1-3</t>
  </si>
  <si>
    <t>CERVANTES MARTINEZ HECTOR MANUEL</t>
  </si>
  <si>
    <t>962 113 0713</t>
  </si>
  <si>
    <t>manuel2613@live.com.mx</t>
  </si>
  <si>
    <t>55 4369 2742</t>
  </si>
  <si>
    <t>elportalegal@yahoo.com.mx</t>
  </si>
  <si>
    <t>COHE730529HDFRRD06</t>
  </si>
  <si>
    <t>CORTES HERNANDEZ JOSE EDMUNDO</t>
  </si>
  <si>
    <t>55 1380 8894</t>
  </si>
  <si>
    <t>jech31d2@yahoo.com.mx</t>
  </si>
  <si>
    <t>AAMN840301MMCLJL01</t>
  </si>
  <si>
    <t>ALCANTARA MEJIA NALLELI</t>
  </si>
  <si>
    <t>55 1003 8033</t>
  </si>
  <si>
    <t>alcantaramejia@live.com.mx</t>
  </si>
  <si>
    <t>CASTRO RIVADENEYRA HECTOR</t>
  </si>
  <si>
    <t>hectorcastrori@gmail.com</t>
  </si>
  <si>
    <t>55 6775 9416</t>
  </si>
  <si>
    <t>lic.danieldiazg@gmail.com</t>
  </si>
  <si>
    <t>BICY730222MYNRHR01</t>
  </si>
  <si>
    <t>64DD02B-06</t>
  </si>
  <si>
    <t>983 111 1387</t>
  </si>
  <si>
    <t>yarafaride@hotmail.com</t>
  </si>
  <si>
    <t>55 3840 1737</t>
  </si>
  <si>
    <t>jarquin_1970@hotmail.com</t>
  </si>
  <si>
    <t>abolioc@hotmail.com</t>
  </si>
  <si>
    <t>222 459 2621</t>
  </si>
  <si>
    <t>993 590 9905</t>
  </si>
  <si>
    <t>consorcioras@gmail.com</t>
  </si>
  <si>
    <t>MONTES DE OCA MEDINA JUAN MANUEL</t>
  </si>
  <si>
    <t>722 557 8096</t>
  </si>
  <si>
    <t>jurmontesdeoca@hotmail.com</t>
  </si>
  <si>
    <t>sinaibustamante91@gmail.com</t>
  </si>
  <si>
    <t>eusebio_palaciosr@hotmail.com</t>
  </si>
  <si>
    <t>BANB820604HGRHJN03</t>
  </si>
  <si>
    <t>64DD02C-02</t>
  </si>
  <si>
    <t>BAHENA NAJERA BENJAMIN</t>
  </si>
  <si>
    <t>998 201 8742</t>
  </si>
  <si>
    <t>bahena.benjamin.dd2cb@iuaf.edu.mx</t>
  </si>
  <si>
    <t>983 190 7545</t>
  </si>
  <si>
    <t>anahiavilesglez@hotmail.com</t>
  </si>
  <si>
    <t>GARCES GARCIA RODRIGO</t>
  </si>
  <si>
    <t>442 504 0089</t>
  </si>
  <si>
    <t>rodrigogarces13@hotmail.com</t>
  </si>
  <si>
    <t>984 169 1351</t>
  </si>
  <si>
    <t>Bastto77@gmail.com</t>
  </si>
  <si>
    <t>984 133 8502</t>
  </si>
  <si>
    <t>oficialdelarosa@gmail.com</t>
  </si>
  <si>
    <t>998 860 4270</t>
  </si>
  <si>
    <t>993 160 3321</t>
  </si>
  <si>
    <t>hacgonzalez@hotmail.com</t>
  </si>
  <si>
    <t>ACOSTA CORRAL LUIS CARLOS</t>
  </si>
  <si>
    <t>614 504 6847</t>
  </si>
  <si>
    <t>lca.lacosta@gmail.com</t>
  </si>
  <si>
    <t>GOPR760809MDFNRS05</t>
  </si>
  <si>
    <t>GONZALEZ PEREZ ROSA</t>
  </si>
  <si>
    <t>lic_velarde@hotmail.com</t>
  </si>
  <si>
    <t>CASL950609HQRNMS04</t>
  </si>
  <si>
    <t>CANUL SIMA LUIS ALEJANDRO</t>
  </si>
  <si>
    <t>magyc_boo@hotmail.com</t>
  </si>
  <si>
    <t>656 376 8114</t>
  </si>
  <si>
    <t>manuel_arellano_garcia@hotmail.com</t>
  </si>
  <si>
    <t>dannaly05@hotmail.com</t>
  </si>
  <si>
    <t>998 125 5646</t>
  </si>
  <si>
    <t>998 845 1496</t>
  </si>
  <si>
    <t>superaca@msn.com</t>
  </si>
  <si>
    <t>747 499 0480</t>
  </si>
  <si>
    <t>ZAAA830105MMCRLV03</t>
  </si>
  <si>
    <t>64LD04A4-01</t>
  </si>
  <si>
    <t>713 138 2972</t>
  </si>
  <si>
    <t>zaraavi.83@gmail.com</t>
  </si>
  <si>
    <t>993 278 2637</t>
  </si>
  <si>
    <t>GARCIA ROCHA JUAN ANTONIO</t>
  </si>
  <si>
    <t>444 260 3925</t>
  </si>
  <si>
    <t>garciar.jantonio.academic71@gmail.com</t>
  </si>
  <si>
    <t>984 131 2178</t>
  </si>
  <si>
    <t>edrei7004@gmail.com</t>
  </si>
  <si>
    <t>abogada.xochiquetzal@gmail.com</t>
  </si>
  <si>
    <t>833 449 9784</t>
  </si>
  <si>
    <t>Lizeth_nayelli_mendez_pineda@live.com.mx</t>
  </si>
  <si>
    <t>228 979 0283</t>
  </si>
  <si>
    <t>gerardoguzmanc1@hotmail.com</t>
  </si>
  <si>
    <t>jlrm_08@hotmail.com</t>
  </si>
  <si>
    <t>722 631 9108</t>
  </si>
  <si>
    <t>marceibarra2014@gmail.com</t>
  </si>
  <si>
    <t>GUILLEN LOPEZ YONNI JOSUE</t>
  </si>
  <si>
    <t>963 268 0450</t>
  </si>
  <si>
    <t>yonnitoguillen@gmail.com</t>
  </si>
  <si>
    <t>AUHA960807HQRNDD07</t>
  </si>
  <si>
    <t>64MD03A-01</t>
  </si>
  <si>
    <t>ANGULO HIDALGO ADOLFO RAUL</t>
  </si>
  <si>
    <t>983 158 6545</t>
  </si>
  <si>
    <t>angulo-1996@hotmail.com</t>
  </si>
  <si>
    <t>pecestudio@hotmail.com</t>
  </si>
  <si>
    <t>rossen@live.com.mx</t>
  </si>
  <si>
    <t>PEREZ HERNANDEZ MARIANA</t>
  </si>
  <si>
    <t>mariana0825@live.com</t>
  </si>
  <si>
    <t>jessicapereiragar@gmail.com</t>
  </si>
  <si>
    <t>glen_2515@live.com.mx</t>
  </si>
  <si>
    <t>998 224 5876</t>
  </si>
  <si>
    <t>pedroalvarezperez@live.com.mx</t>
  </si>
  <si>
    <t>juan@jsautorepairservice.com</t>
  </si>
  <si>
    <t>abogadoselect@outlook.com</t>
  </si>
  <si>
    <t>LOTJ710629HSPPRS00</t>
  </si>
  <si>
    <t>jlt712011@hotmail.com</t>
  </si>
  <si>
    <t>MORENO RAMIREZ FRIDA MARIA</t>
  </si>
  <si>
    <t>frida.moreno2596@gmail.com</t>
  </si>
  <si>
    <t>tonatiuh_lay@suv.udg.mx</t>
  </si>
  <si>
    <t>lic.carlosromeror@hotmail.com</t>
  </si>
  <si>
    <t>722 510 6544</t>
  </si>
  <si>
    <t>tulipan96@live.com.mx</t>
  </si>
  <si>
    <t>oscar.garcia@pjedomex.gob.mx</t>
  </si>
  <si>
    <t>BOPS621030MYNNSL01</t>
  </si>
  <si>
    <t>BONILLA PASOS SILVIA MAGALI</t>
  </si>
  <si>
    <t>bopsilviadoc@gmail.com</t>
  </si>
  <si>
    <t>MD02A</t>
  </si>
  <si>
    <t>CACG750725HYNHMS08</t>
  </si>
  <si>
    <t>CHAN CAAMAL GUSTAVO EFRAIN</t>
  </si>
  <si>
    <t>lamaac10@hotmail.com</t>
  </si>
  <si>
    <t>CUMF820101HQRRRB04</t>
  </si>
  <si>
    <t>fabian_tequila@hotmail.com</t>
  </si>
  <si>
    <t>GABI780402HDFLCG04</t>
  </si>
  <si>
    <t>GALINDO BECERRIL IGNACIO</t>
  </si>
  <si>
    <t>lic.ignaciogalindo78@gmail.com</t>
  </si>
  <si>
    <t>LOHA740820HTCPDR03</t>
  </si>
  <si>
    <t>LOPEZ HIDALGO ARMANDO</t>
  </si>
  <si>
    <t>RARC790921MYNMDL01</t>
  </si>
  <si>
    <t>RAMOS RODRIGUEZ CLAUDIA CAROLINA DE JESUS</t>
  </si>
  <si>
    <t>claudia.ramos@iuaf.edu.mx</t>
  </si>
  <si>
    <t>RURR751222HDFZML08</t>
  </si>
  <si>
    <t>RUIZ RAMIREZ RAUL ANTONIO</t>
  </si>
  <si>
    <t>despachojuri.ra@gmail.com</t>
  </si>
  <si>
    <t>CARE771117MJCRDL05</t>
  </si>
  <si>
    <t>CARDENAS RODRIGUEZ ELIZABETH</t>
  </si>
  <si>
    <t>cardenas-eli@hotmail.com</t>
  </si>
  <si>
    <t>MD02B</t>
  </si>
  <si>
    <t>CERM780805HYNNJN04</t>
  </si>
  <si>
    <t>manuelr197808@hotmail.com</t>
  </si>
  <si>
    <t>LOHV800529MTCPRC01</t>
  </si>
  <si>
    <t>LOPEZ HERNANDEZ VICTORIA</t>
  </si>
  <si>
    <t>victorialh_290580@outlook.com</t>
  </si>
  <si>
    <t>MORI790221MDFNVR01</t>
  </si>
  <si>
    <t>iranmondragon78@gmail.com</t>
  </si>
  <si>
    <t>ROGF560307MJCDRL05</t>
  </si>
  <si>
    <t>RODRIGUEZ GORDIAN MARIA FELICITAS</t>
  </si>
  <si>
    <t>RUGO641111MDFBRL03</t>
  </si>
  <si>
    <t>RUBIO GARCIA MARIA OLIVIA</t>
  </si>
  <si>
    <t>licolivia.rubio@gmail.com</t>
  </si>
  <si>
    <t>SAFE711023HDFRBD08</t>
  </si>
  <si>
    <t>SAURI FABRO EDWIN DAVID</t>
  </si>
  <si>
    <t>edwinsauri@msn.com</t>
  </si>
  <si>
    <t>SAFH700610MDFRBY03</t>
  </si>
  <si>
    <t>SAURI FABRO HAYDEE CAROLINA</t>
  </si>
  <si>
    <t>haydeesauri@hotmail.com</t>
  </si>
  <si>
    <t>LD01</t>
  </si>
  <si>
    <t>CUGV851202MQRRRV01</t>
  </si>
  <si>
    <t>CRUZ GARCIA VIVIANA</t>
  </si>
  <si>
    <t>nice2385@hotmail.com</t>
  </si>
  <si>
    <t>983 154 9299</t>
  </si>
  <si>
    <t>franciscocouoh8585@gmail.com</t>
  </si>
  <si>
    <t>999 338 5105</t>
  </si>
  <si>
    <t>baeza.rdz@hotmail.com</t>
  </si>
  <si>
    <t>SANCHEZ LOZA JOSE RUBEN</t>
  </si>
  <si>
    <t>ruub10otz@gmail.com</t>
  </si>
  <si>
    <t>ALDANA QUIJANO FELIPE DE JESUS</t>
  </si>
  <si>
    <t>998 131 3901</t>
  </si>
  <si>
    <t>cheno.aldana@gmail.com</t>
  </si>
  <si>
    <t>JTMDP</t>
  </si>
  <si>
    <t>LOSH841208HOCPCC01</t>
  </si>
  <si>
    <t>LOPEZ SACHIÑAS HECTOR</t>
  </si>
  <si>
    <t>971 702 5445</t>
  </si>
  <si>
    <t>licsachinas@icloud.com</t>
  </si>
  <si>
    <t>JT MAESTRIA EN DERECHO PROCESAL PENAL Y JUICIOS ORALES</t>
  </si>
  <si>
    <t>55 3565 9877</t>
  </si>
  <si>
    <t>RORG691127MGRMSB01</t>
  </si>
  <si>
    <t>ROMERO RESENDIZ GABRIELA</t>
  </si>
  <si>
    <t>gabyr432@hotmail.com</t>
  </si>
  <si>
    <t>443 188 8783</t>
  </si>
  <si>
    <t>cantaliciacantu@gmail.com</t>
  </si>
  <si>
    <t>998 202 6333</t>
  </si>
  <si>
    <t>artyoli@hotmail.com</t>
  </si>
  <si>
    <t>leopardos1@yahoo.es</t>
  </si>
  <si>
    <t>TACB970622HQRMCR07</t>
  </si>
  <si>
    <t>brandonsc2274@gmail.com</t>
  </si>
  <si>
    <t>landy2017@gmail.com</t>
  </si>
  <si>
    <t>64MDP03-05</t>
  </si>
  <si>
    <t>722 347 1144</t>
  </si>
  <si>
    <t>ranafrogs@hotmail.com</t>
  </si>
  <si>
    <t>GAMS750515MMCRRN09</t>
  </si>
  <si>
    <t>GARAY MARTINEZ SONIA</t>
  </si>
  <si>
    <t>722 419 6015</t>
  </si>
  <si>
    <t>soniagaraym@yahoo.com.mx</t>
  </si>
  <si>
    <t>8111829042‬</t>
  </si>
  <si>
    <t>ma.cristinamartines@hotmail.com</t>
  </si>
  <si>
    <t>64LD05D-04</t>
  </si>
  <si>
    <t>984 113 5189</t>
  </si>
  <si>
    <t>angelguva@gmail.com</t>
  </si>
  <si>
    <t>999 277 2514</t>
  </si>
  <si>
    <t>julianaguilarpresidente@gmail.com</t>
  </si>
  <si>
    <t>722 244 1129</t>
  </si>
  <si>
    <t>roberto.valdesg@hotmail.com</t>
  </si>
  <si>
    <t>415 170 5003</t>
  </si>
  <si>
    <t>blessmemo11@gmail.com</t>
  </si>
  <si>
    <t>LD04AB</t>
  </si>
  <si>
    <t>VEOP581026MCSRCT04</t>
  </si>
  <si>
    <t>NUGA631227HGTXRR09</t>
  </si>
  <si>
    <t>NUÑEZ GARCIA ARMANDO</t>
  </si>
  <si>
    <t>313 328 4020</t>
  </si>
  <si>
    <t>dealeco_27@hotmail.com</t>
  </si>
  <si>
    <t>acm0629@yahoo.com.mx</t>
  </si>
  <si>
    <t>DIAP02</t>
  </si>
  <si>
    <t>EOGX020830MQRSMMA1</t>
  </si>
  <si>
    <t>64LD05D-03</t>
  </si>
  <si>
    <t>ESCOBEDO GOMEZ XIMENA CAROLINA</t>
  </si>
  <si>
    <t>ximegomez550@gmail.com</t>
  </si>
  <si>
    <t/>
  </si>
  <si>
    <t>0</t>
  </si>
  <si>
    <t>PRIMER CUATRI ( - )</t>
  </si>
  <si>
    <t>SEGUNDO CUATRI ( - )</t>
  </si>
  <si>
    <t>TERCER CUATRI ( - )</t>
  </si>
  <si>
    <t>https://classroom.google.com/c/NTEwMzUxMjEyMzk0?cjc=kyhy2fx</t>
  </si>
  <si>
    <t>Dr. Miguel Angel Salas</t>
  </si>
  <si>
    <t>ESTATUS ACADÉMICO</t>
  </si>
  <si>
    <t>PEREZ HERNANDEZ JESUS ALBERTO</t>
  </si>
  <si>
    <t>GOCY740327MYNNTD01</t>
  </si>
  <si>
    <t>GONGORA CETINA YADIRA SUSANA</t>
  </si>
  <si>
    <t>998 155 8834</t>
  </si>
  <si>
    <t>ygongoracetina@gmail.com</t>
  </si>
  <si>
    <t>CLÍNICA DE DERECHO PROCESAL LABORAL</t>
  </si>
  <si>
    <t>CLÍNICA DE ESTRATEGIAS DEL PROCESO PENAL I</t>
  </si>
  <si>
    <t>SEMINARIO DE DERECHO PROCESAL AMPARO I</t>
  </si>
  <si>
    <t>SEMINARIO DE JUICIO ORAL FAMILIAR</t>
  </si>
  <si>
    <t>SEMINARIO DE SOLUCIÓN DE CONFLICTOS Y JUSTICIA RESTAURATIVA</t>
  </si>
  <si>
    <t>GASS760909HMCRRR09</t>
  </si>
  <si>
    <t>DD06A</t>
  </si>
  <si>
    <t>LOMA831210MMCPNL03</t>
  </si>
  <si>
    <t>https://classroom.google.com/c/NTk3NzA5ODcwNTgx</t>
  </si>
  <si>
    <t>SEMINARIO DE FILOSOFÍA JURIDICA</t>
  </si>
  <si>
    <t>PIAH640129HMCCRC03</t>
  </si>
  <si>
    <t>CACL770211MMCSXR00</t>
  </si>
  <si>
    <t>AARM820909MDFLDR06</t>
  </si>
  <si>
    <t>ROEA640703HMCSSL01</t>
  </si>
  <si>
    <t>GURJ780305MMCTZN07</t>
  </si>
  <si>
    <t>CASM660807MMCMNR09</t>
  </si>
  <si>
    <t>PICHARDO ARANZA HECTOR</t>
  </si>
  <si>
    <t>64LD07B-01</t>
  </si>
  <si>
    <t>64DD07B-02</t>
  </si>
  <si>
    <t>LOPEZ MONTES DE OCA ALEJANDRA IRAIS</t>
  </si>
  <si>
    <t>64DD07A-03</t>
  </si>
  <si>
    <t>CASTILLO CAÑAS LOURDES</t>
  </si>
  <si>
    <t>64DD07A-01</t>
  </si>
  <si>
    <t>ALVAREZ RODRIGUEZ MIREY IVONNE</t>
  </si>
  <si>
    <t>64DD07A-06</t>
  </si>
  <si>
    <t>ROSALES ESTRADA ALEJANDRO EDGAR</t>
  </si>
  <si>
    <t>64DD07A-04</t>
  </si>
  <si>
    <t>GUTIERREZ RUIZ JANELLY</t>
  </si>
  <si>
    <t>64DD07A-02</t>
  </si>
  <si>
    <t>CAMARGO SANCHEZ MARTHA</t>
  </si>
  <si>
    <t>64LD03AB-01</t>
  </si>
  <si>
    <t>64LD03C-05</t>
  </si>
  <si>
    <t>KANTUNILKÍN</t>
  </si>
  <si>
    <t>POOL CAUICH DAVID JEYSSER</t>
  </si>
  <si>
    <t>jose_73cc@hotmail.com</t>
  </si>
  <si>
    <t>melitoncabanas0@gmail.com</t>
  </si>
  <si>
    <t>contacto.ventasal@gmail.com</t>
  </si>
  <si>
    <t>Dianizmedina15@gmail.com</t>
  </si>
  <si>
    <t>geo.villanuevab@gmail.com</t>
  </si>
  <si>
    <t>64MDP03-13</t>
  </si>
  <si>
    <t>EN TITULACION</t>
  </si>
  <si>
    <t>64DD04A-11</t>
  </si>
  <si>
    <t>64MD06C-07</t>
  </si>
  <si>
    <t>64DD05B-3</t>
  </si>
  <si>
    <t>arturok7@icloud.com</t>
  </si>
  <si>
    <t>MD06A</t>
  </si>
  <si>
    <t>64DD04A-7</t>
  </si>
  <si>
    <t>64LD05B-01</t>
  </si>
  <si>
    <t>228 243 0508</t>
  </si>
  <si>
    <t>Yarcoszuniga@gmail.com</t>
  </si>
  <si>
    <t>64LD000</t>
  </si>
  <si>
    <t>998 205 3494</t>
  </si>
  <si>
    <t>carlos.palomo@iuaf.edu.mx</t>
  </si>
  <si>
    <t>ibarrajosvi@gmail.com</t>
  </si>
  <si>
    <t>64MD06C-01</t>
  </si>
  <si>
    <t>64MD06C-03</t>
  </si>
  <si>
    <t>64MD06C-05</t>
  </si>
  <si>
    <t>64MD05D-01</t>
  </si>
  <si>
    <t>64MD06C-04</t>
  </si>
  <si>
    <t>64MD06C2-01</t>
  </si>
  <si>
    <t>MDO5A</t>
  </si>
  <si>
    <t>rox.avila.sandoval@hotmail.com</t>
  </si>
  <si>
    <t>Chain.maria2115@gmail.com</t>
  </si>
  <si>
    <t>64MD05C-02</t>
  </si>
  <si>
    <t>64LD04A3-01</t>
  </si>
  <si>
    <t>64MD06C-02</t>
  </si>
  <si>
    <t>64LD03A4-01</t>
  </si>
  <si>
    <t>BAJA DEFINITIVA</t>
  </si>
  <si>
    <t>LD04D2-01</t>
  </si>
  <si>
    <t>64MD02A-02</t>
  </si>
  <si>
    <t>64MD02A-03</t>
  </si>
  <si>
    <t>64MD02A-04</t>
  </si>
  <si>
    <t>64MD02A-05</t>
  </si>
  <si>
    <t>64MD02A-06</t>
  </si>
  <si>
    <t>armandolopezcancun@gmail.com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</si>
  <si>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</si>
  <si>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</si>
  <si>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</si>
  <si>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</si>
  <si>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</si>
  <si>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</si>
  <si>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</si>
  <si>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</si>
  <si>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</si>
  <si>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VIJI690426MCSRMS06</t>
  </si>
  <si>
    <t>64DD01A-10</t>
  </si>
  <si>
    <t>DD01A</t>
  </si>
  <si>
    <t>64LD01-04</t>
  </si>
  <si>
    <t>64LD01-05</t>
  </si>
  <si>
    <t>64LD01-06</t>
  </si>
  <si>
    <t>64DD03B-05</t>
  </si>
  <si>
    <t>64MDPA-01</t>
  </si>
  <si>
    <t>64LD05D-02</t>
  </si>
  <si>
    <t>64LD05F-01</t>
  </si>
  <si>
    <t>64LD04AB-06</t>
  </si>
  <si>
    <t>VERA OCHOA PATRICIA ROMANA</t>
  </si>
  <si>
    <t>direccionjuridica.vera@hotmail.com</t>
  </si>
  <si>
    <t>AECR640101MDCB01</t>
  </si>
  <si>
    <t>ruth_abreho@hotmail.com</t>
  </si>
  <si>
    <t>AOBM791103MBSC02</t>
  </si>
  <si>
    <t>AOZL920808HBP03</t>
  </si>
  <si>
    <t>arosemenamd@iuaf.edu.mx</t>
  </si>
  <si>
    <t>BAPL611024HPPTN04</t>
  </si>
  <si>
    <t>pandalezbatista@hotmail.com</t>
  </si>
  <si>
    <t>CERI830818MDCDR05</t>
  </si>
  <si>
    <t>CEDEÑO RODRIGUEZ ISIS OSIRIS</t>
  </si>
  <si>
    <t>isisosiris.1840@gmail.com</t>
  </si>
  <si>
    <t>CAGY800319MCPRSG06</t>
  </si>
  <si>
    <t>yaricar19@hotmail.com</t>
  </si>
  <si>
    <t>CAIH940425MBVSG07</t>
  </si>
  <si>
    <t>CASTILLO IGLESIAS HARLINA HELENA</t>
  </si>
  <si>
    <t>harlinaci25@gmail.com</t>
  </si>
  <si>
    <t>CATJ720829HPPSR08</t>
  </si>
  <si>
    <t>joseangel29@hotmail.com</t>
  </si>
  <si>
    <t>DAMS840826MCPV09</t>
  </si>
  <si>
    <t>sdavism62@gmail.com</t>
  </si>
  <si>
    <t>ESGM850920MCCS10</t>
  </si>
  <si>
    <t>m_espino17@hotmail.com</t>
  </si>
  <si>
    <t>HERS860424MPPRD11</t>
  </si>
  <si>
    <t>sussy2486@hotmail.com</t>
  </si>
  <si>
    <t>LODM570227MCPPC12</t>
  </si>
  <si>
    <t>martha-lm@hotmail.com</t>
  </si>
  <si>
    <t>MEDR880911MSCNR13</t>
  </si>
  <si>
    <t>MENDEZ DE GRACIA RAQUEL</t>
  </si>
  <si>
    <t>rmendezdg@hotmail.com</t>
  </si>
  <si>
    <t>QUGA900427MCPRV14</t>
  </si>
  <si>
    <t>aquiroz@defensoria.gob.pa</t>
  </si>
  <si>
    <t>RAOA760622HCPM15</t>
  </si>
  <si>
    <t>omar-ramos@engineer.com</t>
  </si>
  <si>
    <t>REFM821011HCCL16</t>
  </si>
  <si>
    <t>REAL FRANCO MIGUEL ANGEL</t>
  </si>
  <si>
    <t>realfrancomd@iuaf.edu.mx</t>
  </si>
  <si>
    <t>RERD770507HCCT17</t>
  </si>
  <si>
    <t>ROCJ960223HCC18</t>
  </si>
  <si>
    <t>creusmd@iuaf.edu.mx</t>
  </si>
  <si>
    <t>SAJK950328MBCN19</t>
  </si>
  <si>
    <t>SANTAMARIA JACKSON KITZY KATHERINE</t>
  </si>
  <si>
    <t>kitzy_28@hotmail.com</t>
  </si>
  <si>
    <t>SOMA650909MPNTR20</t>
  </si>
  <si>
    <t>alexiasotom@gmail.com</t>
  </si>
  <si>
    <t>TIDM670422HPNJ21</t>
  </si>
  <si>
    <t>martintijerino2217@gmail.com</t>
  </si>
  <si>
    <t>TRVL880505MCPRQ22</t>
  </si>
  <si>
    <t>l.trejos05@gmail.com</t>
  </si>
  <si>
    <t>VAVJ900531HSVL23</t>
  </si>
  <si>
    <t>jhirwin.valverde@outlook.com</t>
  </si>
  <si>
    <t>VABM791102MCCZ24</t>
  </si>
  <si>
    <t>VASQUEZ BOSQUEZ MARLYN ARGELIS</t>
  </si>
  <si>
    <t>marlyn.vasquezbosquez@gmail.com</t>
  </si>
  <si>
    <t>FIRH560620HZSRJC03</t>
  </si>
  <si>
    <t>FIERROS ROJO HECTOR MANUEL</t>
  </si>
  <si>
    <t>492 143 9944</t>
  </si>
  <si>
    <t>fierrosrojohector@gmail.com</t>
  </si>
  <si>
    <t>POR IDENTIFICAR</t>
  </si>
  <si>
    <t>XOXO981231XXXXXX01</t>
  </si>
  <si>
    <t>64</t>
  </si>
  <si>
    <t>JUAR600704HPLRNB05</t>
  </si>
  <si>
    <t>JUAREZ ANTONIO ROBERTO</t>
  </si>
  <si>
    <t>222 165 9830</t>
  </si>
  <si>
    <t>juarezantonio2006@hotmail.com</t>
  </si>
  <si>
    <t>UUCC780408HQRHHS02</t>
  </si>
  <si>
    <t>UUH CHI CESAR</t>
  </si>
  <si>
    <t>uuh.c.c@hotmail.com</t>
  </si>
  <si>
    <t>MAGR840312HMCYRD05</t>
  </si>
  <si>
    <t>64MD06C-06</t>
  </si>
  <si>
    <t>MAYA GARCÍA JOSE RODRIGO</t>
  </si>
  <si>
    <t>royalin_12@hotmail.com</t>
  </si>
  <si>
    <t>CAGE571006HDFRND03</t>
  </si>
  <si>
    <t>CARRILLO GONZALEZ EDUARDO MANUEL</t>
  </si>
  <si>
    <t>442 505 6099</t>
  </si>
  <si>
    <t>manucarillo57@gmail.com</t>
  </si>
  <si>
    <t>VAJN910517MDFZMM07</t>
  </si>
  <si>
    <t>64MD06C-09</t>
  </si>
  <si>
    <t>VAZQUEZ JIMENEZ NOEMI</t>
  </si>
  <si>
    <t>noemy_uvj7511@hotmail.com</t>
  </si>
  <si>
    <t>MAAR630510HYNRRB02</t>
  </si>
  <si>
    <t>MARTINEZ ARAGON ROBERTO</t>
  </si>
  <si>
    <t>998 186 6072</t>
  </si>
  <si>
    <t>robertomtz.aragon@gmail.com</t>
  </si>
  <si>
    <t>PARA680822MSRCYL00</t>
  </si>
  <si>
    <t>PACHECO REYES ALMA DELIA</t>
  </si>
  <si>
    <t>Pachecoreyesalmadelia1@gmail.com</t>
  </si>
  <si>
    <t>MUSJ830916HMCXLH07</t>
  </si>
  <si>
    <t>64LD03AB-02</t>
  </si>
  <si>
    <t>MUÑOZ SALAZAR JEHU MARIO</t>
  </si>
  <si>
    <t>jehu_munoz@hotmail.com</t>
  </si>
  <si>
    <t>64DD05C-03</t>
  </si>
  <si>
    <t>TIMB851224MQRZXL08</t>
  </si>
  <si>
    <t>64LD03AB-03</t>
  </si>
  <si>
    <t>TZIU MUÑOZ BLANCA MERARI</t>
  </si>
  <si>
    <t>licsergiochale@gmail.com</t>
  </si>
  <si>
    <t>LD03AB</t>
  </si>
  <si>
    <t>AEGJ590712MDFBRN06</t>
  </si>
  <si>
    <t>64DD05C-01</t>
  </si>
  <si>
    <t>998 160 7277</t>
  </si>
  <si>
    <t>Jmabreug@hotmail.com</t>
  </si>
  <si>
    <t>SAAE900312HQRNLD00</t>
  </si>
  <si>
    <t>64DD05C-04</t>
  </si>
  <si>
    <t>SANCHEZ ALAMILLA EDUARDO ABEL</t>
  </si>
  <si>
    <t>983 164 1040</t>
  </si>
  <si>
    <t>alamilla12@hotmail.com</t>
  </si>
  <si>
    <t>DD05C</t>
  </si>
  <si>
    <t>jtdd</t>
  </si>
  <si>
    <t>CAPV540106HDFMDC06</t>
  </si>
  <si>
    <t>64DD03D-02</t>
  </si>
  <si>
    <t>CAMPOS PEDROZA VICTOR</t>
  </si>
  <si>
    <t>998 845 2484</t>
  </si>
  <si>
    <t>victorcampos11@hotmail.com</t>
  </si>
  <si>
    <t>DD03d</t>
  </si>
  <si>
    <t>AAMP810914HDFBRD05</t>
  </si>
  <si>
    <t>ABAD MARTINEZ PEDRO DANIEL</t>
  </si>
  <si>
    <t>998 173 9461</t>
  </si>
  <si>
    <t>pedroabad25@hotmail.com</t>
  </si>
  <si>
    <t>64DIAP03-01</t>
  </si>
  <si>
    <t>FOZR760106MTSLVY00</t>
  </si>
  <si>
    <t>64MDP03-04</t>
  </si>
  <si>
    <t>834 300 5398</t>
  </si>
  <si>
    <t>razucena-2004@hotmail.com</t>
  </si>
  <si>
    <t>BACJ000516MQRRRSA4</t>
  </si>
  <si>
    <t>BARROSO CARDENAS MARIA JOSE</t>
  </si>
  <si>
    <t>999 152 4425</t>
  </si>
  <si>
    <t>mariajose.barrosoder@gmail.com</t>
  </si>
  <si>
    <t>RADJ840603HQRMZR05</t>
  </si>
  <si>
    <t>64MDP04-02</t>
  </si>
  <si>
    <t>RAMIREZ DZIB JAIR DAVID</t>
  </si>
  <si>
    <t>983 104 5365</t>
  </si>
  <si>
    <t>BAJS880926MCSTRR04</t>
  </si>
  <si>
    <t>64MDP04-01</t>
  </si>
  <si>
    <t>BAUTISTA JUAREZ SARAI</t>
  </si>
  <si>
    <t>983 119 9205</t>
  </si>
  <si>
    <t>Saraibj22@gmail.com</t>
  </si>
  <si>
    <t>YAGD681010HJCXNN07</t>
  </si>
  <si>
    <t>64DIAP03-02</t>
  </si>
  <si>
    <t>YAÑEZ GONZALEZ DANIEL PAUL</t>
  </si>
  <si>
    <t>311 200 4953</t>
  </si>
  <si>
    <t>DIAP04</t>
  </si>
  <si>
    <t>64MDP03-01</t>
  </si>
  <si>
    <t>AJIATAZ MARTINEZ JAIRO BENJAMIN</t>
  </si>
  <si>
    <t>MDPG01</t>
  </si>
  <si>
    <t>GUATEMALA</t>
  </si>
  <si>
    <t>64MDP03-02</t>
  </si>
  <si>
    <t>ARRIOLA LOPEZ KEHILY ELVIRA</t>
  </si>
  <si>
    <t>dennisherrera@gmail.com</t>
  </si>
  <si>
    <t>AILR921007MCG</t>
  </si>
  <si>
    <t>64MDP03-03</t>
  </si>
  <si>
    <t>ARRIOLA LOPEZ ROCKSSY GABRIELA</t>
  </si>
  <si>
    <t>GARCIA GONZALEZ UBER ASAEL</t>
  </si>
  <si>
    <t>64MDP03-06</t>
  </si>
  <si>
    <t>GARCIA FRAATZ DEBORA ESTHER</t>
  </si>
  <si>
    <t>gorditalinda-1@hotmail.com</t>
  </si>
  <si>
    <t>64MDP03-07</t>
  </si>
  <si>
    <t>GARCIA PAREDES MARTA PATRICIA</t>
  </si>
  <si>
    <t>martapatricia5@gmail.com</t>
  </si>
  <si>
    <t>HERNANDEZ LOPEZ VICKY ARELLY</t>
  </si>
  <si>
    <t>arellyhernandez@gmail.com</t>
  </si>
  <si>
    <t>64MDP03-09</t>
  </si>
  <si>
    <t>MEJIA ARREOLA KAREN SUSANA</t>
  </si>
  <si>
    <t>smejiarreola@gmail.com</t>
  </si>
  <si>
    <t>64MDP03-10</t>
  </si>
  <si>
    <t>MORA PACHECO SILVIA ESTELA</t>
  </si>
  <si>
    <t>silviaestela1194@gmail.com</t>
  </si>
  <si>
    <t>64MDP03-11</t>
  </si>
  <si>
    <t>64MDP03-12</t>
  </si>
  <si>
    <t>RECINOS FABIAN JULIO CESAR</t>
  </si>
  <si>
    <t>jcrecinos.fabian@gmail.com</t>
  </si>
  <si>
    <t>UUAP900628HGG</t>
  </si>
  <si>
    <t>64MDP03-14</t>
  </si>
  <si>
    <t>URRUTIA ALFARO PETER MICHAEL</t>
  </si>
  <si>
    <t>VEPL851229HGG</t>
  </si>
  <si>
    <t>64MDP03-15</t>
  </si>
  <si>
    <t>VELARDE PEREZ LUIS ESTUARDO</t>
  </si>
  <si>
    <t>estuardovelarde1@gmail.com</t>
  </si>
  <si>
    <t>OEMA931224HBCCRL05</t>
  </si>
  <si>
    <t>64DD06A-06</t>
  </si>
  <si>
    <t>OCEGUEDA MARTINEZ ALFONSO</t>
  </si>
  <si>
    <t>686189 0876</t>
  </si>
  <si>
    <t>GABD610730MSLSJV05</t>
  </si>
  <si>
    <t>64DD06A-04</t>
  </si>
  <si>
    <t>GASTELUM BAJO DIVA HADAMIRA</t>
  </si>
  <si>
    <t>TU</t>
  </si>
  <si>
    <t>no aplica</t>
  </si>
  <si>
    <t>MEDINA SANTOS SARAI MARIA</t>
  </si>
  <si>
    <t>CURSO UNICO</t>
  </si>
  <si>
    <t>CANCHE CAMPOS RAUL EDUARDO</t>
  </si>
  <si>
    <t>GUTIERREZ ARREGUIN KEVIN HASSEM</t>
  </si>
  <si>
    <t>LORIA FRANCO ROSAURA DEL CARMEN</t>
  </si>
  <si>
    <t>64DD03D-09</t>
  </si>
  <si>
    <t>LAYNEZ LUX PEDRO RODOLFO</t>
  </si>
  <si>
    <t>64DD05C-02</t>
  </si>
  <si>
    <t>BAUTISTA AYALA GLORIA ALEJANDRA</t>
  </si>
  <si>
    <t>DDG01</t>
  </si>
  <si>
    <t>CALA600307HGT</t>
  </si>
  <si>
    <t>64MDP03A-01</t>
  </si>
  <si>
    <t>CABRERA LUNA ARMANDO BENJAMIN</t>
  </si>
  <si>
    <t>LOPEZ POP CRISTOFER AARON</t>
  </si>
  <si>
    <t>CANCELADO</t>
  </si>
  <si>
    <t>mrbg251077@gmail.com</t>
  </si>
  <si>
    <t>64MDP03A-07</t>
  </si>
  <si>
    <t>LOPEZ HERNANDEZ MILDRED AZUCENA</t>
  </si>
  <si>
    <t>DIP</t>
  </si>
  <si>
    <t>DIPCH</t>
  </si>
  <si>
    <t>CHIAPAS</t>
  </si>
  <si>
    <t>HARG880713HYNXMN00</t>
  </si>
  <si>
    <t>64MDP03A-03</t>
  </si>
  <si>
    <t>HAU RAMIREZ GONZALO ENRIQUE</t>
  </si>
  <si>
    <t>MDP04</t>
  </si>
  <si>
    <t>RORG830918HTCDDS09</t>
  </si>
  <si>
    <t>64MDP03A-13</t>
  </si>
  <si>
    <t>RODRIGUEZ RODRIGUEZ GASTON</t>
  </si>
  <si>
    <t>998 487 5842</t>
  </si>
  <si>
    <t>64DIA03B-01</t>
  </si>
  <si>
    <t>RAMIREZ HUERTA ERNESTO EDUARDO</t>
  </si>
  <si>
    <t>64DD06A-10</t>
  </si>
  <si>
    <t>64DD06C-06</t>
  </si>
  <si>
    <t>PABR881209HQRNLC07</t>
  </si>
  <si>
    <t>64DD06A-07</t>
  </si>
  <si>
    <t>PANTOJA BLEE RICARDO</t>
  </si>
  <si>
    <t>984 105 6690</t>
  </si>
  <si>
    <t>ZAMD890216HNLMRV09</t>
  </si>
  <si>
    <t>64DIA03B-02</t>
  </si>
  <si>
    <t>ZAMBRANO MORALES DAVID ADRIAN</t>
  </si>
  <si>
    <t>81 1683 3062</t>
  </si>
  <si>
    <t>DIAP03</t>
  </si>
  <si>
    <t>64DD06A-08</t>
  </si>
  <si>
    <t>PEREZ LOEZA EDGARDO NICOLAS</t>
  </si>
  <si>
    <t>983 104 1657</t>
  </si>
  <si>
    <t>64DD06A-03</t>
  </si>
  <si>
    <t>983 132 3522</t>
  </si>
  <si>
    <t>GUFP890126HDFTRB09</t>
  </si>
  <si>
    <t>GUTIERREZ FERNANDEZ PABLO</t>
  </si>
  <si>
    <t>AUPE701017HDFGDD06</t>
  </si>
  <si>
    <t>64DD06A-01</t>
  </si>
  <si>
    <t>AGUILAR PADILLA EDGAR</t>
  </si>
  <si>
    <t>983 700 5744</t>
  </si>
  <si>
    <t>64MD06D-01</t>
  </si>
  <si>
    <t>983 154 0545</t>
  </si>
  <si>
    <t>MD06B</t>
  </si>
  <si>
    <t>MODR860811MQRRRT09</t>
  </si>
  <si>
    <t>MORFIN DURAN RUTH</t>
  </si>
  <si>
    <t>984 156 4888</t>
  </si>
  <si>
    <t>VEAA951220MCCRCL08</t>
  </si>
  <si>
    <t>64MDP03A-14</t>
  </si>
  <si>
    <t>VERA ACOSTA ALEJANDRA</t>
  </si>
  <si>
    <t>938 140 3663</t>
  </si>
  <si>
    <t>PEHG780306HTCRRL00</t>
  </si>
  <si>
    <t>64MDP03A-08</t>
  </si>
  <si>
    <t>PEREZ HERNANDEZ GUILLERMO</t>
  </si>
  <si>
    <t>MDO6B2</t>
  </si>
  <si>
    <t>LOMM690929HCCPY604</t>
  </si>
  <si>
    <t>64DD06A-05</t>
  </si>
  <si>
    <t>LOPEZ MAY MIGUEL ANGEL</t>
  </si>
  <si>
    <t>lopezmay666@hotmail.com</t>
  </si>
  <si>
    <t>DDO6B</t>
  </si>
  <si>
    <t>MDP02B</t>
  </si>
  <si>
    <t>VEFI770113HDFRNS03</t>
  </si>
  <si>
    <t>64MDP03A-15</t>
  </si>
  <si>
    <t>VERGARA FUENTES ISRAEL AARON</t>
  </si>
  <si>
    <t>64DD06A-11</t>
  </si>
  <si>
    <t>BAXL740214MPLLCZ00</t>
  </si>
  <si>
    <t>64DD06A-02</t>
  </si>
  <si>
    <t>BALLESTEROS XICONTENCATL LUZ FABIOLA VERONICA</t>
  </si>
  <si>
    <t>984 158 8639</t>
  </si>
  <si>
    <t>LOGL840726MDFPNZ04</t>
  </si>
  <si>
    <t>GULL840714HCSLPS07</t>
  </si>
  <si>
    <t>GUILLEN LOPEZ JOSE LUIS</t>
  </si>
  <si>
    <t>64MDP03A-10</t>
  </si>
  <si>
    <t>502 5303 4375</t>
  </si>
  <si>
    <t>64MDP03A-05</t>
  </si>
  <si>
    <t>JIMENEZ VILLEDA SANDRA JEANNETTE</t>
  </si>
  <si>
    <t>503 5303 4375</t>
  </si>
  <si>
    <t>MDPG02</t>
  </si>
  <si>
    <t>RACR861129HGT</t>
  </si>
  <si>
    <t>64MDP03A-09</t>
  </si>
  <si>
    <t>MANCILLA DE LEON SILVIA VERONICA</t>
  </si>
  <si>
    <t>504 5303 4375</t>
  </si>
  <si>
    <t>64MDP03A-04</t>
  </si>
  <si>
    <t>HERRERA GUALIM JANALI GUADALUPE</t>
  </si>
  <si>
    <t>64MDP03A-02</t>
  </si>
  <si>
    <t>DAVILA PULEX SERGIO GUALBERTO</t>
  </si>
  <si>
    <t>506 5303 4375</t>
  </si>
  <si>
    <t>64MDP03A-11</t>
  </si>
  <si>
    <t>RAMIREZ CEBALLOS RAUL ENRIQUE</t>
  </si>
  <si>
    <t>507 5303 4375</t>
  </si>
  <si>
    <t>TUMN901201MQRZDT02</t>
  </si>
  <si>
    <t>TUZ MEDINA NATALIA TRINIDAD</t>
  </si>
  <si>
    <t>983 177 9208</t>
  </si>
  <si>
    <t>EXBW910819HQRKSL09</t>
  </si>
  <si>
    <t xml:space="preserve">EK BASTO WILBERTH GILBERTO </t>
  </si>
  <si>
    <t>MDP04B</t>
  </si>
  <si>
    <t>CAGD711202HYNCNT09</t>
  </si>
  <si>
    <t>CAUICH GONZALEZ DITHEL MANUEL</t>
  </si>
  <si>
    <t>SACL640107HVZLNC02</t>
  </si>
  <si>
    <t>64DD06B-</t>
  </si>
  <si>
    <t>SALAS CONTRERAS LUCIANO</t>
  </si>
  <si>
    <t>229 929 2297</t>
  </si>
  <si>
    <t>lucianosalascontreras@yahoo.com.mx</t>
  </si>
  <si>
    <t>GOSV800706MGRMNN03</t>
  </si>
  <si>
    <t>GOMEZ SANTOS VENUZ VANIA</t>
  </si>
  <si>
    <t>GASA670111HCLRLR09</t>
  </si>
  <si>
    <t>64MD06C2-</t>
  </si>
  <si>
    <t>GARCIA SALAZAR ARIEL</t>
  </si>
  <si>
    <t>844146 6373</t>
  </si>
  <si>
    <t>BIES551007HDFRSL01</t>
  </si>
  <si>
    <t>BRINGAS ESTRADA SALVADOR</t>
  </si>
  <si>
    <t>MEGI710505HDFNNG07</t>
  </si>
  <si>
    <t>MENDOZA GANDARIA IGNACIO</t>
  </si>
  <si>
    <t>55 3490 9875</t>
  </si>
  <si>
    <t>GACM710917MDFRLL02</t>
  </si>
  <si>
    <t>64DD06C-07</t>
  </si>
  <si>
    <t>GARAMENDI CELIS MIRIAM</t>
  </si>
  <si>
    <t>ROCE900102MTCDRL06</t>
  </si>
  <si>
    <t>64MDP03B-04</t>
  </si>
  <si>
    <t>RODRIGUEZ DE LA CRUZ ELIANA</t>
  </si>
  <si>
    <t>983700 5400</t>
  </si>
  <si>
    <t>REAG570906MPLGLB03</t>
  </si>
  <si>
    <t>REGUERO ALARCON GABRIELA DEL CARMEN</t>
  </si>
  <si>
    <t>222 322 5273</t>
  </si>
  <si>
    <t>AEPE891109HPP</t>
  </si>
  <si>
    <t>64MD06D2-01</t>
  </si>
  <si>
    <t>ALMENGOR PUELLO ERIC ABEL</t>
  </si>
  <si>
    <t>6280-5584</t>
  </si>
  <si>
    <t>MD06B3</t>
  </si>
  <si>
    <t>64MD06D3-01</t>
  </si>
  <si>
    <t>6984-7746</t>
  </si>
  <si>
    <t>CAOA880616Hdp</t>
  </si>
  <si>
    <t>64MD06D2-02</t>
  </si>
  <si>
    <t>CACH560717HCV</t>
  </si>
  <si>
    <t>64MD06D2-03</t>
  </si>
  <si>
    <t>CASTILLO CANTO HERNAN RAMIRO</t>
  </si>
  <si>
    <t>6702-4693</t>
  </si>
  <si>
    <t>DASD820809HPPVS</t>
  </si>
  <si>
    <t>64MD06D2-04</t>
  </si>
  <si>
    <t>DAVILA SALAZAR DANIEL ALEXANDER</t>
  </si>
  <si>
    <t>6492-8085</t>
  </si>
  <si>
    <t>DOVT660806MCP</t>
  </si>
  <si>
    <t>64MD06D2-05</t>
  </si>
  <si>
    <t>DOMINGUEZ VASQUEZ TRINIDAD</t>
  </si>
  <si>
    <t>6674-7984</t>
  </si>
  <si>
    <t>ESCA861211H</t>
  </si>
  <si>
    <t>64MD06D3-02</t>
  </si>
  <si>
    <t>ESCARTIN CUESTA RICARDO ANTONIO</t>
  </si>
  <si>
    <t>6526-4959</t>
  </si>
  <si>
    <t>JOGV830417M</t>
  </si>
  <si>
    <t>64MD06D2-07</t>
  </si>
  <si>
    <t>JORDAN GIRON VIELSA LISBETH</t>
  </si>
  <si>
    <t>6201-1693</t>
  </si>
  <si>
    <t>JOFG970418M</t>
  </si>
  <si>
    <t>64MD06D2-08</t>
  </si>
  <si>
    <t>6546-0367</t>
  </si>
  <si>
    <t>LAVS870127H</t>
  </si>
  <si>
    <t>64MD06D2-09</t>
  </si>
  <si>
    <t>LASSO VARELA SAMIR NAPOLEON</t>
  </si>
  <si>
    <t>6876-7527</t>
  </si>
  <si>
    <t>MACY840131MDV</t>
  </si>
  <si>
    <t>64MD06D2-10</t>
  </si>
  <si>
    <t>MARTINEZ DEL CID YARIELA LINETTE</t>
  </si>
  <si>
    <t>MIMG821216M</t>
  </si>
  <si>
    <t>64MD06D2-11</t>
  </si>
  <si>
    <t>MIRANDA MACIAS GLADYS</t>
  </si>
  <si>
    <t>POHR670809M</t>
  </si>
  <si>
    <t>64MD06D2-12</t>
  </si>
  <si>
    <t>POLO FLORES HOLANDA ROSA</t>
  </si>
  <si>
    <t>6617-0679</t>
  </si>
  <si>
    <t>RABD820122MDP</t>
  </si>
  <si>
    <t>64MD06D2-13</t>
  </si>
  <si>
    <t>RAMIREZ BAL DESIREE DEL CARMEN</t>
  </si>
  <si>
    <t>6273-8047</t>
  </si>
  <si>
    <t>REVZ861007MPP</t>
  </si>
  <si>
    <t>64MD06D3-04</t>
  </si>
  <si>
    <t>REYES VERNAZA ZULEMYS ZULIBETH</t>
  </si>
  <si>
    <t>RIAR931102HPP</t>
  </si>
  <si>
    <t>64MD06D3-05</t>
  </si>
  <si>
    <t>RIVERA ARENAS RODRIGO</t>
  </si>
  <si>
    <t>6795-8165</t>
  </si>
  <si>
    <t>64MD06D3-06</t>
  </si>
  <si>
    <t>RODRIGUEZ GUTIERREZ DELIA LINETH</t>
  </si>
  <si>
    <t>6530-0885</t>
  </si>
  <si>
    <t>ROCI970416MCP</t>
  </si>
  <si>
    <t>64MD06D3-07</t>
  </si>
  <si>
    <t>ROWE CORDOBA ISIS RUTH</t>
  </si>
  <si>
    <t>6736-3656</t>
  </si>
  <si>
    <t>SAAM681012HVP</t>
  </si>
  <si>
    <t>64MD06D3-08</t>
  </si>
  <si>
    <t>SALINAS ACOSTA MIGUEL ANGEL</t>
  </si>
  <si>
    <t>6536-0422</t>
  </si>
  <si>
    <t>SESO820401HPP</t>
  </si>
  <si>
    <t>64MD06D3-09</t>
  </si>
  <si>
    <t>SEGURA SALAZAR ORLANDO</t>
  </si>
  <si>
    <t>6281-1666</t>
  </si>
  <si>
    <t>SIAC760710H</t>
  </si>
  <si>
    <t>64MD06D3-10</t>
  </si>
  <si>
    <t>SIERRA AVILA CARLO ERNESTO</t>
  </si>
  <si>
    <t>SODM680821M</t>
  </si>
  <si>
    <t>64MD06D3-11</t>
  </si>
  <si>
    <t>6253-3032</t>
  </si>
  <si>
    <t>maribelgantess@gmail.com</t>
  </si>
  <si>
    <t>TEOE830513MDP</t>
  </si>
  <si>
    <t>64MD06D3-12</t>
  </si>
  <si>
    <t>TEJADA OSORIO ELA INDIRA</t>
  </si>
  <si>
    <t>6983-9088</t>
  </si>
  <si>
    <t>elatejada@gmail.com</t>
  </si>
  <si>
    <t>VECM850503M</t>
  </si>
  <si>
    <t>64MD06D3-13</t>
  </si>
  <si>
    <t>VEGA CUELLAR MELIDA DEL CARMEN</t>
  </si>
  <si>
    <t>6692-7604</t>
  </si>
  <si>
    <t>legaladricepanama@gmail.com</t>
  </si>
  <si>
    <t>RAVM870202HDFMLR06</t>
  </si>
  <si>
    <t>64LD06-01</t>
  </si>
  <si>
    <t>RAMIREZ VALDEZ MARIO ALBERTO</t>
  </si>
  <si>
    <t>984 108 3391</t>
  </si>
  <si>
    <t>ra.ma.vz.87@gmail.com</t>
  </si>
  <si>
    <t>64MDP03B2-07</t>
  </si>
  <si>
    <t>HERNANDEZ ESCOBAR PABLO MANUEL</t>
  </si>
  <si>
    <t>64MDP03B2-03</t>
  </si>
  <si>
    <t>CHINCHILLA MAYEN BRENDA SOFIA</t>
  </si>
  <si>
    <t>MDPG03</t>
  </si>
  <si>
    <t>64MDP03B-01</t>
  </si>
  <si>
    <t>ESTRADA HERNANDEZ MARIA BEATRIZ</t>
  </si>
  <si>
    <t>mabeaes@hotmail.com</t>
  </si>
  <si>
    <t>SOLARES DAVILA MARIA ARELY</t>
  </si>
  <si>
    <t>aresolares@gmail.com</t>
  </si>
  <si>
    <t>64MDP03B2-06</t>
  </si>
  <si>
    <t>HERNANDEZ DE LEON JOSUE DAVID</t>
  </si>
  <si>
    <t>MOPW821021MCG</t>
  </si>
  <si>
    <t>64MDP03B2-12</t>
  </si>
  <si>
    <t>MORALES PEREZ WENDY VANESSA</t>
  </si>
  <si>
    <t>64MDP03B2-10</t>
  </si>
  <si>
    <t>MARTINEZ PAREDES JUAN ALBERTO</t>
  </si>
  <si>
    <t>albertmita@hotmail.com</t>
  </si>
  <si>
    <t>64MDP03B2-11</t>
  </si>
  <si>
    <t>MENDOZA RACANCOJ DANY JONATAN</t>
  </si>
  <si>
    <t>64MDP03B2-14</t>
  </si>
  <si>
    <t>ROCA GUINEA JOSE FERNANDO</t>
  </si>
  <si>
    <t>64MDP03B2-17</t>
  </si>
  <si>
    <t>VILLATORO GONZALEZ JONATHAN STEVE</t>
  </si>
  <si>
    <t>deatr23@hotmail.com</t>
  </si>
  <si>
    <t>64MDP03B2-13</t>
  </si>
  <si>
    <t>RIVERA MEDINA HECTOR EDGARDO</t>
  </si>
  <si>
    <t>64MDP03B2-01</t>
  </si>
  <si>
    <t>AVILA LARA LUISA MARIA</t>
  </si>
  <si>
    <t>64MDP03B2-08</t>
  </si>
  <si>
    <t>LARA STEPHANIE</t>
  </si>
  <si>
    <t>64MDP03B3-01</t>
  </si>
  <si>
    <t>CACERES ARRIAZA KARLA YOLANDA</t>
  </si>
  <si>
    <t>64MDP03B3-02</t>
  </si>
  <si>
    <t>CAMEY EQUITE RUTH NOEMI</t>
  </si>
  <si>
    <t>64MDP03B3-03</t>
  </si>
  <si>
    <t>KIESLING ALVARADO ERVIN HERMAN</t>
  </si>
  <si>
    <t>ervinguatemala@yahoo.com</t>
  </si>
  <si>
    <t>64MDP03B3-04</t>
  </si>
  <si>
    <t>MENDEZ AGUILAR JHONNATAN ESAU</t>
  </si>
  <si>
    <t>mendezjhonnatan@gmail.com</t>
  </si>
  <si>
    <t>64DD06B2-01</t>
  </si>
  <si>
    <t>64DD06B2-02</t>
  </si>
  <si>
    <t>64DD06B2-11</t>
  </si>
  <si>
    <t>MORALES GARCIA JOOSIMAR BLADIMIR</t>
  </si>
  <si>
    <t>64DD06B2-06</t>
  </si>
  <si>
    <t>LEON PEREZ FABIAN</t>
  </si>
  <si>
    <t>64DD06B2-07</t>
  </si>
  <si>
    <t>FIGUEROA IRIAS ERICK ALEXANDER</t>
  </si>
  <si>
    <t>64DD06B2-09</t>
  </si>
  <si>
    <t>LOPEZ RODRIGUEZ EDVIN ESTUARDO</t>
  </si>
  <si>
    <t>64DD06B2-10</t>
  </si>
  <si>
    <t>MORALES CARRILLO MARIACELESTE</t>
  </si>
  <si>
    <t>64DD06B3-01</t>
  </si>
  <si>
    <t>ALMENGOR VELASQUEZ JORGE APARICIO</t>
  </si>
  <si>
    <t>64DD06B3-02</t>
  </si>
  <si>
    <t>CACERES ARRIAZA CLAUDIA</t>
  </si>
  <si>
    <t>64DD06B2-03</t>
  </si>
  <si>
    <t>CHANCHAVAC ZARATE ARNULFO FELIPE</t>
  </si>
  <si>
    <t>JTDIAP</t>
  </si>
  <si>
    <t>64DIA03D-01</t>
  </si>
  <si>
    <t>LOPEZ SILVA PAOLA IVETH</t>
  </si>
  <si>
    <t>JT DOCTORADO EN INNOVACION ADMON Y POLITICAS PUBLICAS</t>
  </si>
  <si>
    <t>64DD06B2-05</t>
  </si>
  <si>
    <t>MOTO MORATAYA MYNOR MAURICIO</t>
  </si>
  <si>
    <t>RODRIGUEZ ORIVE DORIS AMANDA</t>
  </si>
  <si>
    <t>BARRIOS DE LEON GILMAR AMARILDO</t>
  </si>
  <si>
    <t>64MDP03B3-05</t>
  </si>
  <si>
    <t>ZELADA GALINDO ISRAEL GUGLIELMO</t>
  </si>
  <si>
    <t>64DD06B2-15</t>
  </si>
  <si>
    <t>64DD06B2-12</t>
  </si>
  <si>
    <t>PEREZ JUAREZ REGINO WALDEMAR</t>
  </si>
  <si>
    <t>64DD06B2-13</t>
  </si>
  <si>
    <t>RIVERA VASQUEZ NOE NEHEMIAS</t>
  </si>
  <si>
    <t>MAGM601017HDFRMR00</t>
  </si>
  <si>
    <t>64MDP03F-01</t>
  </si>
  <si>
    <t>MARTELL GOMEZ MARIO ALBERTO</t>
  </si>
  <si>
    <t>martellyabogados@hotmail.com</t>
  </si>
  <si>
    <t>64MDP03D-01</t>
  </si>
  <si>
    <t>DIVAS CANUZ WALTER ALFONSO</t>
  </si>
  <si>
    <t>64LD05C-04</t>
  </si>
  <si>
    <t>GIRON MOYNO MARIANA ETHELVINA</t>
  </si>
  <si>
    <t>4198 4411</t>
  </si>
  <si>
    <t>GAOG661130HDFRTB07</t>
  </si>
  <si>
    <t>64DD06C-03</t>
  </si>
  <si>
    <t>GARCIA OTAMENDI GABRIEL</t>
  </si>
  <si>
    <t>656 626 6547</t>
  </si>
  <si>
    <t>gaoty1130@hotmail.com</t>
  </si>
  <si>
    <t>CASTILLO MORALES NELSON JOSUE</t>
  </si>
  <si>
    <t>64DIA03C-02</t>
  </si>
  <si>
    <t>LOPEZ TROCCOLI KARLA PATRICIA</t>
  </si>
  <si>
    <t>klotrocoli@gmail.com</t>
  </si>
  <si>
    <t>64DIA03C-04</t>
  </si>
  <si>
    <t>VALENZUELA GALVEZ MARVIN ENRIQUE</t>
  </si>
  <si>
    <t>marenvg@hotmail.com</t>
  </si>
  <si>
    <t>64DIA03C-03</t>
  </si>
  <si>
    <t>PERNILLO SIN ROLANDO ANTONIO</t>
  </si>
  <si>
    <t>rpernillo19@gmail.com</t>
  </si>
  <si>
    <t>64DIA03C-01</t>
  </si>
  <si>
    <t>JUAREZ SALAZAR ALEXIS ANTONIO</t>
  </si>
  <si>
    <t>ing.alexisjuarez@gmail.com</t>
  </si>
  <si>
    <t>COBM860618HDFRRR02</t>
  </si>
  <si>
    <t>64DD06C-02</t>
  </si>
  <si>
    <t>55 2109 0959</t>
  </si>
  <si>
    <t>marcoxmx@hotmail.com</t>
  </si>
  <si>
    <t>AERE550710MDFNYG02</t>
  </si>
  <si>
    <t>ANGELES REYNOSO MARIA EUGENIA</t>
  </si>
  <si>
    <t>maeu55@hotmail.com</t>
  </si>
  <si>
    <t>VEVA810316HMCNRB00</t>
  </si>
  <si>
    <t>64MDP03F-06</t>
  </si>
  <si>
    <t>VENEGAS VARGAS ABRAHAM</t>
  </si>
  <si>
    <t>56 4637 6907</t>
  </si>
  <si>
    <t>auplay@hotmail.com</t>
  </si>
  <si>
    <t>RILA701014MCSVPD01</t>
  </si>
  <si>
    <t>64LD05B-02</t>
  </si>
  <si>
    <t>RIVIELLO LOPEZ ADRIANA</t>
  </si>
  <si>
    <t>998 291 4961</t>
  </si>
  <si>
    <t>riviyani2000@hotmail.com</t>
  </si>
  <si>
    <t>DEAJ810208HQRLZL09</t>
  </si>
  <si>
    <t>64DD06C2-01</t>
  </si>
  <si>
    <t>DELGADO AZUETA JULIO CESAR</t>
  </si>
  <si>
    <t>999 137 0605</t>
  </si>
  <si>
    <t>cedesoabogados@hotmail.com</t>
  </si>
  <si>
    <t>corporativofirmalegalmst@gmail.com</t>
  </si>
  <si>
    <t>GONZALEZ RODOLFO WALDEMAR</t>
  </si>
  <si>
    <t>64DD06C-05</t>
  </si>
  <si>
    <t>MONDRAGON RUVALCABA IRAN MARGARITA</t>
  </si>
  <si>
    <t>DD06B</t>
  </si>
  <si>
    <t>MARROQUIN IBARRA ANDY FERNANDO</t>
  </si>
  <si>
    <t>MDP0G03</t>
  </si>
  <si>
    <t>MADRID GRAMAJO DIONEL YUNIOR</t>
  </si>
  <si>
    <t>64DD06C-09</t>
  </si>
  <si>
    <t>alitasies@yahoo.com</t>
  </si>
  <si>
    <t>GARCIA ROJAS FERNANDO</t>
  </si>
  <si>
    <t>fergarciarojas@gmail.com</t>
  </si>
  <si>
    <t>PELLECER TERREAUX JULIO AUGUSTO BENIGNO</t>
  </si>
  <si>
    <t>AUAA611125HCSHRN08</t>
  </si>
  <si>
    <t>64DD06C-01</t>
  </si>
  <si>
    <t>AHUMADA ARANDA ANDRES</t>
  </si>
  <si>
    <t>507 6675-6546</t>
  </si>
  <si>
    <t>andresahumadaaranda@gmail.com</t>
  </si>
  <si>
    <t>MIMC750731MYNRRL03</t>
  </si>
  <si>
    <t>MIRANDA MIRANDA CELIA IGNACIA</t>
  </si>
  <si>
    <t>miranda-celia@hotmail.com</t>
  </si>
  <si>
    <t>GOCN841216MQRMRN04</t>
  </si>
  <si>
    <t>64LD05D-01</t>
  </si>
  <si>
    <t>GOMEZ CARDENAS NANCY GUADALUPE DEL PILAR</t>
  </si>
  <si>
    <t>983 831 4396</t>
  </si>
  <si>
    <t>nancyguadalupe1684@gmail.com</t>
  </si>
  <si>
    <t>LACE680229MCCRMS02</t>
  </si>
  <si>
    <t>64MDP03F-02</t>
  </si>
  <si>
    <t>LARA CAMPOS ESTHER GUADALUPE</t>
  </si>
  <si>
    <t>998 842 0510</t>
  </si>
  <si>
    <t>estherlaracampos@gmail.com</t>
  </si>
  <si>
    <t>CERE840906HQRTSD03</t>
  </si>
  <si>
    <t>CETINA ROSALES EDUARDO MACIEL</t>
  </si>
  <si>
    <t>984 593 7028</t>
  </si>
  <si>
    <t>eduardo.cetina84@live.com.mx</t>
  </si>
  <si>
    <t>MOII800611HQRXTS04</t>
  </si>
  <si>
    <t>64MDP03F-04</t>
  </si>
  <si>
    <t>MOO ITZA ISRAEL</t>
  </si>
  <si>
    <t>984 313 7296</t>
  </si>
  <si>
    <t>israe1.mitza@gmail.com</t>
  </si>
  <si>
    <t>LACE720626MYNRML06</t>
  </si>
  <si>
    <t>64MDP03F-03</t>
  </si>
  <si>
    <t>LARA CAMPOS MARIA ELENA</t>
  </si>
  <si>
    <t>debilara10@hotmail.com</t>
  </si>
  <si>
    <t>SIMH781112HVZLDR05</t>
  </si>
  <si>
    <t>64MDP03F-05</t>
  </si>
  <si>
    <t>SILERA MEDRANO HERIBERTO</t>
  </si>
  <si>
    <t>VACS781010MNLZHM06</t>
  </si>
  <si>
    <t>VAZQUEZ CHAN SUEMY</t>
  </si>
  <si>
    <t>vazcsumy@gmail.com</t>
  </si>
  <si>
    <t>HEAY831116MCCRLL04</t>
  </si>
  <si>
    <t>64DD06C-04</t>
  </si>
  <si>
    <t>yuli_hdez@hotmail.com</t>
  </si>
  <si>
    <t>RABC910224MGRMLN04</t>
  </si>
  <si>
    <t>64MD06E-02</t>
  </si>
  <si>
    <t>RAMIREZ BLANCO CONNY</t>
  </si>
  <si>
    <t>rcony52@gmail.com</t>
  </si>
  <si>
    <t>AUAM870124MCSGRR03</t>
  </si>
  <si>
    <t>AGUILAR ARGUELLO MARISELA</t>
  </si>
  <si>
    <t>gerencia@captivaconsultores.com</t>
  </si>
  <si>
    <t>AUEL930723HCSGSS08</t>
  </si>
  <si>
    <t>AGUILAR ESPINOZA LUIS ENRIQUE</t>
  </si>
  <si>
    <t>luis_930723@hotmail.com</t>
  </si>
  <si>
    <t>KASB800703MCSNLT02</t>
  </si>
  <si>
    <t>KANTER SOLIS MARIA BEATRIZ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</si>
  <si>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</si>
  <si>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</si>
  <si>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</si>
  <si>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</si>
  <si>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</si>
  <si>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</si>
  <si>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</si>
  <si>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</si>
  <si>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</si>
  <si>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</si>
  <si>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</si>
  <si>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</si>
  <si>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</si>
  <si>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</si>
  <si>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</si>
  <si>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</si>
  <si>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</si>
  <si>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</si>
  <si>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</si>
  <si>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</si>
  <si>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999335 6698</t>
  </si>
  <si>
    <t>si_segur@hotmail.com</t>
  </si>
  <si>
    <t>GARY901124MTCRZN03</t>
  </si>
  <si>
    <t>GARCIA CRUZ MARIA YNES</t>
  </si>
  <si>
    <t>999338 8469</t>
  </si>
  <si>
    <t>ma.ynes_gr@hotmail.com</t>
  </si>
  <si>
    <t>CAVS960718MCSRLR02</t>
  </si>
  <si>
    <t>CARBONEY VILLATORO SURISADDAI</t>
  </si>
  <si>
    <t>suricarvi@gmail.com</t>
  </si>
  <si>
    <t>LACR831029HCMRHM18</t>
  </si>
  <si>
    <t>64MD06E-01</t>
  </si>
  <si>
    <t>LARIOS CHAVEZ RAMON ADRIAN</t>
  </si>
  <si>
    <t>313 102 2977</t>
  </si>
  <si>
    <t>lic-ralch@hotmail.com</t>
  </si>
  <si>
    <t>CU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</si>
  <si>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</si>
  <si>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</si>
  <si>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</si>
  <si>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</si>
  <si>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</si>
  <si>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</si>
  <si>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CERTIFICACION UNIVERSITARIA</t>
  </si>
  <si>
    <t>EACZ910309MMCSLR08</t>
  </si>
  <si>
    <t>Zereida de Jesús Estrada Calixto</t>
  </si>
  <si>
    <t>55 8033 7247</t>
  </si>
  <si>
    <t>melocotonzere@gmail.com</t>
  </si>
  <si>
    <t>EIRG000522HBCSDLA6</t>
  </si>
  <si>
    <t>ESPRIU RODRIGUEZ GUILLERMO FERNANDO</t>
  </si>
  <si>
    <t>664 794 9602</t>
  </si>
  <si>
    <t>espriu.14.rodriguez@gmail.com</t>
  </si>
  <si>
    <t>LD05A</t>
  </si>
  <si>
    <t>PresencialCUN</t>
  </si>
  <si>
    <t>722 289 9814</t>
  </si>
  <si>
    <t>hectorpichardoaranza@yahoo.com.mx</t>
  </si>
  <si>
    <t>FARIDE BRICEÑO YARA</t>
  </si>
  <si>
    <t>IRIS SAN KIRA</t>
  </si>
  <si>
    <t>kira@irisabogado.com</t>
  </si>
  <si>
    <t>722 350 0880</t>
  </si>
  <si>
    <t>DIP LAB</t>
  </si>
  <si>
    <t>DOVJ771225HCSMZS01</t>
  </si>
  <si>
    <t>64DIPLAB07</t>
  </si>
  <si>
    <t>DOMINGUEZ VAZQUEZ JESUS EVELIO</t>
  </si>
  <si>
    <t>je.dominguez@protegoseguridad.com</t>
  </si>
  <si>
    <t>D LAB</t>
  </si>
  <si>
    <t>GUFF670119HVZZLR09</t>
  </si>
  <si>
    <t>64DIPLAB01</t>
  </si>
  <si>
    <t>GUZMAN FLORES FRANCISCO</t>
  </si>
  <si>
    <t>fguzman@gmr.mx</t>
  </si>
  <si>
    <t>AEMA680709MDFRNR01</t>
  </si>
  <si>
    <t>ARMENDARIZ MUNGUIA MARIA ARACELI</t>
  </si>
  <si>
    <t>araceliarmen@gmail.com</t>
  </si>
  <si>
    <t>BELTRAN BALDERAS GISELLE</t>
  </si>
  <si>
    <t>beltranabg2@hotmail.com</t>
  </si>
  <si>
    <t>PresencialMTY</t>
  </si>
  <si>
    <t>LOPEZ HERNANDEZ VALERIA CRISTAL</t>
  </si>
  <si>
    <t>833 272 4425</t>
  </si>
  <si>
    <t>MONTERREY</t>
  </si>
  <si>
    <t>CHAVEZ HERNANDEZ SYLVIA PATRICIA</t>
  </si>
  <si>
    <t>639 119 2232</t>
  </si>
  <si>
    <t>paty.chavez.hdz.7@gmail.com</t>
  </si>
  <si>
    <t>ERIIRR7106HMTCNMY02</t>
  </si>
  <si>
    <t>ENRIQUEZ RAMOS ISABEL</t>
  </si>
  <si>
    <t>984 130 6345</t>
  </si>
  <si>
    <t>REYES RAMOS NORMAR PATRICIA</t>
  </si>
  <si>
    <t>983 134 8340</t>
  </si>
  <si>
    <t>norma_pr@hotmail.com</t>
  </si>
  <si>
    <t>CUN</t>
  </si>
  <si>
    <t>CHAIN GONZALEZ XIMENA</t>
  </si>
  <si>
    <t>Presencial CUN</t>
  </si>
  <si>
    <t>SALCEDO GLENNIE GABRIELA</t>
  </si>
  <si>
    <t>RANGEL QUINTERO LILIANA</t>
  </si>
  <si>
    <t>998 293 9115</t>
  </si>
  <si>
    <t>ROFO730126HDFDGS01</t>
  </si>
  <si>
    <t>55 3153 5909</t>
  </si>
  <si>
    <t>fiscal_phem_rodriguez@yahoo.com</t>
  </si>
  <si>
    <t>MTY</t>
  </si>
  <si>
    <t>aravillanueva06@gmail.com</t>
  </si>
  <si>
    <t>PENA GARZA JUANA ISABEL</t>
  </si>
  <si>
    <t>844 405 6093</t>
  </si>
  <si>
    <t>MONTOYA GALVAN LIZETTE MINERVA</t>
  </si>
  <si>
    <t>844 607 6007</t>
  </si>
  <si>
    <t>RAMIREZ G ISABEL AIDE</t>
  </si>
  <si>
    <t>878 703 4283</t>
  </si>
  <si>
    <t>URIBE CARPINTERO CÉSAR</t>
  </si>
  <si>
    <t>442 323 5146</t>
  </si>
  <si>
    <t>ceuricar70@gmail.com</t>
  </si>
  <si>
    <t>ZUÑIGA CASTAÑEDA EFRAÍN</t>
  </si>
  <si>
    <t>844 122 6233</t>
  </si>
  <si>
    <t>ZÚÑIGA GÓMEZ JOSHUÉ</t>
  </si>
  <si>
    <t>Francisco Javier Montantes Villarrea</t>
  </si>
  <si>
    <t>FAGC670519HCHLNS07</t>
  </si>
  <si>
    <t>64DIPLAB08</t>
  </si>
  <si>
    <t>FALCONI GINER CESAR AUGUSTO</t>
  </si>
  <si>
    <t>cesar_falconi@hotmail.com</t>
  </si>
  <si>
    <t>SIRV801005MCSLML05</t>
  </si>
  <si>
    <t>64DIPLAB02</t>
  </si>
  <si>
    <t>SILICEO ROMAN VIOLETA</t>
  </si>
  <si>
    <t>visiro10@yahoo.com.mx</t>
  </si>
  <si>
    <t>PEAT960522MCSRBN00</t>
  </si>
  <si>
    <t>64DIPLAB03</t>
  </si>
  <si>
    <t>PEREZ ABARCA TANIA MARISELA</t>
  </si>
  <si>
    <t>taniaperezabarca@outlook.com</t>
  </si>
  <si>
    <t>64DIPLAB04</t>
  </si>
  <si>
    <t>NANC850806MCSRRL00</t>
  </si>
  <si>
    <t>64DIPLAB05</t>
  </si>
  <si>
    <t>NARVAEZ NARVAEZ CIELITO AIDA</t>
  </si>
  <si>
    <t>cielitonarvaez@gmail.com</t>
  </si>
  <si>
    <t>VAVJ560127HMCLLN05</t>
  </si>
  <si>
    <t>VALDEPEÑA VILLANUEVA JUAN MIGUEL ANGEL</t>
  </si>
  <si>
    <t>jumis56@gmail.com</t>
  </si>
  <si>
    <t>AOGA950822MMCCRL05</t>
  </si>
  <si>
    <t>64DIPLAB06</t>
  </si>
  <si>
    <t>ACOSTA GARCIA ALOYSIA</t>
  </si>
  <si>
    <t>aloysia.acostag@gmail.com</t>
  </si>
  <si>
    <t>HEAA781001MMCRLN08</t>
  </si>
  <si>
    <t>64MD07A-03</t>
  </si>
  <si>
    <t>HERNANDEZ ALCANTARA ANABEL</t>
  </si>
  <si>
    <t>MD06D</t>
  </si>
  <si>
    <t>EIGC741007HDFLMS04</t>
  </si>
  <si>
    <t>ELIZALDE GOMEZ CESAR</t>
  </si>
  <si>
    <t>cesar.elizalde.gomez@gmail.com</t>
  </si>
  <si>
    <t>LD06D</t>
  </si>
  <si>
    <t>64DD07A-05</t>
  </si>
  <si>
    <t>lulucastillo7702@yahoo.com.mx</t>
  </si>
  <si>
    <t>mirey.09@outlook.com</t>
  </si>
  <si>
    <t>DOJE770528MDFMNV06</t>
  </si>
  <si>
    <t>64MD07A-01</t>
  </si>
  <si>
    <t>DOMINGUEZ JAIN EVA</t>
  </si>
  <si>
    <t>998 577 2604</t>
  </si>
  <si>
    <t>evajainchaps@gmail.com</t>
  </si>
  <si>
    <t>aere_64@hotmail.com</t>
  </si>
  <si>
    <t>janelly_gutierrezruiz@yahoo.com.mx</t>
  </si>
  <si>
    <t>JIVR720628MCCMRC16</t>
  </si>
  <si>
    <t>64MD07A-05</t>
  </si>
  <si>
    <t>JIMENEZ VERA HERNANDEZ ROCIO GUADALUPE</t>
  </si>
  <si>
    <t>938 124 9429</t>
  </si>
  <si>
    <t>valvertyna@gmail.com</t>
  </si>
  <si>
    <t>GACC791027MCMRRR02</t>
  </si>
  <si>
    <t>64MD07A-02</t>
  </si>
  <si>
    <t>GARCIA CARRILLO CARLA IRENE</t>
  </si>
  <si>
    <t>341 886 8550</t>
  </si>
  <si>
    <t>carlairenegarciacarrillo@gmail.com</t>
  </si>
  <si>
    <t>HEAL760705MMCRLR03</t>
  </si>
  <si>
    <t>64MD07A-04</t>
  </si>
  <si>
    <t>HERNANDEZ ALCANTARA LORENA MIREYA</t>
  </si>
  <si>
    <t>BAQO761129HYNSRM03</t>
  </si>
  <si>
    <t>BASORA QUERO OMAR ABRAHAM</t>
  </si>
  <si>
    <t>basora30@hotmail.com</t>
  </si>
  <si>
    <t>722350 0880</t>
  </si>
  <si>
    <t>RACS820401MQRMSN00</t>
  </si>
  <si>
    <t>RAMIREZ CASTRO SANDRA</t>
  </si>
  <si>
    <t>sandyramirezc01@gmail.com</t>
  </si>
  <si>
    <t>DIAP04A</t>
  </si>
  <si>
    <t>RECM590511MMSSVN09</t>
  </si>
  <si>
    <t>RESENDIZ CUEVAS MINERVA</t>
  </si>
  <si>
    <t>minerva.cuevas11abril@gmail.com</t>
  </si>
  <si>
    <t>MD06C</t>
  </si>
  <si>
    <t>CERNA ACEVEDO AXEL EDILBERTO</t>
  </si>
  <si>
    <t>MDPG04</t>
  </si>
  <si>
    <t>FLORES SANCHEZ CINDY AZALEA FABIOLA</t>
  </si>
  <si>
    <t>REYES SOLIS KAREN NOHEMI</t>
  </si>
  <si>
    <t>LOPEZ GONZALEZ WILSON JOEL</t>
  </si>
  <si>
    <t>MIRANDA RIECKHOF ARTURO</t>
  </si>
  <si>
    <t>DDG06</t>
  </si>
  <si>
    <t>ESPAÑA CACERES BORIS ROBERTO</t>
  </si>
  <si>
    <t>SAMAYOA GALLARDO SHIRLEY MURIEL ARLETTE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</si>
  <si>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</si>
  <si>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</si>
  <si>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</si>
  <si>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</si>
  <si>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</si>
  <si>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</si>
  <si>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201MD</t>
  </si>
  <si>
    <t>202MD</t>
  </si>
  <si>
    <t>203MD</t>
  </si>
  <si>
    <t>INICIO: MAYO 2022</t>
  </si>
  <si>
    <t>AMPARO I</t>
  </si>
  <si>
    <t>BIENES Y DERECHO REALES</t>
  </si>
  <si>
    <t xml:space="preserve">TALLER EXTRAORDINARIO DE CRIMINALISTICA </t>
  </si>
  <si>
    <t xml:space="preserve">CRIMINOLOGÍA </t>
  </si>
  <si>
    <t>CLÍNICA DE JUICIOS ORALES CIVILES</t>
  </si>
  <si>
    <t>CLÍNICA  DE REDACCIÓN DE DEMANDA Y DENUNCIA</t>
  </si>
  <si>
    <t>POLITICAS PUBLICAS Y REGULACIÓN</t>
  </si>
  <si>
    <t>EQUIDAD Y PERSPECTIVA DE GENERO</t>
  </si>
  <si>
    <t xml:space="preserve">VIGENTE </t>
  </si>
  <si>
    <t>INICIO: JULIO 2023</t>
  </si>
  <si>
    <t>GRUPO DE CLASE</t>
  </si>
  <si>
    <t>01</t>
  </si>
  <si>
    <t>79</t>
  </si>
  <si>
    <t>11</t>
  </si>
  <si>
    <t>03</t>
  </si>
  <si>
    <t>92</t>
  </si>
  <si>
    <t>61</t>
  </si>
  <si>
    <t>10</t>
  </si>
  <si>
    <t>24</t>
  </si>
  <si>
    <t>83</t>
  </si>
  <si>
    <t>18</t>
  </si>
  <si>
    <t>80</t>
  </si>
  <si>
    <t>19</t>
  </si>
  <si>
    <t>94</t>
  </si>
  <si>
    <t>25</t>
  </si>
  <si>
    <t>72</t>
  </si>
  <si>
    <t>29</t>
  </si>
  <si>
    <t>84</t>
  </si>
  <si>
    <t>26</t>
  </si>
  <si>
    <t>85</t>
  </si>
  <si>
    <t>20</t>
  </si>
  <si>
    <t>86</t>
  </si>
  <si>
    <t>57</t>
  </si>
  <si>
    <t>27</t>
  </si>
  <si>
    <t>88</t>
  </si>
  <si>
    <t>90</t>
  </si>
  <si>
    <t>76</t>
  </si>
  <si>
    <t>06</t>
  </si>
  <si>
    <t>22</t>
  </si>
  <si>
    <t>82</t>
  </si>
  <si>
    <t>77</t>
  </si>
  <si>
    <t>07</t>
  </si>
  <si>
    <t>96</t>
  </si>
  <si>
    <t>23</t>
  </si>
  <si>
    <t>95</t>
  </si>
  <si>
    <t>28</t>
  </si>
  <si>
    <t>65</t>
  </si>
  <si>
    <t>67</t>
  </si>
  <si>
    <t>31</t>
  </si>
  <si>
    <t>LA INVESTIGACIÓN EN EL PROCEDIMIENTO ACUSATORIO Y EL PROCEDIMIENTO DE SOLUCIÓN AL CONFLICTO PENAL</t>
  </si>
  <si>
    <t>PRUEBA, TEORÍA DEL CASO Y ETAPA INTERMEDIA</t>
  </si>
  <si>
    <t>Teoría de la prueba y del razonamiento probatorio</t>
  </si>
  <si>
    <t>Destrezas de litigación y juicio oral</t>
  </si>
  <si>
    <t>FASE INTERMEDIA</t>
  </si>
  <si>
    <t>MEDIOS DE IMPUGNACIÓN EN EL DERECHO COMPARADO MÉXICO-PANAMÁ</t>
  </si>
  <si>
    <t>DERECHO PROCESAL CONSTITUCIONAL</t>
  </si>
  <si>
    <t xml:space="preserve">JUICIOS ORALES CIVIL </t>
  </si>
  <si>
    <t xml:space="preserve">JUICIOS ORALES FAMILIAR </t>
  </si>
  <si>
    <t>JUICIOS ORALES MERCANTIL</t>
  </si>
  <si>
    <t>DERECHO ADUANERO Y COMERCIO EXTERIOR</t>
  </si>
  <si>
    <t>MEDIACIÓN PRIVADA</t>
  </si>
  <si>
    <t xml:space="preserve">DERECHOS HUMANOS </t>
  </si>
  <si>
    <t>INFORMATICA JURIDICA I</t>
  </si>
  <si>
    <t>INFORMATICA JURIDICA II</t>
  </si>
  <si>
    <t>https://classroom.google.com/c/NjA0Njk2MDA2MzM5</t>
  </si>
  <si>
    <t xml:space="preserve">DR. GILBERTO SANTA RITA </t>
  </si>
  <si>
    <t>DRA. MARTHA ZARAGOZA</t>
  </si>
  <si>
    <t>DRA. ERIKA MUÑOZ</t>
  </si>
  <si>
    <t xml:space="preserve">DR.ALEJANDRO VILCHIS </t>
  </si>
  <si>
    <t>CICLO MAYO 23- ENERO 25</t>
  </si>
  <si>
    <t>FECHA DE CLASE</t>
  </si>
  <si>
    <t>18 y 19 de marzo</t>
  </si>
  <si>
    <t>29 y 30 de abril</t>
  </si>
  <si>
    <t>27 y 28 de mayo</t>
  </si>
  <si>
    <t>24 y 25 de junio</t>
  </si>
  <si>
    <t>29 y 30 de juio</t>
  </si>
  <si>
    <t>26 y 27 de agosto</t>
  </si>
  <si>
    <t>23 y 24 de septiembre</t>
  </si>
  <si>
    <t>28 y 29 de octubre</t>
  </si>
  <si>
    <t>22 y 23 de noviembre</t>
  </si>
  <si>
    <t>02 Y 03 de diciembre</t>
  </si>
  <si>
    <t>24 Y 25 DE FEBRERO</t>
  </si>
  <si>
    <t>24 Y 25 DE MARZO</t>
  </si>
  <si>
    <t>28 Y 29 DE ABRIL</t>
  </si>
  <si>
    <t>26 Y 27 DE MAYO</t>
  </si>
  <si>
    <t>28 y 29 de julio</t>
  </si>
  <si>
    <t>https://meet.google.com/qqj-kocs-mxd</t>
  </si>
  <si>
    <t>NOMBRE DEL DOCENTE</t>
  </si>
  <si>
    <t>GUILLERMO ZUÑIGA</t>
  </si>
  <si>
    <t>ADELAIDA HERRERA</t>
  </si>
  <si>
    <t>MARIO SANLER CASTILLO</t>
  </si>
  <si>
    <t>DENNIS HERRERA</t>
  </si>
  <si>
    <t>DOUGLAS HERRERA</t>
  </si>
  <si>
    <t>MARIA LESBIA LEAL CHAVEZ</t>
  </si>
  <si>
    <t>ADELAIDA ISABEL HERRERA</t>
  </si>
  <si>
    <t>DUGLAS EDUARDO HERRERA</t>
  </si>
  <si>
    <t>MARIA LESBIA LEAL</t>
  </si>
  <si>
    <t>GLORIA BAUTISTA</t>
  </si>
  <si>
    <t>NO LLENAR</t>
  </si>
  <si>
    <t>TRANSCRIBIRLO FIELMENTE DEL ACTA DE NACIMIENTO PRIMER APELLIDO/SEGUNDO APELLIDO*NOMBRE (S)</t>
  </si>
  <si>
    <t>TALLER DE TESIS</t>
  </si>
  <si>
    <t>20 Y 21 DE ENERO</t>
  </si>
  <si>
    <t>17 Y 18 DE FEBRERO</t>
  </si>
  <si>
    <t>17 Y 18 DE MARZO</t>
  </si>
  <si>
    <t>21 Y 22 DE ABRIL</t>
  </si>
  <si>
    <t>19 Y 20 DE MAYO</t>
  </si>
  <si>
    <t>GUILLERMO ZÚÑIGA</t>
  </si>
  <si>
    <t>MDP08 FORMALIDADDES Y PROCEDIMIENTOS EN LAS AUDIENCIAS INICIAL, INTERMEDIA Y DEBATE</t>
  </si>
  <si>
    <t>DUGLAS HERRERA</t>
  </si>
  <si>
    <t>MDP04 TÉCNICAS ACTOS Y METODOS DE INVESTIGACION</t>
  </si>
  <si>
    <t>MDP06 TALLER DE REDACCIÓN</t>
  </si>
  <si>
    <t>MDP01 SISTEMA DE JUSTICIA PENALPROCESAL EN GUATEMALA I</t>
  </si>
  <si>
    <t>MDP03 DERECHO PROCESAL ACUSATORIO</t>
  </si>
  <si>
    <t>MDP02 ARGUMENTACIÓN JURIDICA I</t>
  </si>
  <si>
    <t>MDP011 SISTEMAS ACTUALES DEL PROCESO PENAL I</t>
  </si>
  <si>
    <t>MDP04 TÉCNICAS, ACTOS Y MEDIOS DE INVESTIGACIÓN II</t>
  </si>
  <si>
    <t>MDP007 AMPARO PENAL I</t>
  </si>
  <si>
    <t>MDP007 AMPARO PENAII</t>
  </si>
  <si>
    <t>MDP005 TEORIA DEL CASO</t>
  </si>
  <si>
    <t>MDP09 EJECUCION DE PENAS</t>
  </si>
  <si>
    <t>MDP012 RETORICA ARGUMENTATIVA DE LOS PROCESOS</t>
  </si>
  <si>
    <t>MDP010 IMPUGNACIÓN Y SISTEMAINTERNACIONAL DE PETICION DE DERECHOS HUMANOS I</t>
  </si>
  <si>
    <t>MDP013 MECANISMOS DE MEDIOS DE RESOLICION DE CONFLICTOS</t>
  </si>
  <si>
    <t>MDP010 IMPUGNACIÓN Y SISTEMA INTERNACIONAL DE PETICION DE DERECHOS HUMANOS II</t>
  </si>
  <si>
    <t>21 y 22 de julio</t>
  </si>
  <si>
    <t xml:space="preserve">INICIO: </t>
  </si>
  <si>
    <t>AMPARO PENAL I</t>
  </si>
  <si>
    <t>AMPARO PENAL II</t>
  </si>
  <si>
    <t xml:space="preserve">MDP04B </t>
  </si>
  <si>
    <t>PRESENCIAL</t>
  </si>
  <si>
    <t>https://classroom.google.com/c/NTk1MTQzMzc2Nzg2</t>
  </si>
  <si>
    <t>MATRICULA</t>
  </si>
  <si>
    <t>NOMBRE COMPLETO DE LOS AUMNOS</t>
  </si>
  <si>
    <t>MDP01 SISTEMA DE JUSTICIA PENAL EN MÉXICO</t>
  </si>
  <si>
    <t xml:space="preserve">MDP04 Técnicas, actos y medios de investigación l </t>
  </si>
  <si>
    <t>MDP04 Técnicas, actos y medios de investigación ll</t>
  </si>
  <si>
    <t>MDP08 Formalidades y procedimientos en las audiencias inicial, intermedia y debate.</t>
  </si>
  <si>
    <t xml:space="preserve">MDP02 Argumentación Jurídica </t>
  </si>
  <si>
    <t>MDP06 Obtención y medios de prueba y medios de prueba</t>
  </si>
  <si>
    <t>MDP09 Ejecución de penas</t>
  </si>
  <si>
    <t>MDP 12 Retórica argumentativa</t>
  </si>
  <si>
    <t xml:space="preserve">MDP03 Derecho procesal acusatorio </t>
  </si>
  <si>
    <t xml:space="preserve">MDP10 Impugnación y Sistema internacional de protección de derechos humanos l  </t>
  </si>
  <si>
    <t>MDP13 Mecanismos de medios de solución de 
de conflictos</t>
  </si>
  <si>
    <t>MDP10 Impugnación y Sistema internacional de protección de derechos humanos ll</t>
  </si>
  <si>
    <t>MDP05 Teoría del caso</t>
  </si>
  <si>
    <t>MDP07 Amparo penal l</t>
  </si>
  <si>
    <t>MDP07 Amparo penal ll</t>
  </si>
  <si>
    <t>MDP11 Sistemas actuales del proceso penal acusatorio</t>
  </si>
  <si>
    <t xml:space="preserve">VGENTE </t>
  </si>
  <si>
    <t>LIGA DE CLASSROOM</t>
  </si>
  <si>
    <t>https://classroom.google.com/c/NTMzNjAwNDA2OTg2</t>
  </si>
  <si>
    <t>https://classroom.google.com/c/NTMzNjAwODc0MjMz</t>
  </si>
  <si>
    <t>https://classroom.google.com/c/NTMzNjAwNzg1NDI1</t>
  </si>
  <si>
    <t>https://classroom.google.com/w/NTM5ODk1Nzk2NzY3/t/all</t>
  </si>
  <si>
    <t>https://classroom.google.com/c/NTQwNjYwMDUzMjY2</t>
  </si>
  <si>
    <t>https://classroom.google.com/c/NTQwOTQ2MjM3NTA4</t>
  </si>
  <si>
    <t>https://classroom.google.com/c/NTYzMDkyMDE2MTg5</t>
  </si>
  <si>
    <t>MDP04A</t>
  </si>
  <si>
    <t>MDP08 Formalidades y procedimientos en las audiencias inicial, intermedia y debate</t>
  </si>
  <si>
    <t>MDP10 Impugnación y sistema internacional de protección de derechos humanos I</t>
  </si>
  <si>
    <t>MDP10 Impugnación y sistema internacional de protección de derechos humanos II</t>
  </si>
  <si>
    <t xml:space="preserve">MDP11 Sistema Actuales del proceso penal acusatorio </t>
  </si>
  <si>
    <t xml:space="preserve">MDP12 RETORICA ARGUMENTATIVA </t>
  </si>
  <si>
    <t>MDP13 Mecanismo de medios de solución de conflictos</t>
  </si>
  <si>
    <t>MDP01 Sistema de Justicia Penal en México</t>
  </si>
  <si>
    <t>MDP02 Argumentación Jurídica</t>
  </si>
  <si>
    <t>MDP03 Derecho Procesal Acusatorio</t>
  </si>
  <si>
    <t>MDP04 Técnicas, actos y medios de investigación I</t>
  </si>
  <si>
    <t>MDP04 Técnicas, actos y medios de investigación II</t>
  </si>
  <si>
    <t>MDP05 Teoria del Caso</t>
  </si>
  <si>
    <t>MDP07 Amparo Penal I</t>
  </si>
  <si>
    <t>MDP07 Amparo Penal II</t>
  </si>
  <si>
    <t>MDP08 Obtención y Medios de Prueba</t>
  </si>
  <si>
    <t>MDO04</t>
  </si>
  <si>
    <t>SUSPENDIDA</t>
  </si>
  <si>
    <t>INICIO: 2023</t>
  </si>
  <si>
    <t>https://classroom.google.com/c/NTk3NzE2MzQ3NDI3</t>
  </si>
  <si>
    <t>RECURSOS EN EL PROCEDIMIENTO ESCRITO Y JUICIO ORAL I</t>
  </si>
  <si>
    <t>RECURSOS EN EL PROCEDIMIENTO ESCRITO Y JUICIO ORAL II</t>
  </si>
  <si>
    <t xml:space="preserve">TEORIA GENERAL DE LA CONSTITUCIÓN </t>
  </si>
  <si>
    <t>PRÁCTICA FORENSE EN EL DERECHO PROCESAL CIVIL</t>
  </si>
  <si>
    <t xml:space="preserve">DESTREZAS Y TALLER DE LIGLITIGACIÓN </t>
  </si>
  <si>
    <t>JUICIOS ORALES CIVIL</t>
  </si>
  <si>
    <t>JUICIOS ORALES FAMILIAR</t>
  </si>
  <si>
    <t>METÓDOS Y TÉCNICAS DE LA INVSTIGACIÓN JURÍDICA</t>
  </si>
  <si>
    <t>EL DERECHO PROCESAL CONSTITUCIONAL FUNCIONAL</t>
  </si>
  <si>
    <t>INICIO: OCTUBRE 2023</t>
  </si>
  <si>
    <t xml:space="preserve">DERECHO DE AMPARO </t>
  </si>
  <si>
    <t xml:space="preserve">INFORMATICA JURIDICA I </t>
  </si>
  <si>
    <t>Informatica Juridica II</t>
  </si>
  <si>
    <t>64DD07C-02</t>
  </si>
  <si>
    <t>64DD07C-01</t>
  </si>
  <si>
    <t>64MDP04A-02</t>
  </si>
  <si>
    <t>64MDP04A-03</t>
  </si>
  <si>
    <t>64MDP04A-05</t>
  </si>
  <si>
    <t>64MDP04A-04</t>
  </si>
  <si>
    <t>64MDP04A-01</t>
  </si>
  <si>
    <t>ALDANA GARCIA JENIFFER ALEJANDRA</t>
  </si>
  <si>
    <t>64DD07D-04</t>
  </si>
  <si>
    <t>64DD07D-02</t>
  </si>
  <si>
    <t>64DD07D-06</t>
  </si>
  <si>
    <t>64DD07D-07</t>
  </si>
  <si>
    <t>64DD07D-08</t>
  </si>
  <si>
    <t>64DD07D-01</t>
  </si>
  <si>
    <t>GARCIA GONZALEZ EMMA LUCRECIA</t>
  </si>
  <si>
    <t>64DD07D-03</t>
  </si>
  <si>
    <t>DIAP 04</t>
  </si>
  <si>
    <t>CICLO ENERO 2023</t>
  </si>
  <si>
    <t xml:space="preserve">18 DE FEBRERO </t>
  </si>
  <si>
    <t>DR. JOSE ENRIQUE ALVAREZ ESTRADA</t>
  </si>
  <si>
    <t>DRA.ESTHER ZAVALA RAMÍREZ</t>
  </si>
  <si>
    <t>DR. ARMANDO FLORES</t>
  </si>
  <si>
    <t xml:space="preserve">DRA. MARBELLA </t>
  </si>
  <si>
    <t>DRA. DIANA ACEVEDO</t>
  </si>
  <si>
    <t>DRA. IRIS CUDEÑO</t>
  </si>
  <si>
    <t xml:space="preserve">Graciela </t>
  </si>
  <si>
    <t>Iris cureño</t>
  </si>
  <si>
    <t>graciela</t>
  </si>
  <si>
    <t>Cesar barrios</t>
  </si>
  <si>
    <t>https://classroom.google.com/c/NTQxMDYwMjQ4Mzky</t>
  </si>
  <si>
    <t>https://classroom.google.com/c/NTQxNzE1NTgyNTY4</t>
  </si>
  <si>
    <t>https://classroom.google.com/w/NTkyNDMzMzg4Mzg0/t/all</t>
  </si>
  <si>
    <t>https://classroom.google.com/w/NTQxNzE1NTgyNTY4/t/all</t>
  </si>
  <si>
    <t xml:space="preserve">DIAP 11 INNOVACIÓN Y DESARROLLO I </t>
  </si>
  <si>
    <t>DIAP11 INNOVACIÓN Y DESARROLLO Il</t>
  </si>
  <si>
    <t>DIAP14 GESTIÓN DE LA BIG DATA</t>
  </si>
  <si>
    <t xml:space="preserve">DIAP09 GESTIÓN DE LA CALIDAD </t>
  </si>
  <si>
    <t xml:space="preserve">DIAP10 GESTIÓN DE POLITICAS PUBLICAS I </t>
  </si>
  <si>
    <t>DIAP03 ANALISIS DE SISTEMAS</t>
  </si>
  <si>
    <t xml:space="preserve">DIAP04 SEMINARIO DE INGESTIGACIÓN </t>
  </si>
  <si>
    <t>DIAP06 PLANIFICACIÓN ESTRATEGICA</t>
  </si>
  <si>
    <t>DIAP10 GESTIÓN DE POLITICAS PUBLICAS II</t>
  </si>
  <si>
    <t>DIAP12 DESARROLLO SUSTENTABLE</t>
  </si>
  <si>
    <t>DIAP08 SIMPLIFICACIÓN DE PROCESOS y GESTION DE LA BIG DATA I</t>
  </si>
  <si>
    <t xml:space="preserve">DIAP13 INTELIGENCIA ARTIFICIAL I </t>
  </si>
  <si>
    <t>DIAP13 INTELIGENCIA ARTIFICIAL II</t>
  </si>
  <si>
    <t>RAHE781001HDFMRR08</t>
  </si>
  <si>
    <t>INICIO: FEBERERO 2024</t>
  </si>
  <si>
    <t>DIAP11 INNOVACIÓN Y DESARROLLO I</t>
  </si>
  <si>
    <t>DIAP11 INNOVACIÓN Y DESARROLLO II</t>
  </si>
  <si>
    <t>DIAP08 SIMPLIFICACIÓN DE PROCESOS</t>
  </si>
  <si>
    <t xml:space="preserve">DIAP07 GESTIÓN DEL CAMBIO </t>
  </si>
  <si>
    <t>DIAP13 INTELIGENCA ARTIFICIAL I</t>
  </si>
  <si>
    <t>DIAP13 INTELIGENCA ARTIFICIAL II</t>
  </si>
  <si>
    <t>CLÍNICA DE REDACCIÓN DE DEMANDA Y DENUNCIA</t>
  </si>
  <si>
    <t>VASQUEZ MONTERO LORENA</t>
  </si>
  <si>
    <t>DD15 SEMINARIO DE INVESTIGACIÓN I</t>
  </si>
  <si>
    <t>https://classroom.google.com/c/NTQwODI2NDg1MTgy</t>
  </si>
  <si>
    <t>https://classroom.google.com/c/NTQwNzk0NzU2NDYy</t>
  </si>
  <si>
    <t>https://classroom.google.com/w/NTk3NzExNjkwOTc3/t/all</t>
  </si>
  <si>
    <t>GENERACIÓN ENE 23-AGOS 24 (ANOTAR LA FECHA DE INICIO)</t>
  </si>
  <si>
    <t>SEMINARIO DE INTERPRETACIÓN Y METODOLOGÍA JURIDICA</t>
  </si>
  <si>
    <t xml:space="preserve">SEMINARIO DE DERECHO SOCIETARIO Y CORPORATIVO I </t>
  </si>
  <si>
    <t>SEMINARIO DE DERECHO FISCAL Il</t>
  </si>
  <si>
    <t>SEMINARIO DE MEDIACIÓN PRIVADA</t>
  </si>
  <si>
    <t xml:space="preserve">BAJA  </t>
  </si>
  <si>
    <t>TERCER CUATRI (OCTUBRE-ENERO)</t>
  </si>
  <si>
    <t>CUARTO CUATRI (FEBRERO-MAYO)</t>
  </si>
  <si>
    <t>QUINTO CUATRI ( JUNIO-SEPTIEMBRE  )</t>
  </si>
  <si>
    <t>SEXTO CUATRI ( OCTUBRE-ENERO 2024)</t>
  </si>
  <si>
    <t>https://classroom.google.com/c/NTEwNzY4NjI1NzI5?cjc=yqc4r5m</t>
  </si>
  <si>
    <t>https://classroom.google.com/c/NTEwNzY4NjI2MjI4?cjc=ojsbltx</t>
  </si>
  <si>
    <t>https://classroom.google.com/c/NTExMzI2ODU5MTUy?cjc=7rldfzh</t>
  </si>
  <si>
    <t>https://classroom.google.com/c/NTExMzI2ODU5NDA3?cjc=oumdbb7</t>
  </si>
  <si>
    <t>https://classroom.google.com/c/NTMzNTk2NjUzNzE5</t>
  </si>
  <si>
    <t>https://classroom.google.com/c/NDkwNjA0NTI3Nzk1</t>
  </si>
  <si>
    <t>https://classroom.google.com/c/NDkwMzMzNTAyOTg1</t>
  </si>
  <si>
    <t>https://classroom.google.com/c/NDkwNzAzNjc4NTA5</t>
  </si>
  <si>
    <t>https://classroom.google.com/c/NDkwNzA0NjMxNzc5</t>
  </si>
  <si>
    <t>https://classroom.google.com/c/NDkwNTUwMjQ1OTEy</t>
  </si>
  <si>
    <t>https://classroom.google.com/c/NTQwNzkzNDYwMjY2</t>
  </si>
  <si>
    <t>https://classroom.google.com/c/NTQwODIzMjYzOTIy</t>
  </si>
  <si>
    <t>https://classroom.google.com/c/NTg4NjQzMTI5OTgx</t>
  </si>
  <si>
    <t>https://classroom.google.com/c/NTg4NjQxMjMwMTk5</t>
  </si>
  <si>
    <t>https://classroom.google.com/c/NTk3NzE2Mjk1MDk5</t>
  </si>
  <si>
    <t>https://classroom.google.com/w/NTk3NzE2Mjk1MDk5/t/all</t>
  </si>
  <si>
    <t>49LD</t>
  </si>
  <si>
    <t>Columna1</t>
  </si>
  <si>
    <t>ARGUMENTACIÓN Y ESTRUCTURA JURÍDICA Y EMPÍRICA</t>
  </si>
  <si>
    <t>https://classroom.google.com/c/NTEwMzY0MzI4ODQ0?cjc=jkyyec4</t>
  </si>
  <si>
    <t>https://classroom.google.com/c/NDg2NDI3MjI0NzY2?cjc=nu5b324</t>
  </si>
  <si>
    <t>https://classroom.google.com/c/NTEwNzY4NjI2Nzgz?cjc=adar5t2</t>
  </si>
  <si>
    <t>https://classroom.google.com/c/NTEwNzY4NjI3MzY1?cjc=rwchva3</t>
  </si>
  <si>
    <t>https://classroom.google.com/c/NTEwNzkzMDgxMjA1?cjc=xo3fdcz</t>
  </si>
  <si>
    <t>https://classroom.google.com/c/NTEwNzkzMDgxMzY1?cjc=45rfubj</t>
  </si>
  <si>
    <t>https://classroom.google.com/c/NDg5MzAxMTIwMzY5</t>
  </si>
  <si>
    <t xml:space="preserve">https://classroom.google.com/c/NDg5Mzk2MDc3MzYx </t>
  </si>
  <si>
    <t>https://classroom.google.com/c/NDkwMDA5NzM0ODc4</t>
  </si>
  <si>
    <t>https://classroom.google.com/c/NDkwMDA5ODIxOTQ3</t>
  </si>
  <si>
    <t>https://classroom.google.com/c/NDkwNzAzOTU0Nzc3</t>
  </si>
  <si>
    <t>https://classroom.google.com/c/NDkwNzAzODYwMTUx</t>
  </si>
  <si>
    <t>https://classroom.google.com/c/NjAyNzk1NzgwOTAz</t>
  </si>
  <si>
    <t>JUICIO ORAL FAMILIAR</t>
  </si>
  <si>
    <t>TEVE810322HGT</t>
  </si>
  <si>
    <t>64MDP04B-01</t>
  </si>
  <si>
    <t>TEPAZ VAQUIAX ERIK ELEAZAR</t>
  </si>
  <si>
    <t>TAPIERO QUEVEDO DUPERLY</t>
  </si>
  <si>
    <t>tapieroasesores@gmail.com</t>
  </si>
  <si>
    <t>LD04B</t>
  </si>
  <si>
    <t>DR. JAVIER CAMPOS</t>
  </si>
  <si>
    <t>MONDRAGÓN</t>
  </si>
  <si>
    <t>DANIEL</t>
  </si>
  <si>
    <t>DR. ROBERTO KIDNIE</t>
  </si>
  <si>
    <t>DR. POLANCO</t>
  </si>
  <si>
    <t>DRA. KATY CAMARRILLO</t>
  </si>
  <si>
    <t>DRA. ANA MARIA RAMIREZ</t>
  </si>
  <si>
    <t>https://classroom.google.com/w/NDg2MjUyNzEzNTIx/t/all</t>
  </si>
  <si>
    <t>https://classroom.google.com/c/NTEwNzY0MDU1NzAz?cjc=maw52rf</t>
  </si>
  <si>
    <t>https://classroom.google.com/c/NTExMjk4Nzg1NTMy?cjc=ae4wsas</t>
  </si>
  <si>
    <t>https://classroom.google.com/c/NTQ0ODkyMjE5Mzcz</t>
  </si>
  <si>
    <t>https://classroom.google.com/c/NDkwOTEyMjA0NDM1</t>
  </si>
  <si>
    <t>https://classroom.google.com/c/NDkwNTUwNDk5MDY2</t>
  </si>
  <si>
    <t>https://classroom.google.com/c/NTk3NzExNjkwOTc3</t>
  </si>
  <si>
    <t>GENERACIÓN ENE 22-AGOS 23 (ANOTAR LA FECHA DE INICIO)</t>
  </si>
  <si>
    <t xml:space="preserve">SEMINARIO DE GESTIÓN DE CONFLICTOS </t>
  </si>
  <si>
    <t>SEMINARIO DE JUICIO ORAL, CIVIL, MERCANTIL</t>
  </si>
  <si>
    <t>SEMIARIO DE INTERPRETACIÓN Y METODOLOGÍA JURIDICA</t>
  </si>
  <si>
    <t>CLINICA DE DERECHO PROCESAL LABORAL</t>
  </si>
  <si>
    <t xml:space="preserve">SEMINARIO DE DERECHO DE AMPARO I </t>
  </si>
  <si>
    <t xml:space="preserve">SEMINARIO DE DERECHO DE AMPARO II </t>
  </si>
  <si>
    <t xml:space="preserve">SEMINARIO DE DERECHO FISCAL I </t>
  </si>
  <si>
    <t xml:space="preserve">SEMINARIO DE DERECHO SOCIETARIO Y CORPORATIVO II </t>
  </si>
  <si>
    <t>LD04A (SE ORGANIZARON )</t>
  </si>
  <si>
    <t>AILK871001MG</t>
  </si>
  <si>
    <t>QUVA801218MCC</t>
  </si>
  <si>
    <t>QUINTERO VILLAMIZAR AHALIA ROCIO DEL PILAR</t>
  </si>
  <si>
    <t>MALJ640511HDFRCV02</t>
  </si>
  <si>
    <t>MARTINEZ LICEA JAVIER SALVADOR</t>
  </si>
  <si>
    <t>javiers110564@hotmail.com</t>
  </si>
  <si>
    <t>SACR591211HGTNXG09</t>
  </si>
  <si>
    <t>SANCHEZ CAÑEDO ROGELIO</t>
  </si>
  <si>
    <t>sanchezdelrosalsc@gmail.com</t>
  </si>
  <si>
    <t>ROSJ580426HCSBLL04</t>
  </si>
  <si>
    <t>ROBLES SOLIS JULIO CESAR</t>
  </si>
  <si>
    <t>licenciado_robles@hotmail.com</t>
  </si>
  <si>
    <t>GOGD920701HCSMRN03</t>
  </si>
  <si>
    <t>GOMEZ GARCIA DANIEL ALEJANDRO</t>
  </si>
  <si>
    <t>vaka0802@gmail.com</t>
  </si>
  <si>
    <t>DD06D</t>
  </si>
  <si>
    <t>MEXICO</t>
  </si>
  <si>
    <t>MOPL000413MMCNRZA0</t>
  </si>
  <si>
    <t>americamondragon1304@gmail.com</t>
  </si>
  <si>
    <t>LD04D</t>
  </si>
  <si>
    <t>AANM760303MMCLXD04</t>
  </si>
  <si>
    <t>ALCANTARA NUÑEZ MADAI GABRIELA</t>
  </si>
  <si>
    <t>gaby.alcantara@gmail.com</t>
  </si>
  <si>
    <t>LECL900822MMCMMZ07</t>
  </si>
  <si>
    <t>LEMUS CAMPUZANO LUZ MARIA</t>
  </si>
  <si>
    <t>DIAP04B</t>
  </si>
  <si>
    <t>CUEVAS GONZALEZ DAVID ELIO</t>
  </si>
  <si>
    <t>dcuevas@dcyasoc.net</t>
  </si>
  <si>
    <t>DD07A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</si>
  <si>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</si>
  <si>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</si>
  <si>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</si>
  <si>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</si>
  <si>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</si>
  <si>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</si>
  <si>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</si>
  <si>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DRA. YASMIN CAMPOS C</t>
  </si>
  <si>
    <t>TOTAL CRÉDITOS</t>
  </si>
  <si>
    <t>https://classroom.google.com/c/NjY2NjgwODU1MDI1</t>
  </si>
  <si>
    <t xml:space="preserve">DRA. EN D. YASMIN CAMPOS </t>
  </si>
  <si>
    <t>https://classroom.google.com/c/NjY2NjQxODAxNDIy</t>
  </si>
  <si>
    <t>TAQD811116MCCTQ22</t>
  </si>
  <si>
    <t xml:space="preserve">MONDRAGON PEREZ LUZ AMERICA </t>
  </si>
  <si>
    <t>luzmalemuscampuzano@gmail.com</t>
  </si>
  <si>
    <t>VEMD860810MMCLDN03</t>
  </si>
  <si>
    <t>VELASQUEZ MEDINA DIANA</t>
  </si>
  <si>
    <t>dianiux.velasquez@gmail.com</t>
  </si>
  <si>
    <t>RISJ761229HMCVNS09</t>
  </si>
  <si>
    <t>RIVERA SANCHEZ JESUS EDGAR</t>
  </si>
  <si>
    <t>licjesusrivera007@gmail.com</t>
  </si>
  <si>
    <t>PIAH640129HMCCRC05</t>
  </si>
  <si>
    <t>P</t>
  </si>
  <si>
    <t>INFORMÁTICA JURÍDICA II</t>
  </si>
  <si>
    <t>https://classroom.google.com/c/NjY2NjcyNzc2MTk3?cjc=c4swf7s</t>
  </si>
  <si>
    <t>TEORIA GENERAL DEL DERECHO CONSTITUCIONAL</t>
  </si>
  <si>
    <t>MD06C/MD06D</t>
  </si>
  <si>
    <t>VIGM710129MTCDLN02</t>
  </si>
  <si>
    <t>EACZ910309MMCSLR07</t>
  </si>
  <si>
    <t>BEAA760319HMCRRN01</t>
  </si>
  <si>
    <t>BERNAL ARZALUZ JOSE ANTONIO</t>
  </si>
  <si>
    <t>https://classroom.google.com/c/NTk3NzE2Mjk1MDk6</t>
  </si>
  <si>
    <t>No. De Alumno</t>
  </si>
  <si>
    <t>ESCRIBIR O COPIAR LA CURP</t>
  </si>
  <si>
    <t>GOMJ970916MQRNRN01</t>
  </si>
  <si>
    <t>GONZALEZ MARTIN JOANHA</t>
  </si>
  <si>
    <t>hanagonzalez304@gmail.com</t>
  </si>
  <si>
    <t>LOPEZ GONZALEZ LUZ ANGELICA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</si>
  <si>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</si>
  <si>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</si>
  <si>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</si>
  <si>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</si>
  <si>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</si>
  <si>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</si>
  <si>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Charlytuz2013@gmail.com</t>
  </si>
  <si>
    <t>201LD</t>
  </si>
  <si>
    <t>202LD</t>
  </si>
  <si>
    <t>203LD</t>
  </si>
  <si>
    <t>INICIO: FECHA</t>
  </si>
  <si>
    <t>PACHECO AKE MIRELLA YNES</t>
  </si>
  <si>
    <t>NORIEGA ESTRADA GUSTAVO ADOLFO</t>
  </si>
  <si>
    <t>jurisconsulto.mm@gmail.com</t>
  </si>
  <si>
    <t>GRUPO TERMINADO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</si>
  <si>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</si>
  <si>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</si>
  <si>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</si>
  <si>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</si>
  <si>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</si>
  <si>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</si>
  <si>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</si>
  <si>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</si>
  <si>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</si>
  <si>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</si>
  <si>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</si>
  <si>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</si>
  <si>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</si>
  <si>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HEAL661005HGGNR00</t>
  </si>
  <si>
    <t>CEAA831210HGGRC00</t>
  </si>
  <si>
    <t>FLSC870815MGTOA00</t>
  </si>
  <si>
    <t>PETJ760522HGTLE00</t>
  </si>
  <si>
    <t>RESK900915MGTYL00</t>
  </si>
  <si>
    <t>LOGW830705HGTPO00</t>
  </si>
  <si>
    <t>MIRA740523HGGRI00</t>
  </si>
  <si>
    <t>ESCR730120HGGPA00</t>
  </si>
  <si>
    <t>RACJ780706HGGMM00</t>
  </si>
  <si>
    <t>SAGS961218MGGML00</t>
  </si>
  <si>
    <t>NOEG861201HGGRS00</t>
  </si>
  <si>
    <t>SALE730121HGGMO00</t>
  </si>
  <si>
    <t>AAGJ820309MGGDA00</t>
  </si>
  <si>
    <t>GAGE821211MGGRO00</t>
  </si>
  <si>
    <t>MAMB680614MGGKA00</t>
  </si>
  <si>
    <t>MOME980513HGGRO00</t>
  </si>
  <si>
    <t>ALVL950927MGGRL00</t>
  </si>
  <si>
    <t>ALMK791129MGGVU00</t>
  </si>
  <si>
    <t>RARB780805MGGMOR00</t>
  </si>
  <si>
    <t>SACC780518MGGME00</t>
  </si>
  <si>
    <t>VIDC830125MGGLE00</t>
  </si>
  <si>
    <t>GAFD870804MGGRR00</t>
  </si>
  <si>
    <t>LOSP830522MGGPI00</t>
  </si>
  <si>
    <t>GAPM700307HGGRA00</t>
  </si>
  <si>
    <t>AJMJ820513HGGAIA00</t>
  </si>
  <si>
    <t>ESOJ981206MGGCR00</t>
  </si>
  <si>
    <t>GAVI830411MGGRS00</t>
  </si>
  <si>
    <t>VANE730901HGGLA00</t>
  </si>
  <si>
    <t>64MDP03B2-09</t>
  </si>
  <si>
    <t>LOHMM730610MJGPE00</t>
  </si>
  <si>
    <t>64DD06B-02</t>
  </si>
  <si>
    <t>GORW751119HJGNO00</t>
  </si>
  <si>
    <t>64DD06B-01</t>
  </si>
  <si>
    <t>DICW730114HGGVA00</t>
  </si>
  <si>
    <t>64DD07D-05</t>
  </si>
  <si>
    <t>CALA600307HGTBLA00</t>
  </si>
  <si>
    <t>OEMJ881028HGGBMN00</t>
  </si>
  <si>
    <t>VABM730720MGGLBM00</t>
  </si>
  <si>
    <t>81 1050 2274</t>
  </si>
  <si>
    <t>crubio2@gmail.com</t>
  </si>
  <si>
    <t>RUBIO JUAREZ CUAUHTEMOC</t>
  </si>
  <si>
    <t>LOPC810411HGTPOR00</t>
  </si>
  <si>
    <t>BLGA971202GGMAOD00</t>
  </si>
  <si>
    <t>HEGJ800612MGTRU00</t>
  </si>
  <si>
    <t>HEEP821213HGGRSA00</t>
  </si>
  <si>
    <t>CHMB890930MGGIAR00</t>
  </si>
  <si>
    <t>ESHM780728MGGTEA00</t>
  </si>
  <si>
    <t>MAPJ780503HGGRRAU00</t>
  </si>
  <si>
    <t>MERD871008HCGG00</t>
  </si>
  <si>
    <t>ROGJ871008HCGCU00</t>
  </si>
  <si>
    <t>VIGJ770412HGGLOO00</t>
  </si>
  <si>
    <t>RIMH840407HGGVEE00</t>
  </si>
  <si>
    <t>AALL820829MCG00</t>
  </si>
  <si>
    <t>AEGM580603HDGRRNO5</t>
  </si>
  <si>
    <t>VIPD720705HCSLNN01</t>
  </si>
  <si>
    <t>VILLAR PINTO DANIEL</t>
  </si>
  <si>
    <t>MECV480630HVZNRC09</t>
  </si>
  <si>
    <t>MENDEZ CORTES VICTOR MANUEL</t>
  </si>
  <si>
    <t>MDP03</t>
  </si>
  <si>
    <t>SEGUNDO CUATRI ( 2 )</t>
  </si>
  <si>
    <t>PRIMER CUATRI ( 1 )</t>
  </si>
  <si>
    <t>GARCIA SUAREZ SERGIO ALEJANDRO</t>
  </si>
  <si>
    <t>BAJAS</t>
  </si>
  <si>
    <t>NO. CLIENTE</t>
  </si>
  <si>
    <t>NO. DE ALUMNO</t>
  </si>
  <si>
    <t>RUJC700108HDFBRH09</t>
  </si>
  <si>
    <t>SOLIS MANRIQUEZ MENDY</t>
  </si>
  <si>
    <t>misomaxls@yahoo.com.mx</t>
  </si>
  <si>
    <t>LORI771217HDFPMS01</t>
  </si>
  <si>
    <t>LOPEZ ROMERO ISRAEL</t>
  </si>
  <si>
    <t>israel.lopezrmap@gmail.com</t>
  </si>
  <si>
    <t>BAML750727MMCRLS09</t>
  </si>
  <si>
    <t>BARRON MALDONADO MARIA LUISA</t>
  </si>
  <si>
    <t>998 293 2120</t>
  </si>
  <si>
    <t>ceo@maldonadoconsultores.com</t>
  </si>
  <si>
    <t>AICE811229HYNVND02</t>
  </si>
  <si>
    <t>AVILES CANCHE EDWARD GABRIEL</t>
  </si>
  <si>
    <t>998 428 3956</t>
  </si>
  <si>
    <t>aa_abogados@hotmail.com</t>
  </si>
  <si>
    <t>DIP IA</t>
  </si>
  <si>
    <t>DIPLOMADO INT ARTIFICIAL</t>
  </si>
  <si>
    <t>ROHA830104MCSBGL05</t>
  </si>
  <si>
    <t>ROBLES HIGUERA ALMA BEATRIZ</t>
  </si>
  <si>
    <t>qi.beatriz@gmail.com</t>
  </si>
  <si>
    <t>998 381 2250</t>
  </si>
  <si>
    <t>HEGI890515HCCRMS04</t>
  </si>
  <si>
    <t>HERNANDEZ GOMEZ ISIDRO</t>
  </si>
  <si>
    <t>998 292 3072</t>
  </si>
  <si>
    <t>isidrohernandezgomez2@gmail.com</t>
  </si>
  <si>
    <t>https://classroom.google.com/c/NjY2NjMwMzA4NzMz</t>
  </si>
  <si>
    <t>PREVENCIÓN DEL DELITO Y PERSPECTIVA DE GÉNERO</t>
  </si>
  <si>
    <t>DIAP04B2</t>
  </si>
  <si>
    <t>CAPTURAR SOLO AQUÍ</t>
  </si>
  <si>
    <t xml:space="preserve">Copiar y pegar calificaciones con el usuario moderador académico, con la liga del classroom conforme al calendario 2022 </t>
  </si>
  <si>
    <t>JORNADA DE TITULACION</t>
  </si>
  <si>
    <t xml:space="preserve">DERECHO MIGRATORIO </t>
  </si>
  <si>
    <t xml:space="preserve">MEDIACIÓN PRIVADA </t>
  </si>
  <si>
    <t>POLITICAS PÚBLICAS Y RELACIONES CON EL ESTADO</t>
  </si>
  <si>
    <t>MD501 PRACTICA FORENSE EN EL DERECHO PROCESARL CIVIL II</t>
  </si>
  <si>
    <t>MD402 MEDIOS ALTERNOS DE SOLUCIONES DE CONFLICTOS</t>
  </si>
  <si>
    <t>PRIMER CUATRIMESTR</t>
  </si>
  <si>
    <t>SEGUNDO CUATRIMESTRE</t>
  </si>
  <si>
    <t>TERCER CUATRIMESTRE</t>
  </si>
  <si>
    <t>CUATO CUATRIMESTRE</t>
  </si>
  <si>
    <t>19 Y 20 DE MAYO 2023</t>
  </si>
  <si>
    <t>7 y 8 de julio</t>
  </si>
  <si>
    <t>25 Y 26 DE AGOSTO</t>
  </si>
  <si>
    <t>22 Y23 DE SEPTIEMBRE</t>
  </si>
  <si>
    <t>27 Y 28 DE OCTUBRE</t>
  </si>
  <si>
    <t>17 Y 18 DE NOVIEMBRE</t>
  </si>
  <si>
    <t>15 Y 16 DE DICIEMBRE</t>
  </si>
  <si>
    <t>19 Y 20 DE ENERO</t>
  </si>
  <si>
    <t>26 Y 27 DE ENERO</t>
  </si>
  <si>
    <t>15 Y 16 DE FEBRERO</t>
  </si>
  <si>
    <t>23 Y 24 DE FEBRERO</t>
  </si>
  <si>
    <t>15 Y 16 DE MARZO</t>
  </si>
  <si>
    <t>23 Y 24 DE MARZO</t>
  </si>
  <si>
    <t>19 Y 20 DE ABRIL</t>
  </si>
  <si>
    <t>26 Y 27 DE ABRIL</t>
  </si>
  <si>
    <t>LINK DE ZOOM</t>
  </si>
  <si>
    <t>https://docs.google.com/spreadsheets/d/1syYL2GUvROpXTqMTSDH_cmTSdIFf3DFK/edit?usp=sharing&amp;ouid=117948801444065420301&amp;rtpof=true&amp;sd=true</t>
  </si>
  <si>
    <t>https://docs.google.com/spreadsheets/d/15HXO8bGQASahnRtH7hnH3zAw7xijeR8w/edit?usp=drive_link&amp;ouid=117948801444065420301&amp;rtpof=true&amp;sd=true</t>
  </si>
  <si>
    <t>https://docs.google.com/spreadsheets/d/1ZOtV9VGU4co-H2EQw6_U61opmVLqsbxq/edit#gid=1600186071</t>
  </si>
  <si>
    <t>https://docs.google.com/spreadsheets/d/1Q7AcGkYY7D0y6Zr0MAgtP8mobe6mG17L/edit#gid=1600186071</t>
  </si>
  <si>
    <t>https://docs.google.com/spreadsheets/d/12OO-H3N1qJipIAUNpX-JhZ7_AA24bS4Y/edit?usp=drive_link&amp;ouid=107074606600533491419&amp;rtpof=true&amp;sd=true</t>
  </si>
  <si>
    <t>https://docs.google.com/spreadsheets/d/1iqDaqp_0oVu_W_FjMMy7M2bcaPGR1bJN/edit?usp=drive_link&amp;ouid=107074606600533491419&amp;rtpof=true&amp;sd=true</t>
  </si>
  <si>
    <t>https://docs.google.com/spreadsheets/d/1ns21JTtp_bbCMrBKZwbEPNpDm8w8K05X/edit?usp=sharing&amp;ouid=107074606600533491419&amp;rtpof=true&amp;sd=true</t>
  </si>
  <si>
    <t>https://docs.google.com/spreadsheets/d/1HYgXNknIXDHOd4_fYVtgubRRnBuqvYKb/edit?usp=sharing&amp;ouid=107074606600533491419&amp;rtpof=true&amp;sd=true</t>
  </si>
  <si>
    <t>ANIBAL DUBON</t>
  </si>
  <si>
    <t>MARIA LESBIA LEAL CHÁVEZ</t>
  </si>
  <si>
    <t>HECTOR ECHEVERRIA</t>
  </si>
  <si>
    <t>MARTA PATRICIA PAREDES</t>
  </si>
  <si>
    <t>PETER URRUTIA</t>
  </si>
  <si>
    <t>MARTA PATRICIA GARCÍA PAREDES</t>
  </si>
  <si>
    <t>MDP02 ARGUMENTACION JURIDICA I</t>
  </si>
  <si>
    <t>MDP01 SISTEMAS ACTUALES DEL PROCESO PENAL I</t>
  </si>
  <si>
    <t>MDP04 TECNICAS ACTOS YMEDIOS DE INVERTIGACION</t>
  </si>
  <si>
    <t>MDP06 TALLER DE REDACCION I</t>
  </si>
  <si>
    <t>MDP01 SISTEMA DE JUSTICIA PENAL PROCESAL EN GUATEMALA</t>
  </si>
  <si>
    <t xml:space="preserve">se baja tal cual de la sede de Guatemala </t>
  </si>
  <si>
    <t>04ld</t>
  </si>
  <si>
    <t>04JTLD</t>
  </si>
  <si>
    <t>12LD04</t>
  </si>
  <si>
    <t>FUNDAMENTOS DEL DERECHO PROCESAL</t>
  </si>
  <si>
    <t>junio 24  dr.adelfo</t>
  </si>
  <si>
    <t>may</t>
  </si>
  <si>
    <t>64DD07G-06</t>
  </si>
  <si>
    <t>64DD07I-01</t>
  </si>
  <si>
    <t>CUGD710220HPCMNS00</t>
  </si>
  <si>
    <t>64DD07G-01</t>
  </si>
  <si>
    <t>RIBR720424HCCVTS22</t>
  </si>
  <si>
    <t>64DD07G-04</t>
  </si>
  <si>
    <t>64DD07H-05</t>
  </si>
  <si>
    <t>64DD07H-04</t>
  </si>
  <si>
    <t>64DD07H-02</t>
  </si>
  <si>
    <t>64DD07E-02</t>
  </si>
  <si>
    <t>64DD07I-02</t>
  </si>
  <si>
    <t>64DD07E-08</t>
  </si>
  <si>
    <t>64DD07E-09</t>
  </si>
  <si>
    <t>64DD07E-04</t>
  </si>
  <si>
    <t>64DD07E-03</t>
  </si>
  <si>
    <t>64DD07E-06</t>
  </si>
  <si>
    <t>64DD07E-05</t>
  </si>
  <si>
    <t>64DD07E-01</t>
  </si>
  <si>
    <t>64DD07F-03</t>
  </si>
  <si>
    <t>64DD07F-02</t>
  </si>
  <si>
    <t>ALARCON VITZIL LIZANI YAMILEX</t>
  </si>
  <si>
    <t>64DIA04B-03</t>
  </si>
  <si>
    <t>64DD07H-01</t>
  </si>
  <si>
    <t>64MD07C-01</t>
  </si>
  <si>
    <t>64DD07H-03</t>
  </si>
  <si>
    <t>SOMM781022MCHLNN01</t>
  </si>
  <si>
    <t>64DD07G-05</t>
  </si>
  <si>
    <t>64DD07G-03</t>
  </si>
  <si>
    <t>64DIA04B-01</t>
  </si>
  <si>
    <t>64DIPIA-11</t>
  </si>
  <si>
    <t>64DIPIA-09</t>
  </si>
  <si>
    <t>64DD07G-02</t>
  </si>
  <si>
    <t>64DIPIA-07</t>
  </si>
  <si>
    <t>64DIPIA-04</t>
  </si>
  <si>
    <t>64DIPIA-05</t>
  </si>
  <si>
    <t>64DIPIA-02</t>
  </si>
  <si>
    <t>64DIPIA-01</t>
  </si>
  <si>
    <t>MOAF780606HCSRLR00</t>
  </si>
  <si>
    <t>64DIPIA-06</t>
  </si>
  <si>
    <t>MORALES ALBORES FRANCISCO DANIEL</t>
  </si>
  <si>
    <t>fdmalbores@hotmail.com</t>
  </si>
  <si>
    <t>64DIPIA-08</t>
  </si>
  <si>
    <t>64DIPIA-10</t>
  </si>
  <si>
    <t>violetasiliceo@gmail.com</t>
  </si>
  <si>
    <t>64DIPIA-03</t>
  </si>
  <si>
    <t>VAES691030HCSLSR03</t>
  </si>
  <si>
    <t>VALLS ESPONDA SERGIO ARTURO</t>
  </si>
  <si>
    <t>MD06C2</t>
  </si>
  <si>
    <t>PEDG820904HGT</t>
  </si>
  <si>
    <t>PEREZ DOMINGUEZ GEISLER SMAILLE</t>
  </si>
  <si>
    <t>MDPG04B</t>
  </si>
  <si>
    <t>LECM530817MGT</t>
  </si>
  <si>
    <t>LEAL CHAVEZ MARIA LESBIA</t>
  </si>
  <si>
    <t>lesbialeal@yahoo.com</t>
  </si>
  <si>
    <t>HARRIS MENJIVAR DUMBAR MANUEL</t>
  </si>
  <si>
    <t>AEMH680308HGT</t>
  </si>
  <si>
    <t>HERRERA ARITA DENNIS BILLY</t>
  </si>
  <si>
    <t>CUARTO CUATRIMESTRE</t>
  </si>
  <si>
    <t>01 Y 02 DE DICIEMBRE</t>
  </si>
  <si>
    <t>https://docs.google.com/spreadsheets/d/1BGQ7oCKnALWfInb0rI6_eI_bLn-qGS8p/edit?usp=share_link&amp;ouid=109060637673023762654&amp;rtpof=true&amp;sd=true</t>
  </si>
  <si>
    <t>https://docs.google.com/spreadsheets/d/13PAXd_G-02uOgGtNVsCEAPKIrHtWZckc/edit?usp=share_link&amp;ouid=109060637673023762654&amp;rtpof=true&amp;sd=true</t>
  </si>
  <si>
    <t>https://docs.google.com/spreadsheets/d/1wGC0LY4tT1kljvweAH1sCNsmr6q0S49B/edit?usp=share_link&amp;ouid=109060637673023762654&amp;rtpof=true&amp;sd=true</t>
  </si>
  <si>
    <t>https://docs.google.com/spreadsheets/d/1gMs31X7bqDQnG6oouxl0uqEraVgSMs6g/edit?usp=share_link&amp;ouid=117948801444065420301&amp;rtpof=true&amp;sd=true</t>
  </si>
  <si>
    <t>https://docs.google.com/spreadsheets/d/15HXO8bGQASahnRtH7hnH3zAw7xijeR8w/edit#gid=1600186071</t>
  </si>
  <si>
    <t>DR. HECTOR ECHEVERRIA</t>
  </si>
  <si>
    <t>MARTA PATRICIA GARCIA PAREDES</t>
  </si>
  <si>
    <t>JUICIOS ORALES</t>
  </si>
  <si>
    <t>DRA. ADELAIDA HERRERA</t>
  </si>
  <si>
    <t>Coordinación Académica Sede Guatemala</t>
  </si>
  <si>
    <t>64DD07J-01</t>
  </si>
  <si>
    <t>PILA630813HGT</t>
  </si>
  <si>
    <t>64DD07J-02</t>
  </si>
  <si>
    <t>PIVARAL DE LEON ANTHONY GIOVANNI</t>
  </si>
  <si>
    <t>gpile@gmail.com</t>
  </si>
  <si>
    <t>CLINICA DE ESTRATEGIAS DEL PROCESO PENAL II</t>
  </si>
  <si>
    <t>26 y 27 de mayo</t>
  </si>
  <si>
    <t>07 y 08 de julio</t>
  </si>
  <si>
    <t>05 Y 06 DE AGOSTO</t>
  </si>
  <si>
    <t>11 Y 12 DE AGOSTO</t>
  </si>
  <si>
    <t>01 Y 02 DE SEPTIEMBRE</t>
  </si>
  <si>
    <t>22 Y 23 DE SEPTIEMBRE</t>
  </si>
  <si>
    <t>06 Y 07 DE OCTUBRE</t>
  </si>
  <si>
    <t>20 Y 21 DE OCTUBRE</t>
  </si>
  <si>
    <t>12 Y 13 DE ENERO</t>
  </si>
  <si>
    <t>16 Y 17 DE FEBRERO</t>
  </si>
  <si>
    <t>10 Y 11 MAYO</t>
  </si>
  <si>
    <t>5Y 6 DE JUNIO</t>
  </si>
  <si>
    <t>12 Y 13 DE JULIO</t>
  </si>
  <si>
    <t>https://docs.google.com/spreadsheets/d/1-VZn1VvZP3j4Iejd83EF9lr7bVXR2yCX/edit?usp=drive_link&amp;ouid=117948801444065420301&amp;rtpof=true&amp;sd=true</t>
  </si>
  <si>
    <t>https://docs.google.com/spreadsheets/d/1DyPwcI6NhNekWDXEV6Rmj5IBpYopnQjv/edit#gid=97323316</t>
  </si>
  <si>
    <t>https://docs.google.com/spreadsheets/d/1g9HDNj3YgYPI5UCyEJl4gVSKSbXV4ePz/edit?usp=sharing&amp;ouid=117948801444065420301&amp;rtpof=true&amp;sd=true</t>
  </si>
  <si>
    <t xml:space="preserve">https://docs.google.com/spreadsheets/d/1q5zKD_wcEJb11SvdKJ5QY86ZKm2ZphvW/edit?usp=drive_link&amp;ouid=107074606600533491419&amp;rtpof=true&amp;sd=true </t>
  </si>
  <si>
    <t>https://docs.google.com/spreadsheets/d/1q35BB7NPWxgyDZZqFMQqjUEYvuskKBy4/edit?usp=drive_link&amp;ouid=107074606600533491419&amp;rtpof=true&amp;sd=true</t>
  </si>
  <si>
    <t>https://docs.google.com/spreadsheets/d/1tsePOgffv74a7grRZmiTPQuJBW8TZBYS/edit?usp=drive_link&amp;ouid=107074606600533491419&amp;rtpof=true&amp;sd=true</t>
  </si>
  <si>
    <t>https://docs.google.com/spreadsheets/d/1IHZoMbwooZqKfrMVcS4GfpAAREkd2BX_/edit?usp=sharing&amp;ouid=107074606600533491419&amp;rtpof=true&amp;sd=true</t>
  </si>
  <si>
    <t xml:space="preserve">https://docs.google.com/spreadsheets/d/1RyGyoocv0MTI09ecqXhbdpqCpUF6OHHm/edit?usp=drive_link&amp;ouid=107074606600533491419&amp;rtpof=true&amp;sd=true </t>
  </si>
  <si>
    <t>ANIBAL GONZALEZ</t>
  </si>
  <si>
    <t>GILMAR AMARILDO BARRIOS LEÓN</t>
  </si>
  <si>
    <t>ARNULFO ZARATE</t>
  </si>
  <si>
    <t>DD05 TALLER DE RADACCIÓN</t>
  </si>
  <si>
    <t>DD07 SEMINARIO DE INVESTIGACION GENERO Y DERECHO</t>
  </si>
  <si>
    <t>DD06 SEMINARIO DE GESTION DE CONFLICTOS</t>
  </si>
  <si>
    <t>DD01 SEMINARIO DE FILOSOFIA JURÍDICA</t>
  </si>
  <si>
    <t>DD03 SEMINARIO DE JUICIO ORAL CIVIL Y MERCANTIL</t>
  </si>
  <si>
    <t>DD02 SEMINARIO DE INTERPRETACION Y METODOLOGÍA JURÍDICA</t>
  </si>
  <si>
    <t>DD05 SEMINARIO DE SOLUCION DE CONFLICTOS Y JUSTICIA RESTAURATIVA</t>
  </si>
  <si>
    <t>DD06 SEMINARIO DE JUSTICIA PARA ADOLECENTES</t>
  </si>
  <si>
    <t>DD08 CLINICA DE DERECHO PROCESAL CIVIL</t>
  </si>
  <si>
    <t>DD09 CLINICA DE ESTRATEGIAS DEL PROCESO PENAL I</t>
  </si>
  <si>
    <t>DD09 CLINICA DE ESTRATEGIAS DEL PROCESO PENAL II</t>
  </si>
  <si>
    <t>DD010 CLINICA DE DERECHO PROCESAL LABORAL</t>
  </si>
  <si>
    <t>DD011 SEMINARIO DE DERECHO PROCESAL PENAL I</t>
  </si>
  <si>
    <t>DD012 SEMINARIO DE DERECHOS ADUANERO Y COMERCIO EXTERIOR</t>
  </si>
  <si>
    <t>9,6</t>
  </si>
  <si>
    <t>JJDD</t>
  </si>
  <si>
    <t>12 Y 13 DE JULIO 2024</t>
  </si>
  <si>
    <t>9 Y 10 DE AGOSTO 2024</t>
  </si>
  <si>
    <t>MDP04 TECNICAS ACTOS Y MEDIO DE INVESTIG. II</t>
  </si>
  <si>
    <t>MDP04 TECNICAS ACTOS Y MEDIO DE INVESTIG. 1</t>
  </si>
  <si>
    <t>DD12 SEMINARIO DE DERECHO
ADUANERO Y COMERCIO EXTERIOR</t>
  </si>
  <si>
    <t>DD14-</t>
  </si>
  <si>
    <t>DD-14</t>
  </si>
  <si>
    <t>DD-12</t>
  </si>
  <si>
    <t>MORALES GARCIA FRANCISCO JOSUE</t>
  </si>
  <si>
    <t>carlosierra76@gmail.com</t>
  </si>
  <si>
    <t>espera</t>
  </si>
  <si>
    <t>22/02/1983</t>
  </si>
  <si>
    <t>RAPJ891003HNECRM08</t>
  </si>
  <si>
    <t>RAC PEREZ JIMMY OSWALDO</t>
  </si>
  <si>
    <t>jim.perez01@gmail.com</t>
  </si>
  <si>
    <t>LOGN970203MCSPRD05</t>
  </si>
  <si>
    <t>jaky.loga3@gmail.com</t>
  </si>
  <si>
    <t>MD07C</t>
  </si>
  <si>
    <t>ESRL880612MGT</t>
  </si>
  <si>
    <t>ESTRADA RENDON LILLY GABRIELA MARIA</t>
  </si>
  <si>
    <t>lillyestradarendon@gmail.com</t>
  </si>
  <si>
    <t>RARB680805MGT</t>
  </si>
  <si>
    <t>abogadalissethramirezroman@gmail.com</t>
  </si>
  <si>
    <t>SAME830605HGT</t>
  </si>
  <si>
    <t>SANTOS MARTINEZ EDUARDO JOSE</t>
  </si>
  <si>
    <t>guayosantos@gmail.com</t>
  </si>
  <si>
    <t>DD07GT</t>
  </si>
  <si>
    <t>MOVD570209HNLNLV00</t>
  </si>
  <si>
    <t>davidmontemayor_9@hotmail.com</t>
  </si>
  <si>
    <t>DD07J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</si>
  <si>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</si>
  <si>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</si>
  <si>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</si>
  <si>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</si>
  <si>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</si>
  <si>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</si>
  <si>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</si>
  <si>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</si>
  <si>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</si>
  <si>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</si>
  <si>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</si>
  <si>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</si>
  <si>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</si>
  <si>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</si>
  <si>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</si>
  <si>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</si>
  <si>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</si>
  <si>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</si>
  <si>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</si>
  <si>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</si>
  <si>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</si>
  <si>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</si>
  <si>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</si>
  <si>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</si>
  <si>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</si>
  <si>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</si>
  <si>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</si>
  <si>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</si>
  <si>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</si>
  <si>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</si>
  <si>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</si>
  <si>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</si>
  <si>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</si>
  <si>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</si>
  <si>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</si>
  <si>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JN-JL</t>
  </si>
  <si>
    <t>JL.AG</t>
  </si>
  <si>
    <t>MDP01 SISTEMA DE JUSTICIA PENAL EN MEXICO</t>
  </si>
  <si>
    <t>FOVE750929MCLLLL02</t>
  </si>
  <si>
    <t>FLORES VELAZQUEZ ELSA MARIA DEL PILAR</t>
  </si>
  <si>
    <t>efv16251@hotmail.com</t>
  </si>
  <si>
    <t>JT-MAY</t>
  </si>
  <si>
    <t>JT-JN</t>
  </si>
  <si>
    <t>JT-NL</t>
  </si>
  <si>
    <t>JTAGT</t>
  </si>
  <si>
    <t xml:space="preserve">DERECHO NOTARIAL </t>
  </si>
  <si>
    <t xml:space="preserve">FUNDAMENTOS DEL DERECHO PROCESAL </t>
  </si>
  <si>
    <t xml:space="preserve">JTSEP </t>
  </si>
  <si>
    <t>JTOCT</t>
  </si>
  <si>
    <t xml:space="preserve">POLÍTICAS Y REGULACIÓN </t>
  </si>
  <si>
    <t xml:space="preserve">PREVENCIÓN Y SEGURIDAD HUMANA </t>
  </si>
  <si>
    <t>JTNOV</t>
  </si>
  <si>
    <t>NOMBRE</t>
  </si>
  <si>
    <t>SITUACIÓN</t>
  </si>
  <si>
    <t>MONTEMAYOR VILLELA DAVID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</si>
  <si>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</si>
  <si>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</si>
  <si>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</si>
  <si>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</si>
  <si>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</si>
  <si>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</si>
  <si>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</si>
  <si>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</si>
  <si>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</si>
  <si>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SALTILLO</t>
  </si>
  <si>
    <t>jul</t>
  </si>
  <si>
    <t>jn</t>
  </si>
  <si>
    <t>oct</t>
  </si>
  <si>
    <t>nov</t>
  </si>
  <si>
    <t>dic</t>
  </si>
  <si>
    <t>feb</t>
  </si>
  <si>
    <t>ab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</si>
  <si>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</si>
  <si>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</si>
  <si>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</si>
  <si>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</si>
  <si>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</si>
  <si>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</si>
  <si>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=SI.ERROR(BUSCARV(D654,Tabla3,5,FALSO),"")</t>
  </si>
  <si>
    <t>RIVERA NAVA HECTOR</t>
  </si>
  <si>
    <t>hectorriveran@gmail.com</t>
  </si>
  <si>
    <t>HELV781104MGT</t>
  </si>
  <si>
    <t>ROMM860201MGT</t>
  </si>
  <si>
    <t>RODAS MEJIA MARIA JOSE</t>
  </si>
  <si>
    <t>HEMG890121HGT</t>
  </si>
  <si>
    <t>HERNANDEZ MARROQUIN GUSTAVO ADOLFO</t>
  </si>
  <si>
    <t>MOPV770130HGT</t>
  </si>
  <si>
    <t>MORAGA PORRAS VICTOR MANUEL</t>
  </si>
  <si>
    <t>55 3078 8315</t>
  </si>
  <si>
    <t>RINH670127HCLVVC08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</si>
  <si>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</si>
  <si>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</si>
  <si>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</si>
  <si>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</si>
  <si>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</si>
  <si>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</si>
  <si>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</si>
  <si>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</si>
  <si>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</si>
  <si>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</si>
  <si>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</si>
  <si>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</si>
  <si>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</si>
  <si>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</si>
  <si>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64DD07K-16</t>
  </si>
  <si>
    <t>64DD07K-17</t>
  </si>
  <si>
    <t>64DD07K-18</t>
  </si>
  <si>
    <t>DD07K</t>
  </si>
  <si>
    <t>CAPTURAR SOLO No. De Alumno</t>
  </si>
  <si>
    <t>SOLO CAPTURAR EL NUMERO DE ALUMNO</t>
  </si>
  <si>
    <t>DERECHO PENAL</t>
  </si>
  <si>
    <t>SEMINARIO DE DERECHO PROCESAL AMPARO II</t>
  </si>
  <si>
    <t xml:space="preserve">DD07 </t>
  </si>
  <si>
    <t>https://classroom.google.com/w/NjczOTg5MDI2NDQ4/t/all</t>
  </si>
  <si>
    <t>https://classroom.google.com/c/NjY2NjcyNzc2MTk3</t>
  </si>
  <si>
    <t xml:space="preserve"> LOPEZ GARCIA NADIA JAQUELIN</t>
  </si>
  <si>
    <t xml:space="preserve">DERECHO INTERNACIONAL PÚBLICO </t>
  </si>
  <si>
    <t xml:space="preserve"> DIAP 08 SIMPLIFICACIÓN DE PROCESOS Y ESTANDARIZACION</t>
  </si>
  <si>
    <t>NALJ810126HVZTPN06</t>
  </si>
  <si>
    <t>NATALE LOPEZ JUAN CARLOS</t>
  </si>
  <si>
    <t>222 120 9969</t>
  </si>
  <si>
    <t>natalejuancarlos@yahoo.com</t>
  </si>
  <si>
    <t>DIAP08-14 SIMPLIFICACIÓN DE PROCESOS y GESTION DE LA BIG DATA II</t>
  </si>
  <si>
    <t xml:space="preserve">DIAP15 SEMINARIO DE EVALUACIÓN DE PROYECTOS </t>
  </si>
  <si>
    <t>CRIMINOLOGIA</t>
  </si>
  <si>
    <t>POLITICAS DE REGULACION</t>
  </si>
  <si>
    <t>PREVENCION Y SEGURIDAD HUMANA</t>
  </si>
  <si>
    <t>INVESTIGACION DOCUMENTAL Y EMPIRICA</t>
  </si>
  <si>
    <t>PRACTICAS DE JUICIOS ORALES</t>
  </si>
  <si>
    <t>MD 401 DERECHO MERCANTIL</t>
  </si>
  <si>
    <t>DERECHO NOTARIAL</t>
  </si>
  <si>
    <t>JTLD04A</t>
  </si>
  <si>
    <t>64MDP04D-01</t>
  </si>
  <si>
    <t>MATERIAS APARTE</t>
  </si>
  <si>
    <t>ago</t>
  </si>
  <si>
    <t>RODRIGUEZ WONG SANDRA LUZ</t>
  </si>
  <si>
    <t>DERECHO PROCESAL CONSTITUCIONAL FUNCIONAL</t>
  </si>
  <si>
    <t>TEORÍA GENERAL DE LA CONSTITUCIÓN</t>
  </si>
  <si>
    <t>https://classroom.google.com/c/NTEwNzY4NjI1MDk5</t>
  </si>
  <si>
    <t>MEDIOS ALTERNOS DE SOLUCIÓN DE
CONFLICTOS</t>
  </si>
  <si>
    <t>DESTREZAS Y TALLER DE LITIGACIÓN</t>
  </si>
  <si>
    <t xml:space="preserve"> MD22</t>
  </si>
  <si>
    <t xml:space="preserve"> MD23</t>
  </si>
  <si>
    <t>MÉTODOS Y TÉCNICAS DE LA INVESTIGACIÓN JURÍDICA</t>
  </si>
  <si>
    <t xml:space="preserve"> Recursos en el procedimiento Escrito y el Juicio oral I</t>
  </si>
  <si>
    <t xml:space="preserve"> Recursos en el procedimiento Escrito y el Juicio oral II</t>
  </si>
  <si>
    <t>AGOSTO (2 CLASE)</t>
  </si>
  <si>
    <t>https://classroom.google.com/c/NTExMzQ5MTQxMjA3</t>
  </si>
  <si>
    <t>CLASE CANCELADA</t>
  </si>
  <si>
    <t>MD21</t>
  </si>
  <si>
    <t>MD24</t>
  </si>
  <si>
    <t>MD25</t>
  </si>
  <si>
    <t>MD26</t>
  </si>
  <si>
    <t>MD27</t>
  </si>
  <si>
    <t>MD28</t>
  </si>
  <si>
    <t>MD29</t>
  </si>
  <si>
    <t>MD30</t>
  </si>
  <si>
    <t>MD31</t>
  </si>
  <si>
    <t>MD32</t>
  </si>
  <si>
    <t>MD33</t>
  </si>
  <si>
    <t>MD34</t>
  </si>
  <si>
    <t>TECNICAS ACTOS Y MEDIO DE INVESTIGACIÓN I</t>
  </si>
  <si>
    <t>TECNICAS ACTOS Y MEDIO DE INVESTIGACIÓN II</t>
  </si>
  <si>
    <t>FAPE700915HGTRRF07</t>
  </si>
  <si>
    <t>899 944 0710</t>
  </si>
  <si>
    <t>efrainfraustoperez@gmail.com</t>
  </si>
  <si>
    <t>BAJA TEMP</t>
  </si>
  <si>
    <t>FORMALIDADES Y PROCEDIMIENTOS EN LAS AUDIENCIAS INICIAL, INTERMEDIA Y DEBATE</t>
  </si>
  <si>
    <t xml:space="preserve">ARGUMENTACIÓN JURIDICA </t>
  </si>
  <si>
    <t>64DD07K-19</t>
  </si>
  <si>
    <t>GOMEZ GOMEZ YARELY ELIZABETH</t>
  </si>
  <si>
    <t>bufetejuridico958@hotmail.com</t>
  </si>
  <si>
    <t>janalybalsells1212@gmail.com</t>
  </si>
  <si>
    <t>jul-ago-2024</t>
  </si>
  <si>
    <t>jun-jul-2024</t>
  </si>
  <si>
    <t>ASPRILLA CORDOBA ROSMIRA FELICIDAD</t>
  </si>
  <si>
    <t>JTLD04</t>
  </si>
  <si>
    <t>DIA   MES   AÑO 16/10/2024</t>
  </si>
  <si>
    <t>jun</t>
  </si>
  <si>
    <t>Todas las que apareccen en rojo estan corroboradas en boletas que pueden consultarse en su correo (las unicas a esta excepción son las de nov a febrero) que aun falta por que las tome) en febrero de 2024 culmina su programa - dando un total de 36 (38)</t>
  </si>
  <si>
    <t>CLASE EXTRA PENDIENTE</t>
  </si>
  <si>
    <t>Tomará una clase el 19 de octubre y otra el 14 de noviembre</t>
  </si>
  <si>
    <t>VEPL851229HGT00</t>
  </si>
  <si>
    <t>HERRERA ARITA DOUGLAS EDUARDO</t>
  </si>
  <si>
    <t>douglash@corporacionherrera.com</t>
  </si>
  <si>
    <t>mar</t>
  </si>
  <si>
    <t>abr</t>
  </si>
  <si>
    <t>PRÁCTICA FORENSE EN EL DERECHO PROCESAL CIVIL II</t>
  </si>
  <si>
    <t>PRÁCTICA FORENSE EN EL DERECHO PROCESAL CIVIL I</t>
  </si>
  <si>
    <t>GRADO</t>
  </si>
  <si>
    <t xml:space="preserve">https://docs.google.com/spreadsheets/d/1IMS69G1kdUGAPwGET47jRkGW9HXFzaLI/edit?usp=sharing&amp;ouid=107074606600533491419&amp;rtpof=true&amp;sd=true </t>
  </si>
  <si>
    <t xml:space="preserve">https://docs.google.com/spreadsheets/d/1yIdhWgSeuHSCsLUU_ErG2gYTR8pArl45/edit?usp=sharing&amp;ouid=107074606600533491419&amp;rtpof=true&amp;sd=true </t>
  </si>
  <si>
    <t xml:space="preserve">https://docs.google.com/spreadsheets/d/1ycp8KeYRa1LQLCwhTB8q0aEkTLqwxFuS/edit?usp=drive_link&amp;ouid=107074606600533491419&amp;rtpof=true&amp;sd=true </t>
  </si>
  <si>
    <t>DRA ADELAIDA HERRERA</t>
  </si>
  <si>
    <t>GUILLLERMO ZUÑIGA</t>
  </si>
  <si>
    <t>PATRICIA SECAIDA</t>
  </si>
  <si>
    <t>MDP04 Técnicas Actos Y Medios De Investigación</t>
  </si>
  <si>
    <t>MDP06 TALLER DE REDACCION</t>
  </si>
  <si>
    <t>MDP01 SISTEMA DE JUSTICIA PENAL EN GUATEMALA</t>
  </si>
  <si>
    <t>9 Y 10 AGOSTO - 2024</t>
  </si>
  <si>
    <t>20 Y 21 SEPTIEMBRE - 2024</t>
  </si>
  <si>
    <t>OCTUBRE (2024)</t>
  </si>
  <si>
    <t>NOV (2024)</t>
  </si>
  <si>
    <t>DIC (2024)</t>
  </si>
  <si>
    <t>ENE (2025)</t>
  </si>
  <si>
    <t>FEB (2025)</t>
  </si>
  <si>
    <t>MAR (2025)</t>
  </si>
  <si>
    <t>ABR (2025)</t>
  </si>
  <si>
    <t>MAY (2025)</t>
  </si>
  <si>
    <t>JUN (2025)</t>
  </si>
  <si>
    <t>JUL (2025)</t>
  </si>
  <si>
    <t>AGO (2025)</t>
  </si>
  <si>
    <t>SEP (2025)</t>
  </si>
  <si>
    <t>ARGUMENTACIÓN JURÍDICA I</t>
  </si>
  <si>
    <t>Sistemas Actuales del Proceso Penal</t>
  </si>
  <si>
    <t>https://docs.google.com/spreadsheets/d/1eKJa0c7mOx80MadvfZeLqmjT6S-8fw5E/edit?gid=197024346#gid=197024346</t>
  </si>
  <si>
    <t>IRMA MORALES MORALES</t>
  </si>
  <si>
    <t>GAOE750502MJCRRL18</t>
  </si>
  <si>
    <t>CRIMINOLOGÍA</t>
  </si>
  <si>
    <t>PRÁCTICAS DE JUICIOS ORALES</t>
  </si>
  <si>
    <t>JTLD01</t>
  </si>
  <si>
    <t>JTLD02</t>
  </si>
  <si>
    <t>dic-24</t>
  </si>
  <si>
    <t>ene-25</t>
  </si>
  <si>
    <t>abr-25</t>
  </si>
  <si>
    <r>
      <t xml:space="preserve">10 </t>
    </r>
    <r>
      <rPr>
        <sz val="11"/>
        <color rgb="FFFF0000"/>
        <rFont val="Arial"/>
        <family val="2"/>
      </rPr>
      <t>(LA TOMÓ EN SEPTIEMBRE DE 2024)</t>
    </r>
  </si>
  <si>
    <r>
      <t xml:space="preserve">10 </t>
    </r>
    <r>
      <rPr>
        <sz val="11"/>
        <color rgb="FFFF0000"/>
        <rFont val="Arial"/>
        <family val="2"/>
      </rPr>
      <t>(LA TOMÓ EN OCTUBRE DE 2024)</t>
    </r>
  </si>
  <si>
    <t>DIAP12</t>
  </si>
  <si>
    <t>DIAP08</t>
  </si>
  <si>
    <t>DIAP13</t>
  </si>
  <si>
    <t>DIAP08-14</t>
  </si>
  <si>
    <t>DIAP15</t>
  </si>
  <si>
    <t>DIAP 11</t>
  </si>
  <si>
    <t xml:space="preserve">DIAP03 </t>
  </si>
  <si>
    <t>DIAP06</t>
  </si>
  <si>
    <t>DIAP09</t>
  </si>
  <si>
    <t>DIAP10</t>
  </si>
  <si>
    <t>DIAP07</t>
  </si>
  <si>
    <t>HEAD911205HGT</t>
  </si>
  <si>
    <t>MAGD721104HGT11</t>
  </si>
  <si>
    <t>GARDUÑO ORGANISTA ELISA DE LOS ANGELES</t>
  </si>
  <si>
    <t>gardunoelisa@gmail.com</t>
  </si>
  <si>
    <t>JTLD04C</t>
  </si>
  <si>
    <t>ACTIVOS 2024</t>
  </si>
  <si>
    <t>AVISO- SE DIO DE BAJA TEMPORAL EN OCTUBRE. Y YA NO TOMO LA MATERIA DE DERECHO MERCANTIL EN ADELANTE / VERIFICAR CON ELLA EN CASO DE QUE VUELVA</t>
  </si>
  <si>
    <t>POLITICAS Y REGULACIÓN</t>
  </si>
  <si>
    <t>JTDIC</t>
  </si>
  <si>
    <t>JT-ABR</t>
  </si>
  <si>
    <t>ago-sep-2024</t>
  </si>
  <si>
    <t>sep-oct-2024</t>
  </si>
  <si>
    <t>FIN DE CURSO</t>
  </si>
  <si>
    <t>*NOTA. VERIFICAR CON SEDE TOLUCA SI SON BAJA TEMPORAL?</t>
  </si>
  <si>
    <t>SOLORZANO QUEVEDO JULIO ENRIQUE</t>
  </si>
  <si>
    <t>MORALES ALVARADO ELMER ADULFO</t>
  </si>
  <si>
    <t>BARRIOS GUTIERREZ BRENDA BEATRIZ</t>
  </si>
  <si>
    <t>DR. EN D. YASMÍN CAMPOS COHUO</t>
  </si>
  <si>
    <t>DIA   MES   AÑO                                    25/11/2024</t>
  </si>
  <si>
    <r>
      <t xml:space="preserve">10  </t>
    </r>
    <r>
      <rPr>
        <sz val="11"/>
        <color rgb="FFFF0000"/>
        <rFont val="Arial"/>
        <family val="2"/>
      </rPr>
      <t>(REALIZÓ UN PROYECTO PARA CULMINAR SU PROGRAMA CON ESTA MATERIA EN NOVIEMBRE DE 2024)</t>
    </r>
  </si>
  <si>
    <t>DIAP'4</t>
  </si>
  <si>
    <t>ABR-2024-NOV-2024</t>
  </si>
  <si>
    <t>DIAP14</t>
  </si>
  <si>
    <t>DIP15</t>
  </si>
  <si>
    <t>DIAP11</t>
  </si>
  <si>
    <r>
      <t xml:space="preserve">DIA - 29  MES - </t>
    </r>
    <r>
      <rPr>
        <b/>
        <sz val="8"/>
        <color theme="1"/>
        <rFont val="Calibri"/>
        <family val="2"/>
      </rPr>
      <t>11</t>
    </r>
    <r>
      <rPr>
        <sz val="8"/>
        <color theme="1"/>
        <rFont val="Calibri"/>
        <family val="2"/>
      </rPr>
      <t xml:space="preserve"> AÑO - </t>
    </r>
    <r>
      <rPr>
        <b/>
        <sz val="8"/>
        <color theme="1"/>
        <rFont val="Calibri"/>
        <family val="2"/>
      </rPr>
      <t>2024</t>
    </r>
  </si>
  <si>
    <t>BALAN BURGOS JAVIER ERNESTO</t>
  </si>
  <si>
    <t>981 169 2058</t>
  </si>
  <si>
    <t>balanburgos@gmail.com</t>
  </si>
  <si>
    <t>INICIO: ENERO - 2025</t>
  </si>
  <si>
    <t>TERCER CUATRI ( 3 )</t>
  </si>
  <si>
    <t>CUARTO CUATRI ( 4 )</t>
  </si>
  <si>
    <t xml:space="preserve"> EJECUCIÓN DE PENAS</t>
  </si>
  <si>
    <t>MDP09</t>
  </si>
  <si>
    <t xml:space="preserve"> RETÓRICA ARGUMENTATIVA</t>
  </si>
  <si>
    <t>MDP12</t>
  </si>
  <si>
    <t xml:space="preserve"> DERECHO PROCESAL ACUSATORIO</t>
  </si>
  <si>
    <t>MDP13</t>
  </si>
  <si>
    <t>MDP10</t>
  </si>
  <si>
    <t xml:space="preserve"> IMPUGNACIÓN Y SISTEMA INTERNACIONAL DE PROTECCIÓN DE DERECHOS HUMANOS I</t>
  </si>
  <si>
    <t xml:space="preserve"> MECANISMOS DE MEDIOS DE SOLUCIÓN DE CONFLICTOS</t>
  </si>
  <si>
    <t xml:space="preserve"> IMPUGNACIÓN Y SISTEMA INTERNACIONAL DE PROTECCIÓN DE DERECHOS HUMANOS II</t>
  </si>
  <si>
    <t xml:space="preserve"> TEORÍA DEL CASO</t>
  </si>
  <si>
    <t>MDP05</t>
  </si>
  <si>
    <t xml:space="preserve"> SISTEMAS ACTUALES DEL PROCESO PENAL</t>
  </si>
  <si>
    <t xml:space="preserve">MDP07 </t>
  </si>
  <si>
    <t>TECNICAS ACTOS Y MEDIOS DE INVESTIGACIÓN I</t>
  </si>
  <si>
    <t xml:space="preserve">MDP04 </t>
  </si>
  <si>
    <t>TECNICAS ACTOS Y MEDIOS DE INVESTIGACIÓN II</t>
  </si>
  <si>
    <t xml:space="preserve"> FORMALIDADES Y
PROCEDIMIENTOS EN LAS AUDIENCIAS
INICIAL, INTERMEDIA Y DEBATE</t>
  </si>
  <si>
    <t>MDP08</t>
  </si>
  <si>
    <t xml:space="preserve"> ARGUMENTACIÓN JURÍDICA</t>
  </si>
  <si>
    <t>MDP02</t>
  </si>
  <si>
    <t xml:space="preserve"> OBTENCIÓN Y MEDIOS DE PRUEBA</t>
  </si>
  <si>
    <t>MDP06</t>
  </si>
  <si>
    <t>OBTENCION Y MEDIOS DE PRUEBA</t>
  </si>
  <si>
    <t>MARTINEZ PALACIOS OSWALD ROMEO</t>
  </si>
  <si>
    <t>ROMERO MEDINA YAZMIN ESMERALDA</t>
  </si>
  <si>
    <t>https://drive.google.com/drive/folders/1hBH4kl-2ZtL0gl5dexXV4YrZ4m8zblpW</t>
  </si>
  <si>
    <t>: 55 3828 8274</t>
  </si>
  <si>
    <t>SOQJ910821HGT</t>
  </si>
  <si>
    <t>juliosol91@gmail.com</t>
  </si>
  <si>
    <t>MDP05G</t>
  </si>
  <si>
    <t>MOAE691218HGT</t>
  </si>
  <si>
    <t>bufetejuridicomoralesalvarado@gmail.com</t>
  </si>
  <si>
    <t>ZEGI790402HGTLLI01</t>
  </si>
  <si>
    <t>lic.jdavid@gmail.com</t>
  </si>
  <si>
    <t>sergiodavilapulex28@gmail.com</t>
  </si>
  <si>
    <t>luisalara14@gmail.com</t>
  </si>
  <si>
    <t>BABJ910131HCCLRV07</t>
  </si>
  <si>
    <t>MSPO651206HGTRLW01</t>
  </si>
  <si>
    <t>ormapal11@gmail.com</t>
  </si>
  <si>
    <t>RELE771130HGTTNR01</t>
  </si>
  <si>
    <t>RETANA DE LEON ERICK ALEXI</t>
  </si>
  <si>
    <t>ROMY850216MMCMDZ09</t>
  </si>
  <si>
    <t>yerm22@gmail.com</t>
  </si>
  <si>
    <t>RERG880924MCGCML01</t>
  </si>
  <si>
    <t>RECINOS RAMOS GLENDY LISSETTE</t>
  </si>
  <si>
    <t>glen.lisset.recinos24@gmail.com</t>
  </si>
  <si>
    <t>DIRJ751019HGRZMV01</t>
  </si>
  <si>
    <t>DIAZ RAMON JAVIER</t>
  </si>
  <si>
    <t>744 215 0255</t>
  </si>
  <si>
    <t>drjavierdiaz@hotmail.com</t>
  </si>
  <si>
    <t>DIAP04C</t>
  </si>
  <si>
    <t>DDG</t>
  </si>
  <si>
    <t xml:space="preserve">MORALES MORALES IRMA </t>
  </si>
  <si>
    <t xml:space="preserve">ZAVALA MORALES GABRIELA </t>
  </si>
  <si>
    <t>ADRIAN BAUTISTA  SPENCER</t>
  </si>
  <si>
    <t xml:space="preserve">BASULTO  SOLIS ERIKA RAQUEL </t>
  </si>
  <si>
    <t xml:space="preserve">VILLALBA DURAN VIRGINIA </t>
  </si>
  <si>
    <t xml:space="preserve">MAY SANTOS MARTIN ALFONSO </t>
  </si>
  <si>
    <t xml:space="preserve">VIDAL GUAL MANUELA DE ATOCHA </t>
  </si>
  <si>
    <t xml:space="preserve">SANTIAGO URGELL JUAN LORENZO </t>
  </si>
  <si>
    <t xml:space="preserve"> 998 399 6747</t>
  </si>
  <si>
    <t xml:space="preserve">
SOLER MANZANARES JORGE MANUEL</t>
  </si>
  <si>
    <t xml:space="preserve">MOO TEPAL JORGE DARIO </t>
  </si>
  <si>
    <t xml:space="preserve">PUC HERNANDEZ LEZLIE EUNICE </t>
  </si>
  <si>
    <t>GONZALEZ NOTARIO  ADRIANA DE LA CRUZ</t>
  </si>
  <si>
    <t xml:space="preserve">REYES TREJO LUIS ALONSO </t>
  </si>
  <si>
    <t xml:space="preserve">TECOTL GUTIERREZ LORENA </t>
  </si>
  <si>
    <t xml:space="preserve"> 998 704 9387</t>
  </si>
  <si>
    <t xml:space="preserve"> lorena.tecotl@gmail.com</t>
  </si>
  <si>
    <t xml:space="preserve">PECH JUAREZ MILTON ALEJANDRO </t>
  </si>
  <si>
    <t xml:space="preserve">SANCHEZ DE LA CRUZ ALICIA </t>
  </si>
  <si>
    <t xml:space="preserve">MENDOZA RUBIO ARMANDO </t>
  </si>
  <si>
    <t xml:space="preserve"> 998 147 1157</t>
  </si>
  <si>
    <t xml:space="preserve"> 999 968 2568</t>
  </si>
  <si>
    <t xml:space="preserve">NILA LOEZA  MIGUEL ANGEL 
</t>
  </si>
  <si>
    <t xml:space="preserve">VILLARREAL MEDRANO SANDRA PAULINA </t>
  </si>
  <si>
    <t xml:space="preserve">PEREZ LOEZA EDGARDO NICOLAS </t>
  </si>
  <si>
    <t xml:space="preserve">PEREZ MENDEZ JOCHEBED ABIGAIL </t>
  </si>
  <si>
    <t xml:space="preserve">ROSADO YAM EFRAIN MARTIN </t>
  </si>
  <si>
    <t xml:space="preserve"> 55 3153 5909</t>
  </si>
  <si>
    <t xml:space="preserve">RODRIGUEZ CONTRERAS KRINAGEMMA </t>
  </si>
  <si>
    <t xml:space="preserve"> raam.2008@hotmail.com</t>
  </si>
  <si>
    <t xml:space="preserve"> 983 733 0987</t>
  </si>
  <si>
    <t xml:space="preserve"> 998 181 7608</t>
  </si>
  <si>
    <t xml:space="preserve"> 998 136 8013</t>
  </si>
  <si>
    <t xml:space="preserve">ANDRADE DEL CORRO ALEJANDRO </t>
  </si>
  <si>
    <t xml:space="preserve">BAGO770807HSRLRM01 </t>
  </si>
  <si>
    <t xml:space="preserve">BLANCO GARAVITO OMAR ALEJANDRO </t>
  </si>
  <si>
    <t xml:space="preserve">64MD04A2-02        
</t>
  </si>
  <si>
    <t xml:space="preserve">AZCUAGA GUTIERREZ JORGE ARTURO </t>
  </si>
  <si>
    <t xml:space="preserve">JUAREZ VERA IRVING RAYMUNDO </t>
  </si>
  <si>
    <t xml:space="preserve">NAVARRETE SANCHEZ JOSE ARTEMIO </t>
  </si>
  <si>
    <t xml:space="preserve">MORENO ZAVALA MANUEL JESUS </t>
  </si>
  <si>
    <t xml:space="preserve">NOVEROLA IBAÑEZ GABRIEL ERNESTO </t>
  </si>
  <si>
    <t xml:space="preserve">MENA MORENO ERICK </t>
  </si>
  <si>
    <t xml:space="preserve">MARTINEZ MARROQUIN MARIA DEL CARMEN </t>
  </si>
  <si>
    <t xml:space="preserve"> 722 350 1995</t>
  </si>
  <si>
    <t xml:space="preserve"> 722 172 7016</t>
  </si>
  <si>
    <t xml:space="preserve"> 998 417 8986</t>
  </si>
  <si>
    <t xml:space="preserve"> 987 119 1661</t>
  </si>
  <si>
    <t xml:space="preserve">LETRAS DIAZ ALMA ITZEL </t>
  </si>
  <si>
    <t xml:space="preserve"> 998 173 2419</t>
  </si>
  <si>
    <t xml:space="preserve"> 983 107 9504</t>
  </si>
  <si>
    <t xml:space="preserve">lblancolizama@hotmail.com </t>
  </si>
  <si>
    <t xml:space="preserve"> lic_doseara@hotmail.com</t>
  </si>
  <si>
    <t xml:space="preserve"> 722 566 2011</t>
  </si>
  <si>
    <t xml:space="preserve">guevaraley@gmail.com </t>
  </si>
  <si>
    <t xml:space="preserve">GONZALEZ GLENNIE MARIA FERNANDA </t>
  </si>
  <si>
    <t xml:space="preserve"> 656 699 6267</t>
  </si>
  <si>
    <t xml:space="preserve">ADRIAN BAUTISTA SPENCER </t>
  </si>
  <si>
    <t>EUAN PECH JUAN  DE LA CRUZ</t>
  </si>
  <si>
    <t>db-abogados@hotmail.com  /  cdr0702@hotmail.com</t>
  </si>
  <si>
    <t>PÉREZ SALGADO  BRENDA ITZEL</t>
  </si>
  <si>
    <t xml:space="preserve"> itzelp922@gmail.com</t>
  </si>
  <si>
    <t xml:space="preserve">CRUZ MORENO CARLOS ALBERTO </t>
  </si>
  <si>
    <t xml:space="preserve">dgil@tsjqroo.gob.mx </t>
  </si>
  <si>
    <t xml:space="preserve">angelgiltun@hotmail.com </t>
  </si>
  <si>
    <t xml:space="preserve">CRUZ HERNANDEZ FAUSTINO </t>
  </si>
  <si>
    <t xml:space="preserve">AVILA SANDOVAL ROXANA </t>
  </si>
  <si>
    <t xml:space="preserve">MEDINA VILLARREAL BLANCA ANNEL </t>
  </si>
  <si>
    <t xml:space="preserve">TORRES ABRAHAM JULIO EULALIO </t>
  </si>
  <si>
    <t xml:space="preserve"> 722 240 5718</t>
  </si>
  <si>
    <t xml:space="preserve"> zzuleykka@hotmail.com</t>
  </si>
  <si>
    <t xml:space="preserve">64LD03A2-16        
</t>
  </si>
  <si>
    <t xml:space="preserve"> 33 3200 8381</t>
  </si>
  <si>
    <t xml:space="preserve">alco.cauich@hotmail.com </t>
  </si>
  <si>
    <t xml:space="preserve">MAY CHAN ILEANA VICTORIA </t>
  </si>
  <si>
    <t xml:space="preserve"> 987 138 0645</t>
  </si>
  <si>
    <t xml:space="preserve">rallo60@hotmail.com </t>
  </si>
  <si>
    <t xml:space="preserve">BRICEÑO CHABLE YARA FARIDE
</t>
  </si>
  <si>
    <t xml:space="preserve"> 722 204 0208</t>
  </si>
  <si>
    <t xml:space="preserve"> consulnot_26@hotmail.com</t>
  </si>
  <si>
    <t xml:space="preserve"> 722 226 9188</t>
  </si>
  <si>
    <t xml:space="preserve"> 722 474 1617</t>
  </si>
  <si>
    <t xml:space="preserve"> 771 774 5581</t>
  </si>
  <si>
    <t xml:space="preserve"> justitiaetius@hotmail.com</t>
  </si>
  <si>
    <t xml:space="preserve">MD05 </t>
  </si>
  <si>
    <t xml:space="preserve">ARIZMENDI SANDOVAL MAGALY MARISOL </t>
  </si>
  <si>
    <t xml:space="preserve"> 722 455 8617</t>
  </si>
  <si>
    <t xml:space="preserve">MUÑOZ SALAZAR ERIKA DEL ROCIO </t>
  </si>
  <si>
    <t xml:space="preserve">27diazpablo@gmail.com </t>
  </si>
  <si>
    <t xml:space="preserve">ZARAGOZA ALONSO AVIGAIL </t>
  </si>
  <si>
    <t xml:space="preserve"> veraabo9@gmail.com</t>
  </si>
  <si>
    <t xml:space="preserve"> 867 146 1928</t>
  </si>
  <si>
    <t xml:space="preserve">	jany_lovee@hotmail.com</t>
  </si>
  <si>
    <t xml:space="preserve">ALCANTARA VERA FELIPE </t>
  </si>
  <si>
    <t xml:space="preserve">felipealcantara432@gmail.com </t>
  </si>
  <si>
    <t xml:space="preserve">IBARRA CANCHE MARCELA </t>
  </si>
  <si>
    <t xml:space="preserve">jackie-gem@hotmail.com </t>
  </si>
  <si>
    <t xml:space="preserve">PEHM820125MTCRRR04 </t>
  </si>
  <si>
    <t xml:space="preserve"> balboa2316global@gmail.com</t>
  </si>
  <si>
    <t xml:space="preserve"> 56 2616 3541</t>
  </si>
  <si>
    <t xml:space="preserve">LOPEZ TORRES JOSE DE JESUS </t>
  </si>
  <si>
    <t>ALFARO ZERECERO  MOISES</t>
  </si>
  <si>
    <t xml:space="preserve">CUERVO MURILLO FABIAN </t>
  </si>
  <si>
    <t xml:space="preserve">CEN ROJAS JOSE MANUEL </t>
  </si>
  <si>
    <t xml:space="preserve">MONDRAGÓN RUVALCABA IRÁN MARGARITA </t>
  </si>
  <si>
    <t xml:space="preserve"> VIRGEN JIMENEZ MARIA ISABEL</t>
  </si>
  <si>
    <t xml:space="preserve">GUILLEN SOLIS KARLA ASUNCION </t>
  </si>
  <si>
    <t xml:space="preserve"> karlaguillen1979@gmail.com</t>
  </si>
  <si>
    <t xml:space="preserve"> bebe-2007@hotmail.es</t>
  </si>
  <si>
    <t xml:space="preserve">MARTINEZ BARRIOS NANCY ROBERTA </t>
  </si>
  <si>
    <t>999 129 9856‬</t>
  </si>
  <si>
    <t>ABREGO CABALLERO  RUTH MAGALY</t>
  </si>
  <si>
    <t>ABREU GIRALT JUANA  MARIA</t>
  </si>
  <si>
    <t xml:space="preserve">FLORES ZAVALA REYNA AZUCENA </t>
  </si>
  <si>
    <t xml:space="preserve">Lic.jair_ramirez@hotmail.com
</t>
  </si>
  <si>
    <t>Clicdanielyg@hotmail.com</t>
  </si>
  <si>
    <t xml:space="preserve">TALLER UNICO </t>
  </si>
  <si>
    <t xml:space="preserve">64MDP03B-02 </t>
  </si>
  <si>
    <t xml:space="preserve">BLANCO GOMEZ  ADRIANA MARIA </t>
  </si>
  <si>
    <t xml:space="preserve">DIPLOMADO </t>
  </si>
  <si>
    <t xml:space="preserve">RASCH TOPKE CHRISTIAN ALEXANDER ENRIQUE </t>
  </si>
  <si>
    <t xml:space="preserve">CALDERON ORTEGA ADRIAN ALEXIS </t>
  </si>
  <si>
    <t>JOSEPH FLORES GENESIS JEANETH</t>
  </si>
  <si>
    <t xml:space="preserve">SUIRA SOBENIS  MARIBEL </t>
  </si>
  <si>
    <t>64MDP03B2-16</t>
  </si>
  <si>
    <t xml:space="preserve">lic.jdavid@gmail.com
</t>
  </si>
  <si>
    <t xml:space="preserve"> methelgiron@gmail.com</t>
  </si>
  <si>
    <t xml:space="preserve">64DD06C-01 </t>
  </si>
  <si>
    <t>GARF010101HGT</t>
  </si>
  <si>
    <t>984 181 6884</t>
  </si>
  <si>
    <t xml:space="preserve"> abogados13579@gmail.com </t>
  </si>
  <si>
    <t xml:space="preserve">HERNANDEZ ALVARADO YULISSA DEL CARMEN </t>
  </si>
  <si>
    <t>mabeks06@hotmail,com</t>
  </si>
  <si>
    <t>Kundalli51@gmail.com   isabelenriquez71@gmail.com</t>
  </si>
  <si>
    <t>64LD04F-02</t>
  </si>
  <si>
    <t>64DIA04A-01</t>
  </si>
  <si>
    <t>64MD07B-02</t>
  </si>
  <si>
    <t>64DD07F-01</t>
  </si>
  <si>
    <t>64MDP04C-03</t>
  </si>
  <si>
    <t>64MDP04C-01</t>
  </si>
  <si>
    <t>64MDP04C-04</t>
  </si>
  <si>
    <t>64MDP04C-05</t>
  </si>
  <si>
    <t>64MDP04C-06</t>
  </si>
  <si>
    <t>64MDP04C-02</t>
  </si>
  <si>
    <t>64LD05H-02</t>
  </si>
  <si>
    <t>MENDIZABAL AREVALO HECTOR FEDERICO</t>
  </si>
  <si>
    <t>eliminadO por duplicidad</t>
  </si>
  <si>
    <t>eliminad por duplicidad</t>
  </si>
  <si>
    <t>64MD07C-03</t>
  </si>
  <si>
    <t>64MD07C-04</t>
  </si>
  <si>
    <t xml:space="preserve">danielitovillarp@outlook.com </t>
  </si>
  <si>
    <t>improcedente</t>
  </si>
  <si>
    <t xml:space="preserve">LOPEZ GARCIA NADIA JAQUELIN
</t>
  </si>
  <si>
    <t xml:space="preserve"> 844 869 1189</t>
  </si>
  <si>
    <t>64DD07K-15</t>
  </si>
  <si>
    <t>GOGY871018MGT00</t>
  </si>
  <si>
    <t>HEGJ800612MGT12</t>
  </si>
  <si>
    <t>KIAE700414HGT</t>
  </si>
  <si>
    <t>BAGB660517MGT</t>
  </si>
  <si>
    <t>HELJ841106HGT</t>
  </si>
  <si>
    <t>HEEP821213HGT</t>
  </si>
  <si>
    <t>MERD871018HGT</t>
  </si>
  <si>
    <t>RIMH840407HGT</t>
  </si>
  <si>
    <t>AVLL820829MGT</t>
  </si>
  <si>
    <t>BAENA RESTREPO MARGARITA MARIA</t>
  </si>
  <si>
    <t>margarita.baena@womadt.com</t>
  </si>
  <si>
    <t>VAOG721006HOCSRL01</t>
  </si>
  <si>
    <t>VASQUEZ ORTIZ GUILLERMO ALFREDO</t>
  </si>
  <si>
    <t>gvasquezortiz@hotmail.com</t>
  </si>
  <si>
    <t>TERMINO</t>
  </si>
  <si>
    <t>CUATRIMESTRES</t>
  </si>
  <si>
    <t>PRIMER CUATRIMESTRE</t>
  </si>
  <si>
    <t>237 Y 28 DE ENERO</t>
  </si>
  <si>
    <t>https://docs.google.com/spreadsheets/d/1dET24nDkDEyh-u6n2cXlBCgVphV4xgk8/edit?usp=share_link&amp;ouid=109060637673023762654&amp;rtpof=true&amp;sd=true</t>
  </si>
  <si>
    <t>https://docs.google.com/spreadsheets/d/1ilx-cwb3Tm3lF3A1Y5C0RLugbd76wNzB/edit?usp=share_link&amp;ouid=109060637673023762654&amp;rtpof=true&amp;sd=true</t>
  </si>
  <si>
    <t>https://docs.google.com/spreadsheets/d/1J5D8w9LvV3vqvCFY69mOYf0rKq87oPbj/edit?usp=share_link&amp;ouid=109060637673023762654&amp;rtpof=true&amp;sd=true</t>
  </si>
  <si>
    <t>https://docs.google.com/spreadsheets/d/1YcToi5LU-0YdU5oczm9GONi6KGBxcgmd/edit?usp=sharing&amp;ouid=117948801444065420301&amp;rtpof=true&amp;sd=true</t>
  </si>
  <si>
    <t>https://docs.google.com/spreadsheets/d/12cruEBzXaQOqE1-X3KC1GyfL8puFp5e_/edit?usp=drive_link&amp;ouid=117948801444065420301&amp;rtpof=true&amp;sd=true</t>
  </si>
  <si>
    <t>ARNULFO CHANCHAVAC</t>
  </si>
  <si>
    <t>TALLER DE REDACCION</t>
  </si>
  <si>
    <r>
      <t>MDP06</t>
    </r>
    <r>
      <rPr>
        <sz val="9"/>
        <color rgb="FF000000"/>
        <rFont val="Arial"/>
        <family val="2"/>
      </rPr>
      <t xml:space="preserve"> CRIMINALISTICA I</t>
    </r>
  </si>
  <si>
    <r>
      <t>MDP05</t>
    </r>
    <r>
      <rPr>
        <sz val="9"/>
        <color rgb="FF000000"/>
        <rFont val="Arial"/>
        <family val="2"/>
      </rPr>
      <t xml:space="preserve"> TEORIA DEL DELITO </t>
    </r>
  </si>
  <si>
    <t>DERECHO PROCESAL PENAL I</t>
  </si>
  <si>
    <r>
      <t>MDP09</t>
    </r>
    <r>
      <rPr>
        <sz val="9"/>
        <color theme="1"/>
        <rFont val="Arial"/>
        <family val="2"/>
      </rPr>
      <t xml:space="preserve"> POLITICA CRIMINAL </t>
    </r>
  </si>
  <si>
    <t>DERECHO PROCESAL II</t>
  </si>
  <si>
    <r>
      <t>MDP04</t>
    </r>
    <r>
      <rPr>
        <sz val="9"/>
        <color theme="1"/>
        <rFont val="Arial"/>
        <family val="2"/>
      </rPr>
      <t xml:space="preserve"> TÉCNICAS, ACTOS Y MEDIOSDE INVESTIGACIÓN</t>
    </r>
  </si>
  <si>
    <t>SISTEMAS ACTUALES DEL PROCESO PENAL</t>
  </si>
  <si>
    <t>IMPUGNACIÓN Y SISTEMA INTERNACIONAL DE PROTECCIÓN DE DERECHOS HUMANOS</t>
  </si>
  <si>
    <t>IMPUGNACIÓN Y SISTEMA INTERNACIONAL DE PROTECCION DE DERECHOS HUMANOS II</t>
  </si>
  <si>
    <t>FORMALIDADES Y PROCEDIMIENTO EN LAS AUDIENCIAS INICIAL, INMEDIATA Y DEBATE</t>
  </si>
  <si>
    <r>
      <t xml:space="preserve">MDP01 </t>
    </r>
    <r>
      <rPr>
        <sz val="9"/>
        <color theme="1"/>
        <rFont val="Arial"/>
        <family val="2"/>
      </rPr>
      <t>SISTEMA DE JUSTICIA PENAL Y PROCESAL PENAL GUATEMALTECO</t>
    </r>
  </si>
  <si>
    <t>MECANISMOS DE MEDOOS DE RESOLUCION DE CONFLICTOS</t>
  </si>
  <si>
    <r>
      <t>MDP02</t>
    </r>
    <r>
      <rPr>
        <sz val="9"/>
        <color theme="1"/>
        <rFont val="Arial"/>
        <family val="2"/>
      </rPr>
      <t xml:space="preserve"> ARGUMENTACION JURÍDICA</t>
    </r>
  </si>
  <si>
    <t xml:space="preserve">RENDON SANCHEZ, ETNA LILY </t>
  </si>
  <si>
    <t>pendiente checar por favor</t>
  </si>
  <si>
    <t>ESPERA</t>
  </si>
  <si>
    <t>MAKEPEACE MAZARIEGOS  BRENDA MAYABEL</t>
  </si>
  <si>
    <t>443 528 4322</t>
  </si>
  <si>
    <t>443 143 2251</t>
  </si>
  <si>
    <t>BARM770313MCC</t>
  </si>
  <si>
    <t>JADR830216MCLSMC08</t>
  </si>
  <si>
    <t>rociojasso85@hotmail.com</t>
  </si>
  <si>
    <t>MDP04C</t>
  </si>
  <si>
    <t>HEGF761015HCC</t>
  </si>
  <si>
    <t>HERNANDEZ GONZALEZ FABIAN ANDRES</t>
  </si>
  <si>
    <t>311 2936860</t>
  </si>
  <si>
    <t>fabianhernan25@yahoo.com</t>
  </si>
  <si>
    <t>64DD07L-06</t>
  </si>
  <si>
    <t>64DD07L-16</t>
  </si>
  <si>
    <t>64DD07L-09</t>
  </si>
  <si>
    <t>64LD04B</t>
  </si>
  <si>
    <t>64DIA05A-01</t>
  </si>
  <si>
    <t>64DIA05A-03</t>
  </si>
  <si>
    <t>64DIA05A-02</t>
  </si>
  <si>
    <t>64DIA05A-06</t>
  </si>
  <si>
    <t>64DIA05A-04</t>
  </si>
  <si>
    <t>JASSO DOMINGUEZ ROCIO MIRASOL</t>
  </si>
  <si>
    <t>64DIA05A-05</t>
  </si>
  <si>
    <t>64MDP05A-03</t>
  </si>
  <si>
    <t>64DD08A-12</t>
  </si>
  <si>
    <t>64DD08A-10</t>
  </si>
  <si>
    <t>64DD08A-5</t>
  </si>
  <si>
    <t>64MDP05A-01</t>
  </si>
  <si>
    <t>64MDP05A-04</t>
  </si>
  <si>
    <t>64DD08A-11</t>
  </si>
  <si>
    <t>64DD08A-9</t>
  </si>
  <si>
    <t>64MDP05A-02</t>
  </si>
  <si>
    <t>ANDRADE NARVAEZ ALCIBIADES</t>
  </si>
  <si>
    <t>57 3162114430</t>
  </si>
  <si>
    <t>2503.alan@gmail.com</t>
  </si>
  <si>
    <t>64MDP05A-05</t>
  </si>
  <si>
    <t>64DIA05A-07</t>
  </si>
  <si>
    <t>ANNA760325HCC</t>
  </si>
  <si>
    <t>SEMINARIO DE SOLUCIÓN DE CONFLICTOS Y JUSTICIA RESTAURATIVA l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</si>
  <si>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</si>
  <si>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</si>
  <si>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</si>
  <si>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</si>
  <si>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</si>
  <si>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</si>
  <si>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</si>
  <si>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</si>
  <si>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MD06B3  (PANAMA)</t>
  </si>
  <si>
    <t>TECNICAS DE EXPRESIÓN ORAL
Y ESCRITA</t>
  </si>
  <si>
    <t>INFORMÁTICA JURÍDICA</t>
  </si>
  <si>
    <t xml:space="preserve">PREVENCIÓN DEL DELITO Y PERSPECTIVA DE GÉNERO </t>
  </si>
  <si>
    <t>MAGV720427HGT</t>
  </si>
  <si>
    <t xml:space="preserve">TOPK870301MGT </t>
  </si>
  <si>
    <t>64DD08B-01</t>
  </si>
  <si>
    <t>DD08BGT</t>
  </si>
  <si>
    <t>64DD08B-03</t>
  </si>
  <si>
    <t>64DD08B-02</t>
  </si>
  <si>
    <t>64DD08B-04</t>
  </si>
  <si>
    <t>64DD08C-01</t>
  </si>
  <si>
    <t>CUATRIMESTRE</t>
  </si>
  <si>
    <t>8 y 9 de julio</t>
  </si>
  <si>
    <t>15 y 16 de julio</t>
  </si>
  <si>
    <t>22 y 23 de julio</t>
  </si>
  <si>
    <t>29 y 30 de julio</t>
  </si>
  <si>
    <t>5 y 6 de agosto</t>
  </si>
  <si>
    <t>21 y 22 de octubre</t>
  </si>
  <si>
    <t>28 y29 de octubre</t>
  </si>
  <si>
    <t>04 y 05 de noviembre</t>
  </si>
  <si>
    <t>11 Y 12 de noviembre</t>
  </si>
  <si>
    <t>18 y 19 de noviembre</t>
  </si>
  <si>
    <t>DENNIS BILLY HERRERA ARITA</t>
  </si>
  <si>
    <t>DOUGLAS EDUARDO HERRERA</t>
  </si>
  <si>
    <t>GUILLERMO ANTULIO ZUÑIGA DIÉGUEZ</t>
  </si>
  <si>
    <t>MARÍA LESBIA LEAL CHÁVEZ</t>
  </si>
  <si>
    <t>ADELAIDA ISABEL HERRERA LÓPEZ</t>
  </si>
  <si>
    <t>JTMDPG</t>
  </si>
  <si>
    <t>CRIMINALISTICA I</t>
  </si>
  <si>
    <t>TEORIA DEL DELITO</t>
  </si>
  <si>
    <t>DERECHO PROCESAL</t>
  </si>
  <si>
    <t>SEMINARIO DE RESOLUCION DE CONFLICTOS Y JUSTICIA RESTAURATIVA</t>
  </si>
  <si>
    <t>TALLER DE REDACCIÓN</t>
  </si>
  <si>
    <t>Sistema de Justicia Penal en Guatemala</t>
  </si>
  <si>
    <t>Técnicas, Actos y Medios de Investigación</t>
  </si>
  <si>
    <t>Criminalistica</t>
  </si>
  <si>
    <t>Seminario de Resolución de Conflictos y Justicia Restaurativa</t>
  </si>
  <si>
    <t>si</t>
  </si>
  <si>
    <t xml:space="preserve">HOMOLOGACIÓN </t>
  </si>
  <si>
    <t>p/C</t>
  </si>
  <si>
    <t>P/c</t>
  </si>
  <si>
    <t>https://docs.google.com/spreadsheets/d/1bjvtTqyqYIL3ANslHTA_ujkzxdxF4FKd/edit?gid=2124319217#gid=2124319217</t>
  </si>
  <si>
    <t>https://docs.google.com/spreadsheets/d/1cYppGzVyKNXvy-y4xl1YPCFYXCAJKUaP/edit?gid=97323316#gid=97323316</t>
  </si>
  <si>
    <t>No. de Alumno</t>
  </si>
  <si>
    <t>EJECUCIÓN DE PENAS</t>
  </si>
  <si>
    <t xml:space="preserve"> SEMINARIO DE DERECHO FISCAL II</t>
  </si>
  <si>
    <t>64MDP04D-02</t>
  </si>
  <si>
    <t>YAAJ700421HCLXRN07</t>
  </si>
  <si>
    <t>YAÑEZ ARREOLA JUAN JOSE</t>
  </si>
  <si>
    <t>844 427 1787</t>
  </si>
  <si>
    <t>jjyanezarreola@hotmail.com</t>
  </si>
  <si>
    <t>DD07S</t>
  </si>
  <si>
    <t>64MDP04E-01</t>
  </si>
  <si>
    <t>64DD07L-15</t>
  </si>
  <si>
    <t>MOGF202020HGT</t>
  </si>
  <si>
    <t>64DD07L-11</t>
  </si>
  <si>
    <t>64DD07L-01</t>
  </si>
  <si>
    <t>64MD04D-01</t>
  </si>
  <si>
    <t>64DD07L-14</t>
  </si>
  <si>
    <t>64DD07L-04</t>
  </si>
  <si>
    <t>64DD07L-02</t>
  </si>
  <si>
    <t>BEGL800512MHGCRD06</t>
  </si>
  <si>
    <t>BECERRIL GARCIA MARIA LEDIT</t>
  </si>
  <si>
    <t>ledithbecerrilgarcia@yahoo.com</t>
  </si>
  <si>
    <t>MARTINEZ POPOCA GONZALO MARCELO</t>
  </si>
  <si>
    <t>accepsiqueducando@gmail.com</t>
  </si>
  <si>
    <t xml:space="preserve">AMPARO PENAL II </t>
  </si>
  <si>
    <t>9 Y 10 AGOSTO</t>
  </si>
  <si>
    <t>20 Y 21 SEPTIEMBRE</t>
  </si>
  <si>
    <t>8 y 9 NOVIEMBRE</t>
  </si>
  <si>
    <t>6 Y 7 DICIEMBRE</t>
  </si>
  <si>
    <t>https://docs.google.com/spreadsheets/d/1YBlBIzbs3dCgKtzIIcXpPaPoUzA28Gxw/edit?usp=sharing&amp;ouid=107074606600533491419&amp;rtpof=true&amp;sd=true</t>
  </si>
  <si>
    <t>https://docs.google.com/spreadsheets/d/1AjypWiU0ntDJctFQAQi-DW-uOz6AQWR9/edit?usp=sharing&amp;ouid=107074606600533491419&amp;rtpof=true&amp;sd=true</t>
  </si>
  <si>
    <t>https://docs.google.com/spreadsheets/d/1SkVYXxlxeZYFn1WepoZ_EnoWfgI8h7v2/edit?usp=sharing&amp;ouid=107074606600533491419&amp;rtpof=true&amp;sd=true</t>
  </si>
  <si>
    <t>MDPG05C</t>
  </si>
  <si>
    <t>RORD541007HSPCYV00</t>
  </si>
  <si>
    <t>ROCHA REYES DAVID</t>
  </si>
  <si>
    <t>lic_david_rocha_reyes@hotmail.com</t>
  </si>
  <si>
    <t>CISV670608HGT</t>
  </si>
  <si>
    <t>CIFUENTES SANDOVAL VICTOR MANUEL</t>
  </si>
  <si>
    <t>vimacisa@hotmail.com</t>
  </si>
  <si>
    <t>ANTONIO GONZALEZ VIRGINIA CLELIA ISABEL</t>
  </si>
  <si>
    <t>kelita.virginia@gmail.com</t>
  </si>
  <si>
    <t>MDP04CG</t>
  </si>
  <si>
    <t>RURM800315MCG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</si>
  <si>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</si>
  <si>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</si>
  <si>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</si>
  <si>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</si>
  <si>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</si>
  <si>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</si>
  <si>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ELIMINADO</t>
  </si>
  <si>
    <t>PETJ760522HCG</t>
  </si>
  <si>
    <t>VIGJ770412HCG</t>
  </si>
  <si>
    <t>PIFM780808MCG</t>
  </si>
  <si>
    <t>ROSB830203MCG</t>
  </si>
  <si>
    <t>GOAG770607MCG</t>
  </si>
  <si>
    <t xml:space="preserve">SEMINARIO JUICIO ORAL FAMILIAR </t>
  </si>
  <si>
    <t>en-24</t>
  </si>
  <si>
    <t>SEMINARIO DE DERECHO ADUANERO Y COMERCIO EXTERIOR.</t>
  </si>
  <si>
    <t>https://docs.google.com/spreadsheets/d/15R86JGstfmnqJYJPIpG5ayafwQsKwf02/edit?gid=1099595855#gid=1099595855</t>
  </si>
  <si>
    <t>https://docs.google.com/spreadsheets/d/1MlprSKJ-2OLDTmZjeuUxVwc7Xy8CPxqL/edit?gid=1099595855#gid=1099595855</t>
  </si>
  <si>
    <t xml:space="preserve">MD401 </t>
  </si>
  <si>
    <t xml:space="preserve">MD603 </t>
  </si>
  <si>
    <t xml:space="preserve">MD201 </t>
  </si>
  <si>
    <t>TRATADOS Y ORGANISMOS
INTERNACIONALES</t>
  </si>
  <si>
    <t xml:space="preserve"> DERECHO DE AMPARO</t>
  </si>
  <si>
    <t xml:space="preserve"> INFORMÁTICA JURÍDICA I</t>
  </si>
  <si>
    <t xml:space="preserve"> INFORMÁTICA JURÍDICA II</t>
  </si>
  <si>
    <t>RECURSOS EN EL PROCEDIMIENTO ESCRITO
Y JUICIO ORAL I</t>
  </si>
  <si>
    <t xml:space="preserve">CANCUN </t>
  </si>
  <si>
    <t>No. Alumno</t>
  </si>
  <si>
    <t>MAESTRIA PANAMÁ</t>
  </si>
  <si>
    <t>OOGJ770323HMCSRN07</t>
  </si>
  <si>
    <t>OSORNIO GARCIA JUAN FRANCISCO</t>
  </si>
  <si>
    <t>ferkko@hotmail.com</t>
  </si>
  <si>
    <t>FRAUSTO PEREZ EFRAIN</t>
  </si>
  <si>
    <t>CLINICA DE ESTRATEGIAS DEL PROCESO PENAL I</t>
  </si>
  <si>
    <t>03 Y 04 DE NOVIEMBRE</t>
  </si>
  <si>
    <t>24 Y 25 DE MAYO</t>
  </si>
  <si>
    <t>64DD07L-12</t>
  </si>
  <si>
    <t xml:space="preserve"> SEMINARIO DE DERECHO
ADUANERO Y COMERCIO EXTERIOR</t>
  </si>
  <si>
    <t xml:space="preserve"> SEMINARIO DE DERECHO
FISCAL I</t>
  </si>
  <si>
    <t xml:space="preserve"> SEMINARIO DE INVESTIGACIÓN GÉNERO Y DERECHO</t>
  </si>
  <si>
    <t>https://docs.google.com/spreadsheets/d/1-KCRbSyulCfWS4-p3P85Ho8xfBE872im/edit?gid=1760733407#gid=1760733407</t>
  </si>
  <si>
    <t xml:space="preserve">ago </t>
  </si>
  <si>
    <t>SEMINARIO  DE TESIS</t>
  </si>
  <si>
    <t>https://docs.google.com/spreadsheets/d/1eYCmMO2KhNztiVKyvF6ZYbFO2SrDwwo5/edit?gid=1760733407#gid=1760733407</t>
  </si>
  <si>
    <t>https://docs.google.com/spreadsheets/d/1v3imtvznS8n8dWcdk1LQD1_jHQykhC1Z/edit?gid=1760733407#gid=1760733407</t>
  </si>
  <si>
    <t>https://docs.google.com/spreadsheets/d/1-_oNszSQKLLZZ-J_KlPkP4dZwoz5Y05-/edit?gid=1760733407#gid=1760733407</t>
  </si>
  <si>
    <t>CLÍNICA DE DERECHO PROCESAL CIVIL</t>
  </si>
  <si>
    <t>https://docs.google.com/spreadsheets/d/1G9AX6hx2GghtrWDo5-ByihUlI6KTEtOZ/edit?gid=89036972#gid=89036972</t>
  </si>
  <si>
    <t xml:space="preserve">SEMINARIO DE INTERPRETACIÓN Y METODOLOGÍA JURÍDICA </t>
  </si>
  <si>
    <t>https://docs.google.com/spreadsheets/d/1mVM1_NiCBsMb_1oyQS6Wn1HHzwUyvxri/edit?gid=2124319217#gid=2124319217</t>
  </si>
  <si>
    <t>https://docs.google.com/spreadsheets/d/1yYKN6DaryC2CYo9uUlPOipAUFws-v_JL/edit?gid=2124319217#gid=2124319217</t>
  </si>
  <si>
    <t>https://docs.google.com/spreadsheets/d/1bMmJ_0Th9TN_AJ9tfQfI-3GpvIk4Hv_m/edit?gid=2124319217#gid=2124319217</t>
  </si>
  <si>
    <t>https://docs.google.com/spreadsheets/d/1HCEOnPW34EPmtn1lGQacKT1I15M8eTEd/edit?gid=2124319217#gid=2124319217</t>
  </si>
  <si>
    <t>https://docs.google.com/spreadsheets/d/1smlJ_L_SGnvXGeJBQ8mYSXbV7ektSse7/edit?usp=drive_link&amp;ouid=107074606600533491419&amp;rtpof=true&amp;sd=true</t>
  </si>
  <si>
    <t xml:space="preserve">https://docs.google.com/spreadsheets/d/11mqEivXARAX7ndsyQgV_uUf2CLXriKQD/edit?usp=drive_link&amp;ouid=107074606600533491419&amp;rtpof=true&amp;sd=true </t>
  </si>
  <si>
    <t>https://docs.google.com/spreadsheets/d/1eXcHttbWLZ2rL5KeU5nGc04CSzGNyAzy/edit?usp=drive_link&amp;ouid=107074606600533491419&amp;rtpof=true&amp;sd=true</t>
  </si>
  <si>
    <t>https://docs.google.com/spreadsheets/d/1FRfMTs0Du3hdamrc5TI7VrnoWrjA8t6B/edit?usp=sharing&amp;ouid=107074606600533491419&amp;rtpof=true&amp;sd=true</t>
  </si>
  <si>
    <t>https://docs.google.com/spreadsheets/d/16MxPGlE5sRM6kzuUVs2RE_6D676hbROm/edit?usp=sharing&amp;ouid=107074606600533491419&amp;rtpof=true&amp;sd=true</t>
  </si>
  <si>
    <t>DD04 SEMINARIO DE JUICIO FAMILIAR</t>
  </si>
  <si>
    <t>DD011 SEMINARIO DE DERECHO PROCESAL PENAL II</t>
  </si>
  <si>
    <t>DD013 SEMINARIO DE DERECHO FISCAL I</t>
  </si>
  <si>
    <t>DD013 SEMINARIO DE DERECHO FISCAL II</t>
  </si>
  <si>
    <t>DD014 SEMINARIO DE DERECHO SOCIETARIO Y CORPORATIVO I</t>
  </si>
  <si>
    <t xml:space="preserve"> GESTIÓN DE LA CALIDAD</t>
  </si>
  <si>
    <r>
      <t>DD04.</t>
    </r>
    <r>
      <rPr>
        <sz val="8"/>
        <color rgb="FF212529"/>
        <rFont val="Source Sans Pro"/>
        <family val="2"/>
      </rPr>
      <t> SEMINARIO JUICIO ORAL FAMILIAR</t>
    </r>
  </si>
  <si>
    <t>MECANISMOS DE MEDIOS DE
SOLUCIÓN DE CONFLICTOS</t>
  </si>
  <si>
    <t>SUMM970220MQRLYR08</t>
  </si>
  <si>
    <t>SULUB MAY MIRLEY SARAHI</t>
  </si>
  <si>
    <t>Mirleysulub97@gmail.com</t>
  </si>
  <si>
    <t>LD04C</t>
  </si>
  <si>
    <t xml:space="preserve">MD602 </t>
  </si>
  <si>
    <t>MD504</t>
  </si>
  <si>
    <t xml:space="preserve"> MÉTODOS Y TÉCNICAS DE LA
INVESTIGACIÓN JURÍDICA</t>
  </si>
  <si>
    <t xml:space="preserve"> EL DERECHO PROCESAL
CONSTITUCIONAL FUNCIONAL</t>
  </si>
  <si>
    <t xml:space="preserve"> TRATADOS Y ORGANISMOS
INTERNACIONALES</t>
  </si>
  <si>
    <t xml:space="preserve"> DERECHO ADMINISTRATIVO</t>
  </si>
  <si>
    <r>
      <t xml:space="preserve">MD201 </t>
    </r>
    <r>
      <rPr>
        <sz val="12"/>
        <color rgb="FF000000"/>
        <rFont val="Arial"/>
        <family val="2"/>
      </rPr>
      <t>METODOLOGÍA DE LA INVESTIGACIÓN</t>
    </r>
  </si>
  <si>
    <t>SEMINARIO DE INVESTIGACIÓN DE MEDIACIÓN PRIVADA FAMILIAR Y JUSTICIA RESTAURATIVA -</t>
  </si>
  <si>
    <t xml:space="preserve">DD05. </t>
  </si>
  <si>
    <t>ASCR921219MPP</t>
  </si>
  <si>
    <t>ROGD711213MPP</t>
  </si>
  <si>
    <t xml:space="preserve"> CLÍNICA DE DERECHO
PROCESAL CIVIL</t>
  </si>
  <si>
    <t>https://docs.google.com/spreadsheets/d/1DHJOpt-_5ZZtHKKAGxH3irdiXXzoQjud/edit?gid=2124319217#gid=2124319217</t>
  </si>
  <si>
    <t>https://docs.google.com/spreadsheets/d/194W-dPpFaXLgGm2fdoRXf9jmjquvZEO-/edit?gid=2124319217#gid=2124319217</t>
  </si>
  <si>
    <t xml:space="preserve"> SEMINARIO DE
INTERPRETACIÓN Y METODOLOGÍA
JURÍDICA</t>
  </si>
  <si>
    <t xml:space="preserve"> SEMINARIO DE DERECHO
SOCIETARIO Y CORPORATIVO I</t>
  </si>
  <si>
    <t xml:space="preserve"> SEMINARIO DE DERECHO
SOCIETARIO Y CORPORATIVO II</t>
  </si>
  <si>
    <t xml:space="preserve"> SEMINARIO DE DERECHO
PROCESAL AMPARO I</t>
  </si>
  <si>
    <t xml:space="preserve"> SEMINARIO DE DERECHO
PROCESAL DE AMPARO II</t>
  </si>
  <si>
    <t>SEMINARIO DE JUICIO
ORAL FAMILIAR</t>
  </si>
  <si>
    <t xml:space="preserve">DD04 </t>
  </si>
  <si>
    <t xml:space="preserve"> SEMINARIO DE GESTIÓN DE
CONFLICTOS</t>
  </si>
  <si>
    <t xml:space="preserve"> SEMINARIO DE SOLUCIÓN DE
CONFLICTOS Y JUSTICIA RESTAURATIVA</t>
  </si>
  <si>
    <t xml:space="preserve">DD01 </t>
  </si>
  <si>
    <t xml:space="preserve"> SEMINARIO DE JUICIO ORAL CIVIL,
MERCANTIL</t>
  </si>
  <si>
    <t xml:space="preserve">DD15 </t>
  </si>
  <si>
    <t xml:space="preserve"> CLÍNICA DE DERECHO PROCESAL
LABORAL</t>
  </si>
  <si>
    <t xml:space="preserve"> SEMINARIO DE JUSTICIA PARA
ADOLESCENTES</t>
  </si>
  <si>
    <t>CLÍNICA DE ESTRATEGIAS DEL PROCESO
PENAL I</t>
  </si>
  <si>
    <t xml:space="preserve">DD09 </t>
  </si>
  <si>
    <t>CLÍNICA DE ESTRATEGIAS DEL
PROCESO PENAL II</t>
  </si>
  <si>
    <r>
      <rPr>
        <b/>
        <i/>
        <sz val="11"/>
        <color rgb="FFFFFF00"/>
        <rFont val="Arial"/>
        <family val="2"/>
      </rPr>
      <t>NOTA no. 1:</t>
    </r>
    <r>
      <rPr>
        <b/>
        <sz val="11"/>
        <color rgb="FFFFFF00"/>
        <rFont val="Arial"/>
        <family val="2"/>
      </rPr>
      <t xml:space="preserve"> </t>
    </r>
    <r>
      <rPr>
        <sz val="11"/>
        <color theme="1"/>
        <rFont val="Arial"/>
        <family val="2"/>
      </rPr>
      <t>Esta materias solo las tomará el Dr. Efrain Fraustro Perez con el grupo de Doctorado Cancún. En compensación de los 2 priemros módulos a los que no pudo conectarse. Para que en conjunto curse sus 6 meses de programa</t>
    </r>
  </si>
  <si>
    <t>https://docs.google.com/spreadsheets/d/1xUzPrbIOHd2i3AW_Zd5-4s9IXIERxt6o/edit?gid=537709557#gid=537709557</t>
  </si>
  <si>
    <t>https://docs.google.com/spreadsheets/d/1kSPtVrKJsyDiXEKjByVZ94m3_5_1Ma35/edit?gid=537709557#gid=537709557</t>
  </si>
  <si>
    <t xml:space="preserve"> MODELOS DE
INVESTIGACIÓN REGIONAL</t>
  </si>
  <si>
    <t>DIAP05</t>
  </si>
  <si>
    <t>https://docs.google.com/spreadsheets/d/11qMmspCLWmju3LG7m1HqLJCM7dGCWtnE/edit?gid=537709557#gid=537709557</t>
  </si>
  <si>
    <t>SEMINARIO DE INVESTIGACIÓN</t>
  </si>
  <si>
    <t xml:space="preserve">DIAP04 </t>
  </si>
  <si>
    <t>PLANIFICACIÓN
ESTRATÉGICA</t>
  </si>
  <si>
    <t xml:space="preserve">DIAP06 </t>
  </si>
  <si>
    <t>GESTIÓN DE POLÍTICAS
PÚBLICAS I</t>
  </si>
  <si>
    <t xml:space="preserve">DIAP10 </t>
  </si>
  <si>
    <t>GESTIÓN DE POLÍTICAS
PÚBLICAS II</t>
  </si>
  <si>
    <t xml:space="preserve"> GESTIÓN DEL CAMBIO</t>
  </si>
  <si>
    <t>DIAP 07</t>
  </si>
  <si>
    <t xml:space="preserve"> DESARROLLO SUSTENTABLE</t>
  </si>
  <si>
    <t xml:space="preserve"> GESTIÓN DE LA BIG DATA I</t>
  </si>
  <si>
    <t>GESTIÓN DE LA BIG DATA II</t>
  </si>
  <si>
    <t xml:space="preserve">DIAP08-14 </t>
  </si>
  <si>
    <t xml:space="preserve"> INTELIGENCIA ARTIFICIAL II</t>
  </si>
  <si>
    <t xml:space="preserve"> EVALUACIÓN DE PROYECTOS</t>
  </si>
  <si>
    <t xml:space="preserve"> SIMPLIFICACIÓN DE PROCESOS </t>
  </si>
  <si>
    <t>DIAP 08</t>
  </si>
  <si>
    <t xml:space="preserve"> INNOVACIÓN Y DESARROLLO I</t>
  </si>
  <si>
    <t>INNOVACIÓN Y
DESARROLLO II</t>
  </si>
  <si>
    <t xml:space="preserve">DIAP11 </t>
  </si>
  <si>
    <t xml:space="preserve">ECONOMÍA DISRUPTIVA </t>
  </si>
  <si>
    <t xml:space="preserve">DIAP01 </t>
  </si>
  <si>
    <t xml:space="preserve"> METODOLOGÍA DE LA
INVESTIGACIÓN</t>
  </si>
  <si>
    <t>https://docs.google.com/spreadsheets/d/1mDtxfCrEPNIoT8PGh0-LQtaL3kFZguxY/edit?gid=97323316#gid=97323316</t>
  </si>
  <si>
    <t>MODELOS DE
INVESTIGACIÓN REGIONAL</t>
  </si>
  <si>
    <t xml:space="preserve"> PLANIFICACIÓN
ESTRATÉGICA</t>
  </si>
  <si>
    <t xml:space="preserve"> GESTIÓN DE POLÍTICAS
PÚBLICAS I</t>
  </si>
  <si>
    <t xml:space="preserve"> GESTIÓN DE POLÍTICAS
PÚBLICAS II</t>
  </si>
  <si>
    <t>GESTIÓN DEL CAMBIO</t>
  </si>
  <si>
    <t xml:space="preserve">DIAP 07 </t>
  </si>
  <si>
    <t>MDP07</t>
  </si>
  <si>
    <t>SISTEMA DE JUSTICIA PENAL EN MÉXICO</t>
  </si>
  <si>
    <t xml:space="preserve">MDP01 </t>
  </si>
  <si>
    <t xml:space="preserve">MDP06 </t>
  </si>
  <si>
    <t xml:space="preserve"> TALLER DE REDACCION NOTA: 02</t>
  </si>
  <si>
    <t xml:space="preserve"> SISTEMA DE JUSTICIA PENAL EN GUATEMALA</t>
  </si>
  <si>
    <t>TÉCNICAS ACTOS Y MEDIOS DE INVESTIGACIÓN</t>
  </si>
  <si>
    <t xml:space="preserve">ARGUMENTACIÓN JURÍDICA I
</t>
  </si>
  <si>
    <t xml:space="preserve">9 Y 10 AGOSTO </t>
  </si>
  <si>
    <t>10 Y 11 DE ENERO 25</t>
  </si>
  <si>
    <t>7 Y 8 DE FEBRERO 25</t>
  </si>
  <si>
    <t>https://docs.google.com/spreadsheets/d/1GPTYdywhAhXGmBBHVFA-Std6NYBM2cEB/edit?usp=sharing&amp;ouid=107074606600533491419&amp;rtpof=true&amp;sd=true</t>
  </si>
  <si>
    <t>https://docs.google.com/spreadsheets/d/1McmOn2Lb3fNtDB9AaZohtj7udHNOLTJN/edit?usp=sharing&amp;ouid=107074606600533491419&amp;rtpof=true&amp;sd=true</t>
  </si>
  <si>
    <t>LO QUE SE TENIA ANTES QUE ME INTEGRARA FINALES DIC 2024</t>
  </si>
  <si>
    <t>TALLER DE REDACCION NOTA: 02</t>
  </si>
  <si>
    <t>MDP2</t>
  </si>
  <si>
    <t>12 Y 13 DE JULIO 25</t>
  </si>
  <si>
    <t>ZEPEDA AGUILAR CARMEN ODILIA</t>
  </si>
  <si>
    <t>carmenzepeda@hotmail.com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</si>
  <si>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</si>
  <si>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</si>
  <si>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</si>
  <si>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</si>
  <si>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</si>
  <si>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</si>
  <si>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CATG781001HQRHRS04</t>
  </si>
  <si>
    <t>gustavochant@outlook.com</t>
  </si>
  <si>
    <t>GUTIERREZ HERNANDEZ MIRIAM</t>
  </si>
  <si>
    <t>mirushernandez674@gmail.com</t>
  </si>
  <si>
    <t>GUHM860812MVZTRR05</t>
  </si>
  <si>
    <t>ORREGO DUBON EVER ARIEL</t>
  </si>
  <si>
    <t>https://docs.google.com/spreadsheets/d/1dcLwrXo3C4xappK6Yx3Gng2oYIUoN0bW/edit?gid=1099595855#gid=1099595855</t>
  </si>
  <si>
    <t>https://docs.google.com/spreadsheets/d/1n2zaD0EqC0-0qfGCMYXamTnhA8sQbWZb/edit?gid=1099595855#gid=1099595855</t>
  </si>
  <si>
    <t>OEDE930303HGG</t>
  </si>
  <si>
    <t xml:space="preserve">nov </t>
  </si>
  <si>
    <t>https://docs.google.com/spreadsheets/d/19OeB8X5RpR8FmM8ByQNeK_3-Jub7eQ5a/edit?gid=2124319217#gid=2124319217</t>
  </si>
  <si>
    <t>https://docs.google.com/spreadsheets/d/1KrPBK65GYdNhMfuOUadAyKMCiY94oTAa/edit?gid=97323316#gid=97323316</t>
  </si>
  <si>
    <t>Esta es una tabla  para montar las calificaciones de los alumnos conforme su calendario de clases</t>
  </si>
  <si>
    <t>https://docs.google.com/spreadsheets/d/1TRY69TAJF5amcV9OPAE2hFTAAaUnVDmz/edit?gid=537709557#gid=537709557</t>
  </si>
  <si>
    <t>https://docs.google.com/spreadsheets/d/1lK_Akmbkky_-UxuTxxNh8xLIzWbS4eRlnmVMsiDZh8o/edit?gid=537709557#gid=537709557</t>
  </si>
  <si>
    <t>64MD04E-01</t>
  </si>
  <si>
    <t>64MDP04F-01</t>
  </si>
  <si>
    <t>GUGW821106HGT</t>
  </si>
  <si>
    <t>duplicidad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</si>
  <si>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</si>
  <si>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</si>
  <si>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</si>
  <si>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</si>
  <si>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</si>
  <si>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</si>
  <si>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</si>
  <si>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</si>
  <si>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MDPG04D</t>
  </si>
  <si>
    <t>ZEAC881015MGT</t>
  </si>
  <si>
    <t>CARV640428MGT</t>
  </si>
  <si>
    <t>https://docs.google.com/spreadsheets/d/18K7M2M_TMEEksClfcb5rOHV4R_5eENAD/edit?usp=drive_link&amp;ouid=107074606600533491419&amp;rtpof=true&amp;sd=true</t>
  </si>
  <si>
    <t>https://docs.google.com/spreadsheets/d/1RMa_7Ki1a1ic80hDoro6s2uBj9QRmHtv/edit?usp=sharing&amp;ouid=107074606600533491419&amp;rtpof=true&amp;sd=true</t>
  </si>
  <si>
    <t>https://docs.google.com/spreadsheets/d/1Z8TNYyoVFT_5oRWbyyzgsnlF0SOC9RAX/edit?usp=sharing&amp;ouid=107074606600533491419&amp;rtpof=true&amp;sd=true</t>
  </si>
  <si>
    <t>6 Y 7 DE DICIEMBBRE</t>
  </si>
  <si>
    <t>17 Y 18 DE ENERO</t>
  </si>
  <si>
    <t>7 Y 8 DE FEBRERO</t>
  </si>
  <si>
    <t>Dr. Luis Angel Ruiz Linares</t>
  </si>
  <si>
    <t>DD05 SEMINARIO DE GESTIÓN DE CONFLICTOS</t>
  </si>
  <si>
    <t>DD02 SEMINARIO DE INTERPRETACION Y METODOLOGIA JURIDICA</t>
  </si>
  <si>
    <t>DD05 SEMINARIO DE SOLUCIÓN DE CONFLICTOS Y JUSTICIA RESTAURATIVA</t>
  </si>
  <si>
    <t>DD04 SEMINARIO DE JUICIO ORAL FAMILIAR</t>
  </si>
  <si>
    <t>DD06 SEMINARIO DE JUSTICIA PARA EL ADOLESCENTE</t>
  </si>
  <si>
    <t>DD08 CLINICA DE DERECHO PROCESAL PENAL</t>
  </si>
  <si>
    <t>DD010 CLINICAS DE DERECHO PROCESAL LABORAL</t>
  </si>
  <si>
    <t>DD011SEMINARIO DE DERECHO PROCESAL PENAL I</t>
  </si>
  <si>
    <t>DD011SEMINARIO DE DERECHO PROCESAL PENAL II</t>
  </si>
  <si>
    <t>DD012 SEMINARIO DE DERECHO ADUANERO Y COMERCIO EXTERIOR</t>
  </si>
  <si>
    <t>DD014 SEMINARIO DE DERECHO SOCIETARIO Y CORPORATIVO II</t>
  </si>
  <si>
    <t>google classroom</t>
  </si>
  <si>
    <t>64DD08A-08</t>
  </si>
  <si>
    <t>INNOVACIÓN CANCUN</t>
  </si>
  <si>
    <t>64DD08A-03</t>
  </si>
  <si>
    <t>64DD08A-02</t>
  </si>
  <si>
    <t>64DD08A-04</t>
  </si>
  <si>
    <t>64DD08A-07</t>
  </si>
  <si>
    <t>64DD08A-01</t>
  </si>
  <si>
    <t>64DD08A-06</t>
  </si>
  <si>
    <t>DIAP16</t>
  </si>
  <si>
    <t>DIAP17</t>
  </si>
  <si>
    <t>DIAP18</t>
  </si>
  <si>
    <t>DIAP19</t>
  </si>
  <si>
    <t>DIAP20</t>
  </si>
  <si>
    <t>DIAP21</t>
  </si>
  <si>
    <t>DIAP22</t>
  </si>
  <si>
    <t>DIAP23</t>
  </si>
  <si>
    <t>DIAP24</t>
  </si>
  <si>
    <t>DIAP25</t>
  </si>
  <si>
    <t>DIAP26</t>
  </si>
  <si>
    <t>DIAP27</t>
  </si>
  <si>
    <t>DIAP28</t>
  </si>
  <si>
    <t>DIAP29</t>
  </si>
  <si>
    <t>DIAP30</t>
  </si>
  <si>
    <t>DIAP31</t>
  </si>
  <si>
    <t>DIAP32</t>
  </si>
  <si>
    <t>DIAP33</t>
  </si>
  <si>
    <t>64MDP03-08</t>
  </si>
  <si>
    <t>64MD07B-04</t>
  </si>
  <si>
    <t>64DIA04B-02</t>
  </si>
  <si>
    <t>64MD07B-05</t>
  </si>
  <si>
    <t>64MD07B-03</t>
  </si>
  <si>
    <t>64MD07B-01</t>
  </si>
  <si>
    <t>64DIA04B-04</t>
  </si>
  <si>
    <t>64DD07L-10</t>
  </si>
  <si>
    <t>64DD07L-07</t>
  </si>
  <si>
    <t>64DD07L-13</t>
  </si>
  <si>
    <t>64DIA04C-01</t>
  </si>
  <si>
    <t>64LD05H-03</t>
  </si>
  <si>
    <t>64LD05H-01</t>
  </si>
  <si>
    <t>SEMINARIO DE SOLUCIÓN DE CONFLICTOS Y JUSTICIA RESTAURATIVA II</t>
  </si>
  <si>
    <t>RENS730608MGT</t>
  </si>
  <si>
    <t>josroca44@gmail.com</t>
  </si>
  <si>
    <t>GARCIA RUBIO CARLOS FERNANDO</t>
  </si>
  <si>
    <t>cgarciarubio2311@gmail.com</t>
  </si>
  <si>
    <t>ROGJ871008HGT</t>
  </si>
  <si>
    <t>GARC860211HGT</t>
  </si>
  <si>
    <t>RENDON SANCHEZ ETNA LILY</t>
  </si>
  <si>
    <t>VIAY920127MGT</t>
  </si>
  <si>
    <t>VIANA ARREOLA YOSELIN LORENA</t>
  </si>
  <si>
    <t>yoselincoreoigt@gmail.com</t>
  </si>
  <si>
    <t xml:space="preserve">28 y 29 de marzo </t>
  </si>
  <si>
    <t>https://docs.google.com/spreadsheets/d/1bOCZCovx-ixXGfC3ohR5bApKxjNQVTyp/edit?usp=sharing&amp;ouid=107074606600533491419&amp;rtpof=true&amp;sd=true</t>
  </si>
  <si>
    <t>TECNICAS Y METODOS DE INVESTIGACIÓN</t>
  </si>
  <si>
    <t>MDP05 TEORIA DEL CASO</t>
  </si>
  <si>
    <t>https://docs.google.com/spreadsheets/d/1h899BForkRTl_fjhH-bWSPD6i59BR3FU/edit?usp=sharing&amp;ouid=107074606600533491419&amp;rtpof=true&amp;sd=true</t>
  </si>
  <si>
    <t>Dr. NERI ARNOLDO MÉNDEZ</t>
  </si>
  <si>
    <t>AOGV860123MCG</t>
  </si>
  <si>
    <t>64MDP05B-01</t>
  </si>
  <si>
    <t>64DD08C-05</t>
  </si>
  <si>
    <t>64DD08C-09</t>
  </si>
  <si>
    <t>64DD08C-06</t>
  </si>
  <si>
    <t>64DD08C-08</t>
  </si>
  <si>
    <t>64DD08C-03</t>
  </si>
  <si>
    <t>64DD08C-10</t>
  </si>
  <si>
    <t xml:space="preserve"> 64DD08C-01</t>
  </si>
  <si>
    <t>64MDP05B-02</t>
  </si>
  <si>
    <t>64MDP05B-03</t>
  </si>
  <si>
    <t>64DD08C-04</t>
  </si>
  <si>
    <t>SIN DOCUMENTOS</t>
  </si>
  <si>
    <t>64DD08C-07</t>
  </si>
  <si>
    <t>64DD08C-02</t>
  </si>
  <si>
    <t>64DD08D-05</t>
  </si>
  <si>
    <t>64DD08D-01</t>
  </si>
  <si>
    <t>64DD08D-04</t>
  </si>
  <si>
    <t>64DD08D-02</t>
  </si>
  <si>
    <t>64DD08D-03</t>
  </si>
  <si>
    <t>MAPG860627HOCRPN03</t>
  </si>
  <si>
    <t>64MDP05B-04</t>
  </si>
  <si>
    <t>64LD06A-03</t>
  </si>
  <si>
    <t>64LD06A-01</t>
  </si>
  <si>
    <t>CHAN TORRES GUSTAVO</t>
  </si>
  <si>
    <t>64LD06A-02</t>
  </si>
  <si>
    <t>64MDP05B-05</t>
  </si>
  <si>
    <t>dannymendoza@yahoo.com</t>
  </si>
  <si>
    <t>hectorriv@gmail.com</t>
  </si>
  <si>
    <t>ROSR860104MYNMLY02</t>
  </si>
  <si>
    <t>ROMERO SILVEIRA REYNA BEATRIZ</t>
  </si>
  <si>
    <t>romeroreyna26@gmail.com</t>
  </si>
  <si>
    <t>x</t>
  </si>
  <si>
    <t>BAHC040103MYNSRLA1</t>
  </si>
  <si>
    <t>BASORA HERRERA CLAUDIA TERESA</t>
  </si>
  <si>
    <t>LD 06D</t>
  </si>
  <si>
    <t>MUVL900804MQRXDS08</t>
  </si>
  <si>
    <t>MUÑOZ VIDAL LESLIE ALEJANDRA</t>
  </si>
  <si>
    <t>GAME781124HGT</t>
  </si>
  <si>
    <t>GARCIA MORALES EMERSON LEAO GABRIEL</t>
  </si>
  <si>
    <t>emersongarciam_@hotmail.com</t>
  </si>
  <si>
    <t>SAHD750804MCC</t>
  </si>
  <si>
    <t>SANABRIA HERRERA DORAISY</t>
  </si>
  <si>
    <t>‪3165395259‬</t>
  </si>
  <si>
    <t xml:space="preserve">doraisy2000@gmail.com </t>
  </si>
  <si>
    <t>F</t>
  </si>
  <si>
    <t>722 168 5005</t>
  </si>
  <si>
    <t>Basorita30@gmail.com</t>
  </si>
  <si>
    <t>https://docs.google.com/spreadsheets/d/1z2mPyc_1_wFMRzgHZLNVd2tMLP1UDVG5/edit?gid=2035156564#gid=2035156564</t>
  </si>
  <si>
    <t>https://docs.google.com/spreadsheets/d/1irFKry4i5JvQCiGtuvMvHoYjTNCdNecF/edit?gid=2035156564#gid=2035156564</t>
  </si>
  <si>
    <t>https://docs.google.com/spreadsheets/d/1Rf1H_vqOa4W5AN5cXptol-KXdyFNdCUM/edit?gid=97323316#gid=97323316</t>
  </si>
  <si>
    <t>ELoyMontiLLo@gmail.com</t>
  </si>
  <si>
    <t>PERL850723MCLRMR02</t>
  </si>
  <si>
    <t>arualeticia@hotmail.com</t>
  </si>
  <si>
    <t>DD07D</t>
  </si>
  <si>
    <t>GUVB690521MCLJLL05</t>
  </si>
  <si>
    <t>GUAJARDO VILLARREAL BLANCA NELLY</t>
  </si>
  <si>
    <t>blancangnotaria91@gmail.com</t>
  </si>
  <si>
    <t>ELIMINADO POR DUPLICIDAD</t>
  </si>
  <si>
    <t xml:space="preserve">oselolt_8@hotmail.com </t>
  </si>
  <si>
    <t>AARJ771212HGT</t>
  </si>
  <si>
    <t>altalef@gmail.com</t>
  </si>
  <si>
    <t>ALDI LOPEZ JEIMY LISSETH</t>
  </si>
  <si>
    <t>yeimyaldi@gmail.com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</si>
  <si>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</si>
  <si>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</si>
  <si>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</si>
  <si>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</si>
  <si>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</si>
  <si>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</si>
  <si>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</si>
  <si>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</si>
  <si>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</si>
  <si>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</si>
  <si>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AILJ808824MGT</t>
  </si>
  <si>
    <t>SEMINARIO DE DERECHO PROCESAL DE AMPARO</t>
  </si>
  <si>
    <t>epaulinaleyva@gmail.com</t>
  </si>
  <si>
    <t>erikam@gmail.com</t>
  </si>
  <si>
    <t>clara-beatriz20@hotmail.com</t>
  </si>
  <si>
    <t>AJMJ800101HGT</t>
  </si>
  <si>
    <t>ARLK800101MGT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</si>
  <si>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</si>
  <si>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</si>
  <si>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</si>
  <si>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</si>
  <si>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</si>
  <si>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</si>
  <si>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</si>
  <si>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</si>
  <si>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REFJ800101HGT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</si>
  <si>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</si>
  <si>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</si>
  <si>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</si>
  <si>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</si>
  <si>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</si>
  <si>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</si>
  <si>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</si>
  <si>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</si>
  <si>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</si>
  <si>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</si>
  <si>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</si>
  <si>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</si>
  <si>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</si>
  <si>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</si>
  <si>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RATC800101HGT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</si>
  <si>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</si>
  <si>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</si>
  <si>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</si>
  <si>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</si>
  <si>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</si>
  <si>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</si>
  <si>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</si>
  <si>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</si>
  <si>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</si>
  <si>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</si>
  <si>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</si>
  <si>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</si>
  <si>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</si>
  <si>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</si>
  <si>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</si>
  <si>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</si>
  <si>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</si>
  <si>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</si>
  <si>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</si>
  <si>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</si>
  <si>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</si>
  <si>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lic.emmalucreciagarcia@gmail.com</t>
  </si>
  <si>
    <t>brendamakepeace@yahoo.com</t>
  </si>
  <si>
    <t>eriktv09@gmail.com</t>
  </si>
  <si>
    <t>alvarezkarlav@gamil.com</t>
  </si>
  <si>
    <t>SODM800101MGT</t>
  </si>
  <si>
    <t>HEDJ800101HGT</t>
  </si>
  <si>
    <t>MEAJ800101HGT</t>
  </si>
  <si>
    <t>ALVJ800101HGT</t>
  </si>
  <si>
    <t>almengor@gmail.com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</si>
  <si>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</si>
  <si>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</si>
  <si>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</si>
  <si>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</si>
  <si>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</si>
  <si>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</si>
  <si>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</si>
  <si>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</si>
  <si>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</si>
  <si>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</si>
  <si>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</si>
  <si>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</si>
  <si>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</si>
  <si>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64DIP01</t>
  </si>
  <si>
    <t>64DIP02</t>
  </si>
  <si>
    <t>64DIP03</t>
  </si>
  <si>
    <t>64DIP04</t>
  </si>
  <si>
    <t>64DIP05</t>
  </si>
  <si>
    <t>64DIP06</t>
  </si>
  <si>
    <t>64DIP07</t>
  </si>
  <si>
    <t>64DIP08</t>
  </si>
  <si>
    <t>64DIP09</t>
  </si>
  <si>
    <t>64DIP10</t>
  </si>
  <si>
    <t>64DIP11</t>
  </si>
  <si>
    <t>64DIP12</t>
  </si>
  <si>
    <t>64DIP13</t>
  </si>
  <si>
    <t>chain.maria2115@gmail.com</t>
  </si>
  <si>
    <t>marcamargui@yahoo.com.mx</t>
  </si>
  <si>
    <t>alejandra.lopez@pjedomex.gob.mx</t>
  </si>
  <si>
    <t>64LD05G-01</t>
  </si>
  <si>
    <t>Axeledilberto27@gmail.com</t>
  </si>
  <si>
    <t>fabiolitaflow@gmail.com</t>
  </si>
  <si>
    <t>benignopelle@gmail.com</t>
  </si>
  <si>
    <t>krenreyes1509@gmail.com</t>
  </si>
  <si>
    <t>wilson7738@gmail.com</t>
  </si>
  <si>
    <t>amiranda.lexservus@gmail.com</t>
  </si>
  <si>
    <t>borisespana10@gmail.com</t>
  </si>
  <si>
    <t>RAMIREZ CAMPOS JOSE MANUEL</t>
  </si>
  <si>
    <t>manoloramirezc@gmail.com</t>
  </si>
  <si>
    <t>shirsaga18@gmail.com</t>
  </si>
  <si>
    <t>gnoriega.estrada@gmail.com</t>
  </si>
  <si>
    <t>el.uriel@hotmail.com</t>
  </si>
  <si>
    <t>marcela_sejov@hotmail.com</t>
  </si>
  <si>
    <t>sammy92311@icloud.com</t>
  </si>
  <si>
    <t>licdajenifferaldana@hotmail.es</t>
  </si>
  <si>
    <t>corcelnegrogalope123@gmail.com</t>
  </si>
  <si>
    <t>4545 9155</t>
  </si>
  <si>
    <t>5690 2406</t>
  </si>
  <si>
    <t>licda.magalisamyoa@hotmail.com</t>
  </si>
  <si>
    <t>4708 0199</t>
  </si>
  <si>
    <t>licda.villavicencio@gmail.com</t>
  </si>
  <si>
    <t>5803 2005</t>
  </si>
  <si>
    <t>gorditalinda-l@gmail.com</t>
  </si>
  <si>
    <t>5556 6307</t>
  </si>
  <si>
    <t>abcabrera60@hotmail.com</t>
  </si>
  <si>
    <t>5138 6562</t>
  </si>
  <si>
    <t>3754 1772</t>
  </si>
  <si>
    <t>martapatricia@gmail.com</t>
  </si>
  <si>
    <t>5771 1827</t>
  </si>
  <si>
    <t>jairoajia@yahoo.com</t>
  </si>
  <si>
    <t>licda.jescobar@gmail.com</t>
  </si>
  <si>
    <t>ivgarcia7@gmail.com</t>
  </si>
  <si>
    <t>lahernandeza01@gmail.com</t>
  </si>
  <si>
    <t>evmm199830@gmail.com</t>
  </si>
  <si>
    <t>4156 5012</t>
  </si>
  <si>
    <t>lizani1995@hotmail.com</t>
  </si>
  <si>
    <t>4536 7379</t>
  </si>
  <si>
    <t>juanfobregonm@gmail.com</t>
  </si>
  <si>
    <t>5018 8266</t>
  </si>
  <si>
    <t>valvert_18@hotmail.com</t>
  </si>
  <si>
    <t>5922 9906</t>
  </si>
  <si>
    <t>edgaramilcaar@gmail.com</t>
  </si>
  <si>
    <t>HAMD</t>
  </si>
  <si>
    <t>harrismenjivar.dum1@hotmail.com</t>
  </si>
  <si>
    <t>hectormendizabalare@gmail.com</t>
  </si>
  <si>
    <t>sergio.valls@pjedomex.gob.mx</t>
  </si>
  <si>
    <t>lcmanu.porras@yahoo.com</t>
  </si>
  <si>
    <t>h</t>
  </si>
  <si>
    <t>844 277 4599</t>
  </si>
  <si>
    <t>5654 5078</t>
  </si>
  <si>
    <t>jmhidalgoe@gmail.com</t>
  </si>
  <si>
    <t>Frd.pineda@gmail.com</t>
  </si>
  <si>
    <t>mj_rodas_m@hotmail.com</t>
  </si>
  <si>
    <t>hernandezmarroquin.ga@gmail.com</t>
  </si>
  <si>
    <t>3098 6285</t>
  </si>
  <si>
    <t>3084 3314</t>
  </si>
  <si>
    <t>yunior.gramajo2021@hotmail.com</t>
  </si>
  <si>
    <t>barriosbrenda@gmail.com</t>
  </si>
  <si>
    <t>israelzelada@gmail.com</t>
  </si>
  <si>
    <t>licerickretanadeleon@gmail.com</t>
  </si>
  <si>
    <t>azucellramirezr@gmail.com</t>
  </si>
  <si>
    <t>deair23@hotmail.com</t>
  </si>
  <si>
    <t>licdampineda@gmail.com</t>
  </si>
  <si>
    <t>VAML800101MGT</t>
  </si>
  <si>
    <t>RESE800101MGT</t>
  </si>
  <si>
    <t>64MDP05C-02</t>
  </si>
  <si>
    <t>64LD06B-01</t>
  </si>
  <si>
    <t>64LD06B-02</t>
  </si>
  <si>
    <t xml:space="preserve">lessrn0629@gmail.com </t>
  </si>
  <si>
    <t>64MDP05C-01</t>
  </si>
  <si>
    <t>64DIA05B-01</t>
  </si>
  <si>
    <t>64DD08E-02</t>
  </si>
  <si>
    <t>64DD08E-01</t>
  </si>
  <si>
    <t>ALTALEF ROCHMANN JONNATHAN ALBERTO</t>
  </si>
  <si>
    <t>DDO8GT</t>
  </si>
  <si>
    <t>direccion@dicaabogados.mx</t>
  </si>
  <si>
    <t>venusvania8007@gmail.com</t>
  </si>
  <si>
    <t>tecnologiaaplicada@me.com</t>
  </si>
  <si>
    <t>salvadorbringasestrada@gmail.com</t>
  </si>
  <si>
    <t>i.mendoza06@outlook.es andrea_ortizher@outlook.com</t>
  </si>
  <si>
    <t>gacemir.2009@gmail.com</t>
  </si>
  <si>
    <t>elianaarodriguez.1990@gmail.com</t>
  </si>
  <si>
    <t>randybastarrachea@gmail.com</t>
  </si>
  <si>
    <t>gaby_reguero@hotmail.com</t>
  </si>
  <si>
    <t>ericabelmaxilo09@gmail.com</t>
  </si>
  <si>
    <t>hernancc1758@gmail.com</t>
  </si>
  <si>
    <t>danalex9@hotmail.com</t>
  </si>
  <si>
    <t>tdominguez006@gmail.com</t>
  </si>
  <si>
    <t>escartinabogado@gmail.com</t>
  </si>
  <si>
    <t>vielsajordan0@gmail.com</t>
  </si>
  <si>
    <t>gjeaneth18@gmail.com</t>
  </si>
  <si>
    <t>abogadosamirlasso@gmail.com</t>
  </si>
  <si>
    <t>yary310184@gmail.com</t>
  </si>
  <si>
    <t>gladys_029@yahoo.com</t>
  </si>
  <si>
    <t>holanda.polo@hotmail.com</t>
  </si>
  <si>
    <t>desireeramirezbal@gmail.com</t>
  </si>
  <si>
    <t>reyeszuly@hotmail.com</t>
  </si>
  <si>
    <t>lic.rivera02@gmail.com</t>
  </si>
  <si>
    <t>delia.l.rodriguez13@gmail.com</t>
  </si>
  <si>
    <t>isis16.rowe@gmail.com</t>
  </si>
  <si>
    <t>legionario121068@yahoo.com</t>
  </si>
  <si>
    <t>https://docs.google.com/spreadsheets/d/1rPIzBt5aoo-OP9mp6dgCuhp3p3VBGtDM/edit?gid=2035156564#gid=2035156564</t>
  </si>
  <si>
    <t>https://docs.google.com/spreadsheets/d/1BnURcJy3AsIXSY4abHFPo3RCyf6R0t3G/edit?gid=97323316#gid=97323316</t>
  </si>
  <si>
    <t>https://docs.google.com/spreadsheets/d/1rrUuJgdxBklb3WCjpetlBiz8WoZhgry1/edit?gid=2124319217#gid=2124319217</t>
  </si>
  <si>
    <t>https://docs.google.com/spreadsheets/d/1Fe9YhjGxw-XKs54D_M5brtvNn2-soCXC/edit?gid=2124319217#gid=2124319217</t>
  </si>
  <si>
    <t>https://docs.google.com/spreadsheets/d/128xP6BJVaW5puNOCLfbNicI6Qc5ZB2-K/edit?gid=2124319217#gid=2124319217</t>
  </si>
  <si>
    <t>MALS800406MNENNL02</t>
  </si>
  <si>
    <t>DD08A</t>
  </si>
  <si>
    <t>LASE850329MGT</t>
  </si>
  <si>
    <t>CAMN</t>
  </si>
  <si>
    <t>MAIA</t>
  </si>
  <si>
    <t>VINA060924MQRSHNA2</t>
  </si>
  <si>
    <t>VISOSO NOH ANA AYLIN</t>
  </si>
  <si>
    <t>aylinvisosonoh@gmail.com</t>
  </si>
  <si>
    <t>SANCHEZ FALLA MONICA</t>
  </si>
  <si>
    <t>monica_sanchez01@yahoo.com</t>
  </si>
  <si>
    <t>LD06B</t>
  </si>
  <si>
    <r>
      <t>I</t>
    </r>
    <r>
      <rPr>
        <sz val="8"/>
        <color theme="1"/>
        <rFont val="Calibri"/>
        <family val="2"/>
        <scheme val="minor"/>
      </rPr>
      <t>NTRODUCCIÓN AL DERECHO</t>
    </r>
  </si>
  <si>
    <t>TEORIA POLITICA</t>
  </si>
  <si>
    <t>SAFM810812MCC</t>
  </si>
  <si>
    <t>CAFJ880308HGT</t>
  </si>
  <si>
    <t>CANTORAL FIGUEROA JOSE MARIANO</t>
  </si>
  <si>
    <t>jcantaralf@miumg.edu.gt</t>
  </si>
  <si>
    <t>DD08G</t>
  </si>
  <si>
    <t>AAMF890418HCC</t>
  </si>
  <si>
    <t>ARAUJO MORELOS FRANCISCO JAVIER</t>
  </si>
  <si>
    <t>araujomorelos@gmail.com</t>
  </si>
  <si>
    <t>DD08B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</si>
  <si>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</si>
  <si>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</si>
  <si>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</si>
  <si>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</si>
  <si>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</si>
  <si>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</si>
  <si>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>CUVA730826MGT</t>
  </si>
  <si>
    <t xml:space="preserve">CUVB760213HGT </t>
  </si>
  <si>
    <t>TEHJ910311HQRHRS07</t>
  </si>
  <si>
    <t>THE HERNANDEZ JOSUE RAFAEL</t>
  </si>
  <si>
    <t>asesorialegaljhdz@gmail.com</t>
  </si>
  <si>
    <t>SOCE841211MDFTRL10</t>
  </si>
  <si>
    <t>SOTO CORELLA ELVIRA ZUGEILY</t>
  </si>
  <si>
    <t>998 203 9999</t>
  </si>
  <si>
    <t>PEREZ RAMOS LAURA LETICIA</t>
  </si>
  <si>
    <t>zgsoto11@gmail.com</t>
  </si>
  <si>
    <t>RORJ780208HGT</t>
  </si>
  <si>
    <t>ROJAS RIVERA JOSE CARLOS</t>
  </si>
  <si>
    <t>jrojas_74@hotmail.com</t>
  </si>
  <si>
    <t>HHDM720507HGT</t>
  </si>
  <si>
    <t>HERRERA DONIS MAIDA ARACELY</t>
  </si>
  <si>
    <t>licdamaidaherrera72@gmail.com</t>
  </si>
  <si>
    <t>GOLJ771201HGT</t>
  </si>
  <si>
    <t>GOMEZ LOPEZ JULIO ROBERTO</t>
  </si>
  <si>
    <t>capriyulio@hotmail.com</t>
  </si>
  <si>
    <t>MAPJ680503HGT</t>
  </si>
  <si>
    <t>SANCHEZ DEL RIO FRANCISCO JAVIER</t>
  </si>
  <si>
    <t>feren1914@gmail.com</t>
  </si>
  <si>
    <t>SARF640209HDFNXR04</t>
  </si>
  <si>
    <t>MDP04/O4C</t>
  </si>
  <si>
    <t>https://classroom.google.com/w/NzQ1NTYxOTA0NjUw/t/all</t>
  </si>
  <si>
    <t xml:space="preserve">MDP09 </t>
  </si>
  <si>
    <t>ESCRIBIR o copia el número de alumno</t>
  </si>
  <si>
    <t>POR CURSAR</t>
  </si>
  <si>
    <t>TECNICAS DE EXPRESION ORAL ESCRITA</t>
  </si>
  <si>
    <t>DIME571002MGT</t>
  </si>
  <si>
    <t>DIAZ MIRNA ELIZABETH</t>
  </si>
  <si>
    <t>mirnaelizabethdiaz002@gmail.com</t>
  </si>
  <si>
    <t>pacomedza@hotmail.com</t>
  </si>
  <si>
    <t>MDP 04G</t>
  </si>
  <si>
    <t>SEMINARIO DE GESTIÓN DE
CONFLICTOS</t>
  </si>
  <si>
    <t>SEMINARIO DE MEDIACIÓN</t>
  </si>
  <si>
    <t>64LD06C-01</t>
  </si>
  <si>
    <t>64LD06C-02</t>
  </si>
  <si>
    <t>64LD06C-03</t>
  </si>
  <si>
    <t>64DD08H-01</t>
  </si>
  <si>
    <t>CORTES BRISEÑO MARCO ANTONIO</t>
  </si>
  <si>
    <t>12-25 JUNIO</t>
  </si>
  <si>
    <t>05-25 JUNIO</t>
  </si>
  <si>
    <t xml:space="preserve">DD05 SEMINARIO DE MEDIACIÓN </t>
  </si>
  <si>
    <t>MEZF120923HGT00</t>
  </si>
  <si>
    <t>JITE270925HG</t>
  </si>
  <si>
    <t xml:space="preserve">JIMENEZ TRACHTENBERG ELIAS NEHEMIAS
</t>
  </si>
  <si>
    <t>502 5910 8846</t>
  </si>
  <si>
    <t>eliasjimenezt@gmail.com</t>
  </si>
  <si>
    <t>PEAA761031HCHRLL08</t>
  </si>
  <si>
    <t>PEREZ ALANIS ALFREDO SERGIO</t>
  </si>
  <si>
    <t>ayl.fj23@gmail.com</t>
  </si>
  <si>
    <t>INVESTIGACIÓN DOCUMENTAL Y EMPÍRICA</t>
  </si>
  <si>
    <t>GONZALEZ GLENNIE MARIA FERNANDA</t>
  </si>
  <si>
    <t>MEDRANO ZAPETA FRANCISCO</t>
  </si>
  <si>
    <t xml:space="preserve"> TRANSCRIBIRLO FIELMENTE DEL ACTA DE NACIMIENTO  PRIMER APELLIDO/SEGUNDO APELLIDO*NOMBRE (S)</t>
  </si>
  <si>
    <t>ABR-SEP 2025</t>
  </si>
  <si>
    <t>DIAP08 SIMPLIFICACIÓN DE PROCESOS Y GESTION DE LA BIG DATA I</t>
  </si>
  <si>
    <t>CLÍNICA DE INNOVACION</t>
  </si>
  <si>
    <t>https://docs.google.com/spreadsheets/d/1Lqt87kUIfTW1WmQbH_NNoNhf2FH1p2um/edit?gid=537709557#gid=537709557</t>
  </si>
  <si>
    <t>SEMINARIO DE DERECHO
SOCIETARIO Y CORPORATIVO I</t>
  </si>
  <si>
    <t>SEMINARIO DE DERECHO
SOCIETARIO Y CORPORATIVO II</t>
  </si>
  <si>
    <t>NOTA no. 2: La materia de Seminario de Derecho Societario y Corporativo del Dr. Efrain Frausto se dividirá en 2 módulos (1 lo toma con DD y el otro en su grupo normal de JTDD SALTILLO) Para tener de calificación el módulo I y II de la materia y juntar al final</t>
  </si>
  <si>
    <t>JIVS730215MGT</t>
  </si>
  <si>
    <t>DAPS910912HGTVE00</t>
  </si>
  <si>
    <t>https://docs.google.com/spreadsheets/d/1t52rbYlrLccq2vqUv8LOEFhQ5q7R4gt8/edit?gid=2124319217#gid=2124319217</t>
  </si>
  <si>
    <t>https://docs.google.com/spreadsheets/d/1iCziaRwEsRAHGTon3aI4AnO7fX84RSn9/edit?usp=sharing&amp;ouid=116084611307353861719&amp;rtpof=true&amp;sd=true</t>
  </si>
  <si>
    <t>SEMINARIO DE JUICIO ORAL CIVIL,
MERCANTIL</t>
  </si>
  <si>
    <t>CLÍNICA DE DERECHO PROCESAL
LABORAL</t>
  </si>
  <si>
    <t>SEMINARIO DE JUSTICIA PARA
ADOLESCENTES</t>
  </si>
  <si>
    <t>CLÍNICA DE DERECHO
PROCESAL CIVIL</t>
  </si>
  <si>
    <t>SEMINARIO DE
INTERPRETACIÓN Y METODOLOGÍA JURÍDICA</t>
  </si>
  <si>
    <t>SEMINARIO DE DERECHO
ADUANERO Y COMERCIO EXTERIOR</t>
  </si>
  <si>
    <t>SEMINARIO DE DERECHO
FISCAL I</t>
  </si>
  <si>
    <t>SEMINARIO DE DERECHO
FISCAL II</t>
  </si>
  <si>
    <t>SEMINARIO DE
INVESTIGACIÓN GÉNERO Y DERECHO</t>
  </si>
  <si>
    <t>57 301 5572159</t>
  </si>
  <si>
    <t>MDPG05</t>
  </si>
  <si>
    <t>GAIE730303MCLLLL09</t>
  </si>
  <si>
    <t>A DISTANCIA</t>
  </si>
  <si>
    <t>GALVAN ILLADES ELIZABETH</t>
  </si>
  <si>
    <t>elizabethgalvanilladez@gmail.com</t>
  </si>
  <si>
    <t>DURN870205MCMXZR06</t>
  </si>
  <si>
    <t>DUEÑAS RUIZ NORMA PATRICIA</t>
  </si>
  <si>
    <t>313 118 7349</t>
  </si>
  <si>
    <t>jokymendez4@gmail.com</t>
  </si>
  <si>
    <t>licytap@hotmail.com</t>
  </si>
  <si>
    <t xml:space="preserve">MAESTRIA EN DERECHO PENAL </t>
  </si>
  <si>
    <t>64DD08F-06</t>
  </si>
  <si>
    <t>64DD08F-03</t>
  </si>
  <si>
    <t>https://docs.google.com/spreadsheets/d/1FjbqvYXrDUf1NPo9uZwpIPq2MsywLFig/edit?usp=sharing&amp;ouid=107074606600533491419&amp;rtpof=true&amp;sd=true</t>
  </si>
  <si>
    <t>https://docs.google.com/spreadsheets/d/1z_QLMehqaUvI97mY6S-m3KXm-VwWMllO/edit?usp=sharing&amp;rtpof=true&amp;sd=true</t>
  </si>
  <si>
    <t>https://docs.google.com/spreadsheets/d/1XJFxQ6XV1uauS2UCTQSXBsdr34DhqUJ8/edit?usp=sharing&amp;ouid=107074606600533491419&amp;rtpof=true&amp;sd=true</t>
  </si>
  <si>
    <t>https://docs.google.com/spreadsheets/d/1IBCLTAZksUd0KsRqgHaocsRjI1j6ZgZs/edit?usp=sharing&amp;ouid=107074606600533491419&amp;rtpof=true&amp;sd=true</t>
  </si>
  <si>
    <t>https://docs.google.com/spreadsheets/d/1e4Hh6g-0VQg8WWijZZCs_ZyQ5L2xktIv/edit?usp=sharing&amp;ouid=107074606600533491419&amp;rtpof=true&amp;sd=true</t>
  </si>
  <si>
    <t>https://docs.google.com/spreadsheets/d/1uvrd_C_JSZww5-zJbVDuH4uSzQwnAuoU/edit?usp=sharing&amp;ouid=107074606600533491419&amp;rtpof=true&amp;sd=true</t>
  </si>
  <si>
    <t>LUIS ESTUARDO VELARDE PÉREZ</t>
  </si>
  <si>
    <t>BLANCA SANCHEZ</t>
  </si>
  <si>
    <t>MDP08 FORMALIDADES Y PROCEDIMIENTOS EN LAS AUDIENCIAS INICIALINTERMEDIO Y DEBATE</t>
  </si>
  <si>
    <t>MDP09 EJECUCIÓN DE PENAS</t>
  </si>
  <si>
    <t>MDP012 RETORICA ARGUMENTATIVA</t>
  </si>
  <si>
    <t>MDP010 IMPUGNACIÓN DE SISTEMA INTERNACIONAL DE PETICIÓN DE DERECHOS HUMANOS I</t>
  </si>
  <si>
    <t>MDP013 MECANISMOS DE MEDIOS DE RESOLUCIÓN DE CONFLICTO</t>
  </si>
  <si>
    <t>MDP010 IMPUGNACIÓN Y SISTEMA INTERNACIONAL DE PETICIÓN DE DERECHOS HUMANOS II</t>
  </si>
  <si>
    <t>IMPUGNACIÓN Y SISTEMA INTERNACIONAL DE PROTECCIÓN DE DERECHOS HUMANOS II</t>
  </si>
  <si>
    <t>TEORIA DEL CASO</t>
  </si>
  <si>
    <t>RECURSOS EN EL PROCEDIMIENTO ESCRITO
Y JUICIO ORAL II</t>
  </si>
  <si>
    <t>TEORIA GENERAL DEL DERECHO
CONSTITUCIONAL</t>
  </si>
  <si>
    <t>PRÁCTICA FORENSE EN EL DERECHO
PROCESAL CIVIL I</t>
  </si>
  <si>
    <t>PRÁCTICA FORENSE EN EL DERECHO
PROCESAL CIVIL II</t>
  </si>
  <si>
    <t>EDIOS ALTERNOS DE SOLUCIÓN DE
CONFLICTOS</t>
  </si>
  <si>
    <t xml:space="preserve">MAESTRIA EN DERECHO PENAL GUATEMALA </t>
  </si>
  <si>
    <t>MDP04 28 Y 29 DE MARZO</t>
  </si>
  <si>
    <t>MDP05 4 Y 5 DE ABRIL</t>
  </si>
  <si>
    <t>MDP08 16 Y 17 DE MAYO</t>
  </si>
  <si>
    <t>MDP09 16 y 17 DE JUNIO</t>
  </si>
  <si>
    <t>MDP012 11 Y 12 DE JULIO</t>
  </si>
  <si>
    <t>MDP010 1 Y 2 AGOSTO</t>
  </si>
  <si>
    <t>MDP013 5 Y 6 SEPTIEMBRE</t>
  </si>
  <si>
    <t>DRA ADELAIDA ISABEL HERRERA LOPEZ</t>
  </si>
  <si>
    <t>MDP04 TÉCNICAS ACTOS Y MEDIOS DE INVESTIGACIÓN II</t>
  </si>
  <si>
    <t>MDP05 Teoría del Caso</t>
  </si>
  <si>
    <t>MAY-AGO 2025</t>
  </si>
  <si>
    <t>INTELIGENCIA ARTIFICIAL I
(GESTIÓN DE PROYECTOS)</t>
  </si>
  <si>
    <t>ENERO-ABRIL</t>
  </si>
  <si>
    <t>MAYO-AGOSTO</t>
  </si>
  <si>
    <t>SEPTIEMBRE-DICIEMBRE</t>
  </si>
  <si>
    <t>PERIDOS ESOLARES</t>
  </si>
  <si>
    <t>64DD07L-05</t>
  </si>
  <si>
    <t>eliminado por duplicidad</t>
  </si>
  <si>
    <t>HERNANDEZ LOPEZ VICKY ARRELY</t>
  </si>
  <si>
    <t xml:space="preserve">SIN INSCRIBIR </t>
  </si>
  <si>
    <t>MDO07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</si>
</sst>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d/m/yy"/>
    <numFmt numFmtId="165" formatCode="0.0"/>
    <numFmt numFmtId="166" formatCode="mmmm\ yyyy"/>
    <numFmt numFmtId="167" formatCode="mmm\-d"/>
    <numFmt numFmtId="168" formatCode="mmmm\-yyyy"/>
    <numFmt numFmtId="169" formatCode="mmmm\ d"/>
    <numFmt numFmtId="170" formatCode="d\.m"/>
    <numFmt numFmtId="171" formatCode="#,##0.0"/>
    <numFmt numFmtId="172" formatCode="mmmd"/>
    <numFmt numFmtId="173" formatCode="[$-80A]d&quot; de &quot;mmmm&quot; de &quot;yyyy"/>
    <numFmt numFmtId="174" formatCode="_-* #,##0.0_-;\-* #,##0.0_-;_-* &quot;-&quot;??_-;_-@_-"/>
    <numFmt numFmtId="175" formatCode="dd/mm/yy;@"/>
    <numFmt numFmtId="176" formatCode="hh:mm:ss;@"/>
  </numFmts>
  <fonts count="4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4"/>
      <color rgb="FFCC0000"/>
      <name val="Calibri"/>
      <family val="2"/>
    </font>
    <font>
      <sz val="11"/>
      <name val="Calibri"/>
      <family val="2"/>
    </font>
    <font>
      <b/>
      <sz val="11"/>
      <color rgb="FF8E7CC3"/>
      <name val="Calibri"/>
      <family val="2"/>
    </font>
    <font>
      <b/>
      <sz val="7"/>
      <color theme="1"/>
      <name val="Arial"/>
      <family val="2"/>
    </font>
    <font>
      <b/>
      <sz val="8"/>
      <color theme="1"/>
      <name val="Arial"/>
      <family val="2"/>
    </font>
    <font>
      <sz val="6"/>
      <color theme="1"/>
      <name val="Arial"/>
      <family val="2"/>
    </font>
    <font>
      <sz val="7"/>
      <color theme="1"/>
      <name val="Arial"/>
      <family val="2"/>
    </font>
    <font>
      <b/>
      <sz val="9"/>
      <color theme="1"/>
      <name val="Arial"/>
      <family val="2"/>
    </font>
    <font>
      <sz val="11"/>
      <color rgb="FF000000"/>
      <name val="Roboto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</font>
    <font>
      <u/>
      <sz val="11"/>
      <color rgb="FF0563C1"/>
      <name val="Arial"/>
      <family val="2"/>
    </font>
    <font>
      <sz val="8"/>
      <color theme="1"/>
      <name val="Calibri"/>
      <family val="2"/>
    </font>
    <font>
      <u/>
      <sz val="8"/>
      <color rgb="FF000000"/>
      <name val="Calibri"/>
      <family val="2"/>
    </font>
    <font>
      <u/>
      <sz val="8"/>
      <color theme="1"/>
      <name val="Calibri"/>
      <family val="2"/>
    </font>
    <font>
      <u/>
      <sz val="11"/>
      <color theme="10"/>
      <name val="Arial"/>
      <family val="2"/>
    </font>
    <font>
      <b/>
      <sz val="7"/>
      <color theme="1"/>
      <name val="Calibri"/>
      <family val="2"/>
    </font>
    <font>
      <sz val="8"/>
      <color theme="1"/>
      <name val="Arial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11"/>
      <color rgb="FFFF0000"/>
      <name val="Arial"/>
      <family val="2"/>
    </font>
    <font>
      <sz val="11"/>
      <color rgb="FFCC0000"/>
      <name val="Arial"/>
      <family val="2"/>
    </font>
    <font>
      <sz val="11"/>
      <color rgb="FFFF0000"/>
      <name val="Calibri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u/>
      <sz val="10"/>
      <color rgb="FF000000"/>
      <name val="Calibri"/>
      <family val="2"/>
    </font>
    <font>
      <u/>
      <sz val="8"/>
      <color rgb="FF1155CC"/>
      <name val="Calibri"/>
      <family val="2"/>
    </font>
    <font>
      <u/>
      <sz val="10"/>
      <color rgb="FF1155CC"/>
      <name val="Calibri"/>
      <family val="2"/>
    </font>
    <font>
      <b/>
      <u/>
      <sz val="7"/>
      <color theme="1"/>
      <name val="Arial"/>
      <family val="2"/>
    </font>
    <font>
      <sz val="14"/>
      <color theme="1"/>
      <name val="Calibri"/>
      <family val="2"/>
    </font>
    <font>
      <sz val="11"/>
      <color rgb="FFCC0000"/>
      <name val="Calibri"/>
      <family val="2"/>
    </font>
    <font>
      <sz val="14"/>
      <color rgb="FFFF0000"/>
      <name val="Calibri"/>
      <family val="2"/>
    </font>
    <font>
      <sz val="8"/>
      <color rgb="FF000000"/>
      <name val="Arial"/>
      <family val="2"/>
    </font>
    <font>
      <sz val="10"/>
      <color theme="1"/>
      <name val="Calibri"/>
      <family val="2"/>
    </font>
    <font>
      <sz val="18"/>
      <color rgb="FFFF0000"/>
      <name val="Calibri"/>
      <family val="2"/>
    </font>
    <font>
      <u/>
      <sz val="8"/>
      <color theme="1"/>
      <name val="Calibri"/>
      <family val="2"/>
    </font>
    <font>
      <u/>
      <sz val="11"/>
      <color theme="10"/>
      <name val="Calibri"/>
      <family val="2"/>
    </font>
    <font>
      <sz val="7"/>
      <color rgb="FF000000"/>
      <name val="Arial"/>
      <family val="2"/>
    </font>
    <font>
      <sz val="12"/>
      <color theme="1"/>
      <name val="Calibri"/>
      <family val="2"/>
    </font>
    <font>
      <sz val="10"/>
      <color rgb="FFFFFFFF"/>
      <name val="Arial"/>
      <family val="2"/>
    </font>
    <font>
      <sz val="10"/>
      <color rgb="FF000000"/>
      <name val="Calibri"/>
      <family val="2"/>
    </font>
    <font>
      <sz val="7"/>
      <color theme="1"/>
      <name val="Calibri"/>
      <family val="2"/>
    </font>
    <font>
      <u/>
      <sz val="11"/>
      <color theme="10"/>
      <name val="Arial"/>
      <family val="2"/>
    </font>
    <font>
      <u/>
      <sz val="8"/>
      <color theme="1"/>
      <name val="Calibri"/>
      <family val="2"/>
    </font>
    <font>
      <u/>
      <sz val="9"/>
      <color theme="10"/>
      <name val="Arial"/>
      <family val="2"/>
    </font>
    <font>
      <u/>
      <sz val="11"/>
      <color theme="10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u/>
      <sz val="10"/>
      <color theme="1"/>
      <name val="Calibri"/>
      <family val="2"/>
    </font>
    <font>
      <u/>
      <sz val="10"/>
      <color rgb="FF000000"/>
      <name val="Calibri"/>
      <family val="2"/>
    </font>
    <font>
      <sz val="7"/>
      <color theme="1"/>
      <name val="Arial Narrow"/>
      <family val="2"/>
    </font>
    <font>
      <sz val="11"/>
      <color rgb="FF000000"/>
      <name val="Arial"/>
      <family val="2"/>
    </font>
    <font>
      <sz val="10"/>
      <color theme="1"/>
      <name val="Arial"/>
      <family val="2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8"/>
      <color rgb="FF000000"/>
      <name val="Calibri"/>
      <family val="2"/>
    </font>
    <font>
      <sz val="10"/>
      <color rgb="FF000000"/>
      <name val="Roboto"/>
    </font>
    <font>
      <sz val="7"/>
      <color rgb="FF000000"/>
      <name val="Calibri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000000"/>
      <name val="Calibri"/>
      <family val="2"/>
    </font>
    <font>
      <b/>
      <sz val="8"/>
      <color rgb="FF000000"/>
      <name val="Calibri"/>
      <family val="2"/>
    </font>
    <font>
      <u/>
      <sz val="11"/>
      <color theme="10"/>
      <name val="Calibri"/>
      <family val="2"/>
    </font>
    <font>
      <sz val="8"/>
      <color rgb="FFFF0000"/>
      <name val="Calibri"/>
      <family val="2"/>
    </font>
    <font>
      <sz val="9"/>
      <color rgb="FFFF0000"/>
      <name val="Calibri"/>
      <family val="2"/>
    </font>
    <font>
      <b/>
      <sz val="8"/>
      <color rgb="FF000000"/>
      <name val="Arial"/>
      <family val="2"/>
    </font>
    <font>
      <u/>
      <sz val="8"/>
      <color theme="10"/>
      <name val="Calibri"/>
      <family val="2"/>
    </font>
    <font>
      <u/>
      <sz val="8"/>
      <color theme="10"/>
      <name val="Calibri"/>
      <family val="2"/>
    </font>
    <font>
      <u/>
      <sz val="8"/>
      <color rgb="FF0563C1"/>
      <name val="Calibri"/>
      <family val="2"/>
    </font>
    <font>
      <u/>
      <sz val="11"/>
      <color theme="10"/>
      <name val="Arial"/>
      <family val="2"/>
    </font>
    <font>
      <b/>
      <sz val="9"/>
      <color rgb="FF000000"/>
      <name val="Arial"/>
      <family val="2"/>
    </font>
    <font>
      <u/>
      <sz val="11"/>
      <color theme="10"/>
      <name val="Arial"/>
      <family val="2"/>
    </font>
    <font>
      <u/>
      <sz val="11"/>
      <color rgb="FF0563C1"/>
      <name val="Arial"/>
      <family val="2"/>
    </font>
    <font>
      <u/>
      <sz val="11"/>
      <color theme="10"/>
      <name val="Arial"/>
      <family val="2"/>
    </font>
    <font>
      <b/>
      <sz val="6"/>
      <color theme="1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</font>
    <font>
      <sz val="11"/>
      <color rgb="FF434343"/>
      <name val="Calibri"/>
      <family val="2"/>
    </font>
    <font>
      <sz val="11"/>
      <color rgb="FF434343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sz val="9"/>
      <color rgb="FFF2F2F2"/>
      <name val="Arial"/>
      <family val="2"/>
    </font>
    <font>
      <sz val="9"/>
      <color rgb="FFFFFFFF"/>
      <name val="Arial"/>
      <family val="2"/>
    </font>
    <font>
      <sz val="12"/>
      <color rgb="FF000000"/>
      <name val="Calibri"/>
      <family val="2"/>
    </font>
    <font>
      <u/>
      <sz val="11"/>
      <color theme="10"/>
      <name val="Arial"/>
      <family val="2"/>
    </font>
    <font>
      <b/>
      <sz val="8"/>
      <color theme="0"/>
      <name val="Arial"/>
      <family val="2"/>
    </font>
    <font>
      <sz val="8"/>
      <color rgb="FF000000"/>
      <name val="Roboto"/>
    </font>
    <font>
      <u/>
      <sz val="11"/>
      <color theme="1"/>
      <name val="Calibri"/>
      <family val="2"/>
    </font>
    <font>
      <sz val="22"/>
      <color rgb="FFFF0000"/>
      <name val="Calibri"/>
      <family val="2"/>
    </font>
    <font>
      <u/>
      <sz val="7"/>
      <color theme="1"/>
      <name val="Arial"/>
      <family val="2"/>
    </font>
    <font>
      <u/>
      <sz val="11"/>
      <color rgb="FF1155CC"/>
      <name val="Arial"/>
      <family val="2"/>
    </font>
    <font>
      <sz val="8"/>
      <color rgb="FFFF0000"/>
      <name val="Arial"/>
      <family val="2"/>
    </font>
    <font>
      <sz val="9"/>
      <color rgb="FFFF0000"/>
      <name val="Arial"/>
      <family val="2"/>
    </font>
    <font>
      <sz val="14"/>
      <color rgb="FF980000"/>
      <name val="Calibri"/>
      <family val="2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8"/>
      <color rgb="FF7030A0"/>
      <name val="Times New Roman"/>
      <family val="1"/>
    </font>
    <font>
      <b/>
      <sz val="12"/>
      <color theme="1"/>
      <name val="Arial"/>
      <family val="2"/>
    </font>
    <font>
      <b/>
      <i/>
      <sz val="16"/>
      <color rgb="FF000000"/>
      <name val="Calibri"/>
      <family val="2"/>
    </font>
    <font>
      <i/>
      <sz val="12"/>
      <color rgb="FF00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3"/>
      <color theme="1"/>
      <name val="Times New Roman"/>
      <family val="1"/>
    </font>
    <font>
      <b/>
      <u/>
      <sz val="11"/>
      <color rgb="FFFF0000"/>
      <name val="Calibri"/>
      <family val="2"/>
    </font>
    <font>
      <b/>
      <u/>
      <sz val="11"/>
      <color rgb="FFFF0000"/>
      <name val="Calibri"/>
      <family val="2"/>
    </font>
    <font>
      <b/>
      <sz val="11"/>
      <color rgb="FFFFFFFF"/>
      <name val="Arial"/>
      <family val="2"/>
    </font>
    <font>
      <b/>
      <i/>
      <sz val="14"/>
      <color rgb="FF7030A0"/>
      <name val="Times New Roman"/>
      <family val="1"/>
    </font>
    <font>
      <sz val="12"/>
      <color theme="1"/>
      <name val="Times New Roman"/>
      <family val="1"/>
    </font>
    <font>
      <i/>
      <sz val="9"/>
      <color rgb="FFFF0000"/>
      <name val="Cambria"/>
      <family val="1"/>
    </font>
    <font>
      <i/>
      <sz val="11"/>
      <color theme="1"/>
      <name val="Arial"/>
      <family val="2"/>
    </font>
    <font>
      <sz val="12"/>
      <color rgb="FF7030A0"/>
      <name val="Times New Roman"/>
      <family val="1"/>
    </font>
    <font>
      <sz val="11"/>
      <color theme="0"/>
      <name val="Arial"/>
      <family val="2"/>
    </font>
    <font>
      <b/>
      <sz val="20"/>
      <color theme="1"/>
      <name val="Arial"/>
      <family val="2"/>
    </font>
    <font>
      <sz val="11"/>
      <color theme="0"/>
      <name val="Calibri"/>
      <family val="2"/>
    </font>
    <font>
      <sz val="8"/>
      <color theme="1"/>
      <name val="Abadi"/>
      <family val="2"/>
    </font>
    <font>
      <sz val="11"/>
      <color rgb="FFFFFFFF"/>
      <name val="Arial"/>
      <family val="2"/>
    </font>
    <font>
      <b/>
      <sz val="20"/>
      <color theme="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Calibri"/>
      <family val="2"/>
    </font>
    <font>
      <sz val="8"/>
      <color theme="0"/>
      <name val="Calibri"/>
      <family val="2"/>
    </font>
    <font>
      <sz val="6"/>
      <color theme="1"/>
      <name val="Calibri"/>
      <family val="2"/>
    </font>
    <font>
      <i/>
      <sz val="6"/>
      <color theme="1"/>
      <name val="Calibri"/>
      <family val="2"/>
    </font>
    <font>
      <b/>
      <sz val="6"/>
      <color theme="1"/>
      <name val="Calibri"/>
      <family val="2"/>
    </font>
    <font>
      <sz val="7"/>
      <color rgb="FFFF0000"/>
      <name val="Calibri"/>
      <family val="2"/>
    </font>
    <font>
      <b/>
      <i/>
      <sz val="12"/>
      <color rgb="FF1D2023"/>
      <name val="Inherit"/>
    </font>
    <font>
      <sz val="11"/>
      <color rgb="FFFF0000"/>
      <name val="Arial"/>
      <family val="2"/>
    </font>
    <font>
      <sz val="8"/>
      <name val="Calibri"/>
      <family val="2"/>
      <scheme val="minor"/>
    </font>
    <font>
      <sz val="9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7"/>
      <name val="Arial"/>
      <family val="2"/>
    </font>
    <font>
      <sz val="11"/>
      <color rgb="FF000000"/>
      <name val="Calibri"/>
      <family val="2"/>
      <scheme val="minor"/>
    </font>
    <font>
      <b/>
      <i/>
      <sz val="11"/>
      <color theme="1"/>
      <name val="Arial"/>
      <family val="2"/>
    </font>
    <font>
      <sz val="8"/>
      <color theme="4" tint="-0.249977111117893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name val="Calibri"/>
      <family val="2"/>
    </font>
    <font>
      <sz val="6"/>
      <name val="Calibri"/>
      <family val="2"/>
    </font>
    <font>
      <sz val="6"/>
      <color theme="1"/>
      <name val="Calibri"/>
      <family val="2"/>
      <scheme val="minor"/>
    </font>
    <font>
      <i/>
      <sz val="12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7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name val="Arial"/>
      <family val="2"/>
    </font>
    <font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7"/>
      <color theme="1"/>
      <name val="Docs-Calibri"/>
    </font>
    <font>
      <sz val="10"/>
      <name val="Calibri"/>
      <family val="2"/>
      <scheme val="minor"/>
    </font>
    <font>
      <sz val="10"/>
      <color theme="1"/>
      <name val="Calibri"/>
      <family val="2"/>
      <scheme val="major"/>
    </font>
    <font>
      <u/>
      <sz val="10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9"/>
      <color theme="10"/>
      <name val="Calibri"/>
      <family val="2"/>
      <scheme val="minor"/>
    </font>
    <font>
      <b/>
      <sz val="10"/>
      <color theme="1"/>
      <name val="Arial"/>
      <family val="2"/>
    </font>
    <font>
      <sz val="10"/>
      <name val="Calibri"/>
      <family val="2"/>
    </font>
    <font>
      <sz val="8"/>
      <name val="Roboto"/>
    </font>
    <font>
      <sz val="11"/>
      <color rgb="FF1F1F1F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F3F3F3"/>
      <name val="Arial"/>
      <family val="2"/>
    </font>
    <font>
      <sz val="9"/>
      <color rgb="FFFFFFFF"/>
      <name val="Docs-Calibri"/>
    </font>
    <font>
      <sz val="7"/>
      <color rgb="FFFFFFFF"/>
      <name val="Arial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9"/>
      <color theme="0"/>
      <name val="Arial"/>
      <family val="2"/>
    </font>
    <font>
      <b/>
      <sz val="6"/>
      <color rgb="FF000000"/>
      <name val="Arial"/>
      <family val="2"/>
    </font>
    <font>
      <b/>
      <sz val="11"/>
      <color rgb="FFFFFF00"/>
      <name val="Arial"/>
      <family val="2"/>
    </font>
    <font>
      <b/>
      <i/>
      <sz val="11"/>
      <color rgb="FFFFFF00"/>
      <name val="Arial"/>
      <family val="2"/>
    </font>
    <font>
      <b/>
      <sz val="30"/>
      <color theme="1"/>
      <name val="Calibri"/>
      <family val="2"/>
      <scheme val="minor"/>
    </font>
    <font>
      <sz val="18"/>
      <color theme="1"/>
      <name val="Arial"/>
      <family val="2"/>
    </font>
    <font>
      <b/>
      <sz val="26"/>
      <color rgb="FFFF0000"/>
      <name val="Arial"/>
      <family val="2"/>
    </font>
    <font>
      <b/>
      <sz val="7"/>
      <color rgb="FFFF0000"/>
      <name val="Arial"/>
      <family val="2"/>
    </font>
    <font>
      <sz val="12"/>
      <name val="Calibri"/>
      <family val="2"/>
    </font>
    <font>
      <b/>
      <sz val="9"/>
      <name val="Arial"/>
      <family val="2"/>
    </font>
    <font>
      <b/>
      <sz val="16"/>
      <color theme="1"/>
      <name val="Arial"/>
      <family val="2"/>
    </font>
    <font>
      <sz val="18"/>
      <color theme="1"/>
      <name val="Amasis MT Pro Black"/>
      <family val="1"/>
    </font>
    <font>
      <b/>
      <sz val="7"/>
      <name val="Arial"/>
      <family val="2"/>
    </font>
    <font>
      <sz val="24"/>
      <color rgb="FF0070C0"/>
      <name val="Amasis MT Pro Black"/>
      <family val="1"/>
    </font>
    <font>
      <sz val="11"/>
      <color rgb="FF0070C0"/>
      <name val="Arial"/>
      <family val="2"/>
    </font>
    <font>
      <sz val="12"/>
      <color theme="3"/>
      <name val="Calibri"/>
      <family val="2"/>
      <scheme val="minor"/>
    </font>
    <font>
      <b/>
      <sz val="10"/>
      <color theme="1"/>
      <name val="Calibri"/>
      <family val="2"/>
      <scheme val="major"/>
    </font>
    <font>
      <sz val="10"/>
      <color theme="4" tint="-0.249977111117893"/>
      <name val="Calibri"/>
      <family val="2"/>
      <scheme val="major"/>
    </font>
    <font>
      <sz val="10"/>
      <color rgb="FF1F1F1F"/>
      <name val="Calibri"/>
      <family val="2"/>
      <scheme val="major"/>
    </font>
    <font>
      <b/>
      <sz val="20"/>
      <name val="Cambria"/>
      <family val="1"/>
    </font>
    <font>
      <b/>
      <sz val="20"/>
      <color rgb="FF002060"/>
      <name val="Cambria"/>
      <family val="1"/>
    </font>
    <font>
      <b/>
      <sz val="8"/>
      <color rgb="FF212529"/>
      <name val="Source Sans Pro"/>
      <family val="2"/>
    </font>
    <font>
      <sz val="8"/>
      <color rgb="FF212529"/>
      <name val="Source Sans Pro"/>
      <family val="2"/>
    </font>
    <font>
      <sz val="12"/>
      <name val="Calibri"/>
      <family val="2"/>
      <scheme val="minor"/>
    </font>
    <font>
      <b/>
      <sz val="12"/>
      <color theme="1"/>
      <name val="Calibri"/>
      <family val="2"/>
    </font>
    <font>
      <u/>
      <sz val="12"/>
      <color theme="10"/>
      <name val="Calibri"/>
      <family val="2"/>
      <scheme val="minor"/>
    </font>
    <font>
      <sz val="12"/>
      <color theme="4" tint="-0.249977111117893"/>
      <name val="Arial"/>
      <family val="2"/>
    </font>
    <font>
      <u/>
      <sz val="12"/>
      <color rgb="FF1155CC"/>
      <name val="Arial"/>
      <family val="2"/>
    </font>
    <font>
      <b/>
      <u/>
      <sz val="12"/>
      <color rgb="FF1155CC"/>
      <name val="Calibri"/>
      <family val="2"/>
    </font>
    <font>
      <b/>
      <sz val="12"/>
      <color rgb="FFFF0000"/>
      <name val="Arial"/>
      <family val="2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sz val="12"/>
      <color rgb="FFFF0000"/>
      <name val="Calibri"/>
      <family val="2"/>
    </font>
    <font>
      <sz val="12"/>
      <color rgb="FFFF0000"/>
      <name val="Arial"/>
      <family val="2"/>
    </font>
    <font>
      <b/>
      <sz val="12"/>
      <color rgb="FFFFFFFF"/>
      <name val="Calibri"/>
      <family val="2"/>
    </font>
    <font>
      <b/>
      <sz val="12"/>
      <color theme="2"/>
      <name val="Calibri"/>
      <family val="2"/>
    </font>
    <font>
      <strike/>
      <sz val="12"/>
      <color theme="1"/>
      <name val="Arial"/>
      <family val="2"/>
    </font>
    <font>
      <b/>
      <sz val="12"/>
      <name val="Calibri"/>
      <family val="2"/>
    </font>
    <font>
      <u/>
      <sz val="12"/>
      <color rgb="FF0563C1"/>
      <name val="Arial"/>
      <family val="2"/>
    </font>
    <font>
      <u/>
      <sz val="12"/>
      <color theme="10"/>
      <name val="Calibri"/>
      <family val="2"/>
    </font>
    <font>
      <u/>
      <sz val="12"/>
      <color theme="10"/>
      <name val="Arial"/>
      <family val="2"/>
    </font>
    <font>
      <b/>
      <u/>
      <sz val="12"/>
      <color theme="1"/>
      <name val="Calibri"/>
      <family val="2"/>
    </font>
    <font>
      <sz val="12"/>
      <name val="Arial"/>
      <family val="2"/>
    </font>
    <font>
      <sz val="12"/>
      <color theme="1"/>
      <name val="Calibri"/>
      <family val="2"/>
      <scheme val="major"/>
    </font>
    <font>
      <sz val="12"/>
      <color rgb="FF000000"/>
      <name val="Roboto"/>
    </font>
    <font>
      <sz val="12"/>
      <color rgb="FF1F1F1F"/>
      <name val="Roboto"/>
    </font>
    <font>
      <sz val="12"/>
      <color rgb="FFFF0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1"/>
      <name val="Google Sans Mono"/>
    </font>
    <font>
      <sz val="12"/>
      <color rgb="FF000000"/>
      <name val="Calibri"/>
      <family val="2"/>
      <scheme val="major"/>
    </font>
    <font>
      <sz val="10"/>
      <color theme="4" tint="-0.249977111117893"/>
      <name val="Arial"/>
      <family val="2"/>
    </font>
    <font>
      <u/>
      <sz val="7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8"/>
      <color rgb="FF4472C4"/>
      <name val="Calibri"/>
      <family val="2"/>
      <scheme val="minor"/>
    </font>
    <font>
      <b/>
      <sz val="8"/>
      <color rgb="FF4472C4"/>
      <name val="Arial"/>
      <family val="2"/>
    </font>
    <font>
      <sz val="18"/>
      <color rgb="FF0070C0"/>
      <name val="Amasis MT Pro Black"/>
      <family val="1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12"/>
      <color rgb="FFFF0000"/>
      <name val="Calibri"/>
      <family val="2"/>
      <scheme val="major"/>
    </font>
    <font>
      <b/>
      <sz val="10"/>
      <color rgb="FF000000"/>
      <name val="Calibri"/>
      <family val="2"/>
      <scheme val="major"/>
    </font>
    <font>
      <sz val="10"/>
      <name val="Calibri"/>
      <family val="2"/>
      <scheme val="maj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ajor"/>
    </font>
    <font>
      <sz val="11"/>
      <color rgb="FF000000"/>
      <name val="Calibri"/>
      <family val="2"/>
      <scheme val="major"/>
    </font>
    <font>
      <sz val="11"/>
      <name val="Calibri"/>
      <family val="2"/>
      <scheme val="major"/>
    </font>
    <font>
      <b/>
      <sz val="11"/>
      <color theme="1"/>
      <name val="Calibri"/>
      <family val="2"/>
      <scheme val="major"/>
    </font>
    <font>
      <sz val="11"/>
      <color theme="2"/>
      <name val="Calibri"/>
      <family val="2"/>
      <scheme val="major"/>
    </font>
    <font>
      <b/>
      <sz val="11"/>
      <color theme="2"/>
      <name val="Calibri"/>
      <family val="2"/>
      <scheme val="major"/>
    </font>
    <font>
      <b/>
      <sz val="11"/>
      <color theme="0"/>
      <name val="Calibri"/>
      <family val="2"/>
      <scheme val="major"/>
    </font>
    <font>
      <sz val="10"/>
      <color theme="2"/>
      <name val="Calibri"/>
      <family val="2"/>
      <scheme val="major"/>
    </font>
    <font>
      <sz val="12"/>
      <color theme="0"/>
      <name val="Calibri"/>
      <family val="2"/>
      <scheme val="major"/>
    </font>
    <font>
      <b/>
      <sz val="11"/>
      <color rgb="FFFF0000"/>
      <name val="Calibri"/>
      <family val="2"/>
      <scheme val="major"/>
    </font>
    <font>
      <sz val="10"/>
      <color rgb="FFFF000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ajor"/>
    </font>
    <font>
      <sz val="12"/>
      <name val="Calibri"/>
      <family val="2"/>
      <scheme val="major"/>
    </font>
    <font>
      <b/>
      <sz val="22"/>
      <color rgb="FFFF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8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  <fill>
      <patternFill patternType="solid">
        <fgColor rgb="FFCC0000"/>
        <bgColor rgb="FFCC0000"/>
      </patternFill>
    </fill>
    <fill>
      <patternFill patternType="solid">
        <fgColor rgb="FFFFC000"/>
        <bgColor rgb="FFFFC000"/>
      </patternFill>
    </fill>
    <fill>
      <patternFill patternType="solid">
        <fgColor rgb="FFB4C6E7"/>
        <bgColor rgb="FFB4C6E7"/>
      </patternFill>
    </fill>
    <fill>
      <patternFill patternType="solid">
        <fgColor rgb="FF92D050"/>
        <bgColor rgb="FF92D050"/>
      </patternFill>
    </fill>
    <fill>
      <patternFill patternType="solid">
        <fgColor rgb="FFD5A6BD"/>
        <bgColor rgb="FFD5A6BD"/>
      </patternFill>
    </fill>
    <fill>
      <patternFill patternType="solid">
        <fgColor theme="5"/>
        <bgColor theme="5"/>
      </patternFill>
    </fill>
    <fill>
      <patternFill patternType="solid">
        <fgColor rgb="FF00B0F0"/>
        <bgColor rgb="FF00B0F0"/>
      </patternFill>
    </fill>
    <fill>
      <patternFill patternType="solid">
        <fgColor rgb="FFA8D08D"/>
        <bgColor rgb="FFA8D08D"/>
      </patternFill>
    </fill>
    <fill>
      <patternFill patternType="solid">
        <fgColor rgb="FFFF00FF"/>
        <bgColor rgb="FFFF00FF"/>
      </patternFill>
    </fill>
    <fill>
      <patternFill patternType="solid">
        <fgColor rgb="FFBF9000"/>
        <bgColor rgb="FFBF9000"/>
      </patternFill>
    </fill>
    <fill>
      <patternFill patternType="solid">
        <fgColor rgb="FFC27BA0"/>
        <bgColor rgb="FFC27BA0"/>
      </patternFill>
    </fill>
    <fill>
      <patternFill patternType="solid">
        <fgColor rgb="FFFFFFFF"/>
        <bgColor rgb="FFFFFFFF"/>
      </patternFill>
    </fill>
    <fill>
      <patternFill patternType="solid">
        <fgColor rgb="FFA5A5A5"/>
        <bgColor rgb="FFA5A5A5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theme="0"/>
      </patternFill>
    </fill>
    <fill>
      <patternFill patternType="solid">
        <fgColor rgb="FFD9EAD3"/>
        <bgColor rgb="FFD9EAD3"/>
      </patternFill>
    </fill>
    <fill>
      <patternFill patternType="solid">
        <fgColor theme="4"/>
        <bgColor theme="4"/>
      </patternFill>
    </fill>
    <fill>
      <patternFill patternType="solid">
        <fgColor rgb="FF00FFFF"/>
        <bgColor rgb="FF00FFFF"/>
      </patternFill>
    </fill>
    <fill>
      <patternFill patternType="solid">
        <fgColor rgb="FF7030A0"/>
        <bgColor rgb="FF7030A0"/>
      </patternFill>
    </fill>
    <fill>
      <patternFill patternType="solid">
        <fgColor rgb="FFFFF2CC"/>
        <bgColor rgb="FFFFF2CC"/>
      </patternFill>
    </fill>
    <fill>
      <patternFill patternType="solid">
        <fgColor rgb="FFFFE599"/>
        <bgColor rgb="FFFFE599"/>
      </patternFill>
    </fill>
    <fill>
      <patternFill patternType="solid">
        <fgColor rgb="FFF7CAAC"/>
        <bgColor rgb="FFF7CAAC"/>
      </patternFill>
    </fill>
    <fill>
      <patternFill patternType="solid">
        <fgColor rgb="FFBDD6EE"/>
        <bgColor rgb="FFBDD6EE"/>
      </patternFill>
    </fill>
    <fill>
      <patternFill patternType="solid">
        <fgColor rgb="FFFCE5CD"/>
        <bgColor rgb="FFFCE5CD"/>
      </patternFill>
    </fill>
    <fill>
      <patternFill patternType="solid">
        <fgColor rgb="FFFF6600"/>
        <bgColor rgb="FFFF6600"/>
      </patternFill>
    </fill>
    <fill>
      <patternFill patternType="solid">
        <fgColor theme="9"/>
        <bgColor theme="9"/>
      </patternFill>
    </fill>
    <fill>
      <patternFill patternType="solid">
        <fgColor rgb="FF0000FF"/>
        <bgColor rgb="FF0000FF"/>
      </patternFill>
    </fill>
    <fill>
      <patternFill patternType="solid">
        <fgColor rgb="FF000000"/>
        <bgColor rgb="FF000000"/>
      </patternFill>
    </fill>
    <fill>
      <patternFill patternType="solid">
        <fgColor rgb="FFFF9900"/>
        <bgColor rgb="FFFF9900"/>
      </patternFill>
    </fill>
    <fill>
      <patternFill patternType="solid">
        <fgColor rgb="FFA400EE"/>
        <bgColor rgb="FFA400EE"/>
      </patternFill>
    </fill>
    <fill>
      <patternFill patternType="solid">
        <fgColor rgb="FFFFE598"/>
        <bgColor rgb="FFFFE598"/>
      </patternFill>
    </fill>
    <fill>
      <patternFill patternType="solid">
        <fgColor rgb="FFF4CCCC"/>
        <bgColor rgb="FFF4CCCC"/>
      </patternFill>
    </fill>
    <fill>
      <patternFill patternType="solid">
        <fgColor rgb="FF0C0C0C"/>
        <bgColor rgb="FF0C0C0C"/>
      </patternFill>
    </fill>
    <fill>
      <patternFill patternType="solid">
        <fgColor rgb="FF6FA8DC"/>
        <bgColor rgb="FF6FA8DC"/>
      </patternFill>
    </fill>
    <fill>
      <patternFill patternType="solid">
        <fgColor rgb="FFF4B083"/>
        <bgColor rgb="FFF4B083"/>
      </patternFill>
    </fill>
    <fill>
      <patternFill patternType="solid">
        <fgColor rgb="FF8EA9DB"/>
        <bgColor rgb="FF8EA9DB"/>
      </patternFill>
    </fill>
    <fill>
      <patternFill patternType="solid">
        <fgColor rgb="FF93C47D"/>
        <bgColor rgb="FF93C47D"/>
      </patternFill>
    </fill>
    <fill>
      <patternFill patternType="solid">
        <fgColor rgb="FFB6D7A8"/>
        <bgColor rgb="FFB6D7A8"/>
      </patternFill>
    </fill>
    <fill>
      <patternFill patternType="solid">
        <fgColor theme="1"/>
        <bgColor theme="1"/>
      </patternFill>
    </fill>
    <fill>
      <patternFill patternType="solid">
        <fgColor rgb="FF6D9EEB"/>
        <bgColor rgb="FF6D9EEB"/>
      </patternFill>
    </fill>
    <fill>
      <patternFill patternType="solid">
        <fgColor rgb="FFF77386"/>
        <bgColor rgb="FFF77386"/>
      </patternFill>
    </fill>
    <fill>
      <patternFill patternType="solid">
        <fgColor rgb="FFFFD966"/>
        <bgColor rgb="FFFFD966"/>
      </patternFill>
    </fill>
    <fill>
      <patternFill patternType="solid">
        <fgColor rgb="FF8EAADB"/>
        <bgColor rgb="FF8EAADB"/>
      </patternFill>
    </fill>
    <fill>
      <patternFill patternType="solid">
        <fgColor rgb="FFFBE4D5"/>
        <bgColor rgb="FFFBE4D5"/>
      </patternFill>
    </fill>
    <fill>
      <patternFill patternType="solid">
        <fgColor rgb="FF9933FF"/>
        <bgColor rgb="FF9933FF"/>
      </patternFill>
    </fill>
    <fill>
      <patternFill patternType="solid">
        <fgColor rgb="FFC5E0B3"/>
        <bgColor rgb="FFC5E0B3"/>
      </patternFill>
    </fill>
    <fill>
      <patternFill patternType="solid">
        <fgColor rgb="FF6AA84F"/>
        <bgColor rgb="FF6AA84F"/>
      </patternFill>
    </fill>
    <fill>
      <patternFill patternType="solid">
        <fgColor rgb="FFDEEAF6"/>
        <bgColor rgb="FFDEEAF6"/>
      </patternFill>
    </fill>
    <fill>
      <patternFill patternType="solid">
        <fgColor rgb="FFD8D8D8"/>
        <bgColor rgb="FFD8D8D8"/>
      </patternFill>
    </fill>
    <fill>
      <patternFill patternType="solid">
        <fgColor rgb="FF674EA7"/>
        <bgColor rgb="FF674EA7"/>
      </patternFill>
    </fill>
    <fill>
      <patternFill patternType="solid">
        <fgColor rgb="FFBFBFBF"/>
        <bgColor rgb="FFBFBFBF"/>
      </patternFill>
    </fill>
    <fill>
      <patternFill patternType="solid">
        <fgColor rgb="FF9E5ECE"/>
        <bgColor rgb="FF9E5ECE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rgb="FFFF0000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0"/>
      </patternFill>
    </fill>
    <fill>
      <patternFill patternType="solid">
        <fgColor theme="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rgb="FF00FF00"/>
      </patternFill>
    </fill>
    <fill>
      <patternFill patternType="solid">
        <fgColor rgb="FF7030A0"/>
        <bgColor rgb="FFFF0000"/>
      </patternFill>
    </fill>
    <fill>
      <patternFill patternType="solid">
        <fgColor rgb="FFFFFF00"/>
        <bgColor rgb="FFFF0000"/>
      </patternFill>
    </fill>
    <fill>
      <patternFill patternType="solid">
        <fgColor theme="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A8D08D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rgb="FFF4CC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00FFFF"/>
        <bgColor indexed="64"/>
      </patternFill>
    </fill>
    <fill>
      <patternFill patternType="solid">
        <fgColor rgb="FFF4B08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rgb="FF00FF00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rgb="FFFF00FF"/>
      </patternFill>
    </fill>
    <fill>
      <patternFill patternType="solid">
        <fgColor theme="9" tint="0.59999389629810485"/>
        <bgColor rgb="FF00B0F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theme="9" tint="0.39997558519241921"/>
        <bgColor rgb="FF00B0F0"/>
      </patternFill>
    </fill>
    <fill>
      <patternFill patternType="solid">
        <fgColor theme="5" tint="0.39997558519241921"/>
        <bgColor rgb="FF00B0F0"/>
      </patternFill>
    </fill>
    <fill>
      <patternFill patternType="solid">
        <fgColor theme="5" tint="0.39997558519241921"/>
        <bgColor rgb="FF8EA9DB"/>
      </patternFill>
    </fill>
    <fill>
      <patternFill patternType="solid">
        <fgColor theme="7" tint="0.59999389629810485"/>
        <bgColor rgb="FF7030A0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0.59999389629810485"/>
        <bgColor rgb="FF7030A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00B0F0"/>
      </patternFill>
    </fill>
    <fill>
      <patternFill patternType="solid">
        <fgColor theme="0"/>
        <bgColor rgb="FF8EA9DB"/>
      </patternFill>
    </fill>
    <fill>
      <patternFill patternType="solid">
        <fgColor theme="0"/>
        <bgColor rgb="FF7030A0"/>
      </patternFill>
    </fill>
    <fill>
      <patternFill patternType="solid">
        <fgColor theme="9" tint="0.59999389629810485"/>
        <bgColor rgb="FF8EA9DB"/>
      </patternFill>
    </fill>
    <fill>
      <patternFill patternType="solid">
        <fgColor theme="8" tint="0.39997558519241921"/>
        <bgColor rgb="FF00B0F0"/>
      </patternFill>
    </fill>
    <fill>
      <patternFill patternType="solid">
        <fgColor theme="5" tint="0.39997558519241921"/>
        <bgColor rgb="FF7030A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rgb="FFFF00FF"/>
      </patternFill>
    </fill>
    <fill>
      <patternFill patternType="solid">
        <fgColor theme="0"/>
        <bgColor rgb="FFFFFF00"/>
      </patternFill>
    </fill>
    <fill>
      <patternFill patternType="solid">
        <fgColor theme="3" tint="0.14999847407452621"/>
        <bgColor indexed="64"/>
      </patternFill>
    </fill>
    <fill>
      <patternFill patternType="solid">
        <fgColor theme="8" tint="0.39997558519241921"/>
        <bgColor rgb="FFFFFF00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rgb="FFB6D7A8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rgb="FFD5A6BD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rgb="FF7030A0"/>
        <bgColor indexed="64"/>
      </patternFill>
    </fill>
    <fill>
      <patternFill patternType="solid">
        <fgColor rgb="FF60208A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theme="7" tint="0.59999389629810485"/>
        <bgColor rgb="FFFFFFFF"/>
      </patternFill>
    </fill>
    <fill>
      <patternFill patternType="solid">
        <fgColor rgb="FF70AD47"/>
        <bgColor indexed="64"/>
      </patternFill>
    </fill>
    <fill>
      <patternFill patternType="solid">
        <fgColor rgb="FFC27BA0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rgb="FFFFFFFF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/>
        <bgColor rgb="FFC5E0B3"/>
      </patternFill>
    </fill>
    <fill>
      <patternFill patternType="solid">
        <fgColor theme="6" tint="0.39997558519241921"/>
        <bgColor rgb="FF00B0F0"/>
      </patternFill>
    </fill>
    <fill>
      <patternFill patternType="solid">
        <fgColor rgb="FF92D050"/>
        <bgColor rgb="FFD5A6BD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rgb="FFBDD6EE"/>
      </patternFill>
    </fill>
    <fill>
      <patternFill patternType="solid">
        <fgColor rgb="FFFFC000"/>
        <bgColor rgb="FFBDD6EE"/>
      </patternFill>
    </fill>
    <fill>
      <patternFill patternType="solid">
        <fgColor theme="0" tint="-0.34998626667073579"/>
        <bgColor rgb="FFBDD6EE"/>
      </patternFill>
    </fill>
    <fill>
      <patternFill patternType="solid">
        <fgColor rgb="FF7030A0"/>
        <bgColor rgb="FFBDD6EE"/>
      </patternFill>
    </fill>
    <fill>
      <patternFill patternType="solid">
        <fgColor rgb="FF0070C0"/>
        <bgColor rgb="FFBDD6EE"/>
      </patternFill>
    </fill>
    <fill>
      <patternFill patternType="solid">
        <fgColor rgb="FFFF0000"/>
        <bgColor theme="9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rgb="FFFF0000"/>
      </patternFill>
    </fill>
    <fill>
      <patternFill patternType="solid">
        <fgColor rgb="FFFF0000"/>
        <bgColor rgb="FFFFFFFF"/>
      </patternFill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rgb="FFFFFF00"/>
      </patternFill>
    </fill>
    <fill>
      <patternFill patternType="solid">
        <fgColor theme="5" tint="0.39997558519241921"/>
        <bgColor rgb="FFA5A5A5"/>
      </patternFill>
    </fill>
    <fill>
      <patternFill patternType="solid">
        <fgColor theme="5" tint="0.39997558519241921"/>
        <bgColor rgb="FFCC0000"/>
      </patternFill>
    </fill>
    <fill>
      <patternFill patternType="solid">
        <fgColor theme="5" tint="0.39997558519241921"/>
        <bgColor theme="0"/>
      </patternFill>
    </fill>
    <fill>
      <patternFill patternType="solid">
        <fgColor rgb="FFD9F2D0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83CAEB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rgb="FF00FF00"/>
      </patternFill>
    </fill>
    <fill>
      <patternFill patternType="solid">
        <fgColor theme="0"/>
        <bgColor rgb="FFC5E0B3"/>
      </patternFill>
    </fill>
    <fill>
      <patternFill patternType="solid">
        <fgColor rgb="FFFFFF00"/>
        <bgColor rgb="FFD5A6BD"/>
      </patternFill>
    </fill>
    <fill>
      <patternFill patternType="solid">
        <fgColor rgb="FF00B0F0"/>
        <bgColor indexed="64"/>
      </patternFill>
    </fill>
    <fill>
      <patternFill patternType="solid">
        <fgColor rgb="FFFFE599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D5A6BD"/>
        <bgColor rgb="FF00FF00"/>
      </patternFill>
    </fill>
    <fill>
      <patternFill patternType="solid">
        <fgColor rgb="FFFF99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FF0000"/>
        <bgColor rgb="FFA8D08D"/>
      </patternFill>
    </fill>
    <fill>
      <patternFill patternType="solid">
        <fgColor rgb="FFFFC000"/>
        <bgColor rgb="FFFFFFFF"/>
      </patternFill>
    </fill>
    <fill>
      <patternFill patternType="solid">
        <fgColor theme="9" tint="0.39997558519241921"/>
        <bgColor rgb="FFFFFFFF"/>
      </patternFill>
    </fill>
    <fill>
      <patternFill patternType="solid">
        <fgColor theme="5" tint="0.59999389629810485"/>
        <bgColor rgb="FFFF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CC0000"/>
        <bgColor indexed="64"/>
      </patternFill>
    </fill>
    <fill>
      <patternFill patternType="solid">
        <fgColor rgb="FF04D0EC"/>
        <bgColor indexed="64"/>
      </patternFill>
    </fill>
    <fill>
      <patternFill patternType="solid">
        <fgColor theme="7" tint="0.79998168889431442"/>
        <bgColor rgb="FF7030A0"/>
      </patternFill>
    </fill>
    <fill>
      <patternFill patternType="solid">
        <fgColor rgb="FFF6B26B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9FF"/>
        <bgColor rgb="FFD5A6BD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rgb="FF00FF00"/>
      </patternFill>
    </fill>
    <fill>
      <patternFill patternType="solid">
        <fgColor theme="9"/>
        <bgColor rgb="FF00FF00"/>
      </patternFill>
    </fill>
    <fill>
      <patternFill patternType="solid">
        <fgColor theme="5"/>
        <bgColor indexed="64"/>
      </patternFill>
    </fill>
  </fills>
  <borders count="3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ck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/>
      <right/>
      <top style="medium">
        <color rgb="FFCCCCCC"/>
      </top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thick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rgb="FFCCCCCC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ck">
        <color rgb="FF000000"/>
      </right>
      <top style="medium">
        <color rgb="FFCCCCCC"/>
      </top>
      <bottom style="medium">
        <color indexed="64"/>
      </bottom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medium">
        <color rgb="FFCCCCCC"/>
      </left>
      <right style="thick">
        <color rgb="FF000000"/>
      </right>
      <top/>
      <bottom style="medium">
        <color indexed="64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medium">
        <color indexed="64"/>
      </right>
      <top/>
      <bottom/>
      <diagonal/>
    </border>
    <border>
      <left style="thick">
        <color rgb="FF000000"/>
      </left>
      <right style="medium">
        <color indexed="64"/>
      </right>
      <top/>
      <bottom style="thick">
        <color rgb="FF000000"/>
      </bottom>
      <diagonal/>
    </border>
    <border>
      <left/>
      <right style="thick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thick">
        <color rgb="FF000000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theme="2" tint="-4.9989318521683403E-2"/>
      </left>
      <right/>
      <top/>
      <bottom style="medium">
        <color theme="2" tint="-4.9989318521683403E-2"/>
      </bottom>
      <diagonal/>
    </border>
    <border>
      <left/>
      <right/>
      <top/>
      <bottom style="medium">
        <color theme="2" tint="-4.9989318521683403E-2"/>
      </bottom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/>
      <top/>
      <bottom style="medium">
        <color rgb="FFFFFF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000000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77" fillId="0" borderId="0" applyNumberFormat="0" applyFill="0" applyBorder="0" applyAlignment="0" applyProtection="0"/>
    <xf numFmtId="9" fontId="287" fillId="0" borderId="0" applyFont="0" applyFill="0" applyBorder="0" applyAlignment="0" applyProtection="0"/>
    <xf numFmtId="43" fontId="299" fillId="0" borderId="0" applyFont="0" applyFill="0" applyBorder="0" applyAlignment="0" applyProtection="0"/>
    <xf numFmtId="0" fontId="129" fillId="0" borderId="107"/>
    <xf numFmtId="0" fontId="324" fillId="0" borderId="107"/>
    <xf numFmtId="0" fontId="277" fillId="0" borderId="107" applyNumberFormat="0" applyFill="0" applyBorder="0" applyAlignment="0" applyProtection="0"/>
  </cellStyleXfs>
  <cellXfs count="4731">
    <xf numFmtId="0" fontId="0" fillId="0" borderId="0" xfId="0"/>
    <xf numFmtId="0" fontId="136" fillId="2" borderId="1" xfId="0" applyFont="1" applyFill="1" applyBorder="1"/>
    <xf numFmtId="0" fontId="137" fillId="0" borderId="0" xfId="0" applyFont="1"/>
    <xf numFmtId="0" fontId="136" fillId="0" borderId="0" xfId="0" applyFont="1"/>
    <xf numFmtId="0" fontId="138" fillId="0" borderId="0" xfId="0" applyFont="1"/>
    <xf numFmtId="0" fontId="137" fillId="2" borderId="1" xfId="0" applyFont="1" applyFill="1" applyBorder="1"/>
    <xf numFmtId="0" fontId="137" fillId="0" borderId="0" xfId="0" quotePrefix="1" applyFont="1"/>
    <xf numFmtId="0" fontId="137" fillId="4" borderId="1" xfId="0" applyFont="1" applyFill="1" applyBorder="1"/>
    <xf numFmtId="0" fontId="140" fillId="0" borderId="0" xfId="0" applyFont="1"/>
    <xf numFmtId="0" fontId="137" fillId="0" borderId="0" xfId="0" applyFont="1" applyAlignment="1">
      <alignment wrapText="1"/>
    </xf>
    <xf numFmtId="0" fontId="147" fillId="3" borderId="25" xfId="0" applyFont="1" applyFill="1" applyBorder="1" applyAlignment="1">
      <alignment horizontal="center" vertical="center" wrapText="1"/>
    </xf>
    <xf numFmtId="0" fontId="141" fillId="0" borderId="26" xfId="0" applyFont="1" applyBorder="1" applyAlignment="1">
      <alignment horizontal="center" vertical="center" wrapText="1"/>
    </xf>
    <xf numFmtId="0" fontId="143" fillId="2" borderId="28" xfId="0" applyFont="1" applyFill="1" applyBorder="1" applyAlignment="1">
      <alignment horizontal="center" vertical="center"/>
    </xf>
    <xf numFmtId="0" fontId="143" fillId="2" borderId="29" xfId="0" applyFont="1" applyFill="1" applyBorder="1" applyAlignment="1">
      <alignment horizontal="center" vertical="center"/>
    </xf>
    <xf numFmtId="0" fontId="156" fillId="0" borderId="22" xfId="0" applyFont="1" applyBorder="1"/>
    <xf numFmtId="0" fontId="157" fillId="0" borderId="22" xfId="0" applyFont="1" applyBorder="1" applyAlignment="1">
      <alignment horizontal="center"/>
    </xf>
    <xf numFmtId="0" fontId="158" fillId="0" borderId="0" xfId="0" applyFont="1"/>
    <xf numFmtId="0" fontId="157" fillId="0" borderId="22" xfId="0" applyFont="1" applyBorder="1"/>
    <xf numFmtId="0" fontId="136" fillId="2" borderId="22" xfId="0" applyFont="1" applyFill="1" applyBorder="1" applyAlignment="1">
      <alignment horizontal="center"/>
    </xf>
    <xf numFmtId="0" fontId="136" fillId="0" borderId="22" xfId="0" applyFont="1" applyBorder="1" applyAlignment="1">
      <alignment horizontal="center"/>
    </xf>
    <xf numFmtId="0" fontId="136" fillId="0" borderId="22" xfId="0" applyFont="1" applyBorder="1"/>
    <xf numFmtId="0" fontId="159" fillId="0" borderId="22" xfId="0" applyFont="1" applyBorder="1"/>
    <xf numFmtId="17" fontId="136" fillId="0" borderId="22" xfId="0" applyNumberFormat="1" applyFont="1" applyBorder="1"/>
    <xf numFmtId="0" fontId="136" fillId="2" borderId="22" xfId="0" applyFont="1" applyFill="1" applyBorder="1" applyAlignment="1">
      <alignment horizontal="center" vertical="center"/>
    </xf>
    <xf numFmtId="0" fontId="137" fillId="0" borderId="32" xfId="0" applyFont="1" applyBorder="1" applyAlignment="1">
      <alignment horizontal="right" wrapText="1"/>
    </xf>
    <xf numFmtId="0" fontId="151" fillId="0" borderId="22" xfId="0" applyFont="1" applyBorder="1"/>
    <xf numFmtId="0" fontId="137" fillId="0" borderId="22" xfId="0" applyFont="1" applyBorder="1" applyAlignment="1">
      <alignment horizontal="right" wrapText="1"/>
    </xf>
    <xf numFmtId="0" fontId="137" fillId="0" borderId="34" xfId="0" applyFont="1" applyBorder="1" applyAlignment="1">
      <alignment horizontal="right" wrapText="1"/>
    </xf>
    <xf numFmtId="0" fontId="160" fillId="0" borderId="22" xfId="0" applyFont="1" applyBorder="1"/>
    <xf numFmtId="0" fontId="161" fillId="0" borderId="34" xfId="0" applyFont="1" applyBorder="1" applyAlignment="1">
      <alignment horizontal="right" wrapText="1"/>
    </xf>
    <xf numFmtId="0" fontId="158" fillId="0" borderId="22" xfId="0" applyFont="1" applyBorder="1"/>
    <xf numFmtId="165" fontId="136" fillId="0" borderId="22" xfId="0" applyNumberFormat="1" applyFont="1" applyBorder="1"/>
    <xf numFmtId="0" fontId="162" fillId="0" borderId="22" xfId="0" applyFont="1" applyBorder="1"/>
    <xf numFmtId="166" fontId="137" fillId="0" borderId="0" xfId="0" applyNumberFormat="1" applyFont="1"/>
    <xf numFmtId="0" fontId="164" fillId="0" borderId="32" xfId="0" applyFont="1" applyBorder="1" applyAlignment="1">
      <alignment horizontal="center" vertical="center" wrapText="1"/>
    </xf>
    <xf numFmtId="0" fontId="141" fillId="0" borderId="17" xfId="0" applyFont="1" applyBorder="1" applyAlignment="1">
      <alignment horizontal="center" vertical="center" wrapText="1"/>
    </xf>
    <xf numFmtId="0" fontId="159" fillId="0" borderId="0" xfId="0" applyFont="1"/>
    <xf numFmtId="0" fontId="151" fillId="0" borderId="22" xfId="0" applyFont="1" applyBorder="1" applyAlignment="1">
      <alignment horizontal="center"/>
    </xf>
    <xf numFmtId="0" fontId="137" fillId="0" borderId="22" xfId="0" applyFont="1" applyBorder="1" applyAlignment="1">
      <alignment horizontal="center" vertical="center"/>
    </xf>
    <xf numFmtId="0" fontId="137" fillId="0" borderId="17" xfId="0" applyFont="1" applyBorder="1" applyAlignment="1">
      <alignment horizontal="center" vertical="center"/>
    </xf>
    <xf numFmtId="0" fontId="137" fillId="0" borderId="41" xfId="0" applyFont="1" applyBorder="1"/>
    <xf numFmtId="0" fontId="137" fillId="0" borderId="22" xfId="0" applyFont="1" applyBorder="1"/>
    <xf numFmtId="0" fontId="156" fillId="0" borderId="22" xfId="0" applyFont="1" applyBorder="1" applyAlignment="1">
      <alignment horizontal="center"/>
    </xf>
    <xf numFmtId="0" fontId="137" fillId="0" borderId="17" xfId="0" applyFont="1" applyBorder="1"/>
    <xf numFmtId="0" fontId="137" fillId="0" borderId="24" xfId="0" applyFont="1" applyBorder="1"/>
    <xf numFmtId="0" fontId="137" fillId="0" borderId="21" xfId="0" applyFont="1" applyBorder="1" applyAlignment="1">
      <alignment horizontal="center" vertical="center"/>
    </xf>
    <xf numFmtId="0" fontId="137" fillId="2" borderId="22" xfId="0" applyFont="1" applyFill="1" applyBorder="1" applyAlignment="1">
      <alignment horizontal="center" vertical="center"/>
    </xf>
    <xf numFmtId="0" fontId="137" fillId="2" borderId="23" xfId="0" applyFont="1" applyFill="1" applyBorder="1" applyAlignment="1">
      <alignment horizontal="center" vertical="center"/>
    </xf>
    <xf numFmtId="0" fontId="137" fillId="2" borderId="21" xfId="0" applyFont="1" applyFill="1" applyBorder="1" applyAlignment="1">
      <alignment horizontal="center" vertical="center"/>
    </xf>
    <xf numFmtId="165" fontId="137" fillId="17" borderId="22" xfId="0" applyNumberFormat="1" applyFont="1" applyFill="1" applyBorder="1"/>
    <xf numFmtId="165" fontId="137" fillId="0" borderId="22" xfId="0" applyNumberFormat="1" applyFont="1" applyBorder="1"/>
    <xf numFmtId="0" fontId="161" fillId="0" borderId="22" xfId="0" applyFont="1" applyBorder="1"/>
    <xf numFmtId="165" fontId="137" fillId="0" borderId="22" xfId="0" applyNumberFormat="1" applyFont="1" applyBorder="1" applyAlignment="1">
      <alignment horizontal="center" vertical="center"/>
    </xf>
    <xf numFmtId="0" fontId="137" fillId="17" borderId="22" xfId="0" applyFont="1" applyFill="1" applyBorder="1"/>
    <xf numFmtId="0" fontId="137" fillId="2" borderId="22" xfId="0" applyFont="1" applyFill="1" applyBorder="1"/>
    <xf numFmtId="0" fontId="137" fillId="18" borderId="22" xfId="0" applyFont="1" applyFill="1" applyBorder="1"/>
    <xf numFmtId="0" fontId="137" fillId="0" borderId="30" xfId="0" applyFont="1" applyBorder="1"/>
    <xf numFmtId="0" fontId="137" fillId="15" borderId="1" xfId="0" applyFont="1" applyFill="1" applyBorder="1"/>
    <xf numFmtId="0" fontId="172" fillId="0" borderId="22" xfId="0" applyFont="1" applyBorder="1" applyAlignment="1">
      <alignment horizontal="center"/>
    </xf>
    <xf numFmtId="0" fontId="137" fillId="15" borderId="22" xfId="0" applyFont="1" applyFill="1" applyBorder="1"/>
    <xf numFmtId="0" fontId="171" fillId="0" borderId="22" xfId="0" applyFont="1" applyBorder="1" applyAlignment="1">
      <alignment horizontal="center"/>
    </xf>
    <xf numFmtId="0" fontId="137" fillId="0" borderId="24" xfId="0" applyFont="1" applyBorder="1" applyAlignment="1">
      <alignment horizontal="center" vertical="center"/>
    </xf>
    <xf numFmtId="165" fontId="137" fillId="2" borderId="22" xfId="0" applyNumberFormat="1" applyFont="1" applyFill="1" applyBorder="1" applyAlignment="1">
      <alignment horizontal="center" vertical="center"/>
    </xf>
    <xf numFmtId="165" fontId="137" fillId="2" borderId="23" xfId="0" applyNumberFormat="1" applyFont="1" applyFill="1" applyBorder="1" applyAlignment="1">
      <alignment horizontal="center" vertical="center"/>
    </xf>
    <xf numFmtId="0" fontId="173" fillId="2" borderId="21" xfId="0" applyFont="1" applyFill="1" applyBorder="1" applyAlignment="1">
      <alignment horizontal="center" vertical="center"/>
    </xf>
    <xf numFmtId="0" fontId="170" fillId="2" borderId="22" xfId="0" applyFont="1" applyFill="1" applyBorder="1" applyAlignment="1">
      <alignment horizontal="center" vertical="center"/>
    </xf>
    <xf numFmtId="0" fontId="173" fillId="2" borderId="22" xfId="0" applyFont="1" applyFill="1" applyBorder="1" applyAlignment="1">
      <alignment horizontal="center" vertical="center"/>
    </xf>
    <xf numFmtId="0" fontId="173" fillId="2" borderId="22" xfId="0" applyFont="1" applyFill="1" applyBorder="1"/>
    <xf numFmtId="165" fontId="137" fillId="2" borderId="23" xfId="0" applyNumberFormat="1" applyFont="1" applyFill="1" applyBorder="1" applyAlignment="1">
      <alignment horizontal="right" wrapText="1"/>
    </xf>
    <xf numFmtId="0" fontId="136" fillId="0" borderId="22" xfId="0" applyFont="1" applyBorder="1" applyAlignment="1">
      <alignment wrapText="1"/>
    </xf>
    <xf numFmtId="0" fontId="177" fillId="0" borderId="48" xfId="0" applyFont="1" applyBorder="1" applyAlignment="1">
      <alignment horizontal="center" vertical="center"/>
    </xf>
    <xf numFmtId="0" fontId="177" fillId="0" borderId="22" xfId="0" applyFont="1" applyBorder="1" applyAlignment="1">
      <alignment horizontal="center" vertical="center"/>
    </xf>
    <xf numFmtId="0" fontId="177" fillId="0" borderId="49" xfId="0" applyFont="1" applyBorder="1" applyAlignment="1">
      <alignment horizontal="center" vertical="center"/>
    </xf>
    <xf numFmtId="0" fontId="163" fillId="0" borderId="48" xfId="0" applyFont="1" applyBorder="1" applyAlignment="1">
      <alignment horizontal="center" vertical="center" wrapText="1"/>
    </xf>
    <xf numFmtId="0" fontId="137" fillId="0" borderId="22" xfId="0" applyFont="1" applyBorder="1" applyAlignment="1">
      <alignment horizontal="center"/>
    </xf>
    <xf numFmtId="0" fontId="177" fillId="19" borderId="49" xfId="0" applyFont="1" applyFill="1" applyBorder="1" applyAlignment="1">
      <alignment horizontal="center" vertical="center"/>
    </xf>
    <xf numFmtId="0" fontId="137" fillId="0" borderId="48" xfId="0" applyFont="1" applyBorder="1"/>
    <xf numFmtId="165" fontId="163" fillId="0" borderId="22" xfId="0" applyNumberFormat="1" applyFont="1" applyBorder="1" applyAlignment="1">
      <alignment horizontal="center" vertical="center" wrapText="1"/>
    </xf>
    <xf numFmtId="0" fontId="178" fillId="17" borderId="22" xfId="0" applyFont="1" applyFill="1" applyBorder="1" applyAlignment="1">
      <alignment wrapText="1"/>
    </xf>
    <xf numFmtId="0" fontId="137" fillId="0" borderId="49" xfId="0" applyFont="1" applyBorder="1"/>
    <xf numFmtId="165" fontId="137" fillId="0" borderId="48" xfId="0" applyNumberFormat="1" applyFont="1" applyBorder="1"/>
    <xf numFmtId="0" fontId="163" fillId="0" borderId="22" xfId="0" applyFont="1" applyBorder="1" applyAlignment="1">
      <alignment horizontal="right"/>
    </xf>
    <xf numFmtId="165" fontId="137" fillId="0" borderId="49" xfId="0" applyNumberFormat="1" applyFont="1" applyBorder="1"/>
    <xf numFmtId="165" fontId="137" fillId="0" borderId="22" xfId="0" applyNumberFormat="1" applyFont="1" applyBorder="1" applyAlignment="1">
      <alignment horizontal="right"/>
    </xf>
    <xf numFmtId="0" fontId="136" fillId="18" borderId="48" xfId="0" applyFont="1" applyFill="1" applyBorder="1" applyAlignment="1">
      <alignment horizontal="center" vertical="center"/>
    </xf>
    <xf numFmtId="0" fontId="137" fillId="18" borderId="22" xfId="0" applyFont="1" applyFill="1" applyBorder="1" applyAlignment="1">
      <alignment horizontal="center" vertical="center"/>
    </xf>
    <xf numFmtId="0" fontId="136" fillId="18" borderId="40" xfId="0" applyFont="1" applyFill="1" applyBorder="1" applyAlignment="1">
      <alignment horizontal="center" vertical="center"/>
    </xf>
    <xf numFmtId="0" fontId="137" fillId="0" borderId="54" xfId="0" applyFont="1" applyBorder="1"/>
    <xf numFmtId="0" fontId="177" fillId="18" borderId="48" xfId="0" applyFont="1" applyFill="1" applyBorder="1" applyAlignment="1">
      <alignment horizontal="center" vertical="center"/>
    </xf>
    <xf numFmtId="0" fontId="177" fillId="18" borderId="22" xfId="0" applyFont="1" applyFill="1" applyBorder="1" applyAlignment="1">
      <alignment horizontal="center" vertical="center"/>
    </xf>
    <xf numFmtId="0" fontId="163" fillId="0" borderId="22" xfId="0" applyFont="1" applyBorder="1" applyAlignment="1">
      <alignment horizontal="center" vertical="center" wrapText="1"/>
    </xf>
    <xf numFmtId="0" fontId="137" fillId="0" borderId="22" xfId="0" applyFont="1" applyBorder="1" applyAlignment="1">
      <alignment horizontal="right"/>
    </xf>
    <xf numFmtId="0" fontId="137" fillId="18" borderId="48" xfId="0" applyFont="1" applyFill="1" applyBorder="1" applyAlignment="1">
      <alignment horizontal="center" vertical="center"/>
    </xf>
    <xf numFmtId="165" fontId="177" fillId="0" borderId="22" xfId="0" applyNumberFormat="1" applyFont="1" applyBorder="1" applyAlignment="1">
      <alignment horizontal="center" vertical="center"/>
    </xf>
    <xf numFmtId="165" fontId="177" fillId="0" borderId="49" xfId="0" applyNumberFormat="1" applyFont="1" applyBorder="1" applyAlignment="1">
      <alignment horizontal="center" vertical="center"/>
    </xf>
    <xf numFmtId="165" fontId="137" fillId="0" borderId="48" xfId="0" applyNumberFormat="1" applyFont="1" applyBorder="1" applyAlignment="1">
      <alignment horizontal="center" vertical="center"/>
    </xf>
    <xf numFmtId="0" fontId="163" fillId="0" borderId="22" xfId="0" applyFont="1" applyBorder="1" applyAlignment="1">
      <alignment horizontal="center"/>
    </xf>
    <xf numFmtId="0" fontId="137" fillId="16" borderId="48" xfId="0" applyFont="1" applyFill="1" applyBorder="1" applyAlignment="1">
      <alignment horizontal="center" vertical="center"/>
    </xf>
    <xf numFmtId="0" fontId="137" fillId="18" borderId="22" xfId="0" applyFont="1" applyFill="1" applyBorder="1" applyAlignment="1">
      <alignment horizontal="right" vertical="center"/>
    </xf>
    <xf numFmtId="0" fontId="137" fillId="17" borderId="22" xfId="0" applyFont="1" applyFill="1" applyBorder="1" applyAlignment="1">
      <alignment horizontal="center" vertical="center"/>
    </xf>
    <xf numFmtId="0" fontId="137" fillId="17" borderId="40" xfId="0" applyFont="1" applyFill="1" applyBorder="1"/>
    <xf numFmtId="0" fontId="137" fillId="17" borderId="49" xfId="0" applyFont="1" applyFill="1" applyBorder="1"/>
    <xf numFmtId="165" fontId="137" fillId="0" borderId="49" xfId="0" applyNumberFormat="1" applyFont="1" applyBorder="1" applyAlignment="1">
      <alignment horizontal="center" vertical="center"/>
    </xf>
    <xf numFmtId="0" fontId="137" fillId="0" borderId="48" xfId="0" applyFont="1" applyBorder="1" applyAlignment="1">
      <alignment horizontal="center" vertical="center"/>
    </xf>
    <xf numFmtId="165" fontId="157" fillId="19" borderId="49" xfId="0" applyNumberFormat="1" applyFont="1" applyFill="1" applyBorder="1"/>
    <xf numFmtId="0" fontId="137" fillId="0" borderId="49" xfId="0" applyFont="1" applyBorder="1" applyAlignment="1">
      <alignment horizontal="center" vertical="center"/>
    </xf>
    <xf numFmtId="0" fontId="177" fillId="3" borderId="48" xfId="0" applyFont="1" applyFill="1" applyBorder="1" applyAlignment="1">
      <alignment horizontal="center" vertical="center"/>
    </xf>
    <xf numFmtId="0" fontId="177" fillId="3" borderId="22" xfId="0" applyFont="1" applyFill="1" applyBorder="1" applyAlignment="1">
      <alignment horizontal="center" vertical="center"/>
    </xf>
    <xf numFmtId="0" fontId="163" fillId="19" borderId="49" xfId="0" applyFont="1" applyFill="1" applyBorder="1" applyAlignment="1">
      <alignment horizontal="center" vertical="center" wrapText="1"/>
    </xf>
    <xf numFmtId="0" fontId="137" fillId="3" borderId="22" xfId="0" applyFont="1" applyFill="1" applyBorder="1"/>
    <xf numFmtId="0" fontId="137" fillId="3" borderId="49" xfId="0" applyFont="1" applyFill="1" applyBorder="1"/>
    <xf numFmtId="2" fontId="137" fillId="0" borderId="54" xfId="0" applyNumberFormat="1" applyFont="1" applyBorder="1"/>
    <xf numFmtId="0" fontId="137" fillId="20" borderId="48" xfId="0" applyFont="1" applyFill="1" applyBorder="1"/>
    <xf numFmtId="0" fontId="137" fillId="20" borderId="22" xfId="0" applyFont="1" applyFill="1" applyBorder="1"/>
    <xf numFmtId="0" fontId="136" fillId="21" borderId="22" xfId="0" applyFont="1" applyFill="1" applyBorder="1"/>
    <xf numFmtId="0" fontId="136" fillId="21" borderId="23" xfId="0" applyFont="1" applyFill="1" applyBorder="1"/>
    <xf numFmtId="0" fontId="137" fillId="22" borderId="49" xfId="0" applyFont="1" applyFill="1" applyBorder="1"/>
    <xf numFmtId="0" fontId="136" fillId="19" borderId="21" xfId="0" applyFont="1" applyFill="1" applyBorder="1"/>
    <xf numFmtId="0" fontId="137" fillId="22" borderId="48" xfId="0" applyFont="1" applyFill="1" applyBorder="1"/>
    <xf numFmtId="0" fontId="137" fillId="22" borderId="22" xfId="0" applyFont="1" applyFill="1" applyBorder="1"/>
    <xf numFmtId="0" fontId="156" fillId="2" borderId="22" xfId="0" applyFont="1" applyFill="1" applyBorder="1" applyAlignment="1">
      <alignment horizontal="right"/>
    </xf>
    <xf numFmtId="0" fontId="136" fillId="21" borderId="48" xfId="0" applyFont="1" applyFill="1" applyBorder="1"/>
    <xf numFmtId="0" fontId="136" fillId="21" borderId="49" xfId="0" applyFont="1" applyFill="1" applyBorder="1"/>
    <xf numFmtId="165" fontId="137" fillId="15" borderId="40" xfId="0" applyNumberFormat="1" applyFont="1" applyFill="1" applyBorder="1"/>
    <xf numFmtId="0" fontId="137" fillId="15" borderId="49" xfId="0" applyFont="1" applyFill="1" applyBorder="1"/>
    <xf numFmtId="165" fontId="137" fillId="16" borderId="48" xfId="0" applyNumberFormat="1" applyFont="1" applyFill="1" applyBorder="1" applyAlignment="1">
      <alignment horizontal="center" vertical="center"/>
    </xf>
    <xf numFmtId="165" fontId="137" fillId="18" borderId="22" xfId="0" applyNumberFormat="1" applyFont="1" applyFill="1" applyBorder="1" applyAlignment="1">
      <alignment horizontal="center" vertical="center"/>
    </xf>
    <xf numFmtId="165" fontId="137" fillId="0" borderId="54" xfId="0" applyNumberFormat="1" applyFont="1" applyBorder="1"/>
    <xf numFmtId="0" fontId="137" fillId="0" borderId="48" xfId="0" applyFont="1" applyBorder="1" applyAlignment="1">
      <alignment horizontal="center" wrapText="1"/>
    </xf>
    <xf numFmtId="0" fontId="137" fillId="0" borderId="22" xfId="0" applyFont="1" applyBorder="1" applyAlignment="1">
      <alignment horizontal="center" wrapText="1"/>
    </xf>
    <xf numFmtId="0" fontId="137" fillId="0" borderId="49" xfId="0" applyFont="1" applyBorder="1" applyAlignment="1">
      <alignment horizontal="center" wrapText="1"/>
    </xf>
    <xf numFmtId="0" fontId="137" fillId="19" borderId="49" xfId="0" applyFont="1" applyFill="1" applyBorder="1"/>
    <xf numFmtId="0" fontId="137" fillId="0" borderId="22" xfId="0" applyFont="1" applyBorder="1" applyAlignment="1">
      <alignment wrapText="1"/>
    </xf>
    <xf numFmtId="0" fontId="151" fillId="3" borderId="48" xfId="0" applyFont="1" applyFill="1" applyBorder="1" applyAlignment="1">
      <alignment horizontal="right"/>
    </xf>
    <xf numFmtId="0" fontId="151" fillId="3" borderId="22" xfId="0" applyFont="1" applyFill="1" applyBorder="1" applyAlignment="1">
      <alignment horizontal="right"/>
    </xf>
    <xf numFmtId="0" fontId="180" fillId="3" borderId="49" xfId="0" applyFont="1" applyFill="1" applyBorder="1" applyAlignment="1">
      <alignment horizontal="center"/>
    </xf>
    <xf numFmtId="0" fontId="144" fillId="3" borderId="48" xfId="0" applyFont="1" applyFill="1" applyBorder="1" applyAlignment="1">
      <alignment horizontal="center"/>
    </xf>
    <xf numFmtId="0" fontId="144" fillId="3" borderId="22" xfId="0" applyFont="1" applyFill="1" applyBorder="1" applyAlignment="1">
      <alignment horizontal="center"/>
    </xf>
    <xf numFmtId="0" fontId="136" fillId="2" borderId="22" xfId="0" applyFont="1" applyFill="1" applyBorder="1"/>
    <xf numFmtId="165" fontId="136" fillId="0" borderId="49" xfId="0" applyNumberFormat="1" applyFont="1" applyBorder="1"/>
    <xf numFmtId="0" fontId="177" fillId="17" borderId="50" xfId="0" applyFont="1" applyFill="1" applyBorder="1" applyAlignment="1">
      <alignment horizontal="center" vertical="center"/>
    </xf>
    <xf numFmtId="0" fontId="177" fillId="17" borderId="38" xfId="0" applyFont="1" applyFill="1" applyBorder="1" applyAlignment="1">
      <alignment horizontal="center" vertical="center"/>
    </xf>
    <xf numFmtId="0" fontId="163" fillId="17" borderId="38" xfId="0" applyFont="1" applyFill="1" applyBorder="1" applyAlignment="1">
      <alignment horizontal="center" vertical="center"/>
    </xf>
    <xf numFmtId="0" fontId="177" fillId="17" borderId="51" xfId="0" applyFont="1" applyFill="1" applyBorder="1" applyAlignment="1">
      <alignment horizontal="center" vertical="center"/>
    </xf>
    <xf numFmtId="0" fontId="137" fillId="17" borderId="50" xfId="0" applyFont="1" applyFill="1" applyBorder="1" applyAlignment="1">
      <alignment horizontal="center" vertical="center" wrapText="1"/>
    </xf>
    <xf numFmtId="0" fontId="137" fillId="17" borderId="38" xfId="0" applyFont="1" applyFill="1" applyBorder="1" applyAlignment="1">
      <alignment horizontal="center" vertical="center"/>
    </xf>
    <xf numFmtId="0" fontId="137" fillId="17" borderId="51" xfId="0" applyFont="1" applyFill="1" applyBorder="1"/>
    <xf numFmtId="0" fontId="137" fillId="17" borderId="50" xfId="0" applyFont="1" applyFill="1" applyBorder="1"/>
    <xf numFmtId="0" fontId="137" fillId="17" borderId="38" xfId="0" applyFont="1" applyFill="1" applyBorder="1"/>
    <xf numFmtId="0" fontId="137" fillId="17" borderId="38" xfId="0" applyFont="1" applyFill="1" applyBorder="1" applyAlignment="1">
      <alignment horizontal="center" vertical="center" wrapText="1"/>
    </xf>
    <xf numFmtId="165" fontId="137" fillId="17" borderId="38" xfId="0" applyNumberFormat="1" applyFont="1" applyFill="1" applyBorder="1" applyAlignment="1">
      <alignment horizontal="right"/>
    </xf>
    <xf numFmtId="165" fontId="137" fillId="17" borderId="51" xfId="0" applyNumberFormat="1" applyFont="1" applyFill="1" applyBorder="1"/>
    <xf numFmtId="0" fontId="137" fillId="17" borderId="50" xfId="0" applyFont="1" applyFill="1" applyBorder="1" applyAlignment="1">
      <alignment horizontal="center" vertical="center"/>
    </xf>
    <xf numFmtId="0" fontId="136" fillId="17" borderId="38" xfId="0" applyFont="1" applyFill="1" applyBorder="1" applyAlignment="1">
      <alignment horizontal="center" vertical="center"/>
    </xf>
    <xf numFmtId="0" fontId="137" fillId="17" borderId="39" xfId="0" applyFont="1" applyFill="1" applyBorder="1" applyAlignment="1">
      <alignment horizontal="center" vertical="center"/>
    </xf>
    <xf numFmtId="0" fontId="137" fillId="17" borderId="51" xfId="0" applyFont="1" applyFill="1" applyBorder="1" applyAlignment="1">
      <alignment horizontal="center" vertical="center"/>
    </xf>
    <xf numFmtId="0" fontId="137" fillId="17" borderId="39" xfId="0" applyFont="1" applyFill="1" applyBorder="1"/>
    <xf numFmtId="0" fontId="137" fillId="0" borderId="48" xfId="0" applyFont="1" applyBorder="1" applyAlignment="1">
      <alignment horizontal="center" vertical="center" wrapText="1"/>
    </xf>
    <xf numFmtId="0" fontId="137" fillId="0" borderId="22" xfId="0" applyFont="1" applyBorder="1" applyAlignment="1">
      <alignment horizontal="center" vertical="center" wrapText="1"/>
    </xf>
    <xf numFmtId="0" fontId="181" fillId="0" borderId="0" xfId="0" applyFont="1"/>
    <xf numFmtId="165" fontId="163" fillId="0" borderId="49" xfId="0" applyNumberFormat="1" applyFont="1" applyBorder="1" applyAlignment="1">
      <alignment horizontal="center" vertical="center" wrapText="1"/>
    </xf>
    <xf numFmtId="0" fontId="163" fillId="0" borderId="54" xfId="0" applyFont="1" applyBorder="1" applyAlignment="1">
      <alignment horizontal="center" vertical="center" wrapText="1"/>
    </xf>
    <xf numFmtId="165" fontId="191" fillId="0" borderId="22" xfId="0" applyNumberFormat="1" applyFont="1" applyBorder="1" applyAlignment="1">
      <alignment horizontal="center" vertical="center" wrapText="1"/>
    </xf>
    <xf numFmtId="0" fontId="191" fillId="0" borderId="49" xfId="0" applyFont="1" applyBorder="1" applyAlignment="1">
      <alignment horizontal="center" vertical="center" wrapText="1"/>
    </xf>
    <xf numFmtId="0" fontId="137" fillId="0" borderId="48" xfId="0" applyFont="1" applyBorder="1" applyAlignment="1">
      <alignment horizontal="center"/>
    </xf>
    <xf numFmtId="165" fontId="137" fillId="0" borderId="22" xfId="0" applyNumberFormat="1" applyFont="1" applyBorder="1" applyAlignment="1">
      <alignment horizontal="center"/>
    </xf>
    <xf numFmtId="0" fontId="137" fillId="0" borderId="49" xfId="0" applyFont="1" applyBorder="1" applyAlignment="1">
      <alignment horizontal="center"/>
    </xf>
    <xf numFmtId="165" fontId="137" fillId="0" borderId="48" xfId="0" applyNumberFormat="1" applyFont="1" applyBorder="1" applyAlignment="1">
      <alignment horizontal="center"/>
    </xf>
    <xf numFmtId="0" fontId="137" fillId="16" borderId="22" xfId="0" applyFont="1" applyFill="1" applyBorder="1" applyAlignment="1">
      <alignment horizontal="center"/>
    </xf>
    <xf numFmtId="0" fontId="136" fillId="0" borderId="49" xfId="0" applyFont="1" applyBorder="1" applyAlignment="1">
      <alignment horizontal="center"/>
    </xf>
    <xf numFmtId="165" fontId="137" fillId="0" borderId="34" xfId="0" applyNumberFormat="1" applyFont="1" applyBorder="1" applyAlignment="1">
      <alignment horizontal="right" wrapText="1"/>
    </xf>
    <xf numFmtId="0" fontId="192" fillId="0" borderId="22" xfId="0" applyFont="1" applyBorder="1" applyAlignment="1">
      <alignment horizontal="center"/>
    </xf>
    <xf numFmtId="0" fontId="163" fillId="0" borderId="49" xfId="0" applyFont="1" applyBorder="1" applyAlignment="1">
      <alignment horizontal="center" vertical="center" wrapText="1"/>
    </xf>
    <xf numFmtId="0" fontId="161" fillId="0" borderId="22" xfId="0" applyFont="1" applyBorder="1" applyAlignment="1">
      <alignment horizontal="center"/>
    </xf>
    <xf numFmtId="0" fontId="136" fillId="0" borderId="48" xfId="0" applyFont="1" applyBorder="1"/>
    <xf numFmtId="0" fontId="136" fillId="3" borderId="1" xfId="0" applyFont="1" applyFill="1" applyBorder="1"/>
    <xf numFmtId="0" fontId="137" fillId="2" borderId="22" xfId="0" applyFont="1" applyFill="1" applyBorder="1" applyAlignment="1">
      <alignment wrapText="1"/>
    </xf>
    <xf numFmtId="0" fontId="147" fillId="3" borderId="22" xfId="0" applyFont="1" applyFill="1" applyBorder="1" applyAlignment="1">
      <alignment horizontal="center" vertical="center" wrapText="1"/>
    </xf>
    <xf numFmtId="0" fontId="142" fillId="6" borderId="28" xfId="0" applyFont="1" applyFill="1" applyBorder="1" applyAlignment="1">
      <alignment horizontal="center" vertical="center" wrapText="1"/>
    </xf>
    <xf numFmtId="0" fontId="136" fillId="0" borderId="41" xfId="0" applyFont="1" applyBorder="1"/>
    <xf numFmtId="0" fontId="141" fillId="0" borderId="22" xfId="0" applyFont="1" applyBorder="1" applyAlignment="1">
      <alignment horizontal="center" vertical="center" wrapText="1"/>
    </xf>
    <xf numFmtId="0" fontId="143" fillId="2" borderId="22" xfId="0" applyFont="1" applyFill="1" applyBorder="1" applyAlignment="1">
      <alignment horizontal="center" vertical="center"/>
    </xf>
    <xf numFmtId="0" fontId="198" fillId="0" borderId="22" xfId="0" applyFont="1" applyBorder="1"/>
    <xf numFmtId="0" fontId="144" fillId="0" borderId="22" xfId="0" applyFont="1" applyBorder="1" applyAlignment="1">
      <alignment horizontal="center"/>
    </xf>
    <xf numFmtId="0" fontId="198" fillId="2" borderId="22" xfId="0" applyFont="1" applyFill="1" applyBorder="1"/>
    <xf numFmtId="0" fontId="137" fillId="0" borderId="0" xfId="0" applyFont="1" applyAlignment="1">
      <alignment horizontal="center"/>
    </xf>
    <xf numFmtId="0" fontId="191" fillId="0" borderId="0" xfId="0" applyFont="1"/>
    <xf numFmtId="0" fontId="199" fillId="0" borderId="0" xfId="0" applyFont="1"/>
    <xf numFmtId="0" fontId="200" fillId="0" borderId="0" xfId="0" applyFont="1" applyAlignment="1">
      <alignment horizontal="center"/>
    </xf>
    <xf numFmtId="0" fontId="193" fillId="2" borderId="22" xfId="0" applyFont="1" applyFill="1" applyBorder="1" applyAlignment="1">
      <alignment horizontal="center" vertical="center"/>
    </xf>
    <xf numFmtId="0" fontId="162" fillId="0" borderId="22" xfId="0" applyFont="1" applyBorder="1" applyAlignment="1">
      <alignment horizontal="center"/>
    </xf>
    <xf numFmtId="0" fontId="171" fillId="0" borderId="0" xfId="0" applyFont="1"/>
    <xf numFmtId="0" fontId="197" fillId="0" borderId="41" xfId="0" applyFont="1" applyBorder="1" applyAlignment="1">
      <alignment horizontal="center" vertical="center" wrapText="1"/>
    </xf>
    <xf numFmtId="17" fontId="136" fillId="0" borderId="0" xfId="0" applyNumberFormat="1" applyFont="1"/>
    <xf numFmtId="0" fontId="136" fillId="0" borderId="17" xfId="0" applyFont="1" applyBorder="1"/>
    <xf numFmtId="0" fontId="162" fillId="15" borderId="22" xfId="0" applyFont="1" applyFill="1" applyBorder="1"/>
    <xf numFmtId="0" fontId="144" fillId="0" borderId="0" xfId="0" applyFont="1" applyAlignment="1">
      <alignment horizontal="center"/>
    </xf>
    <xf numFmtId="169" fontId="137" fillId="0" borderId="0" xfId="0" applyNumberFormat="1" applyFont="1"/>
    <xf numFmtId="0" fontId="147" fillId="3" borderId="40" xfId="0" applyFont="1" applyFill="1" applyBorder="1" applyAlignment="1">
      <alignment horizontal="center" vertical="center" wrapText="1"/>
    </xf>
    <xf numFmtId="0" fontId="172" fillId="2" borderId="22" xfId="0" applyFont="1" applyFill="1" applyBorder="1"/>
    <xf numFmtId="0" fontId="156" fillId="0" borderId="11" xfId="0" applyFont="1" applyBorder="1" applyAlignment="1">
      <alignment horizontal="center" vertical="center" wrapText="1"/>
    </xf>
    <xf numFmtId="0" fontId="151" fillId="15" borderId="28" xfId="0" applyFont="1" applyFill="1" applyBorder="1" applyAlignment="1">
      <alignment horizontal="center" vertical="center" wrapText="1"/>
    </xf>
    <xf numFmtId="0" fontId="151" fillId="15" borderId="1" xfId="0" applyFont="1" applyFill="1" applyBorder="1" applyAlignment="1">
      <alignment horizontal="center" vertical="center" wrapText="1"/>
    </xf>
    <xf numFmtId="0" fontId="137" fillId="15" borderId="22" xfId="0" applyFont="1" applyFill="1" applyBorder="1" applyAlignment="1">
      <alignment horizontal="center" vertical="center" wrapText="1"/>
    </xf>
    <xf numFmtId="0" fontId="137" fillId="0" borderId="54" xfId="0" applyFont="1" applyBorder="1" applyAlignment="1">
      <alignment horizontal="center" vertical="center"/>
    </xf>
    <xf numFmtId="165" fontId="137" fillId="2" borderId="22" xfId="0" applyNumberFormat="1" applyFont="1" applyFill="1" applyBorder="1"/>
    <xf numFmtId="0" fontId="177" fillId="0" borderId="0" xfId="0" applyFont="1"/>
    <xf numFmtId="0" fontId="137" fillId="0" borderId="66" xfId="0" applyFont="1" applyBorder="1" applyAlignment="1">
      <alignment horizontal="center" vertical="center"/>
    </xf>
    <xf numFmtId="0" fontId="136" fillId="17" borderId="22" xfId="0" applyFont="1" applyFill="1" applyBorder="1"/>
    <xf numFmtId="0" fontId="137" fillId="32" borderId="1" xfId="0" applyFont="1" applyFill="1" applyBorder="1"/>
    <xf numFmtId="166" fontId="157" fillId="0" borderId="0" xfId="0" applyNumberFormat="1" applyFont="1"/>
    <xf numFmtId="166" fontId="151" fillId="0" borderId="0" xfId="0" applyNumberFormat="1" applyFont="1"/>
    <xf numFmtId="0" fontId="207" fillId="0" borderId="0" xfId="0" applyFont="1" applyAlignment="1">
      <alignment wrapText="1"/>
    </xf>
    <xf numFmtId="0" fontId="198" fillId="0" borderId="22" xfId="0" applyFont="1" applyBorder="1" applyAlignment="1">
      <alignment horizontal="center"/>
    </xf>
    <xf numFmtId="165" fontId="195" fillId="0" borderId="22" xfId="0" applyNumberFormat="1" applyFont="1" applyBorder="1" applyAlignment="1">
      <alignment horizontal="center" vertical="center"/>
    </xf>
    <xf numFmtId="0" fontId="196" fillId="0" borderId="22" xfId="0" applyFont="1" applyBorder="1" applyAlignment="1">
      <alignment horizontal="center" vertical="center"/>
    </xf>
    <xf numFmtId="0" fontId="172" fillId="0" borderId="22" xfId="0" applyFont="1" applyBorder="1"/>
    <xf numFmtId="0" fontId="195" fillId="0" borderId="22" xfId="0" applyFont="1" applyBorder="1" applyAlignment="1">
      <alignment horizontal="center" vertical="center"/>
    </xf>
    <xf numFmtId="0" fontId="198" fillId="0" borderId="41" xfId="0" applyFont="1" applyBorder="1" applyAlignment="1">
      <alignment horizontal="center"/>
    </xf>
    <xf numFmtId="0" fontId="137" fillId="0" borderId="0" xfId="0" applyFont="1" applyAlignment="1">
      <alignment horizontal="center" vertical="center"/>
    </xf>
    <xf numFmtId="17" fontId="137" fillId="0" borderId="0" xfId="0" applyNumberFormat="1" applyFont="1"/>
    <xf numFmtId="0" fontId="136" fillId="18" borderId="22" xfId="0" applyFont="1" applyFill="1" applyBorder="1"/>
    <xf numFmtId="0" fontId="198" fillId="0" borderId="41" xfId="0" applyFont="1" applyBorder="1"/>
    <xf numFmtId="0" fontId="177" fillId="0" borderId="22" xfId="0" applyFont="1" applyBorder="1"/>
    <xf numFmtId="165" fontId="137" fillId="0" borderId="22" xfId="0" applyNumberFormat="1" applyFont="1" applyBorder="1" applyAlignment="1">
      <alignment horizontal="right" wrapText="1"/>
    </xf>
    <xf numFmtId="0" fontId="137" fillId="28" borderId="1" xfId="0" applyFont="1" applyFill="1" applyBorder="1"/>
    <xf numFmtId="0" fontId="162" fillId="0" borderId="0" xfId="0" applyFont="1"/>
    <xf numFmtId="0" fontId="192" fillId="0" borderId="0" xfId="0" applyFont="1"/>
    <xf numFmtId="0" fontId="151" fillId="0" borderId="17" xfId="0" applyFont="1" applyBorder="1" applyAlignment="1">
      <alignment horizontal="center"/>
    </xf>
    <xf numFmtId="0" fontId="202" fillId="0" borderId="22" xfId="0" applyFont="1" applyBorder="1"/>
    <xf numFmtId="0" fontId="158" fillId="0" borderId="54" xfId="0" applyFont="1" applyBorder="1" applyAlignment="1">
      <alignment horizontal="center" wrapText="1"/>
    </xf>
    <xf numFmtId="0" fontId="158" fillId="0" borderId="22" xfId="0" applyFont="1" applyBorder="1" applyAlignment="1">
      <alignment horizontal="center" wrapText="1"/>
    </xf>
    <xf numFmtId="0" fontId="158" fillId="0" borderId="17" xfId="0" applyFont="1" applyBorder="1" applyAlignment="1">
      <alignment horizontal="center" wrapText="1"/>
    </xf>
    <xf numFmtId="0" fontId="202" fillId="0" borderId="54" xfId="0" applyFont="1" applyBorder="1" applyAlignment="1">
      <alignment horizontal="center" vertical="center" wrapText="1"/>
    </xf>
    <xf numFmtId="0" fontId="136" fillId="0" borderId="32" xfId="0" applyFont="1" applyBorder="1" applyAlignment="1">
      <alignment wrapText="1"/>
    </xf>
    <xf numFmtId="0" fontId="136" fillId="0" borderId="33" xfId="0" applyFont="1" applyBorder="1" applyAlignment="1">
      <alignment wrapText="1"/>
    </xf>
    <xf numFmtId="0" fontId="136" fillId="0" borderId="84" xfId="0" applyFont="1" applyBorder="1" applyAlignment="1">
      <alignment wrapText="1"/>
    </xf>
    <xf numFmtId="0" fontId="194" fillId="15" borderId="76" xfId="0" applyFont="1" applyFill="1" applyBorder="1" applyAlignment="1">
      <alignment horizontal="center" vertical="center"/>
    </xf>
    <xf numFmtId="0" fontId="191" fillId="15" borderId="1" xfId="0" applyFont="1" applyFill="1" applyBorder="1" applyAlignment="1">
      <alignment horizontal="left"/>
    </xf>
    <xf numFmtId="0" fontId="193" fillId="10" borderId="85" xfId="0" applyFont="1" applyFill="1" applyBorder="1" applyAlignment="1">
      <alignment horizontal="center" vertical="center" wrapText="1"/>
    </xf>
    <xf numFmtId="0" fontId="193" fillId="10" borderId="86" xfId="0" applyFont="1" applyFill="1" applyBorder="1" applyAlignment="1">
      <alignment horizontal="center" vertical="center" wrapText="1"/>
    </xf>
    <xf numFmtId="0" fontId="193" fillId="10" borderId="87" xfId="0" applyFont="1" applyFill="1" applyBorder="1" applyAlignment="1">
      <alignment horizontal="center" vertical="center" wrapText="1"/>
    </xf>
    <xf numFmtId="0" fontId="193" fillId="17" borderId="86" xfId="0" applyFont="1" applyFill="1" applyBorder="1" applyAlignment="1">
      <alignment horizontal="center" vertical="center" wrapText="1"/>
    </xf>
    <xf numFmtId="0" fontId="194" fillId="17" borderId="86" xfId="0" applyFont="1" applyFill="1" applyBorder="1" applyAlignment="1">
      <alignment horizontal="center" vertical="center" wrapText="1"/>
    </xf>
    <xf numFmtId="0" fontId="193" fillId="17" borderId="85" xfId="0" applyFont="1" applyFill="1" applyBorder="1" applyAlignment="1">
      <alignment horizontal="center" vertical="center" wrapText="1"/>
    </xf>
    <xf numFmtId="0" fontId="157" fillId="40" borderId="88" xfId="0" applyFont="1" applyFill="1" applyBorder="1" applyAlignment="1">
      <alignment horizontal="center" vertical="center" wrapText="1"/>
    </xf>
    <xf numFmtId="0" fontId="157" fillId="40" borderId="89" xfId="0" applyFont="1" applyFill="1" applyBorder="1" applyAlignment="1">
      <alignment horizontal="center" vertical="center" wrapText="1"/>
    </xf>
    <xf numFmtId="0" fontId="157" fillId="40" borderId="90" xfId="0" applyFont="1" applyFill="1" applyBorder="1" applyAlignment="1">
      <alignment horizontal="center" vertical="center" wrapText="1"/>
    </xf>
    <xf numFmtId="0" fontId="157" fillId="21" borderId="29" xfId="0" applyFont="1" applyFill="1" applyBorder="1" applyAlignment="1">
      <alignment vertical="center" wrapText="1"/>
    </xf>
    <xf numFmtId="0" fontId="157" fillId="21" borderId="69" xfId="0" applyFont="1" applyFill="1" applyBorder="1" applyAlignment="1">
      <alignment horizontal="center" vertical="center" wrapText="1"/>
    </xf>
    <xf numFmtId="0" fontId="157" fillId="41" borderId="69" xfId="0" applyFont="1" applyFill="1" applyBorder="1" applyAlignment="1">
      <alignment horizontal="center" vertical="center" wrapText="1"/>
    </xf>
    <xf numFmtId="0" fontId="157" fillId="41" borderId="70" xfId="0" applyFont="1" applyFill="1" applyBorder="1" applyAlignment="1">
      <alignment horizontal="center" vertical="center" wrapText="1"/>
    </xf>
    <xf numFmtId="17" fontId="137" fillId="0" borderId="22" xfId="0" applyNumberFormat="1" applyFont="1" applyBorder="1"/>
    <xf numFmtId="0" fontId="196" fillId="18" borderId="35" xfId="0" applyFont="1" applyFill="1" applyBorder="1" applyAlignment="1">
      <alignment horizontal="center" vertical="center"/>
    </xf>
    <xf numFmtId="0" fontId="196" fillId="0" borderId="32" xfId="0" applyFont="1" applyBorder="1" applyAlignment="1">
      <alignment horizontal="center" vertical="center" wrapText="1"/>
    </xf>
    <xf numFmtId="0" fontId="203" fillId="0" borderId="22" xfId="0" applyFont="1" applyBorder="1" applyAlignment="1">
      <alignment horizontal="center" vertical="center"/>
    </xf>
    <xf numFmtId="165" fontId="196" fillId="0" borderId="22" xfId="0" applyNumberFormat="1" applyFont="1" applyBorder="1" applyAlignment="1">
      <alignment horizontal="center" vertical="center"/>
    </xf>
    <xf numFmtId="0" fontId="195" fillId="0" borderId="17" xfId="0" applyFont="1" applyBorder="1" applyAlignment="1">
      <alignment horizontal="center" vertical="center"/>
    </xf>
    <xf numFmtId="0" fontId="195" fillId="0" borderId="34" xfId="0" applyFont="1" applyBorder="1" applyAlignment="1">
      <alignment horizontal="center" vertical="center" wrapText="1"/>
    </xf>
    <xf numFmtId="0" fontId="196" fillId="0" borderId="34" xfId="0" applyFont="1" applyBorder="1" applyAlignment="1">
      <alignment horizontal="center" vertical="center" wrapText="1"/>
    </xf>
    <xf numFmtId="0" fontId="151" fillId="0" borderId="54" xfId="0" applyFont="1" applyBorder="1" applyAlignment="1">
      <alignment horizontal="center"/>
    </xf>
    <xf numFmtId="165" fontId="137" fillId="0" borderId="22" xfId="0" applyNumberFormat="1" applyFont="1" applyBorder="1" applyAlignment="1">
      <alignment wrapText="1"/>
    </xf>
    <xf numFmtId="0" fontId="137" fillId="0" borderId="66" xfId="0" applyFont="1" applyBorder="1"/>
    <xf numFmtId="0" fontId="196" fillId="2" borderId="35" xfId="0" applyFont="1" applyFill="1" applyBorder="1" applyAlignment="1">
      <alignment horizontal="center" vertical="center"/>
    </xf>
    <xf numFmtId="0" fontId="137" fillId="0" borderId="91" xfId="0" applyFont="1" applyBorder="1" applyAlignment="1">
      <alignment wrapText="1"/>
    </xf>
    <xf numFmtId="0" fontId="137" fillId="17" borderId="22" xfId="0" applyFont="1" applyFill="1" applyBorder="1" applyAlignment="1">
      <alignment wrapText="1"/>
    </xf>
    <xf numFmtId="0" fontId="196" fillId="2" borderId="22" xfId="0" applyFont="1" applyFill="1" applyBorder="1" applyAlignment="1">
      <alignment horizontal="center" vertical="center"/>
    </xf>
    <xf numFmtId="170" fontId="195" fillId="0" borderId="22" xfId="0" applyNumberFormat="1" applyFont="1" applyBorder="1" applyAlignment="1">
      <alignment horizontal="center" vertical="center"/>
    </xf>
    <xf numFmtId="0" fontId="195" fillId="0" borderId="0" xfId="0" applyFont="1" applyAlignment="1">
      <alignment horizontal="center" vertical="center"/>
    </xf>
    <xf numFmtId="0" fontId="194" fillId="2" borderId="22" xfId="0" applyFont="1" applyFill="1" applyBorder="1" applyAlignment="1">
      <alignment horizontal="center" vertical="center"/>
    </xf>
    <xf numFmtId="0" fontId="216" fillId="11" borderId="90" xfId="0" applyFont="1" applyFill="1" applyBorder="1" applyAlignment="1">
      <alignment vertical="center" wrapText="1"/>
    </xf>
    <xf numFmtId="0" fontId="197" fillId="11" borderId="90" xfId="0" applyFont="1" applyFill="1" applyBorder="1" applyAlignment="1">
      <alignment vertical="center" wrapText="1"/>
    </xf>
    <xf numFmtId="0" fontId="217" fillId="11" borderId="90" xfId="0" applyFont="1" applyFill="1" applyBorder="1" applyAlignment="1">
      <alignment vertical="center" wrapText="1"/>
    </xf>
    <xf numFmtId="0" fontId="218" fillId="0" borderId="22" xfId="0" applyFont="1" applyBorder="1" applyAlignment="1">
      <alignment wrapText="1"/>
    </xf>
    <xf numFmtId="0" fontId="197" fillId="43" borderId="88" xfId="0" applyFont="1" applyFill="1" applyBorder="1" applyAlignment="1">
      <alignment vertical="center" wrapText="1"/>
    </xf>
    <xf numFmtId="0" fontId="172" fillId="43" borderId="1" xfId="0" applyFont="1" applyFill="1" applyBorder="1" applyAlignment="1">
      <alignment horizontal="center" wrapText="1"/>
    </xf>
    <xf numFmtId="0" fontId="141" fillId="25" borderId="88" xfId="0" applyFont="1" applyFill="1" applyBorder="1" applyAlignment="1">
      <alignment vertical="center" wrapText="1"/>
    </xf>
    <xf numFmtId="0" fontId="142" fillId="25" borderId="90" xfId="0" applyFont="1" applyFill="1" applyBorder="1" applyAlignment="1">
      <alignment vertical="center" wrapText="1"/>
    </xf>
    <xf numFmtId="0" fontId="142" fillId="25" borderId="88" xfId="0" applyFont="1" applyFill="1" applyBorder="1" applyAlignment="1">
      <alignment horizontal="center" vertical="center" wrapText="1"/>
    </xf>
    <xf numFmtId="0" fontId="142" fillId="38" borderId="90" xfId="0" applyFont="1" applyFill="1" applyBorder="1" applyAlignment="1">
      <alignment horizontal="center" vertical="center" wrapText="1"/>
    </xf>
    <xf numFmtId="0" fontId="219" fillId="44" borderId="90" xfId="0" applyFont="1" applyFill="1" applyBorder="1" applyAlignment="1">
      <alignment horizontal="center" vertical="center" wrapText="1"/>
    </xf>
    <xf numFmtId="0" fontId="142" fillId="44" borderId="90" xfId="0" applyFont="1" applyFill="1" applyBorder="1" applyAlignment="1">
      <alignment horizontal="center" vertical="center" wrapText="1"/>
    </xf>
    <xf numFmtId="0" fontId="220" fillId="22" borderId="90" xfId="0" applyFont="1" applyFill="1" applyBorder="1" applyAlignment="1">
      <alignment horizontal="center" vertical="center" wrapText="1"/>
    </xf>
    <xf numFmtId="0" fontId="220" fillId="22" borderId="22" xfId="0" applyFont="1" applyFill="1" applyBorder="1" applyAlignment="1">
      <alignment horizontal="center" vertical="center" wrapText="1"/>
    </xf>
    <xf numFmtId="0" fontId="220" fillId="22" borderId="1" xfId="0" applyFont="1" applyFill="1" applyBorder="1" applyAlignment="1">
      <alignment horizontal="center" vertical="center" wrapText="1"/>
    </xf>
    <xf numFmtId="49" fontId="137" fillId="0" borderId="22" xfId="0" applyNumberFormat="1" applyFont="1" applyBorder="1" applyAlignment="1">
      <alignment horizontal="right"/>
    </xf>
    <xf numFmtId="0" fontId="137" fillId="41" borderId="22" xfId="0" applyFont="1" applyFill="1" applyBorder="1" applyAlignment="1">
      <alignment horizontal="right"/>
    </xf>
    <xf numFmtId="0" fontId="221" fillId="0" borderId="22" xfId="0" applyFont="1" applyBorder="1"/>
    <xf numFmtId="0" fontId="196" fillId="0" borderId="22" xfId="0" applyFont="1" applyBorder="1" applyAlignment="1">
      <alignment horizontal="right" vertical="center"/>
    </xf>
    <xf numFmtId="0" fontId="137" fillId="45" borderId="22" xfId="0" applyFont="1" applyFill="1" applyBorder="1"/>
    <xf numFmtId="0" fontId="163" fillId="2" borderId="22" xfId="0" applyFont="1" applyFill="1" applyBorder="1" applyAlignment="1">
      <alignment horizontal="right"/>
    </xf>
    <xf numFmtId="0" fontId="196" fillId="24" borderId="22" xfId="0" applyFont="1" applyFill="1" applyBorder="1" applyAlignment="1">
      <alignment horizontal="center" vertical="center"/>
    </xf>
    <xf numFmtId="0" fontId="196" fillId="0" borderId="0" xfId="0" applyFont="1" applyAlignment="1">
      <alignment horizontal="right" vertical="center"/>
    </xf>
    <xf numFmtId="0" fontId="205" fillId="41" borderId="22" xfId="0" applyFont="1" applyFill="1" applyBorder="1" applyAlignment="1">
      <alignment horizontal="center" vertical="center"/>
    </xf>
    <xf numFmtId="0" fontId="137" fillId="18" borderId="22" xfId="0" applyFont="1" applyFill="1" applyBorder="1" applyAlignment="1">
      <alignment horizontal="right"/>
    </xf>
    <xf numFmtId="49" fontId="196" fillId="0" borderId="22" xfId="0" applyNumberFormat="1" applyFont="1" applyBorder="1" applyAlignment="1">
      <alignment horizontal="right" vertical="center"/>
    </xf>
    <xf numFmtId="49" fontId="137" fillId="17" borderId="22" xfId="0" applyNumberFormat="1" applyFont="1" applyFill="1" applyBorder="1"/>
    <xf numFmtId="0" fontId="223" fillId="31" borderId="22" xfId="0" applyFont="1" applyFill="1" applyBorder="1"/>
    <xf numFmtId="0" fontId="136" fillId="31" borderId="22" xfId="0" applyFont="1" applyFill="1" applyBorder="1"/>
    <xf numFmtId="0" fontId="172" fillId="0" borderId="0" xfId="0" applyFont="1"/>
    <xf numFmtId="0" fontId="172" fillId="0" borderId="41" xfId="0" applyFont="1" applyBorder="1"/>
    <xf numFmtId="0" fontId="225" fillId="46" borderId="22" xfId="0" applyFont="1" applyFill="1" applyBorder="1" applyAlignment="1">
      <alignment horizontal="center" vertical="center" wrapText="1"/>
    </xf>
    <xf numFmtId="0" fontId="142" fillId="46" borderId="22" xfId="0" applyFont="1" applyFill="1" applyBorder="1" applyAlignment="1">
      <alignment horizontal="center" vertical="center" wrapText="1"/>
    </xf>
    <xf numFmtId="0" fontId="142" fillId="17" borderId="22" xfId="0" applyFont="1" applyFill="1" applyBorder="1" applyAlignment="1">
      <alignment horizontal="center" vertical="center" wrapText="1"/>
    </xf>
    <xf numFmtId="0" fontId="226" fillId="17" borderId="22" xfId="0" applyFont="1" applyFill="1" applyBorder="1" applyAlignment="1">
      <alignment horizontal="center" vertical="center" wrapText="1"/>
    </xf>
    <xf numFmtId="0" fontId="142" fillId="47" borderId="22" xfId="0" applyFont="1" applyFill="1" applyBorder="1" applyAlignment="1">
      <alignment horizontal="center" vertical="center" wrapText="1"/>
    </xf>
    <xf numFmtId="0" fontId="142" fillId="47" borderId="40" xfId="0" applyFont="1" applyFill="1" applyBorder="1" applyAlignment="1">
      <alignment horizontal="center" vertical="center" wrapText="1"/>
    </xf>
    <xf numFmtId="0" fontId="227" fillId="0" borderId="11" xfId="0" applyFont="1" applyBorder="1" applyAlignment="1">
      <alignment wrapText="1"/>
    </xf>
    <xf numFmtId="0" fontId="228" fillId="0" borderId="41" xfId="0" applyFont="1" applyBorder="1" applyAlignment="1">
      <alignment wrapText="1"/>
    </xf>
    <xf numFmtId="0" fontId="137" fillId="2" borderId="42" xfId="0" applyFont="1" applyFill="1" applyBorder="1"/>
    <xf numFmtId="0" fontId="156" fillId="47" borderId="22" xfId="0" applyFont="1" applyFill="1" applyBorder="1" applyAlignment="1">
      <alignment horizontal="center" vertical="center" wrapText="1"/>
    </xf>
    <xf numFmtId="0" fontId="229" fillId="22" borderId="69" xfId="0" applyFont="1" applyFill="1" applyBorder="1" applyAlignment="1">
      <alignment horizontal="center" vertical="center" wrapText="1"/>
    </xf>
    <xf numFmtId="0" fontId="230" fillId="22" borderId="1" xfId="0" applyFont="1" applyFill="1" applyBorder="1" applyAlignment="1">
      <alignment horizontal="center" vertical="center" wrapText="1"/>
    </xf>
    <xf numFmtId="0" fontId="162" fillId="2" borderId="69" xfId="0" applyFont="1" applyFill="1" applyBorder="1" applyAlignment="1">
      <alignment horizontal="center" vertical="center" wrapText="1"/>
    </xf>
    <xf numFmtId="0" fontId="177" fillId="2" borderId="22" xfId="0" applyFont="1" applyFill="1" applyBorder="1"/>
    <xf numFmtId="0" fontId="191" fillId="0" borderId="22" xfId="0" applyFont="1" applyBorder="1" applyAlignment="1">
      <alignment horizontal="center"/>
    </xf>
    <xf numFmtId="164" fontId="156" fillId="0" borderId="22" xfId="0" applyNumberFormat="1" applyFont="1" applyBorder="1" applyAlignment="1">
      <alignment horizontal="right"/>
    </xf>
    <xf numFmtId="0" fontId="151" fillId="0" borderId="0" xfId="0" applyFont="1"/>
    <xf numFmtId="0" fontId="156" fillId="0" borderId="22" xfId="0" applyFont="1" applyBorder="1" applyAlignment="1">
      <alignment horizontal="right"/>
    </xf>
    <xf numFmtId="0" fontId="137" fillId="0" borderId="22" xfId="0" applyFont="1" applyBorder="1" applyAlignment="1">
      <alignment horizontal="left"/>
    </xf>
    <xf numFmtId="17" fontId="137" fillId="2" borderId="22" xfId="0" applyNumberFormat="1" applyFont="1" applyFill="1" applyBorder="1"/>
    <xf numFmtId="0" fontId="232" fillId="2" borderId="22" xfId="0" applyFont="1" applyFill="1" applyBorder="1" applyAlignment="1">
      <alignment wrapText="1"/>
    </xf>
    <xf numFmtId="0" fontId="177" fillId="3" borderId="22" xfId="0" applyFont="1" applyFill="1" applyBorder="1"/>
    <xf numFmtId="0" fontId="233" fillId="22" borderId="22" xfId="0" applyFont="1" applyFill="1" applyBorder="1" applyAlignment="1">
      <alignment horizontal="center" vertical="center" wrapText="1"/>
    </xf>
    <xf numFmtId="0" fontId="233" fillId="22" borderId="90" xfId="0" applyFont="1" applyFill="1" applyBorder="1" applyAlignment="1">
      <alignment horizontal="center" vertical="center" wrapText="1"/>
    </xf>
    <xf numFmtId="0" fontId="142" fillId="2" borderId="69" xfId="0" applyFont="1" applyFill="1" applyBorder="1" applyAlignment="1">
      <alignment horizontal="center" vertical="center" wrapText="1"/>
    </xf>
    <xf numFmtId="169" fontId="136" fillId="0" borderId="22" xfId="0" applyNumberFormat="1" applyFont="1" applyBorder="1"/>
    <xf numFmtId="0" fontId="221" fillId="2" borderId="22" xfId="0" applyFont="1" applyFill="1" applyBorder="1"/>
    <xf numFmtId="166" fontId="136" fillId="0" borderId="22" xfId="0" applyNumberFormat="1" applyFont="1" applyBorder="1"/>
    <xf numFmtId="0" fontId="234" fillId="0" borderId="0" xfId="0" applyFont="1"/>
    <xf numFmtId="0" fontId="142" fillId="2" borderId="22" xfId="0" applyFont="1" applyFill="1" applyBorder="1" applyAlignment="1">
      <alignment horizontal="center" vertical="center" wrapText="1"/>
    </xf>
    <xf numFmtId="0" fontId="233" fillId="17" borderId="22" xfId="0" applyFont="1" applyFill="1" applyBorder="1" applyAlignment="1">
      <alignment horizontal="center" vertical="center" wrapText="1"/>
    </xf>
    <xf numFmtId="0" fontId="220" fillId="17" borderId="22" xfId="0" applyFont="1" applyFill="1" applyBorder="1" applyAlignment="1">
      <alignment horizontal="center" vertical="center" wrapText="1"/>
    </xf>
    <xf numFmtId="0" fontId="142" fillId="34" borderId="22" xfId="0" applyFont="1" applyFill="1" applyBorder="1" applyAlignment="1">
      <alignment horizontal="center" vertical="center" wrapText="1"/>
    </xf>
    <xf numFmtId="0" fontId="142" fillId="22" borderId="22" xfId="0" applyFont="1" applyFill="1" applyBorder="1" applyAlignment="1">
      <alignment horizontal="center" vertical="center" wrapText="1"/>
    </xf>
    <xf numFmtId="0" fontId="146" fillId="22" borderId="22" xfId="0" applyFont="1" applyFill="1" applyBorder="1" applyAlignment="1">
      <alignment wrapText="1"/>
    </xf>
    <xf numFmtId="0" fontId="136" fillId="0" borderId="54" xfId="0" applyFont="1" applyBorder="1"/>
    <xf numFmtId="0" fontId="162" fillId="11" borderId="1" xfId="0" applyFont="1" applyFill="1" applyBorder="1" applyAlignment="1">
      <alignment wrapText="1"/>
    </xf>
    <xf numFmtId="0" fontId="136" fillId="11" borderId="1" xfId="0" applyFont="1" applyFill="1" applyBorder="1"/>
    <xf numFmtId="0" fontId="156" fillId="18" borderId="22" xfId="0" applyFont="1" applyFill="1" applyBorder="1"/>
    <xf numFmtId="0" fontId="137" fillId="42" borderId="22" xfId="0" applyFont="1" applyFill="1" applyBorder="1"/>
    <xf numFmtId="0" fontId="180" fillId="0" borderId="0" xfId="0" applyFont="1" applyAlignment="1">
      <alignment horizontal="center"/>
    </xf>
    <xf numFmtId="0" fontId="235" fillId="2" borderId="22" xfId="0" applyFont="1" applyFill="1" applyBorder="1" applyAlignment="1">
      <alignment wrapText="1"/>
    </xf>
    <xf numFmtId="0" fontId="177" fillId="0" borderId="94" xfId="0" applyFont="1" applyBorder="1" applyAlignment="1">
      <alignment vertical="center" wrapText="1"/>
    </xf>
    <xf numFmtId="0" fontId="177" fillId="0" borderId="22" xfId="0" applyFont="1" applyBorder="1" applyAlignment="1">
      <alignment vertical="center" wrapText="1"/>
    </xf>
    <xf numFmtId="0" fontId="136" fillId="18" borderId="1" xfId="0" applyFont="1" applyFill="1" applyBorder="1"/>
    <xf numFmtId="0" fontId="157" fillId="0" borderId="0" xfId="0" applyFont="1" applyAlignment="1">
      <alignment horizontal="center"/>
    </xf>
    <xf numFmtId="0" fontId="172" fillId="0" borderId="0" xfId="0" applyFont="1" applyAlignment="1">
      <alignment horizontal="center" wrapText="1"/>
    </xf>
    <xf numFmtId="0" fontId="158" fillId="0" borderId="22" xfId="0" applyFont="1" applyBorder="1" applyAlignment="1">
      <alignment vertical="top" wrapText="1"/>
    </xf>
    <xf numFmtId="1" fontId="136" fillId="0" borderId="22" xfId="0" applyNumberFormat="1" applyFont="1" applyBorder="1"/>
    <xf numFmtId="49" fontId="158" fillId="0" borderId="22" xfId="0" applyNumberFormat="1" applyFont="1" applyBorder="1"/>
    <xf numFmtId="0" fontId="136" fillId="0" borderId="66" xfId="0" applyFont="1" applyBorder="1"/>
    <xf numFmtId="0" fontId="136" fillId="18" borderId="28" xfId="0" applyFont="1" applyFill="1" applyBorder="1"/>
    <xf numFmtId="0" fontId="137" fillId="15" borderId="1" xfId="0" applyFont="1" applyFill="1" applyBorder="1" applyAlignment="1">
      <alignment horizontal="center" vertical="center"/>
    </xf>
    <xf numFmtId="0" fontId="177" fillId="15" borderId="1" xfId="0" applyFont="1" applyFill="1" applyBorder="1" applyAlignment="1">
      <alignment horizontal="center" vertical="center"/>
    </xf>
    <xf numFmtId="0" fontId="156" fillId="21" borderId="1" xfId="0" applyFont="1" applyFill="1" applyBorder="1" applyAlignment="1">
      <alignment horizontal="center" vertical="center" wrapText="1"/>
    </xf>
    <xf numFmtId="0" fontId="156" fillId="35" borderId="1" xfId="0" applyFont="1" applyFill="1" applyBorder="1" applyAlignment="1">
      <alignment horizontal="center" vertical="center" wrapText="1"/>
    </xf>
    <xf numFmtId="0" fontId="137" fillId="15" borderId="1" xfId="0" applyFont="1" applyFill="1" applyBorder="1" applyAlignment="1">
      <alignment horizontal="center" vertical="center" wrapText="1"/>
    </xf>
    <xf numFmtId="0" fontId="136" fillId="15" borderId="1" xfId="0" applyFont="1" applyFill="1" applyBorder="1"/>
    <xf numFmtId="0" fontId="142" fillId="6" borderId="22" xfId="0" applyFont="1" applyFill="1" applyBorder="1" applyAlignment="1">
      <alignment horizontal="center" vertical="center" wrapText="1"/>
    </xf>
    <xf numFmtId="0" fontId="151" fillId="0" borderId="66" xfId="0" applyFont="1" applyBorder="1" applyAlignment="1">
      <alignment horizontal="center" vertical="center" wrapText="1"/>
    </xf>
    <xf numFmtId="0" fontId="143" fillId="0" borderId="22" xfId="0" applyFont="1" applyBorder="1" applyAlignment="1">
      <alignment horizontal="center" vertical="center" wrapText="1"/>
    </xf>
    <xf numFmtId="1" fontId="137" fillId="18" borderId="1" xfId="0" applyNumberFormat="1" applyFont="1" applyFill="1" applyBorder="1" applyAlignment="1">
      <alignment horizontal="center" vertical="center"/>
    </xf>
    <xf numFmtId="0" fontId="151" fillId="33" borderId="28" xfId="0" applyFont="1" applyFill="1" applyBorder="1" applyAlignment="1">
      <alignment horizontal="center" vertical="center" wrapText="1"/>
    </xf>
    <xf numFmtId="165" fontId="137" fillId="0" borderId="0" xfId="0" applyNumberFormat="1" applyFont="1"/>
    <xf numFmtId="1" fontId="151" fillId="0" borderId="22" xfId="0" applyNumberFormat="1" applyFont="1" applyBorder="1" applyAlignment="1">
      <alignment horizontal="right"/>
    </xf>
    <xf numFmtId="0" fontId="151" fillId="18" borderId="42" xfId="0" applyFont="1" applyFill="1" applyBorder="1" applyAlignment="1">
      <alignment horizontal="left"/>
    </xf>
    <xf numFmtId="0" fontId="151" fillId="18" borderId="22" xfId="0" applyFont="1" applyFill="1" applyBorder="1"/>
    <xf numFmtId="0" fontId="151" fillId="15" borderId="22" xfId="0" applyFont="1" applyFill="1" applyBorder="1" applyAlignment="1">
      <alignment horizontal="center"/>
    </xf>
    <xf numFmtId="0" fontId="151" fillId="18" borderId="22" xfId="0" applyFont="1" applyFill="1" applyBorder="1" applyAlignment="1">
      <alignment horizontal="left"/>
    </xf>
    <xf numFmtId="1" fontId="137" fillId="18" borderId="22" xfId="0" applyNumberFormat="1" applyFont="1" applyFill="1" applyBorder="1" applyAlignment="1">
      <alignment horizontal="center" vertical="center"/>
    </xf>
    <xf numFmtId="165" fontId="151" fillId="0" borderId="22" xfId="0" applyNumberFormat="1" applyFont="1" applyBorder="1" applyAlignment="1">
      <alignment horizontal="right"/>
    </xf>
    <xf numFmtId="0" fontId="151" fillId="0" borderId="41" xfId="0" applyFont="1" applyBorder="1" applyAlignment="1">
      <alignment horizontal="center"/>
    </xf>
    <xf numFmtId="0" fontId="144" fillId="0" borderId="54" xfId="0" applyFont="1" applyBorder="1" applyAlignment="1">
      <alignment horizontal="center"/>
    </xf>
    <xf numFmtId="165" fontId="157" fillId="6" borderId="22" xfId="0" applyNumberFormat="1" applyFont="1" applyFill="1" applyBorder="1" applyAlignment="1">
      <alignment horizontal="center"/>
    </xf>
    <xf numFmtId="0" fontId="180" fillId="0" borderId="22" xfId="0" applyFont="1" applyBorder="1" applyAlignment="1">
      <alignment horizontal="center"/>
    </xf>
    <xf numFmtId="0" fontId="151" fillId="18" borderId="28" xfId="0" applyFont="1" applyFill="1" applyBorder="1"/>
    <xf numFmtId="0" fontId="151" fillId="18" borderId="31" xfId="0" applyFont="1" applyFill="1" applyBorder="1"/>
    <xf numFmtId="0" fontId="136" fillId="0" borderId="30" xfId="0" applyFont="1" applyBorder="1"/>
    <xf numFmtId="0" fontId="136" fillId="33" borderId="1" xfId="0" applyFont="1" applyFill="1" applyBorder="1"/>
    <xf numFmtId="167" fontId="198" fillId="0" borderId="41" xfId="0" applyNumberFormat="1" applyFont="1" applyBorder="1" applyAlignment="1">
      <alignment vertical="center"/>
    </xf>
    <xf numFmtId="0" fontId="162" fillId="15" borderId="42" xfId="0" applyFont="1" applyFill="1" applyBorder="1" applyAlignment="1">
      <alignment horizontal="left"/>
    </xf>
    <xf numFmtId="0" fontId="137" fillId="0" borderId="56" xfId="0" applyFont="1" applyBorder="1"/>
    <xf numFmtId="0" fontId="156" fillId="0" borderId="41" xfId="0" applyFont="1" applyBorder="1"/>
    <xf numFmtId="165" fontId="156" fillId="0" borderId="41" xfId="0" applyNumberFormat="1" applyFont="1" applyBorder="1"/>
    <xf numFmtId="0" fontId="198" fillId="5" borderId="35" xfId="0" applyFont="1" applyFill="1" applyBorder="1" applyAlignment="1">
      <alignment horizontal="left"/>
    </xf>
    <xf numFmtId="0" fontId="137" fillId="51" borderId="1" xfId="0" applyFont="1" applyFill="1" applyBorder="1"/>
    <xf numFmtId="165" fontId="172" fillId="0" borderId="41" xfId="0" applyNumberFormat="1" applyFont="1" applyBorder="1"/>
    <xf numFmtId="165" fontId="136" fillId="0" borderId="41" xfId="0" applyNumberFormat="1" applyFont="1" applyBorder="1"/>
    <xf numFmtId="167" fontId="198" fillId="0" borderId="22" xfId="0" applyNumberFormat="1" applyFont="1" applyBorder="1" applyAlignment="1">
      <alignment vertical="center"/>
    </xf>
    <xf numFmtId="0" fontId="162" fillId="15" borderId="22" xfId="0" applyFont="1" applyFill="1" applyBorder="1" applyAlignment="1">
      <alignment horizontal="left"/>
    </xf>
    <xf numFmtId="0" fontId="208" fillId="18" borderId="22" xfId="0" applyFont="1" applyFill="1" applyBorder="1"/>
    <xf numFmtId="0" fontId="156" fillId="2" borderId="42" xfId="0" applyFont="1" applyFill="1" applyBorder="1"/>
    <xf numFmtId="165" fontId="156" fillId="2" borderId="42" xfId="0" applyNumberFormat="1" applyFont="1" applyFill="1" applyBorder="1"/>
    <xf numFmtId="1" fontId="137" fillId="0" borderId="22" xfId="0" applyNumberFormat="1" applyFont="1" applyBorder="1" applyAlignment="1">
      <alignment horizontal="center" vertical="center"/>
    </xf>
    <xf numFmtId="1" fontId="137" fillId="6" borderId="22" xfId="0" applyNumberFormat="1" applyFont="1" applyFill="1" applyBorder="1" applyAlignment="1">
      <alignment horizontal="center" vertical="center"/>
    </xf>
    <xf numFmtId="1" fontId="137" fillId="33" borderId="22" xfId="0" applyNumberFormat="1" applyFont="1" applyFill="1" applyBorder="1" applyAlignment="1">
      <alignment horizontal="center" vertical="center"/>
    </xf>
    <xf numFmtId="165" fontId="137" fillId="33" borderId="22" xfId="0" applyNumberFormat="1" applyFont="1" applyFill="1" applyBorder="1" applyAlignment="1">
      <alignment horizontal="center" vertical="center"/>
    </xf>
    <xf numFmtId="165" fontId="137" fillId="6" borderId="22" xfId="0" applyNumberFormat="1" applyFont="1" applyFill="1" applyBorder="1" applyAlignment="1">
      <alignment horizontal="center" vertical="center"/>
    </xf>
    <xf numFmtId="0" fontId="151" fillId="0" borderId="22" xfId="0" applyFont="1" applyBorder="1" applyAlignment="1">
      <alignment horizontal="left"/>
    </xf>
    <xf numFmtId="0" fontId="198" fillId="0" borderId="22" xfId="0" applyFont="1" applyBorder="1" applyAlignment="1">
      <alignment vertical="center"/>
    </xf>
    <xf numFmtId="0" fontId="198" fillId="0" borderId="17" xfId="0" applyFont="1" applyBorder="1"/>
    <xf numFmtId="165" fontId="156" fillId="0" borderId="22" xfId="0" applyNumberFormat="1" applyFont="1" applyBorder="1"/>
    <xf numFmtId="0" fontId="136" fillId="15" borderId="22" xfId="0" applyFont="1" applyFill="1" applyBorder="1"/>
    <xf numFmtId="0" fontId="156" fillId="0" borderId="41" xfId="0" applyFont="1" applyBorder="1" applyAlignment="1">
      <alignment horizontal="right"/>
    </xf>
    <xf numFmtId="0" fontId="144" fillId="15" borderId="22" xfId="0" applyFont="1" applyFill="1" applyBorder="1" applyAlignment="1">
      <alignment horizontal="center" wrapText="1"/>
    </xf>
    <xf numFmtId="0" fontId="151" fillId="15" borderId="22" xfId="0" applyFont="1" applyFill="1" applyBorder="1" applyAlignment="1">
      <alignment horizontal="center" vertical="center" wrapText="1"/>
    </xf>
    <xf numFmtId="0" fontId="137" fillId="15" borderId="22" xfId="0" applyFont="1" applyFill="1" applyBorder="1" applyAlignment="1">
      <alignment horizontal="center" vertical="center"/>
    </xf>
    <xf numFmtId="0" fontId="151" fillId="0" borderId="22" xfId="0" applyFont="1" applyBorder="1" applyAlignment="1">
      <alignment horizontal="center" vertical="center" wrapText="1"/>
    </xf>
    <xf numFmtId="166" fontId="171" fillId="0" borderId="22" xfId="0" applyNumberFormat="1" applyFont="1" applyBorder="1"/>
    <xf numFmtId="0" fontId="136" fillId="31" borderId="35" xfId="0" applyFont="1" applyFill="1" applyBorder="1"/>
    <xf numFmtId="0" fontId="136" fillId="31" borderId="40" xfId="0" applyFont="1" applyFill="1" applyBorder="1"/>
    <xf numFmtId="165" fontId="239" fillId="0" borderId="22" xfId="0" applyNumberFormat="1" applyFont="1" applyBorder="1"/>
    <xf numFmtId="0" fontId="159" fillId="2" borderId="22" xfId="0" applyFont="1" applyFill="1" applyBorder="1"/>
    <xf numFmtId="0" fontId="151" fillId="0" borderId="41" xfId="0" applyFont="1" applyBorder="1"/>
    <xf numFmtId="0" fontId="156" fillId="0" borderId="20" xfId="0" applyFont="1" applyBorder="1"/>
    <xf numFmtId="0" fontId="162" fillId="15" borderId="67" xfId="0" applyFont="1" applyFill="1" applyBorder="1" applyAlignment="1">
      <alignment horizontal="left"/>
    </xf>
    <xf numFmtId="0" fontId="162" fillId="15" borderId="35" xfId="0" applyFont="1" applyFill="1" applyBorder="1" applyAlignment="1">
      <alignment horizontal="left"/>
    </xf>
    <xf numFmtId="0" fontId="156" fillId="0" borderId="24" xfId="0" applyFont="1" applyBorder="1" applyAlignment="1">
      <alignment horizontal="center"/>
    </xf>
    <xf numFmtId="0" fontId="151" fillId="15" borderId="40" xfId="0" applyFont="1" applyFill="1" applyBorder="1" applyAlignment="1">
      <alignment horizontal="center" vertical="center" wrapText="1"/>
    </xf>
    <xf numFmtId="0" fontId="151" fillId="15" borderId="35" xfId="0" applyFont="1" applyFill="1" applyBorder="1" applyAlignment="1">
      <alignment horizontal="center" vertical="center" wrapText="1"/>
    </xf>
    <xf numFmtId="0" fontId="156" fillId="23" borderId="35" xfId="0" applyFont="1" applyFill="1" applyBorder="1" applyAlignment="1">
      <alignment horizontal="center" vertical="center" wrapText="1"/>
    </xf>
    <xf numFmtId="0" fontId="156" fillId="23" borderId="22" xfId="0" applyFont="1" applyFill="1" applyBorder="1" applyAlignment="1">
      <alignment horizontal="center" vertical="center" wrapText="1"/>
    </xf>
    <xf numFmtId="0" fontId="136" fillId="21" borderId="21" xfId="0" applyFont="1" applyFill="1" applyBorder="1"/>
    <xf numFmtId="2" fontId="137" fillId="0" borderId="0" xfId="0" applyNumberFormat="1" applyFont="1"/>
    <xf numFmtId="0" fontId="143" fillId="0" borderId="11" xfId="0" applyFont="1" applyBorder="1" applyAlignment="1">
      <alignment horizontal="center" vertical="center" wrapText="1"/>
    </xf>
    <xf numFmtId="1" fontId="151" fillId="18" borderId="22" xfId="0" applyNumberFormat="1" applyFont="1" applyFill="1" applyBorder="1" applyAlignment="1">
      <alignment horizontal="center" vertical="center" wrapText="1"/>
    </xf>
    <xf numFmtId="0" fontId="137" fillId="0" borderId="0" xfId="0" applyFont="1" applyAlignment="1">
      <alignment horizontal="center" vertical="center" wrapText="1"/>
    </xf>
    <xf numFmtId="167" fontId="156" fillId="15" borderId="22" xfId="0" applyNumberFormat="1" applyFont="1" applyFill="1" applyBorder="1"/>
    <xf numFmtId="1" fontId="151" fillId="15" borderId="22" xfId="0" applyNumberFormat="1" applyFont="1" applyFill="1" applyBorder="1" applyAlignment="1">
      <alignment horizontal="right"/>
    </xf>
    <xf numFmtId="1" fontId="151" fillId="21" borderId="22" xfId="0" applyNumberFormat="1" applyFont="1" applyFill="1" applyBorder="1" applyAlignment="1">
      <alignment horizontal="right"/>
    </xf>
    <xf numFmtId="1" fontId="151" fillId="21" borderId="35" xfId="0" applyNumberFormat="1" applyFont="1" applyFill="1" applyBorder="1" applyAlignment="1">
      <alignment horizontal="right"/>
    </xf>
    <xf numFmtId="165" fontId="151" fillId="21" borderId="35" xfId="0" applyNumberFormat="1" applyFont="1" applyFill="1" applyBorder="1" applyAlignment="1">
      <alignment horizontal="right"/>
    </xf>
    <xf numFmtId="1" fontId="151" fillId="35" borderId="22" xfId="0" applyNumberFormat="1" applyFont="1" applyFill="1" applyBorder="1" applyAlignment="1">
      <alignment horizontal="right"/>
    </xf>
    <xf numFmtId="165" fontId="151" fillId="35" borderId="22" xfId="0" applyNumberFormat="1" applyFont="1" applyFill="1" applyBorder="1" applyAlignment="1">
      <alignment horizontal="right"/>
    </xf>
    <xf numFmtId="165" fontId="151" fillId="21" borderId="22" xfId="0" applyNumberFormat="1" applyFont="1" applyFill="1" applyBorder="1" applyAlignment="1">
      <alignment horizontal="right"/>
    </xf>
    <xf numFmtId="1" fontId="156" fillId="15" borderId="22" xfId="0" applyNumberFormat="1" applyFont="1" applyFill="1" applyBorder="1" applyAlignment="1">
      <alignment horizontal="right"/>
    </xf>
    <xf numFmtId="1" fontId="156" fillId="21" borderId="22" xfId="0" applyNumberFormat="1" applyFont="1" applyFill="1" applyBorder="1" applyAlignment="1">
      <alignment horizontal="right"/>
    </xf>
    <xf numFmtId="1" fontId="156" fillId="35" borderId="22" xfId="0" applyNumberFormat="1" applyFont="1" applyFill="1" applyBorder="1" applyAlignment="1">
      <alignment horizontal="right"/>
    </xf>
    <xf numFmtId="167" fontId="151" fillId="15" borderId="22" xfId="0" applyNumberFormat="1" applyFont="1" applyFill="1" applyBorder="1"/>
    <xf numFmtId="4" fontId="156" fillId="21" borderId="22" xfId="0" applyNumberFormat="1" applyFont="1" applyFill="1" applyBorder="1" applyAlignment="1">
      <alignment horizontal="right"/>
    </xf>
    <xf numFmtId="0" fontId="151" fillId="18" borderId="28" xfId="0" applyFont="1" applyFill="1" applyBorder="1" applyAlignment="1">
      <alignment horizontal="left"/>
    </xf>
    <xf numFmtId="0" fontId="136" fillId="0" borderId="0" xfId="0" applyFont="1" applyAlignment="1">
      <alignment horizontal="center"/>
    </xf>
    <xf numFmtId="2" fontId="222" fillId="0" borderId="0" xfId="0" applyNumberFormat="1" applyFont="1"/>
    <xf numFmtId="0" fontId="242" fillId="0" borderId="0" xfId="0" applyFont="1" applyAlignment="1">
      <alignment vertical="center"/>
    </xf>
    <xf numFmtId="0" fontId="243" fillId="0" borderId="0" xfId="0" applyFont="1" applyAlignment="1">
      <alignment horizontal="center" vertical="center"/>
    </xf>
    <xf numFmtId="0" fontId="147" fillId="0" borderId="0" xfId="0" applyFont="1" applyAlignment="1">
      <alignment horizontal="center"/>
    </xf>
    <xf numFmtId="0" fontId="245" fillId="0" borderId="0" xfId="0" applyFont="1" applyAlignment="1">
      <alignment vertical="center"/>
    </xf>
    <xf numFmtId="0" fontId="246" fillId="0" borderId="0" xfId="0" applyFont="1"/>
    <xf numFmtId="0" fontId="247" fillId="0" borderId="0" xfId="0" applyFont="1" applyAlignment="1">
      <alignment vertical="center"/>
    </xf>
    <xf numFmtId="0" fontId="249" fillId="0" borderId="0" xfId="0" applyFont="1"/>
    <xf numFmtId="0" fontId="147" fillId="0" borderId="0" xfId="0" applyFont="1"/>
    <xf numFmtId="0" fontId="249" fillId="0" borderId="0" xfId="0" applyFont="1" applyAlignment="1">
      <alignment horizontal="left" vertical="center"/>
    </xf>
    <xf numFmtId="0" fontId="250" fillId="0" borderId="0" xfId="0" applyFont="1" applyAlignment="1">
      <alignment horizontal="left"/>
    </xf>
    <xf numFmtId="0" fontId="252" fillId="0" borderId="0" xfId="0" applyFont="1"/>
    <xf numFmtId="0" fontId="253" fillId="0" borderId="0" xfId="0" applyFont="1" applyAlignment="1">
      <alignment horizontal="center"/>
    </xf>
    <xf numFmtId="0" fontId="254" fillId="22" borderId="100" xfId="0" applyFont="1" applyFill="1" applyBorder="1" applyAlignment="1">
      <alignment horizontal="center"/>
    </xf>
    <xf numFmtId="0" fontId="255" fillId="0" borderId="0" xfId="0" applyFont="1" applyAlignment="1">
      <alignment vertical="center"/>
    </xf>
    <xf numFmtId="0" fontId="256" fillId="0" borderId="0" xfId="0" applyFont="1"/>
    <xf numFmtId="0" fontId="137" fillId="0" borderId="0" xfId="0" applyFont="1" applyAlignment="1">
      <alignment horizontal="right"/>
    </xf>
    <xf numFmtId="0" fontId="257" fillId="0" borderId="0" xfId="0" applyFont="1"/>
    <xf numFmtId="0" fontId="177" fillId="0" borderId="0" xfId="0" applyFont="1" applyAlignment="1">
      <alignment vertical="center" wrapText="1"/>
    </xf>
    <xf numFmtId="0" fontId="231" fillId="0" borderId="0" xfId="0" applyFont="1"/>
    <xf numFmtId="0" fontId="221" fillId="0" borderId="0" xfId="0" applyFont="1"/>
    <xf numFmtId="0" fontId="136" fillId="0" borderId="0" xfId="0" applyFont="1" applyAlignment="1">
      <alignment horizontal="right"/>
    </xf>
    <xf numFmtId="0" fontId="259" fillId="0" borderId="0" xfId="0" applyFont="1"/>
    <xf numFmtId="0" fontId="260" fillId="22" borderId="1" xfId="0" applyFont="1" applyFill="1" applyBorder="1"/>
    <xf numFmtId="0" fontId="136" fillId="5" borderId="1" xfId="0" applyFont="1" applyFill="1" applyBorder="1"/>
    <xf numFmtId="0" fontId="147" fillId="0" borderId="0" xfId="0" applyFont="1" applyAlignment="1">
      <alignment horizontal="right"/>
    </xf>
    <xf numFmtId="0" fontId="136" fillId="0" borderId="32" xfId="0" applyFont="1" applyBorder="1" applyAlignment="1">
      <alignment horizontal="right"/>
    </xf>
    <xf numFmtId="0" fontId="136" fillId="0" borderId="93" xfId="0" applyFont="1" applyBorder="1" applyAlignment="1">
      <alignment horizontal="right"/>
    </xf>
    <xf numFmtId="0" fontId="262" fillId="22" borderId="63" xfId="0" applyFont="1" applyFill="1" applyBorder="1" applyAlignment="1">
      <alignment horizontal="center" vertical="center"/>
    </xf>
    <xf numFmtId="0" fontId="136" fillId="52" borderId="1" xfId="0" applyFont="1" applyFill="1" applyBorder="1" applyAlignment="1">
      <alignment horizontal="center"/>
    </xf>
    <xf numFmtId="0" fontId="136" fillId="52" borderId="108" xfId="0" applyFont="1" applyFill="1" applyBorder="1" applyAlignment="1">
      <alignment horizontal="center"/>
    </xf>
    <xf numFmtId="0" fontId="262" fillId="22" borderId="1" xfId="0" applyFont="1" applyFill="1" applyBorder="1" applyAlignment="1">
      <alignment horizontal="center" vertical="center"/>
    </xf>
    <xf numFmtId="0" fontId="263" fillId="52" borderId="22" xfId="0" applyFont="1" applyFill="1" applyBorder="1" applyAlignment="1">
      <alignment wrapText="1"/>
    </xf>
    <xf numFmtId="0" fontId="263" fillId="52" borderId="49" xfId="0" applyFont="1" applyFill="1" applyBorder="1" applyAlignment="1">
      <alignment wrapText="1"/>
    </xf>
    <xf numFmtId="0" fontId="136" fillId="0" borderId="110" xfId="0" applyFont="1" applyBorder="1" applyAlignment="1">
      <alignment horizontal="center"/>
    </xf>
    <xf numFmtId="0" fontId="136" fillId="0" borderId="93" xfId="0" applyFont="1" applyBorder="1" applyAlignment="1">
      <alignment horizontal="center"/>
    </xf>
    <xf numFmtId="0" fontId="177" fillId="0" borderId="24" xfId="0" applyFont="1" applyBorder="1"/>
    <xf numFmtId="165" fontId="177" fillId="0" borderId="48" xfId="0" applyNumberFormat="1" applyFont="1" applyBorder="1" applyAlignment="1">
      <alignment horizontal="center" vertical="center"/>
    </xf>
    <xf numFmtId="0" fontId="157" fillId="0" borderId="24" xfId="0" applyFont="1" applyBorder="1"/>
    <xf numFmtId="0" fontId="137" fillId="0" borderId="24" xfId="0" applyFont="1" applyBorder="1" applyAlignment="1">
      <alignment horizontal="center" vertical="center" wrapText="1"/>
    </xf>
    <xf numFmtId="165" fontId="137" fillId="0" borderId="48" xfId="0" applyNumberFormat="1" applyFont="1" applyBorder="1" applyAlignment="1">
      <alignment horizontal="center" wrapText="1"/>
    </xf>
    <xf numFmtId="165" fontId="137" fillId="0" borderId="22" xfId="0" applyNumberFormat="1" applyFont="1" applyBorder="1" applyAlignment="1">
      <alignment horizontal="center" wrapText="1"/>
    </xf>
    <xf numFmtId="165" fontId="137" fillId="0" borderId="49" xfId="0" applyNumberFormat="1" applyFont="1" applyBorder="1" applyAlignment="1">
      <alignment horizontal="center"/>
    </xf>
    <xf numFmtId="0" fontId="163" fillId="0" borderId="24" xfId="0" applyFont="1" applyBorder="1" applyAlignment="1">
      <alignment horizontal="center" vertical="center" wrapText="1"/>
    </xf>
    <xf numFmtId="165" fontId="151" fillId="0" borderId="48" xfId="0" applyNumberFormat="1" applyFont="1" applyBorder="1" applyAlignment="1">
      <alignment horizontal="right"/>
    </xf>
    <xf numFmtId="165" fontId="151" fillId="0" borderId="49" xfId="0" applyNumberFormat="1" applyFont="1" applyBorder="1" applyAlignment="1">
      <alignment horizontal="right"/>
    </xf>
    <xf numFmtId="0" fontId="137" fillId="0" borderId="24" xfId="0" applyFont="1" applyBorder="1" applyAlignment="1">
      <alignment horizontal="center"/>
    </xf>
    <xf numFmtId="0" fontId="136" fillId="0" borderId="48" xfId="0" applyFont="1" applyBorder="1" applyAlignment="1">
      <alignment horizontal="center"/>
    </xf>
    <xf numFmtId="0" fontId="136" fillId="0" borderId="49" xfId="0" applyFont="1" applyBorder="1"/>
    <xf numFmtId="0" fontId="136" fillId="0" borderId="94" xfId="0" applyFont="1" applyBorder="1" applyAlignment="1">
      <alignment horizontal="center"/>
    </xf>
    <xf numFmtId="0" fontId="136" fillId="0" borderId="50" xfId="0" applyFont="1" applyBorder="1"/>
    <xf numFmtId="0" fontId="136" fillId="0" borderId="38" xfId="0" applyFont="1" applyBorder="1"/>
    <xf numFmtId="0" fontId="136" fillId="0" borderId="51" xfId="0" applyFont="1" applyBorder="1"/>
    <xf numFmtId="0" fontId="136" fillId="31" borderId="1" xfId="0" applyFont="1" applyFill="1" applyBorder="1"/>
    <xf numFmtId="0" fontId="136" fillId="31" borderId="1" xfId="0" applyFont="1" applyFill="1" applyBorder="1" applyAlignment="1">
      <alignment horizontal="center"/>
    </xf>
    <xf numFmtId="0" fontId="137" fillId="31" borderId="1" xfId="0" applyFont="1" applyFill="1" applyBorder="1"/>
    <xf numFmtId="0" fontId="262" fillId="22" borderId="16" xfId="0" applyFont="1" applyFill="1" applyBorder="1" applyAlignment="1">
      <alignment horizontal="center" vertical="center"/>
    </xf>
    <xf numFmtId="0" fontId="136" fillId="0" borderId="115" xfId="0" applyFont="1" applyBorder="1" applyAlignment="1">
      <alignment horizontal="center"/>
    </xf>
    <xf numFmtId="0" fontId="136" fillId="0" borderId="116" xfId="0" applyFont="1" applyBorder="1" applyAlignment="1">
      <alignment horizontal="center"/>
    </xf>
    <xf numFmtId="0" fontId="168" fillId="0" borderId="0" xfId="0" applyFont="1"/>
    <xf numFmtId="165" fontId="177" fillId="0" borderId="0" xfId="0" applyNumberFormat="1" applyFont="1" applyAlignment="1">
      <alignment horizontal="center" vertical="center"/>
    </xf>
    <xf numFmtId="0" fontId="147" fillId="0" borderId="0" xfId="0" applyFont="1" applyAlignment="1">
      <alignment vertical="center"/>
    </xf>
    <xf numFmtId="0" fontId="254" fillId="22" borderId="117" xfId="0" applyFont="1" applyFill="1" applyBorder="1" applyAlignment="1">
      <alignment horizontal="center"/>
    </xf>
    <xf numFmtId="0" fontId="202" fillId="0" borderId="0" xfId="0" applyFont="1"/>
    <xf numFmtId="0" fontId="202" fillId="0" borderId="0" xfId="0" applyFont="1" applyAlignment="1">
      <alignment horizontal="center" vertical="center"/>
    </xf>
    <xf numFmtId="0" fontId="136" fillId="2" borderId="32" xfId="0" applyFont="1" applyFill="1" applyBorder="1"/>
    <xf numFmtId="0" fontId="198" fillId="0" borderId="62" xfId="0" applyFont="1" applyBorder="1"/>
    <xf numFmtId="0" fontId="202" fillId="0" borderId="62" xfId="0" applyFont="1" applyBorder="1" applyAlignment="1">
      <alignment horizontal="center" vertical="center"/>
    </xf>
    <xf numFmtId="0" fontId="201" fillId="0" borderId="17" xfId="0" applyFont="1" applyBorder="1" applyAlignment="1">
      <alignment horizontal="right"/>
    </xf>
    <xf numFmtId="0" fontId="266" fillId="0" borderId="22" xfId="0" applyFont="1" applyBorder="1"/>
    <xf numFmtId="0" fontId="201" fillId="0" borderId="66" xfId="0" applyFont="1" applyBorder="1" applyAlignment="1">
      <alignment horizontal="right"/>
    </xf>
    <xf numFmtId="0" fontId="268" fillId="55" borderId="48" xfId="0" applyFont="1" applyFill="1" applyBorder="1" applyAlignment="1">
      <alignment horizontal="center" vertical="center"/>
    </xf>
    <xf numFmtId="0" fontId="268" fillId="55" borderId="22" xfId="0" applyFont="1" applyFill="1" applyBorder="1" applyAlignment="1">
      <alignment horizontal="center" vertical="center"/>
    </xf>
    <xf numFmtId="0" fontId="268" fillId="55" borderId="48" xfId="0" applyFont="1" applyFill="1" applyBorder="1"/>
    <xf numFmtId="0" fontId="268" fillId="55" borderId="22" xfId="0" applyFont="1" applyFill="1" applyBorder="1"/>
    <xf numFmtId="0" fontId="268" fillId="55" borderId="22" xfId="0" applyFont="1" applyFill="1" applyBorder="1" applyAlignment="1">
      <alignment horizontal="center"/>
    </xf>
    <xf numFmtId="0" fontId="268" fillId="55" borderId="29" xfId="0" applyFont="1" applyFill="1" applyBorder="1"/>
    <xf numFmtId="165" fontId="180" fillId="0" borderId="52" xfId="0" applyNumberFormat="1" applyFont="1" applyBorder="1" applyAlignment="1">
      <alignment horizontal="center" vertical="center"/>
    </xf>
    <xf numFmtId="1" fontId="180" fillId="0" borderId="52" xfId="0" applyNumberFormat="1" applyFont="1" applyBorder="1" applyAlignment="1">
      <alignment horizontal="center" vertical="center"/>
    </xf>
    <xf numFmtId="2" fontId="197" fillId="0" borderId="41" xfId="0" applyNumberFormat="1" applyFont="1" applyBorder="1" applyAlignment="1">
      <alignment horizontal="center" vertical="center" wrapText="1"/>
    </xf>
    <xf numFmtId="1" fontId="197" fillId="49" borderId="9" xfId="0" applyNumberFormat="1" applyFont="1" applyFill="1" applyBorder="1" applyAlignment="1">
      <alignment horizontal="center" vertical="center" wrapText="1"/>
    </xf>
    <xf numFmtId="165" fontId="180" fillId="0" borderId="115" xfId="0" applyNumberFormat="1" applyFont="1" applyBorder="1" applyAlignment="1">
      <alignment horizontal="center" vertical="center"/>
    </xf>
    <xf numFmtId="165" fontId="180" fillId="0" borderId="13" xfId="0" applyNumberFormat="1" applyFont="1" applyBorder="1" applyAlignment="1">
      <alignment horizontal="center" vertical="center"/>
    </xf>
    <xf numFmtId="0" fontId="180" fillId="0" borderId="15" xfId="0" applyFont="1" applyBorder="1" applyAlignment="1">
      <alignment horizontal="center" vertical="center"/>
    </xf>
    <xf numFmtId="2" fontId="197" fillId="0" borderId="15" xfId="0" applyNumberFormat="1" applyFont="1" applyBorder="1" applyAlignment="1">
      <alignment horizontal="center" vertical="center" wrapText="1"/>
    </xf>
    <xf numFmtId="1" fontId="136" fillId="0" borderId="0" xfId="0" applyNumberFormat="1" applyFont="1"/>
    <xf numFmtId="0" fontId="136" fillId="0" borderId="123" xfId="0" applyFont="1" applyBorder="1"/>
    <xf numFmtId="0" fontId="192" fillId="0" borderId="7" xfId="0" applyFont="1" applyBorder="1"/>
    <xf numFmtId="0" fontId="269" fillId="56" borderId="124" xfId="0" applyFont="1" applyFill="1" applyBorder="1" applyAlignment="1">
      <alignment horizontal="center"/>
    </xf>
    <xf numFmtId="0" fontId="172" fillId="0" borderId="125" xfId="0" applyFont="1" applyBorder="1"/>
    <xf numFmtId="0" fontId="172" fillId="0" borderId="126" xfId="0" applyFont="1" applyBorder="1"/>
    <xf numFmtId="0" fontId="172" fillId="0" borderId="0" xfId="0" applyFont="1" applyAlignment="1">
      <alignment horizontal="center"/>
    </xf>
    <xf numFmtId="0" fontId="268" fillId="55" borderId="48" xfId="0" applyFont="1" applyFill="1" applyBorder="1" applyAlignment="1">
      <alignment horizontal="center"/>
    </xf>
    <xf numFmtId="165" fontId="197" fillId="49" borderId="9" xfId="0" applyNumberFormat="1" applyFont="1" applyFill="1" applyBorder="1" applyAlignment="1">
      <alignment horizontal="center" vertical="center" wrapText="1"/>
    </xf>
    <xf numFmtId="0" fontId="197" fillId="49" borderId="16" xfId="0" applyFont="1" applyFill="1" applyBorder="1" applyAlignment="1">
      <alignment horizontal="center" vertical="center" wrapText="1"/>
    </xf>
    <xf numFmtId="1" fontId="272" fillId="0" borderId="52" xfId="0" applyNumberFormat="1" applyFont="1" applyBorder="1" applyAlignment="1">
      <alignment horizontal="center" vertical="center"/>
    </xf>
    <xf numFmtId="0" fontId="197" fillId="0" borderId="0" xfId="0" applyFont="1" applyAlignment="1">
      <alignment horizontal="center"/>
    </xf>
    <xf numFmtId="0" fontId="269" fillId="0" borderId="0" xfId="0" applyFont="1" applyAlignment="1">
      <alignment horizontal="center" vertical="center"/>
    </xf>
    <xf numFmtId="0" fontId="267" fillId="0" borderId="0" xfId="0" applyFont="1" applyAlignment="1">
      <alignment horizontal="center"/>
    </xf>
    <xf numFmtId="0" fontId="156" fillId="0" borderId="127" xfId="0" applyFont="1" applyBorder="1" applyAlignment="1">
      <alignment horizontal="center" vertical="center"/>
    </xf>
    <xf numFmtId="0" fontId="176" fillId="0" borderId="0" xfId="0" applyFont="1"/>
    <xf numFmtId="0" fontId="141" fillId="0" borderId="0" xfId="0" applyFont="1" applyAlignment="1">
      <alignment horizontal="center" vertical="center" wrapText="1"/>
    </xf>
    <xf numFmtId="0" fontId="151" fillId="15" borderId="22" xfId="0" applyFont="1" applyFill="1" applyBorder="1"/>
    <xf numFmtId="1" fontId="162" fillId="18" borderId="22" xfId="0" applyNumberFormat="1" applyFont="1" applyFill="1" applyBorder="1" applyAlignment="1">
      <alignment horizontal="center" vertical="center"/>
    </xf>
    <xf numFmtId="165" fontId="162" fillId="18" borderId="22" xfId="0" applyNumberFormat="1" applyFont="1" applyFill="1" applyBorder="1" applyAlignment="1">
      <alignment horizontal="center" vertical="center"/>
    </xf>
    <xf numFmtId="0" fontId="163" fillId="18" borderId="22" xfId="0" applyFont="1" applyFill="1" applyBorder="1" applyAlignment="1">
      <alignment horizontal="center" vertical="center" wrapText="1"/>
    </xf>
    <xf numFmtId="1" fontId="157" fillId="18" borderId="22" xfId="0" applyNumberFormat="1" applyFont="1" applyFill="1" applyBorder="1" applyAlignment="1">
      <alignment horizontal="center"/>
    </xf>
    <xf numFmtId="1" fontId="158" fillId="18" borderId="22" xfId="0" applyNumberFormat="1" applyFont="1" applyFill="1" applyBorder="1" applyAlignment="1">
      <alignment horizontal="center" wrapText="1"/>
    </xf>
    <xf numFmtId="0" fontId="158" fillId="18" borderId="22" xfId="0" applyFont="1" applyFill="1" applyBorder="1" applyAlignment="1">
      <alignment horizontal="center" wrapText="1"/>
    </xf>
    <xf numFmtId="0" fontId="151" fillId="15" borderId="22" xfId="0" applyFont="1" applyFill="1" applyBorder="1" applyAlignment="1">
      <alignment horizontal="left"/>
    </xf>
    <xf numFmtId="165" fontId="137" fillId="3" borderId="22" xfId="0" applyNumberFormat="1" applyFont="1" applyFill="1" applyBorder="1"/>
    <xf numFmtId="165" fontId="136" fillId="32" borderId="22" xfId="0" applyNumberFormat="1" applyFont="1" applyFill="1" applyBorder="1" applyAlignment="1">
      <alignment horizontal="center" vertical="center"/>
    </xf>
    <xf numFmtId="0" fontId="162" fillId="15" borderId="28" xfId="0" applyFont="1" applyFill="1" applyBorder="1"/>
    <xf numFmtId="0" fontId="151" fillId="15" borderId="28" xfId="0" applyFont="1" applyFill="1" applyBorder="1" applyAlignment="1">
      <alignment horizontal="left"/>
    </xf>
    <xf numFmtId="0" fontId="151" fillId="15" borderId="28" xfId="0" applyFont="1" applyFill="1" applyBorder="1"/>
    <xf numFmtId="165" fontId="137" fillId="18" borderId="28" xfId="0" applyNumberFormat="1" applyFont="1" applyFill="1" applyBorder="1" applyAlignment="1">
      <alignment horizontal="center" vertical="center"/>
    </xf>
    <xf numFmtId="0" fontId="162" fillId="15" borderId="31" xfId="0" applyFont="1" applyFill="1" applyBorder="1"/>
    <xf numFmtId="0" fontId="136" fillId="15" borderId="31" xfId="0" applyFont="1" applyFill="1" applyBorder="1"/>
    <xf numFmtId="0" fontId="162" fillId="15" borderId="1" xfId="0" applyFont="1" applyFill="1" applyBorder="1"/>
    <xf numFmtId="0" fontId="151" fillId="15" borderId="31" xfId="0" applyFont="1" applyFill="1" applyBorder="1"/>
    <xf numFmtId="1" fontId="137" fillId="18" borderId="31" xfId="0" applyNumberFormat="1" applyFont="1" applyFill="1" applyBorder="1" applyAlignment="1">
      <alignment horizontal="center" vertical="center"/>
    </xf>
    <xf numFmtId="165" fontId="137" fillId="3" borderId="1" xfId="0" applyNumberFormat="1" applyFont="1" applyFill="1" applyBorder="1"/>
    <xf numFmtId="0" fontId="151" fillId="15" borderId="1" xfId="0" applyFont="1" applyFill="1" applyBorder="1"/>
    <xf numFmtId="0" fontId="264" fillId="53" borderId="1" xfId="0" applyFont="1" applyFill="1" applyBorder="1"/>
    <xf numFmtId="0" fontId="162" fillId="15" borderId="16" xfId="0" applyFont="1" applyFill="1" applyBorder="1"/>
    <xf numFmtId="0" fontId="162" fillId="15" borderId="42" xfId="0" applyFont="1" applyFill="1" applyBorder="1"/>
    <xf numFmtId="167" fontId="156" fillId="15" borderId="42" xfId="0" applyNumberFormat="1" applyFont="1" applyFill="1" applyBorder="1"/>
    <xf numFmtId="0" fontId="157" fillId="17" borderId="42" xfId="0" applyFont="1" applyFill="1" applyBorder="1"/>
    <xf numFmtId="0" fontId="156" fillId="15" borderId="42" xfId="0" applyFont="1" applyFill="1" applyBorder="1"/>
    <xf numFmtId="0" fontId="151" fillId="15" borderId="42" xfId="0" applyFont="1" applyFill="1" applyBorder="1"/>
    <xf numFmtId="0" fontId="156" fillId="15" borderId="22" xfId="0" applyFont="1" applyFill="1" applyBorder="1"/>
    <xf numFmtId="0" fontId="157" fillId="18" borderId="22" xfId="0" applyFont="1" applyFill="1" applyBorder="1" applyAlignment="1">
      <alignment horizontal="left"/>
    </xf>
    <xf numFmtId="0" fontId="162" fillId="0" borderId="22" xfId="0" applyFont="1" applyBorder="1" applyAlignment="1">
      <alignment horizontal="right" vertical="center" wrapText="1"/>
    </xf>
    <xf numFmtId="165" fontId="157" fillId="33" borderId="22" xfId="0" applyNumberFormat="1" applyFont="1" applyFill="1" applyBorder="1" applyAlignment="1">
      <alignment horizontal="center"/>
    </xf>
    <xf numFmtId="0" fontId="136" fillId="6" borderId="1" xfId="0" applyFont="1" applyFill="1" applyBorder="1"/>
    <xf numFmtId="0" fontId="158" fillId="18" borderId="22" xfId="0" applyFont="1" applyFill="1" applyBorder="1" applyAlignment="1">
      <alignment vertical="center"/>
    </xf>
    <xf numFmtId="167" fontId="156" fillId="15" borderId="28" xfId="0" applyNumberFormat="1" applyFont="1" applyFill="1" applyBorder="1"/>
    <xf numFmtId="0" fontId="179" fillId="0" borderId="66" xfId="0" applyFont="1" applyBorder="1" applyAlignment="1">
      <alignment horizontal="left"/>
    </xf>
    <xf numFmtId="0" fontId="156" fillId="15" borderId="28" xfId="0" applyFont="1" applyFill="1" applyBorder="1"/>
    <xf numFmtId="0" fontId="151" fillId="0" borderId="26" xfId="0" applyFont="1" applyBorder="1" applyAlignment="1">
      <alignment horizontal="center" vertical="center" wrapText="1"/>
    </xf>
    <xf numFmtId="0" fontId="151" fillId="0" borderId="130" xfId="0" applyFont="1" applyBorder="1" applyAlignment="1">
      <alignment horizontal="center" vertical="center" wrapText="1"/>
    </xf>
    <xf numFmtId="0" fontId="151" fillId="0" borderId="131" xfId="0" applyFont="1" applyBorder="1" applyAlignment="1">
      <alignment horizontal="center" vertical="center" wrapText="1"/>
    </xf>
    <xf numFmtId="0" fontId="151" fillId="0" borderId="132" xfId="0" applyFont="1" applyBorder="1" applyAlignment="1">
      <alignment horizontal="center" vertical="center" wrapText="1"/>
    </xf>
    <xf numFmtId="0" fontId="151" fillId="0" borderId="133" xfId="0" applyFont="1" applyBorder="1" applyAlignment="1">
      <alignment horizontal="center" vertical="center" wrapText="1"/>
    </xf>
    <xf numFmtId="0" fontId="151" fillId="0" borderId="134" xfId="0" applyFont="1" applyBorder="1" applyAlignment="1">
      <alignment horizontal="center" vertical="center" wrapText="1"/>
    </xf>
    <xf numFmtId="0" fontId="151" fillId="0" borderId="135" xfId="0" applyFont="1" applyBorder="1" applyAlignment="1">
      <alignment horizontal="center" vertical="center" wrapText="1"/>
    </xf>
    <xf numFmtId="0" fontId="151" fillId="33" borderId="81" xfId="0" applyFont="1" applyFill="1" applyBorder="1" applyAlignment="1">
      <alignment horizontal="center" vertical="center" wrapText="1"/>
    </xf>
    <xf numFmtId="0" fontId="151" fillId="0" borderId="136" xfId="0" applyFont="1" applyBorder="1" applyAlignment="1">
      <alignment horizontal="center" vertical="center" wrapText="1"/>
    </xf>
    <xf numFmtId="0" fontId="151" fillId="0" borderId="137" xfId="0" applyFont="1" applyBorder="1" applyAlignment="1">
      <alignment horizontal="center" vertical="center" wrapText="1"/>
    </xf>
    <xf numFmtId="0" fontId="151" fillId="0" borderId="21" xfId="0" applyFont="1" applyBorder="1" applyAlignment="1">
      <alignment horizontal="center" vertical="center" wrapText="1"/>
    </xf>
    <xf numFmtId="0" fontId="151" fillId="0" borderId="23" xfId="0" applyFont="1" applyBorder="1" applyAlignment="1">
      <alignment horizontal="center" vertical="center" wrapText="1"/>
    </xf>
    <xf numFmtId="0" fontId="198" fillId="0" borderId="41" xfId="0" applyFont="1" applyBorder="1" applyAlignment="1">
      <alignment vertical="center"/>
    </xf>
    <xf numFmtId="0" fontId="151" fillId="15" borderId="40" xfId="0" applyFont="1" applyFill="1" applyBorder="1"/>
    <xf numFmtId="0" fontId="162" fillId="21" borderId="21" xfId="0" applyFont="1" applyFill="1" applyBorder="1"/>
    <xf numFmtId="0" fontId="162" fillId="21" borderId="22" xfId="0" applyFont="1" applyFill="1" applyBorder="1"/>
    <xf numFmtId="0" fontId="162" fillId="21" borderId="23" xfId="0" applyFont="1" applyFill="1" applyBorder="1"/>
    <xf numFmtId="165" fontId="162" fillId="21" borderId="21" xfId="0" applyNumberFormat="1" applyFont="1" applyFill="1" applyBorder="1"/>
    <xf numFmtId="1" fontId="157" fillId="33" borderId="35" xfId="0" applyNumberFormat="1" applyFont="1" applyFill="1" applyBorder="1" applyAlignment="1">
      <alignment horizontal="center" vertical="center"/>
    </xf>
    <xf numFmtId="167" fontId="198" fillId="0" borderId="66" xfId="0" applyNumberFormat="1" applyFont="1" applyBorder="1" applyAlignment="1">
      <alignment vertical="center"/>
    </xf>
    <xf numFmtId="0" fontId="162" fillId="15" borderId="28" xfId="0" applyFont="1" applyFill="1" applyBorder="1" applyAlignment="1">
      <alignment horizontal="left"/>
    </xf>
    <xf numFmtId="0" fontId="200" fillId="0" borderId="66" xfId="0" applyFont="1" applyBorder="1" applyAlignment="1">
      <alignment vertical="center"/>
    </xf>
    <xf numFmtId="0" fontId="136" fillId="21" borderId="43" xfId="0" applyFont="1" applyFill="1" applyBorder="1"/>
    <xf numFmtId="0" fontId="136" fillId="21" borderId="44" xfId="0" applyFont="1" applyFill="1" applyBorder="1"/>
    <xf numFmtId="0" fontId="136" fillId="21" borderId="45" xfId="0" applyFont="1" applyFill="1" applyBorder="1"/>
    <xf numFmtId="0" fontId="136" fillId="15" borderId="28" xfId="0" applyFont="1" applyFill="1" applyBorder="1"/>
    <xf numFmtId="2" fontId="222" fillId="0" borderId="22" xfId="0" applyNumberFormat="1" applyFont="1" applyBorder="1"/>
    <xf numFmtId="2" fontId="137" fillId="0" borderId="22" xfId="0" applyNumberFormat="1" applyFont="1" applyBorder="1"/>
    <xf numFmtId="0" fontId="177" fillId="22" borderId="138" xfId="0" applyFont="1" applyFill="1" applyBorder="1" applyAlignment="1">
      <alignment horizontal="center" vertical="center"/>
    </xf>
    <xf numFmtId="0" fontId="163" fillId="34" borderId="22" xfId="0" applyFont="1" applyFill="1" applyBorder="1" applyAlignment="1">
      <alignment horizontal="center" vertical="center" wrapText="1"/>
    </xf>
    <xf numFmtId="0" fontId="273" fillId="0" borderId="0" xfId="0" applyFont="1" applyAlignment="1">
      <alignment horizontal="left" vertical="center" wrapText="1"/>
    </xf>
    <xf numFmtId="0" fontId="221" fillId="0" borderId="22" xfId="0" applyFont="1" applyBorder="1" applyAlignment="1">
      <alignment horizontal="center" vertical="center"/>
    </xf>
    <xf numFmtId="1" fontId="136" fillId="0" borderId="32" xfId="0" applyNumberFormat="1" applyFont="1" applyBorder="1" applyAlignment="1">
      <alignment horizontal="center"/>
    </xf>
    <xf numFmtId="0" fontId="215" fillId="0" borderId="62" xfId="0" applyFont="1" applyBorder="1" applyAlignment="1">
      <alignment horizontal="center" vertical="center"/>
    </xf>
    <xf numFmtId="165" fontId="180" fillId="0" borderId="52" xfId="0" applyNumberFormat="1" applyFont="1" applyBorder="1" applyAlignment="1">
      <alignment horizontal="center" vertical="center" wrapText="1"/>
    </xf>
    <xf numFmtId="0" fontId="197" fillId="0" borderId="15" xfId="0" applyFont="1" applyBorder="1" applyAlignment="1">
      <alignment horizontal="center" vertical="center" wrapText="1"/>
    </xf>
    <xf numFmtId="165" fontId="180" fillId="0" borderId="13" xfId="0" applyNumberFormat="1" applyFont="1" applyBorder="1" applyAlignment="1">
      <alignment horizontal="center" vertical="center" wrapText="1"/>
    </xf>
    <xf numFmtId="165" fontId="180" fillId="0" borderId="15" xfId="0" applyNumberFormat="1" applyFont="1" applyBorder="1" applyAlignment="1">
      <alignment horizontal="center" vertical="center"/>
    </xf>
    <xf numFmtId="165" fontId="197" fillId="0" borderId="15" xfId="0" applyNumberFormat="1" applyFont="1" applyBorder="1" applyAlignment="1">
      <alignment horizontal="center" vertical="center" wrapText="1"/>
    </xf>
    <xf numFmtId="165" fontId="136" fillId="0" borderId="0" xfId="0" applyNumberFormat="1" applyFont="1"/>
    <xf numFmtId="0" fontId="151" fillId="0" borderId="0" xfId="0" applyFont="1" applyAlignment="1">
      <alignment vertical="center"/>
    </xf>
    <xf numFmtId="0" fontId="202" fillId="22" borderId="1" xfId="0" applyFont="1" applyFill="1" applyBorder="1"/>
    <xf numFmtId="0" fontId="192" fillId="22" borderId="1" xfId="0" applyFont="1" applyFill="1" applyBorder="1"/>
    <xf numFmtId="0" fontId="223" fillId="0" borderId="22" xfId="0" applyFont="1" applyBorder="1" applyAlignment="1">
      <alignment horizontal="right"/>
    </xf>
    <xf numFmtId="0" fontId="277" fillId="0" borderId="0" xfId="1" applyAlignment="1">
      <alignment wrapText="1"/>
    </xf>
    <xf numFmtId="0" fontId="278" fillId="0" borderId="0" xfId="0" applyFont="1"/>
    <xf numFmtId="0" fontId="277" fillId="0" borderId="0" xfId="1" applyAlignment="1">
      <alignment vertical="top" wrapText="1"/>
    </xf>
    <xf numFmtId="0" fontId="135" fillId="0" borderId="34" xfId="0" applyFont="1" applyBorder="1" applyAlignment="1">
      <alignment horizontal="right" wrapText="1"/>
    </xf>
    <xf numFmtId="0" fontId="137" fillId="0" borderId="140" xfId="0" applyFont="1" applyBorder="1"/>
    <xf numFmtId="0" fontId="262" fillId="22" borderId="107" xfId="0" applyFont="1" applyFill="1" applyBorder="1" applyAlignment="1">
      <alignment horizontal="center" vertical="center"/>
    </xf>
    <xf numFmtId="0" fontId="137" fillId="59" borderId="22" xfId="0" applyFont="1" applyFill="1" applyBorder="1"/>
    <xf numFmtId="0" fontId="137" fillId="59" borderId="49" xfId="0" applyFont="1" applyFill="1" applyBorder="1"/>
    <xf numFmtId="0" fontId="281" fillId="0" borderId="0" xfId="0" applyFont="1"/>
    <xf numFmtId="0" fontId="136" fillId="62" borderId="22" xfId="0" applyFont="1" applyFill="1" applyBorder="1"/>
    <xf numFmtId="0" fontId="235" fillId="2" borderId="40" xfId="0" applyFont="1" applyFill="1" applyBorder="1" applyAlignment="1">
      <alignment wrapText="1"/>
    </xf>
    <xf numFmtId="0" fontId="136" fillId="0" borderId="140" xfId="0" applyFont="1" applyBorder="1"/>
    <xf numFmtId="0" fontId="277" fillId="0" borderId="140" xfId="1" applyBorder="1" applyAlignment="1">
      <alignment wrapText="1"/>
    </xf>
    <xf numFmtId="0" fontId="240" fillId="63" borderId="22" xfId="0" applyFont="1" applyFill="1" applyBorder="1" applyAlignment="1">
      <alignment horizontal="left"/>
    </xf>
    <xf numFmtId="165" fontId="136" fillId="21" borderId="22" xfId="0" applyNumberFormat="1" applyFont="1" applyFill="1" applyBorder="1"/>
    <xf numFmtId="165" fontId="136" fillId="21" borderId="21" xfId="0" applyNumberFormat="1" applyFont="1" applyFill="1" applyBorder="1"/>
    <xf numFmtId="0" fontId="147" fillId="3" borderId="140" xfId="0" applyFont="1" applyFill="1" applyBorder="1" applyAlignment="1">
      <alignment horizontal="center" vertical="center" wrapText="1"/>
    </xf>
    <xf numFmtId="0" fontId="136" fillId="0" borderId="107" xfId="0" applyFont="1" applyBorder="1"/>
    <xf numFmtId="0" fontId="157" fillId="0" borderId="54" xfId="0" applyFont="1" applyBorder="1" applyAlignment="1">
      <alignment horizontal="center"/>
    </xf>
    <xf numFmtId="0" fontId="147" fillId="3" borderId="141" xfId="0" applyFont="1" applyFill="1" applyBorder="1" applyAlignment="1">
      <alignment horizontal="center" vertical="center" wrapText="1"/>
    </xf>
    <xf numFmtId="0" fontId="145" fillId="11" borderId="141" xfId="0" applyFont="1" applyFill="1" applyBorder="1" applyAlignment="1">
      <alignment horizontal="center"/>
    </xf>
    <xf numFmtId="0" fontId="0" fillId="0" borderId="141" xfId="0" applyBorder="1"/>
    <xf numFmtId="0" fontId="148" fillId="0" borderId="141" xfId="0" applyFont="1" applyBorder="1" applyAlignment="1">
      <alignment wrapText="1"/>
    </xf>
    <xf numFmtId="0" fontId="149" fillId="0" borderId="141" xfId="0" applyFont="1" applyBorder="1" applyAlignment="1">
      <alignment wrapText="1"/>
    </xf>
    <xf numFmtId="0" fontId="150" fillId="0" borderId="141" xfId="0" applyFont="1" applyBorder="1" applyAlignment="1">
      <alignment wrapText="1"/>
    </xf>
    <xf numFmtId="0" fontId="151" fillId="0" borderId="141" xfId="0" applyFont="1" applyBorder="1" applyAlignment="1">
      <alignment wrapText="1"/>
    </xf>
    <xf numFmtId="0" fontId="152" fillId="0" borderId="141" xfId="0" applyFont="1" applyBorder="1" applyAlignment="1">
      <alignment wrapText="1"/>
    </xf>
    <xf numFmtId="0" fontId="153" fillId="0" borderId="141" xfId="0" applyFont="1" applyBorder="1" applyAlignment="1">
      <alignment wrapText="1"/>
    </xf>
    <xf numFmtId="0" fontId="136" fillId="0" borderId="141" xfId="0" applyFont="1" applyBorder="1"/>
    <xf numFmtId="0" fontId="145" fillId="12" borderId="141" xfId="0" applyFont="1" applyFill="1" applyBorder="1" applyAlignment="1">
      <alignment horizontal="center"/>
    </xf>
    <xf numFmtId="0" fontId="145" fillId="13" borderId="141" xfId="0" applyFont="1" applyFill="1" applyBorder="1" applyAlignment="1">
      <alignment horizontal="center"/>
    </xf>
    <xf numFmtId="0" fontId="145" fillId="14" borderId="141" xfId="0" applyFont="1" applyFill="1" applyBorder="1" applyAlignment="1">
      <alignment horizontal="center"/>
    </xf>
    <xf numFmtId="0" fontId="154" fillId="0" borderId="141" xfId="0" applyFont="1" applyBorder="1" applyAlignment="1">
      <alignment wrapText="1"/>
    </xf>
    <xf numFmtId="0" fontId="142" fillId="0" borderId="141" xfId="0" applyFont="1" applyBorder="1" applyAlignment="1">
      <alignment horizontal="center" vertical="center" wrapText="1"/>
    </xf>
    <xf numFmtId="0" fontId="151" fillId="0" borderId="141" xfId="0" applyFont="1" applyBorder="1" applyAlignment="1">
      <alignment horizontal="center"/>
    </xf>
    <xf numFmtId="0" fontId="155" fillId="0" borderId="141" xfId="0" applyFont="1" applyBorder="1" applyAlignment="1">
      <alignment horizontal="center" vertical="center"/>
    </xf>
    <xf numFmtId="0" fontId="141" fillId="0" borderId="141" xfId="0" applyFont="1" applyBorder="1" applyAlignment="1">
      <alignment horizontal="center" vertical="center"/>
    </xf>
    <xf numFmtId="0" fontId="141" fillId="0" borderId="141" xfId="0" applyFont="1" applyBorder="1" applyAlignment="1">
      <alignment horizontal="center" vertical="center" wrapText="1"/>
    </xf>
    <xf numFmtId="0" fontId="143" fillId="2" borderId="141" xfId="0" applyFont="1" applyFill="1" applyBorder="1" applyAlignment="1">
      <alignment horizontal="center" vertical="center"/>
    </xf>
    <xf numFmtId="0" fontId="137" fillId="0" borderId="141" xfId="0" applyFont="1" applyBorder="1" applyAlignment="1">
      <alignment horizontal="center" vertical="center" wrapText="1"/>
    </xf>
    <xf numFmtId="0" fontId="144" fillId="15" borderId="141" xfId="0" applyFont="1" applyFill="1" applyBorder="1" applyAlignment="1">
      <alignment horizontal="center" vertical="center" wrapText="1"/>
    </xf>
    <xf numFmtId="0" fontId="136" fillId="0" borderId="142" xfId="0" applyFont="1" applyBorder="1"/>
    <xf numFmtId="0" fontId="147" fillId="3" borderId="142" xfId="0" applyFont="1" applyFill="1" applyBorder="1" applyAlignment="1">
      <alignment horizontal="center" vertical="center" wrapText="1"/>
    </xf>
    <xf numFmtId="0" fontId="137" fillId="0" borderId="141" xfId="0" applyFont="1" applyBorder="1"/>
    <xf numFmtId="0" fontId="277" fillId="0" borderId="141" xfId="1" applyBorder="1" applyAlignment="1">
      <alignment wrapText="1"/>
    </xf>
    <xf numFmtId="0" fontId="164" fillId="0" borderId="141" xfId="0" applyFont="1" applyBorder="1" applyAlignment="1">
      <alignment horizontal="center" vertical="center" wrapText="1"/>
    </xf>
    <xf numFmtId="0" fontId="165" fillId="0" borderId="141" xfId="0" applyFont="1" applyBorder="1" applyAlignment="1">
      <alignment wrapText="1"/>
    </xf>
    <xf numFmtId="0" fontId="166" fillId="0" borderId="141" xfId="0" applyFont="1" applyBorder="1" applyAlignment="1">
      <alignment horizontal="center" vertical="center" wrapText="1"/>
    </xf>
    <xf numFmtId="0" fontId="145" fillId="18" borderId="141" xfId="0" applyFont="1" applyFill="1" applyBorder="1" applyAlignment="1">
      <alignment horizontal="center" vertical="top"/>
    </xf>
    <xf numFmtId="0" fontId="145" fillId="18" borderId="141" xfId="0" applyFont="1" applyFill="1" applyBorder="1" applyAlignment="1">
      <alignment horizontal="center"/>
    </xf>
    <xf numFmtId="0" fontId="174" fillId="0" borderId="141" xfId="0" applyFont="1" applyBorder="1" applyAlignment="1">
      <alignment wrapText="1"/>
    </xf>
    <xf numFmtId="0" fontId="136" fillId="0" borderId="141" xfId="0" applyFont="1" applyBorder="1" applyAlignment="1">
      <alignment wrapText="1"/>
    </xf>
    <xf numFmtId="0" fontId="175" fillId="18" borderId="141" xfId="0" applyFont="1" applyFill="1" applyBorder="1" applyAlignment="1">
      <alignment horizontal="center" wrapText="1"/>
    </xf>
    <xf numFmtId="0" fontId="176" fillId="15" borderId="141" xfId="0" applyFont="1" applyFill="1" applyBorder="1" applyAlignment="1">
      <alignment horizontal="center" vertical="center" wrapText="1"/>
    </xf>
    <xf numFmtId="0" fontId="144" fillId="15" borderId="141" xfId="0" applyFont="1" applyFill="1" applyBorder="1" applyAlignment="1">
      <alignment wrapText="1"/>
    </xf>
    <xf numFmtId="0" fontId="144" fillId="15" borderId="141" xfId="0" applyFont="1" applyFill="1" applyBorder="1" applyAlignment="1">
      <alignment horizontal="center" vertical="center"/>
    </xf>
    <xf numFmtId="0" fontId="280" fillId="61" borderId="141" xfId="0" applyFont="1" applyFill="1" applyBorder="1" applyAlignment="1">
      <alignment horizontal="center" vertical="center" wrapText="1"/>
    </xf>
    <xf numFmtId="0" fontId="136" fillId="18" borderId="141" xfId="0" applyFont="1" applyFill="1" applyBorder="1"/>
    <xf numFmtId="0" fontId="146" fillId="18" borderId="141" xfId="0" applyFont="1" applyFill="1" applyBorder="1"/>
    <xf numFmtId="0" fontId="182" fillId="0" borderId="141" xfId="0" applyFont="1" applyBorder="1" applyAlignment="1">
      <alignment wrapText="1"/>
    </xf>
    <xf numFmtId="0" fontId="183" fillId="0" borderId="141" xfId="0" applyFont="1" applyBorder="1" applyAlignment="1">
      <alignment wrapText="1"/>
    </xf>
    <xf numFmtId="0" fontId="184" fillId="0" borderId="141" xfId="0" applyFont="1" applyBorder="1" applyAlignment="1">
      <alignment wrapText="1"/>
    </xf>
    <xf numFmtId="0" fontId="185" fillId="0" borderId="141" xfId="0" applyFont="1" applyBorder="1" applyAlignment="1">
      <alignment wrapText="1"/>
    </xf>
    <xf numFmtId="0" fontId="186" fillId="0" borderId="141" xfId="0" applyFont="1" applyBorder="1" applyAlignment="1">
      <alignment wrapText="1"/>
    </xf>
    <xf numFmtId="0" fontId="187" fillId="18" borderId="141" xfId="0" applyFont="1" applyFill="1" applyBorder="1" applyAlignment="1">
      <alignment horizontal="center" wrapText="1"/>
    </xf>
    <xf numFmtId="0" fontId="188" fillId="0" borderId="141" xfId="0" applyFont="1" applyBorder="1" applyAlignment="1">
      <alignment vertical="center" wrapText="1"/>
    </xf>
    <xf numFmtId="0" fontId="189" fillId="0" borderId="141" xfId="0" applyFont="1" applyBorder="1" applyAlignment="1">
      <alignment vertical="center" wrapText="1"/>
    </xf>
    <xf numFmtId="0" fontId="155" fillId="0" borderId="141" xfId="0" applyFont="1" applyBorder="1" applyAlignment="1">
      <alignment horizontal="center"/>
    </xf>
    <xf numFmtId="0" fontId="190" fillId="15" borderId="141" xfId="0" applyFont="1" applyFill="1" applyBorder="1" applyAlignment="1">
      <alignment horizontal="center" vertical="center" wrapText="1"/>
    </xf>
    <xf numFmtId="0" fontId="190" fillId="15" borderId="141" xfId="0" applyFont="1" applyFill="1" applyBorder="1" applyAlignment="1">
      <alignment horizontal="center" wrapText="1"/>
    </xf>
    <xf numFmtId="0" fontId="144" fillId="0" borderId="141" xfId="0" applyFont="1" applyBorder="1" applyAlignment="1">
      <alignment horizontal="center" vertical="center" wrapText="1"/>
    </xf>
    <xf numFmtId="0" fontId="157" fillId="0" borderId="141" xfId="0" applyFont="1" applyBorder="1" applyAlignment="1">
      <alignment horizontal="center" vertical="center" wrapText="1"/>
    </xf>
    <xf numFmtId="0" fontId="157" fillId="0" borderId="141" xfId="0" applyFont="1" applyBorder="1" applyAlignment="1">
      <alignment vertical="center" wrapText="1"/>
    </xf>
    <xf numFmtId="0" fontId="283" fillId="0" borderId="141" xfId="0" applyFont="1" applyBorder="1" applyAlignment="1">
      <alignment horizontal="center" vertical="center" wrapText="1"/>
    </xf>
    <xf numFmtId="0" fontId="0" fillId="0" borderId="107" xfId="0" applyBorder="1"/>
    <xf numFmtId="0" fontId="137" fillId="0" borderId="107" xfId="0" applyFont="1" applyBorder="1"/>
    <xf numFmtId="0" fontId="157" fillId="0" borderId="148" xfId="0" applyFont="1" applyBorder="1" applyAlignment="1">
      <alignment horizontal="center"/>
    </xf>
    <xf numFmtId="0" fontId="157" fillId="0" borderId="148" xfId="0" applyFont="1" applyBorder="1"/>
    <xf numFmtId="0" fontId="136" fillId="2" borderId="148" xfId="0" applyFont="1" applyFill="1" applyBorder="1" applyAlignment="1">
      <alignment horizontal="center"/>
    </xf>
    <xf numFmtId="0" fontId="136" fillId="0" borderId="148" xfId="0" applyFont="1" applyBorder="1" applyAlignment="1">
      <alignment horizontal="center"/>
    </xf>
    <xf numFmtId="0" fontId="136" fillId="0" borderId="148" xfId="0" applyFont="1" applyBorder="1"/>
    <xf numFmtId="0" fontId="274" fillId="0" borderId="148" xfId="0" applyFont="1" applyBorder="1"/>
    <xf numFmtId="0" fontId="159" fillId="0" borderId="148" xfId="0" applyFont="1" applyBorder="1"/>
    <xf numFmtId="0" fontId="136" fillId="0" borderId="149" xfId="0" applyFont="1" applyBorder="1"/>
    <xf numFmtId="0" fontId="136" fillId="0" borderId="151" xfId="0" applyFont="1" applyBorder="1"/>
    <xf numFmtId="0" fontId="157" fillId="0" borderId="156" xfId="0" applyFont="1" applyBorder="1" applyAlignment="1">
      <alignment horizontal="center"/>
    </xf>
    <xf numFmtId="0" fontId="157" fillId="0" borderId="156" xfId="0" applyFont="1" applyBorder="1"/>
    <xf numFmtId="0" fontId="276" fillId="0" borderId="156" xfId="0" applyFont="1" applyBorder="1" applyAlignment="1">
      <alignment horizontal="center"/>
    </xf>
    <xf numFmtId="0" fontId="136" fillId="2" borderId="156" xfId="0" applyFont="1" applyFill="1" applyBorder="1" applyAlignment="1">
      <alignment horizontal="center" vertical="center"/>
    </xf>
    <xf numFmtId="0" fontId="136" fillId="0" borderId="156" xfId="0" applyFont="1" applyBorder="1"/>
    <xf numFmtId="0" fontId="136" fillId="0" borderId="157" xfId="0" applyFont="1" applyBorder="1"/>
    <xf numFmtId="0" fontId="157" fillId="0" borderId="140" xfId="0" applyFont="1" applyBorder="1" applyAlignment="1">
      <alignment horizontal="center" vertical="center" wrapText="1"/>
    </xf>
    <xf numFmtId="0" fontId="136" fillId="0" borderId="143" xfId="0" applyFont="1" applyBorder="1" applyAlignment="1">
      <alignment horizontal="center" vertical="center"/>
    </xf>
    <xf numFmtId="0" fontId="158" fillId="0" borderId="145" xfId="0" applyFont="1" applyBorder="1" applyAlignment="1">
      <alignment horizontal="center" vertical="center"/>
    </xf>
    <xf numFmtId="0" fontId="157" fillId="0" borderId="146" xfId="0" applyFont="1" applyBorder="1" applyAlignment="1">
      <alignment horizontal="center" vertical="center"/>
    </xf>
    <xf numFmtId="0" fontId="136" fillId="0" borderId="150" xfId="0" applyFont="1" applyBorder="1" applyAlignment="1">
      <alignment horizontal="center" vertical="center"/>
    </xf>
    <xf numFmtId="17" fontId="136" fillId="0" borderId="98" xfId="0" applyNumberFormat="1" applyFont="1" applyBorder="1" applyAlignment="1">
      <alignment horizontal="center" vertical="center"/>
    </xf>
    <xf numFmtId="0" fontId="158" fillId="0" borderId="140" xfId="0" applyFont="1" applyBorder="1" applyAlignment="1">
      <alignment horizontal="center" vertical="center"/>
    </xf>
    <xf numFmtId="0" fontId="157" fillId="0" borderId="98" xfId="0" applyFont="1" applyBorder="1" applyAlignment="1">
      <alignment horizontal="center" vertical="center"/>
    </xf>
    <xf numFmtId="0" fontId="157" fillId="0" borderId="54" xfId="0" applyFont="1" applyBorder="1" applyAlignment="1">
      <alignment horizontal="center" vertical="center"/>
    </xf>
    <xf numFmtId="0" fontId="136" fillId="0" borderId="152" xfId="0" applyFont="1" applyBorder="1" applyAlignment="1">
      <alignment horizontal="center" vertical="center"/>
    </xf>
    <xf numFmtId="0" fontId="158" fillId="0" borderId="154" xfId="0" applyFont="1" applyBorder="1" applyAlignment="1">
      <alignment horizontal="center" vertical="center"/>
    </xf>
    <xf numFmtId="0" fontId="157" fillId="0" borderId="155" xfId="0" applyFont="1" applyBorder="1" applyAlignment="1">
      <alignment horizontal="center" vertical="center"/>
    </xf>
    <xf numFmtId="0" fontId="141" fillId="0" borderId="158" xfId="0" applyFont="1" applyBorder="1" applyAlignment="1">
      <alignment horizontal="center" vertical="center" wrapText="1"/>
    </xf>
    <xf numFmtId="0" fontId="283" fillId="0" borderId="158" xfId="0" applyFont="1" applyBorder="1" applyAlignment="1">
      <alignment horizontal="center" vertical="center" wrapText="1"/>
    </xf>
    <xf numFmtId="0" fontId="143" fillId="2" borderId="158" xfId="0" applyFont="1" applyFill="1" applyBorder="1" applyAlignment="1">
      <alignment horizontal="center" vertical="center"/>
    </xf>
    <xf numFmtId="0" fontId="137" fillId="0" borderId="158" xfId="0" applyFont="1" applyBorder="1" applyAlignment="1">
      <alignment horizontal="center" vertical="center" wrapText="1"/>
    </xf>
    <xf numFmtId="0" fontId="144" fillId="15" borderId="158" xfId="0" applyFont="1" applyFill="1" applyBorder="1" applyAlignment="1">
      <alignment horizontal="center" vertical="center" wrapText="1"/>
    </xf>
    <xf numFmtId="0" fontId="136" fillId="0" borderId="158" xfId="0" applyFont="1" applyBorder="1"/>
    <xf numFmtId="0" fontId="167" fillId="0" borderId="158" xfId="0" applyFont="1" applyBorder="1" applyAlignment="1">
      <alignment horizontal="center" vertical="center"/>
    </xf>
    <xf numFmtId="0" fontId="141" fillId="0" borderId="158" xfId="0" applyFont="1" applyBorder="1" applyAlignment="1">
      <alignment horizontal="center" vertical="center"/>
    </xf>
    <xf numFmtId="0" fontId="157" fillId="0" borderId="140" xfId="0" applyFont="1" applyBorder="1" applyAlignment="1">
      <alignment horizontal="center" vertical="center"/>
    </xf>
    <xf numFmtId="0" fontId="151" fillId="0" borderId="140" xfId="0" applyFont="1" applyBorder="1" applyAlignment="1">
      <alignment horizontal="center" vertical="center"/>
    </xf>
    <xf numFmtId="0" fontId="137" fillId="0" borderId="140" xfId="0" applyFont="1" applyBorder="1" applyAlignment="1">
      <alignment horizontal="center" vertical="center"/>
    </xf>
    <xf numFmtId="0" fontId="137" fillId="16" borderId="140" xfId="0" applyFont="1" applyFill="1" applyBorder="1" applyAlignment="1">
      <alignment horizontal="center" vertical="center"/>
    </xf>
    <xf numFmtId="1" fontId="137" fillId="0" borderId="140" xfId="0" applyNumberFormat="1" applyFont="1" applyBorder="1" applyAlignment="1">
      <alignment horizontal="right" wrapText="1"/>
    </xf>
    <xf numFmtId="0" fontId="137" fillId="15" borderId="140" xfId="0" applyFont="1" applyFill="1" applyBorder="1"/>
    <xf numFmtId="0" fontId="0" fillId="0" borderId="140" xfId="0" applyBorder="1" applyAlignment="1">
      <alignment horizontal="center" vertical="center"/>
    </xf>
    <xf numFmtId="0" fontId="0" fillId="0" borderId="140" xfId="0" applyBorder="1"/>
    <xf numFmtId="0" fontId="137" fillId="2" borderId="140" xfId="0" applyFont="1" applyFill="1" applyBorder="1" applyAlignment="1">
      <alignment horizontal="center" vertical="center"/>
    </xf>
    <xf numFmtId="165" fontId="137" fillId="17" borderId="140" xfId="0" applyNumberFormat="1" applyFont="1" applyFill="1" applyBorder="1"/>
    <xf numFmtId="0" fontId="137" fillId="17" borderId="140" xfId="0" applyFont="1" applyFill="1" applyBorder="1"/>
    <xf numFmtId="165" fontId="137" fillId="0" borderId="140" xfId="0" applyNumberFormat="1" applyFont="1" applyBorder="1"/>
    <xf numFmtId="0" fontId="161" fillId="0" borderId="140" xfId="0" applyFont="1" applyBorder="1"/>
    <xf numFmtId="165" fontId="137" fillId="16" borderId="140" xfId="0" applyNumberFormat="1" applyFont="1" applyFill="1" applyBorder="1" applyAlignment="1">
      <alignment horizontal="center" vertical="center"/>
    </xf>
    <xf numFmtId="0" fontId="137" fillId="18" borderId="140" xfId="0" applyFont="1" applyFill="1" applyBorder="1" applyAlignment="1">
      <alignment horizontal="center" vertical="center"/>
    </xf>
    <xf numFmtId="165" fontId="168" fillId="0" borderId="140" xfId="0" applyNumberFormat="1" applyFont="1" applyBorder="1" applyAlignment="1">
      <alignment horizontal="center" vertical="center"/>
    </xf>
    <xf numFmtId="0" fontId="169" fillId="0" borderId="140" xfId="0" applyFont="1" applyBorder="1"/>
    <xf numFmtId="0" fontId="170" fillId="16" borderId="140" xfId="0" applyFont="1" applyFill="1" applyBorder="1" applyAlignment="1">
      <alignment horizontal="center" vertical="center"/>
    </xf>
    <xf numFmtId="165" fontId="137" fillId="0" borderId="140" xfId="0" applyNumberFormat="1" applyFont="1" applyBorder="1" applyAlignment="1">
      <alignment horizontal="center" vertical="center"/>
    </xf>
    <xf numFmtId="0" fontId="171" fillId="2" borderId="140" xfId="0" applyFont="1" applyFill="1" applyBorder="1" applyAlignment="1">
      <alignment horizontal="center" vertical="center"/>
    </xf>
    <xf numFmtId="0" fontId="137" fillId="2" borderId="140" xfId="0" applyFont="1" applyFill="1" applyBorder="1"/>
    <xf numFmtId="0" fontId="137" fillId="4" borderId="140" xfId="0" applyFont="1" applyFill="1" applyBorder="1"/>
    <xf numFmtId="0" fontId="137" fillId="18" borderId="140" xfId="0" applyFont="1" applyFill="1" applyBorder="1"/>
    <xf numFmtId="0" fontId="169" fillId="2" borderId="140" xfId="0" applyFont="1" applyFill="1" applyBorder="1"/>
    <xf numFmtId="0" fontId="163" fillId="0" borderId="140" xfId="0" applyFont="1" applyBorder="1" applyAlignment="1">
      <alignment horizontal="center" vertical="center"/>
    </xf>
    <xf numFmtId="0" fontId="157" fillId="0" borderId="145" xfId="0" applyFont="1" applyBorder="1" applyAlignment="1">
      <alignment horizontal="center" vertical="center"/>
    </xf>
    <xf numFmtId="0" fontId="151" fillId="0" borderId="145" xfId="0" applyFont="1" applyBorder="1" applyAlignment="1">
      <alignment horizontal="center" vertical="center"/>
    </xf>
    <xf numFmtId="0" fontId="137" fillId="0" borderId="145" xfId="0" applyFont="1" applyBorder="1" applyAlignment="1">
      <alignment horizontal="center" vertical="center"/>
    </xf>
    <xf numFmtId="0" fontId="147" fillId="3" borderId="145" xfId="0" applyFont="1" applyFill="1" applyBorder="1" applyAlignment="1">
      <alignment horizontal="center" vertical="center" wrapText="1"/>
    </xf>
    <xf numFmtId="0" fontId="137" fillId="16" borderId="145" xfId="0" applyFont="1" applyFill="1" applyBorder="1" applyAlignment="1">
      <alignment horizontal="center" vertical="center"/>
    </xf>
    <xf numFmtId="1" fontId="137" fillId="0" borderId="145" xfId="0" applyNumberFormat="1" applyFont="1" applyBorder="1" applyAlignment="1">
      <alignment horizontal="right" wrapText="1"/>
    </xf>
    <xf numFmtId="0" fontId="137" fillId="0" borderId="145" xfId="0" applyFont="1" applyBorder="1"/>
    <xf numFmtId="0" fontId="137" fillId="15" borderId="145" xfId="0" applyFont="1" applyFill="1" applyBorder="1"/>
    <xf numFmtId="0" fontId="144" fillId="15" borderId="145" xfId="0" applyFont="1" applyFill="1" applyBorder="1" applyAlignment="1">
      <alignment horizontal="center" vertical="center" wrapText="1"/>
    </xf>
    <xf numFmtId="0" fontId="136" fillId="0" borderId="145" xfId="0" applyFont="1" applyBorder="1"/>
    <xf numFmtId="0" fontId="136" fillId="0" borderId="159" xfId="0" applyFont="1" applyBorder="1"/>
    <xf numFmtId="0" fontId="136" fillId="0" borderId="160" xfId="0" applyFont="1" applyBorder="1"/>
    <xf numFmtId="0" fontId="137" fillId="0" borderId="152" xfId="0" applyFont="1" applyBorder="1" applyAlignment="1">
      <alignment horizontal="center" vertical="center"/>
    </xf>
    <xf numFmtId="0" fontId="137" fillId="0" borderId="154" xfId="0" applyFont="1" applyBorder="1" applyAlignment="1">
      <alignment horizontal="center" vertical="center"/>
    </xf>
    <xf numFmtId="0" fontId="157" fillId="0" borderId="154" xfId="0" applyFont="1" applyBorder="1" applyAlignment="1">
      <alignment horizontal="center" vertical="center"/>
    </xf>
    <xf numFmtId="0" fontId="137" fillId="0" borderId="154" xfId="0" applyFont="1" applyBorder="1"/>
    <xf numFmtId="0" fontId="137" fillId="15" borderId="154" xfId="0" applyFont="1" applyFill="1" applyBorder="1"/>
    <xf numFmtId="0" fontId="136" fillId="0" borderId="154" xfId="0" applyFont="1" applyBorder="1"/>
    <xf numFmtId="0" fontId="136" fillId="0" borderId="161" xfId="0" applyFont="1" applyBorder="1"/>
    <xf numFmtId="0" fontId="172" fillId="0" borderId="148" xfId="0" applyFont="1" applyBorder="1" applyAlignment="1">
      <alignment horizontal="center"/>
    </xf>
    <xf numFmtId="0" fontId="172" fillId="0" borderId="146" xfId="0" applyFont="1" applyBorder="1"/>
    <xf numFmtId="0" fontId="137" fillId="0" borderId="148" xfId="0" applyFont="1" applyBorder="1" applyAlignment="1">
      <alignment horizontal="center" vertical="center"/>
    </xf>
    <xf numFmtId="0" fontId="137" fillId="0" borderId="162" xfId="0" applyFont="1" applyBorder="1" applyAlignment="1">
      <alignment horizontal="center" vertical="center"/>
    </xf>
    <xf numFmtId="0" fontId="147" fillId="3" borderId="162" xfId="0" applyFont="1" applyFill="1" applyBorder="1" applyAlignment="1">
      <alignment horizontal="center" vertical="center" wrapText="1"/>
    </xf>
    <xf numFmtId="0" fontId="177" fillId="0" borderId="163" xfId="0" applyFont="1" applyBorder="1" applyAlignment="1">
      <alignment horizontal="center" vertical="center"/>
    </xf>
    <xf numFmtId="0" fontId="177" fillId="0" borderId="148" xfId="0" applyFont="1" applyBorder="1" applyAlignment="1">
      <alignment horizontal="center" vertical="center"/>
    </xf>
    <xf numFmtId="0" fontId="177" fillId="0" borderId="164" xfId="0" applyFont="1" applyBorder="1" applyAlignment="1">
      <alignment horizontal="center" vertical="center"/>
    </xf>
    <xf numFmtId="0" fontId="163" fillId="0" borderId="163" xfId="0" applyFont="1" applyBorder="1" applyAlignment="1">
      <alignment horizontal="center" vertical="center" wrapText="1"/>
    </xf>
    <xf numFmtId="0" fontId="137" fillId="0" borderId="148" xfId="0" applyFont="1" applyBorder="1" applyAlignment="1">
      <alignment horizontal="center"/>
    </xf>
    <xf numFmtId="0" fontId="177" fillId="19" borderId="164" xfId="0" applyFont="1" applyFill="1" applyBorder="1" applyAlignment="1">
      <alignment horizontal="center" vertical="center"/>
    </xf>
    <xf numFmtId="0" fontId="137" fillId="0" borderId="163" xfId="0" applyFont="1" applyBorder="1"/>
    <xf numFmtId="0" fontId="137" fillId="0" borderId="148" xfId="0" applyFont="1" applyBorder="1"/>
    <xf numFmtId="0" fontId="163" fillId="0" borderId="148" xfId="0" applyFont="1" applyBorder="1" applyAlignment="1">
      <alignment horizontal="center" vertical="center" wrapText="1"/>
    </xf>
    <xf numFmtId="0" fontId="137" fillId="0" borderId="164" xfId="0" applyFont="1" applyBorder="1"/>
    <xf numFmtId="165" fontId="137" fillId="0" borderId="163" xfId="0" applyNumberFormat="1" applyFont="1" applyBorder="1"/>
    <xf numFmtId="0" fontId="163" fillId="0" borderId="148" xfId="0" applyFont="1" applyBorder="1" applyAlignment="1">
      <alignment horizontal="right"/>
    </xf>
    <xf numFmtId="165" fontId="137" fillId="0" borderId="148" xfId="0" applyNumberFormat="1" applyFont="1" applyBorder="1"/>
    <xf numFmtId="165" fontId="137" fillId="0" borderId="164" xfId="0" applyNumberFormat="1" applyFont="1" applyBorder="1"/>
    <xf numFmtId="165" fontId="137" fillId="0" borderId="148" xfId="0" applyNumberFormat="1" applyFont="1" applyBorder="1" applyAlignment="1">
      <alignment horizontal="right"/>
    </xf>
    <xf numFmtId="0" fontId="137" fillId="18" borderId="163" xfId="0" applyFont="1" applyFill="1" applyBorder="1" applyAlignment="1">
      <alignment horizontal="center" vertical="center"/>
    </xf>
    <xf numFmtId="0" fontId="137" fillId="18" borderId="148" xfId="0" applyFont="1" applyFill="1" applyBorder="1" applyAlignment="1">
      <alignment horizontal="center" vertical="center"/>
    </xf>
    <xf numFmtId="165" fontId="137" fillId="0" borderId="148" xfId="0" applyNumberFormat="1" applyFont="1" applyBorder="1" applyAlignment="1">
      <alignment horizontal="center" vertical="center"/>
    </xf>
    <xf numFmtId="0" fontId="136" fillId="18" borderId="162" xfId="0" applyFont="1" applyFill="1" applyBorder="1" applyAlignment="1">
      <alignment horizontal="center" vertical="center"/>
    </xf>
    <xf numFmtId="0" fontId="137" fillId="0" borderId="146" xfId="0" applyFont="1" applyBorder="1"/>
    <xf numFmtId="0" fontId="137" fillId="0" borderId="162" xfId="0" applyFont="1" applyBorder="1"/>
    <xf numFmtId="0" fontId="137" fillId="0" borderId="165" xfId="0" applyFont="1" applyBorder="1"/>
    <xf numFmtId="0" fontId="137" fillId="0" borderId="40" xfId="0" applyFont="1" applyBorder="1" applyAlignment="1">
      <alignment horizontal="center" vertical="center"/>
    </xf>
    <xf numFmtId="165" fontId="137" fillId="0" borderId="40" xfId="0" applyNumberFormat="1" applyFont="1" applyBorder="1"/>
    <xf numFmtId="0" fontId="137" fillId="0" borderId="166" xfId="0" applyFont="1" applyBorder="1"/>
    <xf numFmtId="0" fontId="137" fillId="0" borderId="40" xfId="0" applyFont="1" applyBorder="1"/>
    <xf numFmtId="0" fontId="137" fillId="18" borderId="166" xfId="0" applyFont="1" applyFill="1" applyBorder="1"/>
    <xf numFmtId="0" fontId="137" fillId="17" borderId="166" xfId="0" applyFont="1" applyFill="1" applyBorder="1"/>
    <xf numFmtId="0" fontId="136" fillId="0" borderId="40" xfId="0" applyFont="1" applyBorder="1" applyAlignment="1">
      <alignment horizontal="center" vertical="center"/>
    </xf>
    <xf numFmtId="0" fontId="137" fillId="57" borderId="166" xfId="0" applyFont="1" applyFill="1" applyBorder="1"/>
    <xf numFmtId="165" fontId="136" fillId="0" borderId="40" xfId="0" applyNumberFormat="1" applyFont="1" applyBorder="1" applyAlignment="1">
      <alignment horizontal="center" vertical="center"/>
    </xf>
    <xf numFmtId="0" fontId="137" fillId="17" borderId="64" xfId="0" applyFont="1" applyFill="1" applyBorder="1"/>
    <xf numFmtId="0" fontId="137" fillId="17" borderId="167" xfId="0" applyFont="1" applyFill="1" applyBorder="1"/>
    <xf numFmtId="0" fontId="172" fillId="0" borderId="156" xfId="0" applyFont="1" applyBorder="1" applyAlignment="1">
      <alignment horizontal="center"/>
    </xf>
    <xf numFmtId="0" fontId="137" fillId="0" borderId="156" xfId="0" applyFont="1" applyBorder="1" applyAlignment="1">
      <alignment horizontal="center" vertical="center"/>
    </xf>
    <xf numFmtId="0" fontId="137" fillId="0" borderId="168" xfId="0" applyFont="1" applyBorder="1" applyAlignment="1">
      <alignment horizontal="center" vertical="center"/>
    </xf>
    <xf numFmtId="0" fontId="147" fillId="3" borderId="169" xfId="0" applyFont="1" applyFill="1" applyBorder="1" applyAlignment="1">
      <alignment horizontal="center" vertical="center" wrapText="1"/>
    </xf>
    <xf numFmtId="0" fontId="177" fillId="18" borderId="170" xfId="0" applyFont="1" applyFill="1" applyBorder="1" applyAlignment="1">
      <alignment horizontal="center" vertical="center"/>
    </xf>
    <xf numFmtId="0" fontId="177" fillId="18" borderId="156" xfId="0" applyFont="1" applyFill="1" applyBorder="1" applyAlignment="1">
      <alignment horizontal="center" vertical="center"/>
    </xf>
    <xf numFmtId="0" fontId="177" fillId="0" borderId="156" xfId="0" applyFont="1" applyBorder="1" applyAlignment="1">
      <alignment horizontal="center" vertical="center"/>
    </xf>
    <xf numFmtId="165" fontId="177" fillId="0" borderId="156" xfId="0" applyNumberFormat="1" applyFont="1" applyBorder="1" applyAlignment="1">
      <alignment horizontal="center" vertical="center"/>
    </xf>
    <xf numFmtId="165" fontId="177" fillId="0" borderId="171" xfId="0" applyNumberFormat="1" applyFont="1" applyBorder="1" applyAlignment="1">
      <alignment horizontal="center" vertical="center"/>
    </xf>
    <xf numFmtId="165" fontId="137" fillId="0" borderId="170" xfId="0" applyNumberFormat="1" applyFont="1" applyBorder="1" applyAlignment="1">
      <alignment horizontal="center" vertical="center"/>
    </xf>
    <xf numFmtId="165" fontId="137" fillId="2" borderId="156" xfId="0" applyNumberFormat="1" applyFont="1" applyFill="1" applyBorder="1" applyAlignment="1">
      <alignment horizontal="center" vertical="center"/>
    </xf>
    <xf numFmtId="0" fontId="137" fillId="0" borderId="156" xfId="0" applyFont="1" applyBorder="1" applyAlignment="1">
      <alignment horizontal="center"/>
    </xf>
    <xf numFmtId="0" fontId="177" fillId="19" borderId="171" xfId="0" applyFont="1" applyFill="1" applyBorder="1" applyAlignment="1">
      <alignment horizontal="center" vertical="center"/>
    </xf>
    <xf numFmtId="0" fontId="137" fillId="0" borderId="170" xfId="0" applyFont="1" applyBorder="1"/>
    <xf numFmtId="0" fontId="137" fillId="0" borderId="156" xfId="0" applyFont="1" applyBorder="1"/>
    <xf numFmtId="165" fontId="137" fillId="0" borderId="156" xfId="0" applyNumberFormat="1" applyFont="1" applyBorder="1" applyAlignment="1">
      <alignment horizontal="center" vertical="center"/>
    </xf>
    <xf numFmtId="0" fontId="137" fillId="0" borderId="171" xfId="0" applyFont="1" applyBorder="1"/>
    <xf numFmtId="165" fontId="137" fillId="0" borderId="170" xfId="0" applyNumberFormat="1" applyFont="1" applyBorder="1"/>
    <xf numFmtId="165" fontId="137" fillId="0" borderId="156" xfId="0" applyNumberFormat="1" applyFont="1" applyBorder="1"/>
    <xf numFmtId="165" fontId="137" fillId="0" borderId="171" xfId="0" applyNumberFormat="1" applyFont="1" applyBorder="1"/>
    <xf numFmtId="165" fontId="137" fillId="0" borderId="156" xfId="0" applyNumberFormat="1" applyFont="1" applyBorder="1" applyAlignment="1">
      <alignment horizontal="right"/>
    </xf>
    <xf numFmtId="0" fontId="137" fillId="0" borderId="156" xfId="0" applyFont="1" applyBorder="1" applyAlignment="1">
      <alignment horizontal="right"/>
    </xf>
    <xf numFmtId="0" fontId="137" fillId="16" borderId="170" xfId="0" applyFont="1" applyFill="1" applyBorder="1" applyAlignment="1">
      <alignment horizontal="center" vertical="center"/>
    </xf>
    <xf numFmtId="0" fontId="137" fillId="18" borderId="156" xfId="0" applyFont="1" applyFill="1" applyBorder="1" applyAlignment="1">
      <alignment horizontal="center" vertical="center"/>
    </xf>
    <xf numFmtId="0" fontId="136" fillId="18" borderId="168" xfId="0" applyFont="1" applyFill="1" applyBorder="1" applyAlignment="1">
      <alignment horizontal="center" vertical="center"/>
    </xf>
    <xf numFmtId="0" fontId="137" fillId="17" borderId="155" xfId="0" applyFont="1" applyFill="1" applyBorder="1"/>
    <xf numFmtId="0" fontId="137" fillId="18" borderId="156" xfId="0" applyFont="1" applyFill="1" applyBorder="1"/>
    <xf numFmtId="0" fontId="137" fillId="17" borderId="156" xfId="0" applyFont="1" applyFill="1" applyBorder="1"/>
    <xf numFmtId="0" fontId="137" fillId="0" borderId="168" xfId="0" applyFont="1" applyBorder="1"/>
    <xf numFmtId="0" fontId="137" fillId="60" borderId="171" xfId="0" applyFont="1" applyFill="1" applyBorder="1"/>
    <xf numFmtId="0" fontId="137" fillId="18" borderId="172" xfId="0" applyFont="1" applyFill="1" applyBorder="1"/>
    <xf numFmtId="0" fontId="137" fillId="0" borderId="173" xfId="0" applyFont="1" applyBorder="1"/>
    <xf numFmtId="165" fontId="163" fillId="0" borderId="148" xfId="0" applyNumberFormat="1" applyFont="1" applyBorder="1" applyAlignment="1">
      <alignment horizontal="center" vertical="center" wrapText="1"/>
    </xf>
    <xf numFmtId="0" fontId="163" fillId="0" borderId="164" xfId="0" applyFont="1" applyBorder="1" applyAlignment="1">
      <alignment horizontal="center" vertical="center" wrapText="1"/>
    </xf>
    <xf numFmtId="0" fontId="163" fillId="0" borderId="146" xfId="0" applyFont="1" applyBorder="1" applyAlignment="1">
      <alignment horizontal="center" vertical="center" wrapText="1"/>
    </xf>
    <xf numFmtId="165" fontId="191" fillId="0" borderId="148" xfId="0" applyNumberFormat="1" applyFont="1" applyBorder="1" applyAlignment="1">
      <alignment horizontal="center" vertical="center" wrapText="1"/>
    </xf>
    <xf numFmtId="0" fontId="191" fillId="0" borderId="164" xfId="0" applyFont="1" applyBorder="1" applyAlignment="1">
      <alignment horizontal="center" vertical="center" wrapText="1"/>
    </xf>
    <xf numFmtId="0" fontId="137" fillId="0" borderId="163" xfId="0" applyFont="1" applyBorder="1" applyAlignment="1">
      <alignment horizontal="center"/>
    </xf>
    <xf numFmtId="0" fontId="137" fillId="0" borderId="164" xfId="0" applyFont="1" applyBorder="1" applyAlignment="1">
      <alignment horizontal="center"/>
    </xf>
    <xf numFmtId="165" fontId="137" fillId="0" borderId="163" xfId="0" applyNumberFormat="1" applyFont="1" applyBorder="1" applyAlignment="1">
      <alignment horizontal="center"/>
    </xf>
    <xf numFmtId="165" fontId="137" fillId="0" borderId="148" xfId="0" applyNumberFormat="1" applyFont="1" applyBorder="1" applyAlignment="1">
      <alignment horizontal="center"/>
    </xf>
    <xf numFmtId="0" fontId="137" fillId="16" borderId="148" xfId="0" applyFont="1" applyFill="1" applyBorder="1" applyAlignment="1">
      <alignment horizontal="center"/>
    </xf>
    <xf numFmtId="165" fontId="137" fillId="0" borderId="174" xfId="0" applyNumberFormat="1" applyFont="1" applyBorder="1" applyAlignment="1">
      <alignment horizontal="right" wrapText="1"/>
    </xf>
    <xf numFmtId="0" fontId="135" fillId="0" borderId="174" xfId="0" applyFont="1" applyBorder="1" applyAlignment="1">
      <alignment horizontal="right" wrapText="1"/>
    </xf>
    <xf numFmtId="0" fontId="137" fillId="0" borderId="175" xfId="0" applyFont="1" applyBorder="1"/>
    <xf numFmtId="0" fontId="137" fillId="0" borderId="176" xfId="0" applyFont="1" applyBorder="1"/>
    <xf numFmtId="0" fontId="137" fillId="0" borderId="177" xfId="0" applyFont="1" applyBorder="1"/>
    <xf numFmtId="0" fontId="177" fillId="0" borderId="170" xfId="0" applyFont="1" applyBorder="1" applyAlignment="1">
      <alignment horizontal="center" vertical="center"/>
    </xf>
    <xf numFmtId="0" fontId="137" fillId="0" borderId="171" xfId="0" applyFont="1" applyBorder="1" applyAlignment="1">
      <alignment horizontal="center" vertical="center"/>
    </xf>
    <xf numFmtId="0" fontId="163" fillId="0" borderId="155" xfId="0" applyFont="1" applyBorder="1" applyAlignment="1">
      <alignment horizontal="center" vertical="center" wrapText="1"/>
    </xf>
    <xf numFmtId="0" fontId="163" fillId="0" borderId="156" xfId="0" applyFont="1" applyBorder="1" applyAlignment="1">
      <alignment horizontal="center" vertical="center" wrapText="1"/>
    </xf>
    <xf numFmtId="165" fontId="191" fillId="0" borderId="156" xfId="0" applyNumberFormat="1" applyFont="1" applyBorder="1" applyAlignment="1">
      <alignment horizontal="center" vertical="center" wrapText="1"/>
    </xf>
    <xf numFmtId="0" fontId="191" fillId="0" borderId="171" xfId="0" applyFont="1" applyBorder="1" applyAlignment="1">
      <alignment horizontal="center" vertical="center" wrapText="1"/>
    </xf>
    <xf numFmtId="0" fontId="137" fillId="0" borderId="170" xfId="0" applyFont="1" applyBorder="1" applyAlignment="1">
      <alignment horizontal="center"/>
    </xf>
    <xf numFmtId="165" fontId="137" fillId="0" borderId="156" xfId="0" applyNumberFormat="1" applyFont="1" applyBorder="1" applyAlignment="1">
      <alignment horizontal="center"/>
    </xf>
    <xf numFmtId="0" fontId="137" fillId="0" borderId="171" xfId="0" applyFont="1" applyBorder="1" applyAlignment="1">
      <alignment horizontal="center"/>
    </xf>
    <xf numFmtId="165" fontId="137" fillId="0" borderId="170" xfId="0" applyNumberFormat="1" applyFont="1" applyBorder="1" applyAlignment="1">
      <alignment horizontal="center"/>
    </xf>
    <xf numFmtId="0" fontId="137" fillId="16" borderId="156" xfId="0" applyFont="1" applyFill="1" applyBorder="1" applyAlignment="1">
      <alignment horizontal="center"/>
    </xf>
    <xf numFmtId="0" fontId="136" fillId="0" borderId="171" xfId="0" applyFont="1" applyBorder="1" applyAlignment="1">
      <alignment horizontal="center"/>
    </xf>
    <xf numFmtId="165" fontId="137" fillId="0" borderId="178" xfId="0" applyNumberFormat="1" applyFont="1" applyBorder="1" applyAlignment="1">
      <alignment horizontal="right" wrapText="1"/>
    </xf>
    <xf numFmtId="0" fontId="135" fillId="0" borderId="178" xfId="0" applyFont="1" applyBorder="1" applyAlignment="1">
      <alignment horizontal="right" wrapText="1"/>
    </xf>
    <xf numFmtId="0" fontId="137" fillId="0" borderId="179" xfId="0" applyFont="1" applyBorder="1"/>
    <xf numFmtId="0" fontId="137" fillId="0" borderId="180" xfId="0" applyFont="1" applyBorder="1"/>
    <xf numFmtId="0" fontId="137" fillId="0" borderId="155" xfId="0" applyFont="1" applyBorder="1"/>
    <xf numFmtId="0" fontId="137" fillId="0" borderId="172" xfId="0" applyFont="1" applyBorder="1"/>
    <xf numFmtId="17" fontId="136" fillId="0" borderId="144" xfId="0" applyNumberFormat="1" applyFont="1" applyBorder="1" applyAlignment="1">
      <alignment horizontal="center" vertical="center"/>
    </xf>
    <xf numFmtId="17" fontId="136" fillId="0" borderId="153" xfId="0" applyNumberFormat="1" applyFont="1" applyBorder="1" applyAlignment="1">
      <alignment horizontal="center" vertical="center"/>
    </xf>
    <xf numFmtId="0" fontId="198" fillId="0" borderId="107" xfId="0" applyFont="1" applyBorder="1"/>
    <xf numFmtId="0" fontId="137" fillId="0" borderId="107" xfId="0" applyFont="1" applyBorder="1" applyAlignment="1">
      <alignment wrapText="1"/>
    </xf>
    <xf numFmtId="0" fontId="141" fillId="0" borderId="70" xfId="0" applyFont="1" applyBorder="1" applyAlignment="1">
      <alignment horizontal="center" vertical="center" wrapText="1"/>
    </xf>
    <xf numFmtId="0" fontId="136" fillId="0" borderId="1" xfId="0" applyFont="1" applyBorder="1"/>
    <xf numFmtId="0" fontId="137" fillId="0" borderId="1" xfId="0" applyFont="1" applyBorder="1"/>
    <xf numFmtId="17" fontId="136" fillId="0" borderId="107" xfId="0" applyNumberFormat="1" applyFont="1" applyBorder="1"/>
    <xf numFmtId="0" fontId="156" fillId="0" borderId="141" xfId="0" applyFont="1" applyBorder="1" applyAlignment="1">
      <alignment horizontal="center" vertical="center" wrapText="1"/>
    </xf>
    <xf numFmtId="0" fontId="151" fillId="0" borderId="42" xfId="0" applyFont="1" applyBorder="1" applyAlignment="1">
      <alignment horizontal="center"/>
    </xf>
    <xf numFmtId="0" fontId="137" fillId="0" borderId="42" xfId="0" applyFont="1" applyBorder="1"/>
    <xf numFmtId="0" fontId="193" fillId="2" borderId="141" xfId="0" applyFont="1" applyFill="1" applyBorder="1" applyAlignment="1">
      <alignment horizontal="center" vertical="center"/>
    </xf>
    <xf numFmtId="0" fontId="136" fillId="0" borderId="42" xfId="0" applyFont="1" applyBorder="1"/>
    <xf numFmtId="0" fontId="143" fillId="2" borderId="71" xfId="0" applyFont="1" applyFill="1" applyBorder="1" applyAlignment="1">
      <alignment horizontal="center" vertical="center"/>
    </xf>
    <xf numFmtId="0" fontId="151" fillId="15" borderId="107" xfId="0" applyFont="1" applyFill="1" applyBorder="1" applyAlignment="1">
      <alignment horizontal="center" vertical="center" wrapText="1"/>
    </xf>
    <xf numFmtId="0" fontId="137" fillId="0" borderId="95" xfId="0" applyFont="1" applyBorder="1"/>
    <xf numFmtId="0" fontId="137" fillId="0" borderId="122" xfId="0" applyFont="1" applyBorder="1"/>
    <xf numFmtId="0" fontId="194" fillId="2" borderId="141" xfId="0" applyFont="1" applyFill="1" applyBorder="1" applyAlignment="1">
      <alignment horizontal="center" vertical="center"/>
    </xf>
    <xf numFmtId="49" fontId="137" fillId="67" borderId="22" xfId="0" applyNumberFormat="1" applyFont="1" applyFill="1" applyBorder="1"/>
    <xf numFmtId="49" fontId="137" fillId="68" borderId="22" xfId="0" applyNumberFormat="1" applyFont="1" applyFill="1" applyBorder="1"/>
    <xf numFmtId="0" fontId="223" fillId="69" borderId="22" xfId="0" applyFont="1" applyFill="1" applyBorder="1"/>
    <xf numFmtId="0" fontId="224" fillId="69" borderId="22" xfId="0" applyFont="1" applyFill="1" applyBorder="1"/>
    <xf numFmtId="0" fontId="136" fillId="69" borderId="22" xfId="0" applyFont="1" applyFill="1" applyBorder="1"/>
    <xf numFmtId="17" fontId="0" fillId="0" borderId="140" xfId="0" applyNumberFormat="1" applyBorder="1"/>
    <xf numFmtId="0" fontId="281" fillId="0" borderId="140" xfId="0" applyFont="1" applyBorder="1"/>
    <xf numFmtId="0" fontId="136" fillId="0" borderId="140" xfId="0" applyFont="1" applyBorder="1" applyAlignment="1">
      <alignment horizontal="center" vertical="center"/>
    </xf>
    <xf numFmtId="0" fontId="151" fillId="0" borderId="140" xfId="0" applyFont="1" applyBorder="1" applyAlignment="1">
      <alignment horizontal="center"/>
    </xf>
    <xf numFmtId="0" fontId="136" fillId="0" borderId="107" xfId="0" applyFont="1" applyBorder="1" applyAlignment="1">
      <alignment horizontal="center" vertical="center"/>
    </xf>
    <xf numFmtId="0" fontId="151" fillId="18" borderId="98" xfId="0" applyFont="1" applyFill="1" applyBorder="1" applyAlignment="1">
      <alignment horizontal="left"/>
    </xf>
    <xf numFmtId="0" fontId="136" fillId="0" borderId="98" xfId="0" applyFont="1" applyBorder="1"/>
    <xf numFmtId="0" fontId="141" fillId="0" borderId="98" xfId="0" applyFont="1" applyBorder="1" applyAlignment="1">
      <alignment horizontal="center" vertical="center" wrapText="1"/>
    </xf>
    <xf numFmtId="0" fontId="147" fillId="18" borderId="98" xfId="0" applyFont="1" applyFill="1" applyBorder="1" applyAlignment="1">
      <alignment horizontal="center" vertical="center" wrapText="1"/>
    </xf>
    <xf numFmtId="0" fontId="142" fillId="18" borderId="95" xfId="0" applyFont="1" applyFill="1" applyBorder="1" applyAlignment="1">
      <alignment horizontal="center" vertical="center" wrapText="1"/>
    </xf>
    <xf numFmtId="0" fontId="142" fillId="18" borderId="98" xfId="0" applyFont="1" applyFill="1" applyBorder="1" applyAlignment="1">
      <alignment horizontal="center" vertical="center" wrapText="1"/>
    </xf>
    <xf numFmtId="0" fontId="177" fillId="18" borderId="95" xfId="0" applyFont="1" applyFill="1" applyBorder="1" applyAlignment="1">
      <alignment horizontal="center" vertical="center"/>
    </xf>
    <xf numFmtId="0" fontId="144" fillId="18" borderId="95" xfId="0" applyFont="1" applyFill="1" applyBorder="1" applyAlignment="1">
      <alignment horizontal="center" wrapText="1"/>
    </xf>
    <xf numFmtId="0" fontId="151" fillId="15" borderId="98" xfId="0" applyFont="1" applyFill="1" applyBorder="1" applyAlignment="1">
      <alignment horizontal="center" vertical="center" wrapText="1"/>
    </xf>
    <xf numFmtId="0" fontId="156" fillId="23" borderId="98" xfId="0" applyFont="1" applyFill="1" applyBorder="1" applyAlignment="1">
      <alignment horizontal="center" vertical="center" wrapText="1"/>
    </xf>
    <xf numFmtId="0" fontId="137" fillId="15" borderId="98" xfId="0" applyFont="1" applyFill="1" applyBorder="1" applyAlignment="1">
      <alignment horizontal="center" vertical="center"/>
    </xf>
    <xf numFmtId="1" fontId="151" fillId="0" borderId="42" xfId="0" applyNumberFormat="1" applyFont="1" applyBorder="1" applyAlignment="1">
      <alignment horizontal="right"/>
    </xf>
    <xf numFmtId="0" fontId="151" fillId="15" borderId="66" xfId="0" applyFont="1" applyFill="1" applyBorder="1" applyAlignment="1">
      <alignment horizontal="center"/>
    </xf>
    <xf numFmtId="0" fontId="151" fillId="18" borderId="66" xfId="0" applyFont="1" applyFill="1" applyBorder="1" applyAlignment="1">
      <alignment horizontal="left"/>
    </xf>
    <xf numFmtId="1" fontId="151" fillId="0" borderId="66" xfId="0" applyNumberFormat="1" applyFont="1" applyBorder="1" applyAlignment="1">
      <alignment horizontal="right"/>
    </xf>
    <xf numFmtId="0" fontId="136" fillId="0" borderId="185" xfId="0" applyFont="1" applyBorder="1"/>
    <xf numFmtId="0" fontId="136" fillId="0" borderId="95" xfId="0" applyFont="1" applyBorder="1"/>
    <xf numFmtId="0" fontId="151" fillId="0" borderId="187" xfId="0" applyFont="1" applyBorder="1" applyAlignment="1">
      <alignment horizontal="left"/>
    </xf>
    <xf numFmtId="0" fontId="151" fillId="0" borderId="187" xfId="0" applyFont="1" applyBorder="1"/>
    <xf numFmtId="172" fontId="151" fillId="0" borderId="187" xfId="0" applyNumberFormat="1" applyFont="1" applyBorder="1"/>
    <xf numFmtId="0" fontId="151" fillId="0" borderId="187" xfId="0" applyFont="1" applyBorder="1" applyAlignment="1">
      <alignment horizontal="center"/>
    </xf>
    <xf numFmtId="0" fontId="151" fillId="0" borderId="187" xfId="0" applyFont="1" applyBorder="1" applyAlignment="1">
      <alignment horizontal="right"/>
    </xf>
    <xf numFmtId="0" fontId="180" fillId="0" borderId="187" xfId="0" applyFont="1" applyBorder="1" applyAlignment="1">
      <alignment horizontal="center"/>
    </xf>
    <xf numFmtId="0" fontId="144" fillId="0" borderId="187" xfId="0" applyFont="1" applyBorder="1" applyAlignment="1">
      <alignment horizontal="center"/>
    </xf>
    <xf numFmtId="165" fontId="180" fillId="0" borderId="187" xfId="0" applyNumberFormat="1" applyFont="1" applyBorder="1" applyAlignment="1">
      <alignment horizontal="center"/>
    </xf>
    <xf numFmtId="165" fontId="151" fillId="0" borderId="187" xfId="0" applyNumberFormat="1" applyFont="1" applyBorder="1" applyAlignment="1">
      <alignment horizontal="center"/>
    </xf>
    <xf numFmtId="165" fontId="156" fillId="0" borderId="187" xfId="0" applyNumberFormat="1" applyFont="1" applyBorder="1" applyAlignment="1">
      <alignment horizontal="center"/>
    </xf>
    <xf numFmtId="0" fontId="156" fillId="0" borderId="187" xfId="0" applyFont="1" applyBorder="1" applyAlignment="1">
      <alignment horizontal="center"/>
    </xf>
    <xf numFmtId="0" fontId="136" fillId="0" borderId="187" xfId="0" applyFont="1" applyBorder="1"/>
    <xf numFmtId="0" fontId="137" fillId="0" borderId="187" xfId="0" applyFont="1" applyBorder="1"/>
    <xf numFmtId="0" fontId="151" fillId="0" borderId="107" xfId="0" applyFont="1" applyBorder="1" applyAlignment="1">
      <alignment horizontal="left"/>
    </xf>
    <xf numFmtId="0" fontId="151" fillId="0" borderId="107" xfId="0" applyFont="1" applyBorder="1"/>
    <xf numFmtId="0" fontId="151" fillId="0" borderId="107" xfId="0" applyFont="1" applyBorder="1" applyAlignment="1">
      <alignment horizontal="center"/>
    </xf>
    <xf numFmtId="0" fontId="144" fillId="0" borderId="107" xfId="0" applyFont="1" applyBorder="1" applyAlignment="1">
      <alignment horizontal="center"/>
    </xf>
    <xf numFmtId="0" fontId="137" fillId="0" borderId="107" xfId="0" applyFont="1" applyBorder="1" applyAlignment="1">
      <alignment horizontal="center"/>
    </xf>
    <xf numFmtId="165" fontId="156" fillId="0" borderId="120" xfId="0" applyNumberFormat="1" applyFont="1" applyBorder="1"/>
    <xf numFmtId="168" fontId="137" fillId="0" borderId="107" xfId="0" applyNumberFormat="1" applyFont="1" applyBorder="1"/>
    <xf numFmtId="0" fontId="198" fillId="0" borderId="107" xfId="0" applyFont="1" applyBorder="1" applyAlignment="1">
      <alignment horizontal="left"/>
    </xf>
    <xf numFmtId="0" fontId="156" fillId="0" borderId="107" xfId="0" applyFont="1" applyBorder="1"/>
    <xf numFmtId="165" fontId="156" fillId="0" borderId="107" xfId="0" applyNumberFormat="1" applyFont="1" applyBorder="1"/>
    <xf numFmtId="165" fontId="156" fillId="0" borderId="97" xfId="0" applyNumberFormat="1" applyFont="1" applyBorder="1"/>
    <xf numFmtId="0" fontId="151" fillId="18" borderId="95" xfId="0" applyFont="1" applyFill="1" applyBorder="1" applyAlignment="1">
      <alignment horizontal="left"/>
    </xf>
    <xf numFmtId="0" fontId="144" fillId="0" borderId="95" xfId="0" applyFont="1" applyBorder="1" applyAlignment="1">
      <alignment horizontal="center"/>
    </xf>
    <xf numFmtId="166" fontId="171" fillId="0" borderId="95" xfId="0" applyNumberFormat="1" applyFont="1" applyBorder="1"/>
    <xf numFmtId="0" fontId="162" fillId="15" borderId="95" xfId="0" applyFont="1" applyFill="1" applyBorder="1" applyAlignment="1">
      <alignment horizontal="left"/>
    </xf>
    <xf numFmtId="166" fontId="171" fillId="0" borderId="107" xfId="0" applyNumberFormat="1" applyFont="1" applyBorder="1"/>
    <xf numFmtId="0" fontId="156" fillId="0" borderId="107" xfId="0" applyFont="1" applyBorder="1" applyAlignment="1">
      <alignment horizontal="right"/>
    </xf>
    <xf numFmtId="0" fontId="137" fillId="0" borderId="107" xfId="0" applyFont="1" applyBorder="1" applyAlignment="1">
      <alignment horizontal="center" vertical="center"/>
    </xf>
    <xf numFmtId="0" fontId="144" fillId="0" borderId="66" xfId="0" applyFont="1" applyBorder="1" applyAlignment="1">
      <alignment horizontal="center"/>
    </xf>
    <xf numFmtId="0" fontId="162" fillId="15" borderId="66" xfId="0" applyFont="1" applyFill="1" applyBorder="1" applyAlignment="1">
      <alignment horizontal="left"/>
    </xf>
    <xf numFmtId="0" fontId="240" fillId="15" borderId="140" xfId="0" applyFont="1" applyFill="1" applyBorder="1" applyAlignment="1">
      <alignment horizontal="left"/>
    </xf>
    <xf numFmtId="0" fontId="136" fillId="21" borderId="140" xfId="0" applyFont="1" applyFill="1" applyBorder="1"/>
    <xf numFmtId="0" fontId="163" fillId="15" borderId="140" xfId="0" applyFont="1" applyFill="1" applyBorder="1"/>
    <xf numFmtId="11" fontId="163" fillId="15" borderId="140" xfId="0" applyNumberFormat="1" applyFont="1" applyFill="1" applyBorder="1"/>
    <xf numFmtId="0" fontId="163" fillId="0" borderId="140" xfId="0" applyFont="1" applyBorder="1"/>
    <xf numFmtId="0" fontId="159" fillId="0" borderId="140" xfId="0" applyFont="1" applyBorder="1"/>
    <xf numFmtId="0" fontId="241" fillId="15" borderId="140" xfId="0" applyFont="1" applyFill="1" applyBorder="1"/>
    <xf numFmtId="17" fontId="198" fillId="0" borderId="41" xfId="0" applyNumberFormat="1" applyFont="1" applyBorder="1" applyAlignment="1">
      <alignment vertical="center"/>
    </xf>
    <xf numFmtId="17" fontId="198" fillId="0" borderId="22" xfId="0" applyNumberFormat="1" applyFont="1" applyBorder="1" applyAlignment="1">
      <alignment vertical="center"/>
    </xf>
    <xf numFmtId="17" fontId="171" fillId="0" borderId="22" xfId="0" applyNumberFormat="1" applyFont="1" applyBorder="1"/>
    <xf numFmtId="17" fontId="147" fillId="18" borderId="22" xfId="0" applyNumberFormat="1" applyFont="1" applyFill="1" applyBorder="1" applyAlignment="1">
      <alignment horizontal="center" vertical="center" wrapText="1"/>
    </xf>
    <xf numFmtId="17" fontId="171" fillId="0" borderId="66" xfId="0" applyNumberFormat="1" applyFont="1" applyBorder="1"/>
    <xf numFmtId="17" fontId="137" fillId="0" borderId="140" xfId="0" applyNumberFormat="1" applyFont="1" applyBorder="1"/>
    <xf numFmtId="17" fontId="137" fillId="15" borderId="140" xfId="0" applyNumberFormat="1" applyFont="1" applyFill="1" applyBorder="1"/>
    <xf numFmtId="0" fontId="208" fillId="15" borderId="22" xfId="0" applyFont="1" applyFill="1" applyBorder="1" applyAlignment="1">
      <alignment horizontal="center"/>
    </xf>
    <xf numFmtId="0" fontId="285" fillId="15" borderId="22" xfId="0" applyFont="1" applyFill="1" applyBorder="1" applyAlignment="1">
      <alignment horizontal="center"/>
    </xf>
    <xf numFmtId="0" fontId="139" fillId="0" borderId="141" xfId="0" applyFont="1" applyBorder="1"/>
    <xf numFmtId="1" fontId="137" fillId="18" borderId="107" xfId="0" applyNumberFormat="1" applyFont="1" applyFill="1" applyBorder="1" applyAlignment="1">
      <alignment horizontal="center" vertical="center"/>
    </xf>
    <xf numFmtId="0" fontId="156" fillId="0" borderId="42" xfId="0" applyFont="1" applyBorder="1"/>
    <xf numFmtId="165" fontId="156" fillId="0" borderId="42" xfId="0" applyNumberFormat="1" applyFont="1" applyBorder="1"/>
    <xf numFmtId="0" fontId="0" fillId="0" borderId="107" xfId="0" applyBorder="1" applyAlignment="1">
      <alignment horizontal="center"/>
    </xf>
    <xf numFmtId="0" fontId="151" fillId="15" borderId="42" xfId="0" applyFont="1" applyFill="1" applyBorder="1" applyAlignment="1">
      <alignment horizontal="center"/>
    </xf>
    <xf numFmtId="0" fontId="136" fillId="50" borderId="144" xfId="0" applyFont="1" applyFill="1" applyBorder="1" applyAlignment="1">
      <alignment horizontal="center"/>
    </xf>
    <xf numFmtId="0" fontId="142" fillId="6" borderId="148" xfId="0" applyFont="1" applyFill="1" applyBorder="1" applyAlignment="1">
      <alignment horizontal="center" vertical="center" wrapText="1"/>
    </xf>
    <xf numFmtId="0" fontId="141" fillId="0" borderId="155" xfId="0" applyFont="1" applyBorder="1" applyAlignment="1">
      <alignment horizontal="center" vertical="center" wrapText="1"/>
    </xf>
    <xf numFmtId="0" fontId="143" fillId="0" borderId="156" xfId="0" applyFont="1" applyBorder="1" applyAlignment="1">
      <alignment horizontal="center" vertical="center" wrapText="1"/>
    </xf>
    <xf numFmtId="0" fontId="143" fillId="2" borderId="156" xfId="0" applyFont="1" applyFill="1" applyBorder="1" applyAlignment="1">
      <alignment horizontal="center" vertical="center"/>
    </xf>
    <xf numFmtId="0" fontId="143" fillId="2" borderId="168" xfId="0" applyFont="1" applyFill="1" applyBorder="1" applyAlignment="1">
      <alignment horizontal="center" vertical="center"/>
    </xf>
    <xf numFmtId="0" fontId="151" fillId="0" borderId="161" xfId="0" applyFont="1" applyBorder="1" applyAlignment="1">
      <alignment horizontal="center" vertical="center" wrapText="1"/>
    </xf>
    <xf numFmtId="0" fontId="0" fillId="0" borderId="197" xfId="0" applyBorder="1" applyAlignment="1">
      <alignment horizontal="center"/>
    </xf>
    <xf numFmtId="0" fontId="151" fillId="0" borderId="201" xfId="0" applyFont="1" applyBorder="1" applyAlignment="1">
      <alignment horizontal="center" vertical="center" wrapText="1"/>
    </xf>
    <xf numFmtId="0" fontId="151" fillId="0" borderId="143" xfId="0" applyFont="1" applyBorder="1" applyAlignment="1">
      <alignment horizontal="center" vertical="center" wrapText="1"/>
    </xf>
    <xf numFmtId="0" fontId="151" fillId="0" borderId="145" xfId="0" applyFont="1" applyBorder="1" applyAlignment="1">
      <alignment horizontal="center" vertical="center" wrapText="1"/>
    </xf>
    <xf numFmtId="0" fontId="151" fillId="0" borderId="159" xfId="0" applyFont="1" applyBorder="1" applyAlignment="1">
      <alignment horizontal="center" vertical="center" wrapText="1"/>
    </xf>
    <xf numFmtId="0" fontId="151" fillId="0" borderId="152" xfId="0" applyFont="1" applyBorder="1" applyAlignment="1">
      <alignment horizontal="center" vertical="center" wrapText="1"/>
    </xf>
    <xf numFmtId="0" fontId="151" fillId="0" borderId="154" xfId="0" applyFont="1" applyBorder="1" applyAlignment="1">
      <alignment horizontal="center" vertical="center" wrapText="1"/>
    </xf>
    <xf numFmtId="0" fontId="151" fillId="33" borderId="143" xfId="0" applyFont="1" applyFill="1" applyBorder="1" applyAlignment="1">
      <alignment horizontal="center" vertical="center" wrapText="1"/>
    </xf>
    <xf numFmtId="0" fontId="151" fillId="33" borderId="159" xfId="0" applyFont="1" applyFill="1" applyBorder="1" applyAlignment="1">
      <alignment horizontal="center" vertical="center" wrapText="1"/>
    </xf>
    <xf numFmtId="0" fontId="151" fillId="22" borderId="145" xfId="0" applyFont="1" applyFill="1" applyBorder="1" applyAlignment="1">
      <alignment horizontal="center" vertical="center" wrapText="1"/>
    </xf>
    <xf numFmtId="0" fontId="151" fillId="33" borderId="145" xfId="0" applyFont="1" applyFill="1" applyBorder="1" applyAlignment="1">
      <alignment horizontal="center" vertical="center" wrapText="1"/>
    </xf>
    <xf numFmtId="0" fontId="151" fillId="33" borderId="196" xfId="0" applyFont="1" applyFill="1" applyBorder="1" applyAlignment="1">
      <alignment horizontal="center" vertical="center" wrapText="1"/>
    </xf>
    <xf numFmtId="0" fontId="144" fillId="0" borderId="42" xfId="0" applyFont="1" applyBorder="1" applyAlignment="1">
      <alignment horizontal="center"/>
    </xf>
    <xf numFmtId="17" fontId="171" fillId="0" borderId="42" xfId="0" applyNumberFormat="1" applyFont="1" applyBorder="1"/>
    <xf numFmtId="0" fontId="151" fillId="0" borderId="122" xfId="0" applyFont="1" applyBorder="1" applyAlignment="1">
      <alignment horizontal="center"/>
    </xf>
    <xf numFmtId="0" fontId="147" fillId="3" borderId="204" xfId="0" applyFont="1" applyFill="1" applyBorder="1" applyAlignment="1">
      <alignment horizontal="center" vertical="center" wrapText="1"/>
    </xf>
    <xf numFmtId="0" fontId="142" fillId="6" borderId="204" xfId="0" applyFont="1" applyFill="1" applyBorder="1" applyAlignment="1">
      <alignment horizontal="center" vertical="center" wrapText="1"/>
    </xf>
    <xf numFmtId="0" fontId="151" fillId="0" borderId="124" xfId="0" applyFont="1" applyBorder="1" applyAlignment="1">
      <alignment horizontal="center" vertical="center" wrapText="1"/>
    </xf>
    <xf numFmtId="0" fontId="141" fillId="0" borderId="38" xfId="0" applyFont="1" applyBorder="1" applyAlignment="1">
      <alignment horizontal="center" vertical="center" wrapText="1"/>
    </xf>
    <xf numFmtId="0" fontId="143" fillId="0" borderId="38" xfId="0" applyFont="1" applyBorder="1" applyAlignment="1">
      <alignment horizontal="center" vertical="center" wrapText="1"/>
    </xf>
    <xf numFmtId="0" fontId="143" fillId="2" borderId="38" xfId="0" applyFont="1" applyFill="1" applyBorder="1" applyAlignment="1">
      <alignment horizontal="center" vertical="center"/>
    </xf>
    <xf numFmtId="0" fontId="151" fillId="0" borderId="51" xfId="0" applyFont="1" applyBorder="1" applyAlignment="1">
      <alignment horizontal="center" vertical="center" wrapText="1"/>
    </xf>
    <xf numFmtId="0" fontId="137" fillId="15" borderId="65" xfId="0" applyFont="1" applyFill="1" applyBorder="1" applyAlignment="1">
      <alignment vertical="center"/>
    </xf>
    <xf numFmtId="0" fontId="0" fillId="0" borderId="65" xfId="0" applyBorder="1"/>
    <xf numFmtId="0" fontId="144" fillId="15" borderId="65" xfId="0" applyFont="1" applyFill="1" applyBorder="1" applyAlignment="1">
      <alignment horizontal="center" wrapText="1"/>
    </xf>
    <xf numFmtId="0" fontId="151" fillId="15" borderId="65" xfId="0" applyFont="1" applyFill="1" applyBorder="1" applyAlignment="1">
      <alignment horizontal="center" vertical="center" wrapText="1"/>
    </xf>
    <xf numFmtId="0" fontId="151" fillId="15" borderId="101" xfId="0" applyFont="1" applyFill="1" applyBorder="1" applyAlignment="1">
      <alignment horizontal="center" vertical="center" wrapText="1"/>
    </xf>
    <xf numFmtId="0" fontId="137" fillId="15" borderId="95" xfId="0" applyFont="1" applyFill="1" applyBorder="1" applyAlignment="1">
      <alignment horizontal="center" vertical="center" wrapText="1"/>
    </xf>
    <xf numFmtId="0" fontId="151" fillId="0" borderId="203" xfId="0" applyFont="1" applyBorder="1" applyAlignment="1">
      <alignment horizontal="center" vertical="center" wrapText="1"/>
    </xf>
    <xf numFmtId="0" fontId="151" fillId="0" borderId="204" xfId="0" applyFont="1" applyBorder="1" applyAlignment="1">
      <alignment horizontal="center" vertical="center" wrapText="1"/>
    </xf>
    <xf numFmtId="0" fontId="151" fillId="0" borderId="50" xfId="0" applyFont="1" applyBorder="1" applyAlignment="1">
      <alignment horizontal="center" vertical="center" wrapText="1"/>
    </xf>
    <xf numFmtId="0" fontId="151" fillId="0" borderId="38" xfId="0" applyFont="1" applyBorder="1" applyAlignment="1">
      <alignment horizontal="center" vertical="center" wrapText="1"/>
    </xf>
    <xf numFmtId="0" fontId="136" fillId="31" borderId="122" xfId="0" applyFont="1" applyFill="1" applyBorder="1"/>
    <xf numFmtId="0" fontId="136" fillId="31" borderId="42" xfId="0" applyFont="1" applyFill="1" applyBorder="1"/>
    <xf numFmtId="0" fontId="136" fillId="31" borderId="120" xfId="0" applyFont="1" applyFill="1" applyBorder="1"/>
    <xf numFmtId="0" fontId="151" fillId="15" borderId="124" xfId="0" applyFont="1" applyFill="1" applyBorder="1" applyAlignment="1">
      <alignment horizontal="center" vertical="center" wrapText="1"/>
    </xf>
    <xf numFmtId="0" fontId="151" fillId="15" borderId="51" xfId="0" applyFont="1" applyFill="1" applyBorder="1" applyAlignment="1">
      <alignment horizontal="center" vertical="center" wrapText="1"/>
    </xf>
    <xf numFmtId="0" fontId="151" fillId="15" borderId="203" xfId="0" applyFont="1" applyFill="1" applyBorder="1" applyAlignment="1">
      <alignment horizontal="center" vertical="center" wrapText="1"/>
    </xf>
    <xf numFmtId="0" fontId="151" fillId="15" borderId="204" xfId="0" applyFont="1" applyFill="1" applyBorder="1" applyAlignment="1">
      <alignment horizontal="center" vertical="center" wrapText="1"/>
    </xf>
    <xf numFmtId="0" fontId="151" fillId="15" borderId="50" xfId="0" applyFont="1" applyFill="1" applyBorder="1" applyAlignment="1">
      <alignment horizontal="center" vertical="center" wrapText="1"/>
    </xf>
    <xf numFmtId="0" fontId="151" fillId="15" borderId="38" xfId="0" applyFont="1" applyFill="1" applyBorder="1" applyAlignment="1">
      <alignment horizontal="center" vertical="center" wrapText="1"/>
    </xf>
    <xf numFmtId="0" fontId="136" fillId="21" borderId="42" xfId="0" applyFont="1" applyFill="1" applyBorder="1"/>
    <xf numFmtId="0" fontId="136" fillId="21" borderId="120" xfId="0" applyFont="1" applyFill="1" applyBorder="1"/>
    <xf numFmtId="0" fontId="136" fillId="0" borderId="122" xfId="0" applyFont="1" applyBorder="1"/>
    <xf numFmtId="0" fontId="151" fillId="22" borderId="204" xfId="0" applyFont="1" applyFill="1" applyBorder="1" applyAlignment="1">
      <alignment horizontal="center" vertical="center" wrapText="1"/>
    </xf>
    <xf numFmtId="0" fontId="151" fillId="22" borderId="38" xfId="0" applyFont="1" applyFill="1" applyBorder="1" applyAlignment="1">
      <alignment horizontal="center" vertical="center" wrapText="1"/>
    </xf>
    <xf numFmtId="0" fontId="238" fillId="0" borderId="42" xfId="0" applyFont="1" applyBorder="1" applyAlignment="1">
      <alignment wrapText="1"/>
    </xf>
    <xf numFmtId="0" fontId="137" fillId="15" borderId="194" xfId="0" applyFont="1" applyFill="1" applyBorder="1" applyAlignment="1">
      <alignment horizontal="center" vertical="center"/>
    </xf>
    <xf numFmtId="0" fontId="136" fillId="0" borderId="152" xfId="0" applyFont="1" applyBorder="1"/>
    <xf numFmtId="0" fontId="151" fillId="18" borderId="107" xfId="0" applyFont="1" applyFill="1" applyBorder="1"/>
    <xf numFmtId="0" fontId="151" fillId="0" borderId="107" xfId="0" applyFont="1" applyBorder="1" applyAlignment="1">
      <alignment vertical="center" wrapText="1"/>
    </xf>
    <xf numFmtId="17" fontId="198" fillId="0" borderId="42" xfId="0" applyNumberFormat="1" applyFont="1" applyBorder="1" applyAlignment="1">
      <alignment vertical="center"/>
    </xf>
    <xf numFmtId="0" fontId="147" fillId="3" borderId="146" xfId="0" applyFont="1" applyFill="1" applyBorder="1" applyAlignment="1">
      <alignment horizontal="center" vertical="center" wrapText="1"/>
    </xf>
    <xf numFmtId="0" fontId="151" fillId="15" borderId="159" xfId="0" applyFont="1" applyFill="1" applyBorder="1" applyAlignment="1">
      <alignment vertical="center" wrapText="1"/>
    </xf>
    <xf numFmtId="0" fontId="136" fillId="21" borderId="152" xfId="0" applyFont="1" applyFill="1" applyBorder="1"/>
    <xf numFmtId="0" fontId="136" fillId="21" borderId="154" xfId="0" applyFont="1" applyFill="1" applyBorder="1"/>
    <xf numFmtId="0" fontId="136" fillId="21" borderId="161" xfId="0" applyFont="1" applyFill="1" applyBorder="1"/>
    <xf numFmtId="0" fontId="151" fillId="0" borderId="206" xfId="0" applyFont="1" applyBorder="1" applyAlignment="1">
      <alignment horizontal="center" vertical="center" wrapText="1"/>
    </xf>
    <xf numFmtId="0" fontId="151" fillId="0" borderId="195" xfId="0" applyFont="1" applyBorder="1" applyAlignment="1">
      <alignment horizontal="center" vertical="center" wrapText="1"/>
    </xf>
    <xf numFmtId="0" fontId="151" fillId="0" borderId="207" xfId="0" applyFont="1" applyBorder="1" applyAlignment="1">
      <alignment horizontal="center" vertical="center" wrapText="1"/>
    </xf>
    <xf numFmtId="0" fontId="151" fillId="33" borderId="206" xfId="0" applyFont="1" applyFill="1" applyBorder="1" applyAlignment="1">
      <alignment horizontal="center" vertical="center" wrapText="1"/>
    </xf>
    <xf numFmtId="0" fontId="151" fillId="33" borderId="207" xfId="0" applyFont="1" applyFill="1" applyBorder="1" applyAlignment="1">
      <alignment horizontal="center" vertical="center" wrapText="1"/>
    </xf>
    <xf numFmtId="0" fontId="137" fillId="0" borderId="152" xfId="0" applyFont="1" applyBorder="1"/>
    <xf numFmtId="0" fontId="137" fillId="0" borderId="161" xfId="0" applyFont="1" applyBorder="1"/>
    <xf numFmtId="0" fontId="151" fillId="22" borderId="195" xfId="0" applyFont="1" applyFill="1" applyBorder="1" applyAlignment="1">
      <alignment horizontal="center" vertical="center" wrapText="1"/>
    </xf>
    <xf numFmtId="0" fontId="151" fillId="33" borderId="195" xfId="0" applyFont="1" applyFill="1" applyBorder="1" applyAlignment="1">
      <alignment horizontal="center" vertical="center" wrapText="1"/>
    </xf>
    <xf numFmtId="0" fontId="237" fillId="0" borderId="154" xfId="0" applyFont="1" applyBorder="1" applyAlignment="1">
      <alignment wrapText="1"/>
    </xf>
    <xf numFmtId="0" fontId="207" fillId="0" borderId="152" xfId="0" applyFont="1" applyBorder="1" applyAlignment="1">
      <alignment wrapText="1"/>
    </xf>
    <xf numFmtId="0" fontId="207" fillId="0" borderId="154" xfId="0" applyFont="1" applyBorder="1" applyAlignment="1">
      <alignment wrapText="1"/>
    </xf>
    <xf numFmtId="0" fontId="136" fillId="0" borderId="210" xfId="0" applyFont="1" applyBorder="1"/>
    <xf numFmtId="0" fontId="137" fillId="0" borderId="98" xfId="0" applyFont="1" applyBorder="1" applyAlignment="1">
      <alignment horizontal="center" vertical="center"/>
    </xf>
    <xf numFmtId="0" fontId="137" fillId="0" borderId="120" xfId="0" applyFont="1" applyBorder="1" applyAlignment="1">
      <alignment horizontal="center" vertical="center"/>
    </xf>
    <xf numFmtId="0" fontId="137" fillId="0" borderId="211" xfId="0" applyFont="1" applyBorder="1" applyAlignment="1">
      <alignment horizontal="center" vertical="center"/>
    </xf>
    <xf numFmtId="0" fontId="162" fillId="2" borderId="141" xfId="0" applyFont="1" applyFill="1" applyBorder="1" applyAlignment="1">
      <alignment horizontal="center" vertical="center"/>
    </xf>
    <xf numFmtId="1" fontId="137" fillId="15" borderId="40" xfId="0" applyNumberFormat="1" applyFont="1" applyFill="1" applyBorder="1"/>
    <xf numFmtId="0" fontId="133" fillId="0" borderId="0" xfId="0" applyFont="1"/>
    <xf numFmtId="17" fontId="0" fillId="0" borderId="0" xfId="0" applyNumberFormat="1"/>
    <xf numFmtId="0" fontId="142" fillId="5" borderId="141" xfId="0" applyFont="1" applyFill="1" applyBorder="1" applyAlignment="1">
      <alignment horizontal="center" vertical="center" wrapText="1"/>
    </xf>
    <xf numFmtId="0" fontId="151" fillId="0" borderId="71" xfId="0" applyFont="1" applyBorder="1"/>
    <xf numFmtId="0" fontId="151" fillId="0" borderId="121" xfId="0" applyFont="1" applyBorder="1" applyAlignment="1">
      <alignment horizontal="center"/>
    </xf>
    <xf numFmtId="0" fontId="156" fillId="0" borderId="66" xfId="0" applyFont="1" applyBorder="1" applyAlignment="1">
      <alignment horizontal="right"/>
    </xf>
    <xf numFmtId="0" fontId="136" fillId="21" borderId="66" xfId="0" applyFont="1" applyFill="1" applyBorder="1"/>
    <xf numFmtId="0" fontId="136" fillId="21" borderId="113" xfId="0" applyFont="1" applyFill="1" applyBorder="1"/>
    <xf numFmtId="0" fontId="136" fillId="21" borderId="114" xfId="0" applyFont="1" applyFill="1" applyBorder="1"/>
    <xf numFmtId="0" fontId="136" fillId="0" borderId="121" xfId="0" applyFont="1" applyBorder="1"/>
    <xf numFmtId="0" fontId="151" fillId="0" borderId="140" xfId="0" applyFont="1" applyBorder="1"/>
    <xf numFmtId="17" fontId="151" fillId="0" borderId="140" xfId="0" applyNumberFormat="1" applyFont="1" applyBorder="1"/>
    <xf numFmtId="0" fontId="151" fillId="0" borderId="140" xfId="0" applyFont="1" applyBorder="1" applyAlignment="1">
      <alignment horizontal="left"/>
    </xf>
    <xf numFmtId="0" fontId="151" fillId="0" borderId="140" xfId="0" applyFont="1" applyBorder="1" applyAlignment="1">
      <alignment horizontal="right"/>
    </xf>
    <xf numFmtId="0" fontId="180" fillId="0" borderId="140" xfId="0" applyFont="1" applyBorder="1" applyAlignment="1">
      <alignment horizontal="center"/>
    </xf>
    <xf numFmtId="0" fontId="144" fillId="0" borderId="140" xfId="0" applyFont="1" applyBorder="1" applyAlignment="1">
      <alignment horizontal="center"/>
    </xf>
    <xf numFmtId="165" fontId="180" fillId="0" borderId="140" xfId="0" applyNumberFormat="1" applyFont="1" applyBorder="1" applyAlignment="1">
      <alignment horizontal="center"/>
    </xf>
    <xf numFmtId="1" fontId="156" fillId="0" borderId="140" xfId="0" applyNumberFormat="1" applyFont="1" applyBorder="1"/>
    <xf numFmtId="165" fontId="151" fillId="0" borderId="140" xfId="0" applyNumberFormat="1" applyFont="1" applyBorder="1" applyAlignment="1">
      <alignment horizontal="center"/>
    </xf>
    <xf numFmtId="165" fontId="156" fillId="0" borderId="140" xfId="0" applyNumberFormat="1" applyFont="1" applyBorder="1" applyAlignment="1">
      <alignment horizontal="center"/>
    </xf>
    <xf numFmtId="0" fontId="156" fillId="0" borderId="140" xfId="0" applyFont="1" applyBorder="1" applyAlignment="1">
      <alignment horizontal="center"/>
    </xf>
    <xf numFmtId="0" fontId="285" fillId="15" borderId="40" xfId="0" applyFont="1" applyFill="1" applyBorder="1" applyAlignment="1">
      <alignment horizontal="center"/>
    </xf>
    <xf numFmtId="0" fontId="136" fillId="2" borderId="54" xfId="0" applyFont="1" applyFill="1" applyBorder="1"/>
    <xf numFmtId="0" fontId="156" fillId="0" borderId="158" xfId="0" applyFont="1" applyBorder="1" applyAlignment="1">
      <alignment horizontal="center" vertical="center" wrapText="1"/>
    </xf>
    <xf numFmtId="0" fontId="278" fillId="0" borderId="141" xfId="0" applyFont="1" applyBorder="1" applyAlignment="1">
      <alignment wrapText="1"/>
    </xf>
    <xf numFmtId="0" fontId="136" fillId="0" borderId="142" xfId="0" applyFont="1" applyBorder="1" applyAlignment="1">
      <alignment horizontal="center" vertical="center" wrapText="1"/>
    </xf>
    <xf numFmtId="0" fontId="151" fillId="0" borderId="120" xfId="0" applyFont="1" applyBorder="1" applyAlignment="1">
      <alignment horizontal="center"/>
    </xf>
    <xf numFmtId="17" fontId="136" fillId="0" borderId="42" xfId="0" applyNumberFormat="1" applyFont="1" applyBorder="1"/>
    <xf numFmtId="0" fontId="147" fillId="0" borderId="141" xfId="0" applyFont="1" applyBorder="1" applyAlignment="1">
      <alignment horizontal="center" vertical="center" wrapText="1"/>
    </xf>
    <xf numFmtId="14" fontId="162" fillId="0" borderId="141" xfId="0" applyNumberFormat="1" applyFont="1" applyBorder="1"/>
    <xf numFmtId="14" fontId="211" fillId="0" borderId="141" xfId="0" applyNumberFormat="1" applyFont="1" applyBorder="1" applyAlignment="1">
      <alignment wrapText="1"/>
    </xf>
    <xf numFmtId="0" fontId="212" fillId="0" borderId="141" xfId="0" applyFont="1" applyBorder="1" applyAlignment="1">
      <alignment wrapText="1"/>
    </xf>
    <xf numFmtId="0" fontId="162" fillId="0" borderId="141" xfId="0" applyFont="1" applyBorder="1"/>
    <xf numFmtId="0" fontId="213" fillId="0" borderId="141" xfId="0" applyFont="1" applyBorder="1" applyAlignment="1">
      <alignment wrapText="1"/>
    </xf>
    <xf numFmtId="0" fontId="214" fillId="0" borderId="141" xfId="0" applyFont="1" applyBorder="1" applyAlignment="1">
      <alignment wrapText="1"/>
    </xf>
    <xf numFmtId="0" fontId="151" fillId="0" borderId="141" xfId="0" applyFont="1" applyBorder="1"/>
    <xf numFmtId="0" fontId="206" fillId="71" borderId="141" xfId="0" applyFont="1" applyFill="1" applyBorder="1" applyAlignment="1">
      <alignment horizontal="center" vertical="center" wrapText="1"/>
    </xf>
    <xf numFmtId="0" fontId="172" fillId="0" borderId="141" xfId="0" applyFont="1" applyBorder="1" applyAlignment="1">
      <alignment wrapText="1"/>
    </xf>
    <xf numFmtId="0" fontId="137" fillId="62" borderId="213" xfId="0" applyFont="1" applyFill="1" applyBorder="1" applyAlignment="1">
      <alignment horizontal="right" wrapText="1"/>
    </xf>
    <xf numFmtId="0" fontId="179" fillId="59" borderId="22" xfId="0" applyFont="1" applyFill="1" applyBorder="1" applyAlignment="1">
      <alignment horizontal="left" vertical="top" wrapText="1"/>
    </xf>
    <xf numFmtId="0" fontId="139" fillId="2" borderId="22" xfId="0" applyFont="1" applyFill="1" applyBorder="1" applyAlignment="1">
      <alignment horizontal="center" vertical="center" wrapText="1"/>
    </xf>
    <xf numFmtId="0" fontId="158" fillId="0" borderId="107" xfId="0" applyFont="1" applyBorder="1" applyAlignment="1">
      <alignment horizontal="center"/>
    </xf>
    <xf numFmtId="0" fontId="136" fillId="0" borderId="40" xfId="0" applyFont="1" applyBorder="1"/>
    <xf numFmtId="0" fontId="157" fillId="0" borderId="107" xfId="0" applyFont="1" applyBorder="1"/>
    <xf numFmtId="0" fontId="132" fillId="0" borderId="0" xfId="0" applyFont="1"/>
    <xf numFmtId="0" fontId="136" fillId="0" borderId="0" xfId="0" applyFont="1" applyAlignment="1">
      <alignment horizontal="left"/>
    </xf>
    <xf numFmtId="166" fontId="137" fillId="0" borderId="147" xfId="0" applyNumberFormat="1" applyFont="1" applyBorder="1"/>
    <xf numFmtId="0" fontId="163" fillId="0" borderId="147" xfId="0" applyFont="1" applyBorder="1"/>
    <xf numFmtId="0" fontId="0" fillId="0" borderId="147" xfId="0" applyBorder="1"/>
    <xf numFmtId="0" fontId="163" fillId="15" borderId="147" xfId="0" applyFont="1" applyFill="1" applyBorder="1"/>
    <xf numFmtId="0" fontId="136" fillId="0" borderId="162" xfId="0" applyFont="1" applyBorder="1" applyAlignment="1">
      <alignment horizontal="center" vertical="center"/>
    </xf>
    <xf numFmtId="0" fontId="0" fillId="0" borderId="217" xfId="0" applyBorder="1"/>
    <xf numFmtId="0" fontId="0" fillId="0" borderId="183" xfId="0" applyBorder="1"/>
    <xf numFmtId="0" fontId="136" fillId="0" borderId="175" xfId="0" applyFont="1" applyBorder="1" applyAlignment="1">
      <alignment horizontal="center" vertical="center"/>
    </xf>
    <xf numFmtId="0" fontId="137" fillId="0" borderId="151" xfId="0" applyFont="1" applyBorder="1"/>
    <xf numFmtId="0" fontId="137" fillId="0" borderId="173" xfId="0" applyFont="1" applyBorder="1" applyAlignment="1">
      <alignment horizontal="center" vertical="center"/>
    </xf>
    <xf numFmtId="0" fontId="137" fillId="0" borderId="149" xfId="0" applyFont="1" applyBorder="1"/>
    <xf numFmtId="0" fontId="0" fillId="0" borderId="22" xfId="0" applyBorder="1"/>
    <xf numFmtId="0" fontId="197" fillId="0" borderId="141" xfId="0" applyFont="1" applyBorder="1" applyAlignment="1">
      <alignment horizontal="center" vertical="center" wrapText="1"/>
    </xf>
    <xf numFmtId="17" fontId="136" fillId="0" borderId="140" xfId="0" applyNumberFormat="1" applyFont="1" applyBorder="1"/>
    <xf numFmtId="0" fontId="156" fillId="2" borderId="141" xfId="0" applyFont="1" applyFill="1" applyBorder="1" applyAlignment="1">
      <alignment horizontal="center" vertical="center"/>
    </xf>
    <xf numFmtId="0" fontId="0" fillId="0" borderId="40" xfId="0" applyBorder="1"/>
    <xf numFmtId="0" fontId="156" fillId="0" borderId="70" xfId="0" applyFont="1" applyBorder="1" applyAlignment="1">
      <alignment horizontal="center" vertical="center" wrapText="1"/>
    </xf>
    <xf numFmtId="0" fontId="142" fillId="5" borderId="141" xfId="0" applyFont="1" applyFill="1" applyBorder="1" applyAlignment="1">
      <alignment vertical="center" wrapText="1"/>
    </xf>
    <xf numFmtId="0" fontId="278" fillId="0" borderId="141" xfId="0" applyFont="1" applyBorder="1" applyAlignment="1">
      <alignment vertical="top" wrapText="1"/>
    </xf>
    <xf numFmtId="0" fontId="206" fillId="71" borderId="158" xfId="0" applyFont="1" applyFill="1" applyBorder="1" applyAlignment="1">
      <alignment horizontal="center" vertical="center" wrapText="1"/>
    </xf>
    <xf numFmtId="0" fontId="136" fillId="0" borderId="140" xfId="0" applyFont="1" applyBorder="1" applyAlignment="1">
      <alignment horizontal="right" wrapText="1"/>
    </xf>
    <xf numFmtId="0" fontId="137" fillId="62" borderId="140" xfId="0" applyFont="1" applyFill="1" applyBorder="1" applyAlignment="1">
      <alignment horizontal="right" wrapText="1"/>
    </xf>
    <xf numFmtId="0" fontId="137" fillId="0" borderId="140" xfId="0" applyFont="1" applyBorder="1" applyAlignment="1">
      <alignment horizontal="right" wrapText="1"/>
    </xf>
    <xf numFmtId="0" fontId="136" fillId="0" borderId="120" xfId="0" applyFont="1" applyBorder="1"/>
    <xf numFmtId="0" fontId="163" fillId="7" borderId="158" xfId="0" applyFont="1" applyFill="1" applyBorder="1" applyAlignment="1">
      <alignment vertical="top" wrapText="1"/>
    </xf>
    <xf numFmtId="0" fontId="191" fillId="10" borderId="158" xfId="0" applyFont="1" applyFill="1" applyBorder="1" applyAlignment="1">
      <alignment vertical="top" wrapText="1"/>
    </xf>
    <xf numFmtId="0" fontId="151" fillId="0" borderId="218" xfId="0" applyFont="1" applyBorder="1" applyAlignment="1">
      <alignment horizontal="center"/>
    </xf>
    <xf numFmtId="17" fontId="0" fillId="0" borderId="218" xfId="0" applyNumberFormat="1" applyBorder="1"/>
    <xf numFmtId="0" fontId="0" fillId="0" borderId="218" xfId="0" applyBorder="1"/>
    <xf numFmtId="0" fontId="136" fillId="0" borderId="218" xfId="0" applyFont="1" applyBorder="1"/>
    <xf numFmtId="0" fontId="143" fillId="0" borderId="22" xfId="0" applyFont="1" applyBorder="1"/>
    <xf numFmtId="0" fontId="137" fillId="0" borderId="116" xfId="0" applyFont="1" applyBorder="1" applyAlignment="1">
      <alignment horizontal="right" wrapText="1"/>
    </xf>
    <xf numFmtId="0" fontId="137" fillId="0" borderId="213" xfId="0" applyFont="1" applyBorder="1" applyAlignment="1">
      <alignment horizontal="right" wrapText="1"/>
    </xf>
    <xf numFmtId="0" fontId="163" fillId="39" borderId="158" xfId="0" applyFont="1" applyFill="1" applyBorder="1" applyAlignment="1">
      <alignment vertical="top" wrapText="1"/>
    </xf>
    <xf numFmtId="0" fontId="163" fillId="17" borderId="158" xfId="0" applyFont="1" applyFill="1" applyBorder="1" applyAlignment="1">
      <alignment vertical="top" wrapText="1"/>
    </xf>
    <xf numFmtId="165" fontId="136" fillId="0" borderId="140" xfId="0" applyNumberFormat="1" applyFont="1" applyBorder="1" applyAlignment="1">
      <alignment horizontal="right" wrapText="1"/>
    </xf>
    <xf numFmtId="165" fontId="136" fillId="0" borderId="140" xfId="0" applyNumberFormat="1" applyFont="1" applyBorder="1"/>
    <xf numFmtId="0" fontId="139" fillId="0" borderId="141" xfId="0" applyFont="1" applyBorder="1" applyAlignment="1">
      <alignment horizontal="center" vertical="center" wrapText="1"/>
    </xf>
    <xf numFmtId="0" fontId="206" fillId="71" borderId="107" xfId="0" applyFont="1" applyFill="1" applyBorder="1" applyAlignment="1">
      <alignment horizontal="center" vertical="center" wrapText="1"/>
    </xf>
    <xf numFmtId="0" fontId="157" fillId="40" borderId="93" xfId="0" applyFont="1" applyFill="1" applyBorder="1" applyAlignment="1">
      <alignment horizontal="center" vertical="center" wrapText="1"/>
    </xf>
    <xf numFmtId="0" fontId="157" fillId="40" borderId="115" xfId="0" applyFont="1" applyFill="1" applyBorder="1" applyAlignment="1">
      <alignment horizontal="center" vertical="center" wrapText="1"/>
    </xf>
    <xf numFmtId="0" fontId="157" fillId="21" borderId="70" xfId="0" applyFont="1" applyFill="1" applyBorder="1" applyAlignment="1">
      <alignment vertical="center" wrapText="1"/>
    </xf>
    <xf numFmtId="0" fontId="157" fillId="21" borderId="71" xfId="0" applyFont="1" applyFill="1" applyBorder="1" applyAlignment="1">
      <alignment horizontal="center" vertical="center" wrapText="1"/>
    </xf>
    <xf numFmtId="0" fontId="215" fillId="2" borderId="141" xfId="0" applyFont="1" applyFill="1" applyBorder="1" applyAlignment="1">
      <alignment horizontal="center" vertical="center"/>
    </xf>
    <xf numFmtId="0" fontId="194" fillId="2" borderId="54" xfId="0" applyFont="1" applyFill="1" applyBorder="1" applyAlignment="1">
      <alignment horizontal="center" vertical="center"/>
    </xf>
    <xf numFmtId="0" fontId="197" fillId="43" borderId="139" xfId="0" applyFont="1" applyFill="1" applyBorder="1" applyAlignment="1">
      <alignment vertical="center" wrapText="1"/>
    </xf>
    <xf numFmtId="0" fontId="206" fillId="71" borderId="22" xfId="0" applyFont="1" applyFill="1" applyBorder="1" applyAlignment="1">
      <alignment horizontal="center" vertical="center" wrapText="1"/>
    </xf>
    <xf numFmtId="0" fontId="172" fillId="2" borderId="54" xfId="0" applyFont="1" applyFill="1" applyBorder="1"/>
    <xf numFmtId="0" fontId="225" fillId="46" borderId="54" xfId="0" applyFont="1" applyFill="1" applyBorder="1" applyAlignment="1">
      <alignment horizontal="center" vertical="center" wrapText="1"/>
    </xf>
    <xf numFmtId="0" fontId="137" fillId="2" borderId="122" xfId="0" applyFont="1" applyFill="1" applyBorder="1"/>
    <xf numFmtId="0" fontId="142" fillId="46" borderId="54" xfId="0" applyFont="1" applyFill="1" applyBorder="1" applyAlignment="1">
      <alignment horizontal="center" vertical="center" wrapText="1"/>
    </xf>
    <xf numFmtId="0" fontId="137" fillId="0" borderId="32" xfId="0" applyFont="1" applyBorder="1"/>
    <xf numFmtId="0" fontId="194" fillId="0" borderId="22" xfId="0" applyFont="1" applyBorder="1" applyAlignment="1">
      <alignment horizontal="center" vertical="center"/>
    </xf>
    <xf numFmtId="0" fontId="137" fillId="0" borderId="32" xfId="0" applyFont="1" applyBorder="1" applyAlignment="1">
      <alignment wrapText="1"/>
    </xf>
    <xf numFmtId="0" fontId="0" fillId="0" borderId="32" xfId="0" applyBorder="1"/>
    <xf numFmtId="0" fontId="206" fillId="71" borderId="110" xfId="0" applyFont="1" applyFill="1" applyBorder="1" applyAlignment="1">
      <alignment horizontal="center" vertical="center" wrapText="1"/>
    </xf>
    <xf numFmtId="0" fontId="0" fillId="62" borderId="22" xfId="0" applyFill="1" applyBorder="1"/>
    <xf numFmtId="0" fontId="278" fillId="0" borderId="22" xfId="0" applyFont="1" applyBorder="1"/>
    <xf numFmtId="0" fontId="137" fillId="0" borderId="40" xfId="0" applyFont="1" applyBorder="1" applyAlignment="1">
      <alignment wrapText="1"/>
    </xf>
    <xf numFmtId="0" fontId="137" fillId="0" borderId="120" xfId="0" applyFont="1" applyBorder="1"/>
    <xf numFmtId="0" fontId="156" fillId="0" borderId="22" xfId="0" applyFont="1" applyBorder="1" applyAlignment="1">
      <alignment horizontal="center" vertical="center" wrapText="1"/>
    </xf>
    <xf numFmtId="0" fontId="191" fillId="0" borderId="140" xfId="0" applyFont="1" applyBorder="1"/>
    <xf numFmtId="165" fontId="295" fillId="0" borderId="22" xfId="0" applyNumberFormat="1" applyFont="1" applyBorder="1" applyAlignment="1">
      <alignment horizontal="center" vertical="center"/>
    </xf>
    <xf numFmtId="0" fontId="137" fillId="0" borderId="40" xfId="0" applyFont="1" applyBorder="1" applyAlignment="1">
      <alignment horizontal="right"/>
    </xf>
    <xf numFmtId="165" fontId="136" fillId="0" borderId="54" xfId="0" applyNumberFormat="1" applyFont="1" applyBorder="1"/>
    <xf numFmtId="0" fontId="137" fillId="0" borderId="110" xfId="0" applyFont="1" applyBorder="1" applyAlignment="1">
      <alignment horizontal="right" wrapText="1"/>
    </xf>
    <xf numFmtId="0" fontId="137" fillId="0" borderId="95" xfId="0" applyFont="1" applyBorder="1" applyAlignment="1">
      <alignment horizontal="center" vertical="center"/>
    </xf>
    <xf numFmtId="0" fontId="137" fillId="0" borderId="122" xfId="0" applyFont="1" applyBorder="1" applyAlignment="1">
      <alignment horizontal="center" vertical="center"/>
    </xf>
    <xf numFmtId="0" fontId="137" fillId="2" borderId="54" xfId="0" applyFont="1" applyFill="1" applyBorder="1"/>
    <xf numFmtId="0" fontId="137" fillId="0" borderId="140" xfId="0" applyFont="1" applyBorder="1" applyAlignment="1">
      <alignment horizontal="center" vertical="center" wrapText="1"/>
    </xf>
    <xf numFmtId="0" fontId="206" fillId="11" borderId="140" xfId="0" applyFont="1" applyFill="1" applyBorder="1" applyAlignment="1">
      <alignment horizontal="center" vertical="center" wrapText="1"/>
    </xf>
    <xf numFmtId="0" fontId="137" fillId="0" borderId="218" xfId="0" applyFont="1" applyBorder="1"/>
    <xf numFmtId="17" fontId="137" fillId="0" borderId="66" xfId="0" applyNumberFormat="1" applyFont="1" applyBorder="1" applyAlignment="1">
      <alignment vertical="center"/>
    </xf>
    <xf numFmtId="0" fontId="177" fillId="3" borderId="22" xfId="0" applyFont="1" applyFill="1" applyBorder="1" applyAlignment="1">
      <alignment horizontal="center"/>
    </xf>
    <xf numFmtId="0" fontId="206" fillId="11" borderId="22" xfId="0" applyFont="1" applyFill="1" applyBorder="1" applyAlignment="1">
      <alignment horizontal="center" vertical="center" wrapText="1"/>
    </xf>
    <xf numFmtId="0" fontId="206" fillId="11" borderId="185" xfId="0" applyFont="1" applyFill="1" applyBorder="1" applyAlignment="1">
      <alignment horizontal="center" vertical="center" wrapText="1"/>
    </xf>
    <xf numFmtId="0" fontId="159" fillId="0" borderId="22" xfId="0" applyFont="1" applyBorder="1" applyAlignment="1">
      <alignment horizontal="center"/>
    </xf>
    <xf numFmtId="0" fontId="156" fillId="0" borderId="142" xfId="0" applyFont="1" applyBorder="1" applyAlignment="1">
      <alignment horizontal="center" vertical="center" wrapText="1"/>
    </xf>
    <xf numFmtId="0" fontId="172" fillId="2" borderId="66" xfId="0" applyFont="1" applyFill="1" applyBorder="1"/>
    <xf numFmtId="0" fontId="234" fillId="0" borderId="107" xfId="0" applyFont="1" applyBorder="1"/>
    <xf numFmtId="0" fontId="172" fillId="2" borderId="68" xfId="0" applyFont="1" applyFill="1" applyBorder="1"/>
    <xf numFmtId="0" fontId="233" fillId="17" borderId="42" xfId="0" applyFont="1" applyFill="1" applyBorder="1" applyAlignment="1">
      <alignment horizontal="center" vertical="center" wrapText="1"/>
    </xf>
    <xf numFmtId="0" fontId="220" fillId="17" borderId="42" xfId="0" applyFont="1" applyFill="1" applyBorder="1" applyAlignment="1">
      <alignment horizontal="center" vertical="center" wrapText="1"/>
    </xf>
    <xf numFmtId="0" fontId="172" fillId="2" borderId="140" xfId="0" applyFont="1" applyFill="1" applyBorder="1"/>
    <xf numFmtId="0" fontId="137" fillId="2" borderId="54" xfId="0" applyFont="1" applyFill="1" applyBorder="1" applyAlignment="1">
      <alignment wrapText="1"/>
    </xf>
    <xf numFmtId="0" fontId="172" fillId="2" borderId="121" xfId="0" applyFont="1" applyFill="1" applyBorder="1"/>
    <xf numFmtId="0" fontId="137" fillId="2" borderId="120" xfId="0" applyFont="1" applyFill="1" applyBorder="1"/>
    <xf numFmtId="0" fontId="191" fillId="0" borderId="95" xfId="0" applyFont="1" applyBorder="1" applyAlignment="1">
      <alignment horizontal="center"/>
    </xf>
    <xf numFmtId="169" fontId="137" fillId="0" borderId="22" xfId="0" applyNumberFormat="1" applyFont="1" applyBorder="1"/>
    <xf numFmtId="0" fontId="207" fillId="0" borderId="22" xfId="0" applyFont="1" applyBorder="1" applyAlignment="1">
      <alignment wrapText="1"/>
    </xf>
    <xf numFmtId="0" fontId="136" fillId="0" borderId="183" xfId="0" applyFont="1" applyBorder="1"/>
    <xf numFmtId="17" fontId="137" fillId="0" borderId="22" xfId="0" applyNumberFormat="1" applyFont="1" applyBorder="1" applyAlignment="1">
      <alignment vertical="center"/>
    </xf>
    <xf numFmtId="0" fontId="136" fillId="3" borderId="22" xfId="0" applyFont="1" applyFill="1" applyBorder="1" applyAlignment="1">
      <alignment horizontal="center" vertical="center" wrapText="1"/>
    </xf>
    <xf numFmtId="0" fontId="177" fillId="0" borderId="116" xfId="0" applyFont="1" applyBorder="1" applyAlignment="1">
      <alignment vertical="center" wrapText="1"/>
    </xf>
    <xf numFmtId="0" fontId="177" fillId="0" borderId="70" xfId="0" applyFont="1" applyBorder="1" applyAlignment="1">
      <alignment vertical="center" wrapText="1"/>
    </xf>
    <xf numFmtId="0" fontId="158" fillId="0" borderId="54" xfId="0" applyFont="1" applyBorder="1" applyAlignment="1">
      <alignment wrapText="1"/>
    </xf>
    <xf numFmtId="0" fontId="136" fillId="0" borderId="217" xfId="0" applyFont="1" applyBorder="1"/>
    <xf numFmtId="0" fontId="136" fillId="12" borderId="140" xfId="0" applyFont="1" applyFill="1" applyBorder="1"/>
    <xf numFmtId="0" fontId="214" fillId="0" borderId="140" xfId="0" applyFont="1" applyBorder="1" applyAlignment="1">
      <alignment wrapText="1"/>
    </xf>
    <xf numFmtId="0" fontId="164" fillId="0" borderId="140" xfId="0" applyFont="1" applyBorder="1" applyAlignment="1">
      <alignment horizontal="center" vertical="center" wrapText="1"/>
    </xf>
    <xf numFmtId="0" fontId="136" fillId="0" borderId="212" xfId="0" applyFont="1" applyBorder="1"/>
    <xf numFmtId="0" fontId="172" fillId="2" borderId="185" xfId="0" applyFont="1" applyFill="1" applyBorder="1"/>
    <xf numFmtId="0" fontId="137" fillId="0" borderId="185" xfId="0" applyFont="1" applyBorder="1"/>
    <xf numFmtId="0" fontId="0" fillId="0" borderId="223" xfId="0" applyBorder="1"/>
    <xf numFmtId="0" fontId="136" fillId="0" borderId="223" xfId="0" applyFont="1" applyBorder="1"/>
    <xf numFmtId="0" fontId="172" fillId="0" borderId="146" xfId="0" applyFont="1" applyBorder="1" applyAlignment="1">
      <alignment horizontal="center"/>
    </xf>
    <xf numFmtId="0" fontId="239" fillId="0" borderId="0" xfId="0" applyFont="1"/>
    <xf numFmtId="0" fontId="209" fillId="0" borderId="140" xfId="0" applyFont="1" applyBorder="1" applyAlignment="1">
      <alignment horizontal="center" vertical="center" wrapText="1"/>
    </xf>
    <xf numFmtId="0" fontId="296" fillId="59" borderId="140" xfId="0" applyFont="1" applyFill="1" applyBorder="1" applyAlignment="1">
      <alignment horizontal="center" vertical="center" wrapText="1"/>
    </xf>
    <xf numFmtId="0" fontId="296" fillId="62" borderId="140" xfId="0" applyFont="1" applyFill="1" applyBorder="1" applyAlignment="1">
      <alignment horizontal="center" vertical="center" wrapText="1"/>
    </xf>
    <xf numFmtId="0" fontId="151" fillId="0" borderId="22" xfId="0" applyFont="1" applyBorder="1" applyAlignment="1">
      <alignment horizontal="center" vertical="center"/>
    </xf>
    <xf numFmtId="0" fontId="151" fillId="76" borderId="22" xfId="0" applyFont="1" applyFill="1" applyBorder="1" applyAlignment="1">
      <alignment horizontal="center" vertical="center"/>
    </xf>
    <xf numFmtId="0" fontId="208" fillId="0" borderId="22" xfId="0" applyFont="1" applyBorder="1" applyAlignment="1">
      <alignment horizontal="center" vertical="center"/>
    </xf>
    <xf numFmtId="0" fontId="198" fillId="32" borderId="71" xfId="0" applyFont="1" applyFill="1" applyBorder="1" applyAlignment="1">
      <alignment horizontal="center" vertical="center"/>
    </xf>
    <xf numFmtId="0" fontId="139" fillId="0" borderId="107" xfId="0" applyFont="1" applyBorder="1"/>
    <xf numFmtId="0" fontId="141" fillId="0" borderId="107" xfId="0" applyFont="1" applyBorder="1" applyAlignment="1">
      <alignment horizontal="center" vertical="center" wrapText="1"/>
    </xf>
    <xf numFmtId="0" fontId="141" fillId="0" borderId="140" xfId="0" applyFont="1" applyBorder="1" applyAlignment="1">
      <alignment horizontal="center" vertical="center"/>
    </xf>
    <xf numFmtId="17" fontId="157" fillId="0" borderId="97" xfId="0" applyNumberFormat="1" applyFont="1" applyBorder="1" applyAlignment="1">
      <alignment horizontal="center" vertical="center"/>
    </xf>
    <xf numFmtId="0" fontId="275" fillId="0" borderId="140" xfId="0" applyFont="1" applyBorder="1"/>
    <xf numFmtId="0" fontId="177" fillId="0" borderId="140" xfId="0" applyFont="1" applyBorder="1" applyAlignment="1">
      <alignment horizontal="center" vertical="center"/>
    </xf>
    <xf numFmtId="17" fontId="157" fillId="0" borderId="140" xfId="0" applyNumberFormat="1" applyFont="1" applyBorder="1" applyAlignment="1">
      <alignment horizontal="center" vertical="center"/>
    </xf>
    <xf numFmtId="0" fontId="193" fillId="3" borderId="140" xfId="0" applyFont="1" applyFill="1" applyBorder="1" applyAlignment="1">
      <alignment horizontal="center" vertical="center" wrapText="1"/>
    </xf>
    <xf numFmtId="0" fontId="197" fillId="0" borderId="142" xfId="0" applyFont="1" applyBorder="1" applyAlignment="1">
      <alignment horizontal="center" vertical="center" wrapText="1"/>
    </xf>
    <xf numFmtId="0" fontId="156" fillId="2" borderId="158" xfId="0" applyFont="1" applyFill="1" applyBorder="1" applyAlignment="1">
      <alignment horizontal="center" vertical="center"/>
    </xf>
    <xf numFmtId="0" fontId="197" fillId="0" borderId="158" xfId="0" applyFont="1" applyBorder="1" applyAlignment="1">
      <alignment horizontal="center" vertical="center" wrapText="1"/>
    </xf>
    <xf numFmtId="0" fontId="172" fillId="0" borderId="140" xfId="0" applyFont="1" applyBorder="1"/>
    <xf numFmtId="165" fontId="139" fillId="68" borderId="140" xfId="0" applyNumberFormat="1" applyFont="1" applyFill="1" applyBorder="1"/>
    <xf numFmtId="0" fontId="137" fillId="4" borderId="107" xfId="0" applyFont="1" applyFill="1" applyBorder="1"/>
    <xf numFmtId="0" fontId="149" fillId="18" borderId="141" xfId="0" applyFont="1" applyFill="1" applyBorder="1" applyAlignment="1">
      <alignment horizontal="center" wrapText="1"/>
    </xf>
    <xf numFmtId="0" fontId="301" fillId="61" borderId="141" xfId="0" applyFont="1" applyFill="1" applyBorder="1" applyAlignment="1">
      <alignment horizontal="center" vertical="center" wrapText="1"/>
    </xf>
    <xf numFmtId="0" fontId="136" fillId="0" borderId="141" xfId="0" applyFont="1" applyBorder="1" applyAlignment="1">
      <alignment horizontal="center" vertical="center"/>
    </xf>
    <xf numFmtId="17" fontId="136" fillId="0" borderId="141" xfId="0" applyNumberFormat="1" applyFont="1" applyBorder="1" applyAlignment="1">
      <alignment horizontal="center" vertical="center"/>
    </xf>
    <xf numFmtId="0" fontId="177" fillId="0" borderId="141" xfId="0" applyFont="1" applyBorder="1" applyAlignment="1">
      <alignment horizontal="center" vertical="center"/>
    </xf>
    <xf numFmtId="0" fontId="137" fillId="0" borderId="141" xfId="0" applyFont="1" applyBorder="1" applyAlignment="1">
      <alignment horizontal="center" vertical="center"/>
    </xf>
    <xf numFmtId="0" fontId="137" fillId="72" borderId="141" xfId="0" applyFont="1" applyFill="1" applyBorder="1" applyAlignment="1">
      <alignment horizontal="center" vertical="center"/>
    </xf>
    <xf numFmtId="0" fontId="163" fillId="0" borderId="141" xfId="0" applyFont="1" applyBorder="1" applyAlignment="1">
      <alignment horizontal="center" vertical="center" wrapText="1"/>
    </xf>
    <xf numFmtId="0" fontId="137" fillId="0" borderId="141" xfId="0" applyFont="1" applyBorder="1" applyAlignment="1">
      <alignment horizontal="center"/>
    </xf>
    <xf numFmtId="165" fontId="137" fillId="0" borderId="141" xfId="0" applyNumberFormat="1" applyFont="1" applyBorder="1"/>
    <xf numFmtId="0" fontId="163" fillId="0" borderId="141" xfId="0" applyFont="1" applyBorder="1" applyAlignment="1">
      <alignment horizontal="right"/>
    </xf>
    <xf numFmtId="165" fontId="137" fillId="0" borderId="141" xfId="0" applyNumberFormat="1" applyFont="1" applyBorder="1" applyAlignment="1">
      <alignment horizontal="right"/>
    </xf>
    <xf numFmtId="165" fontId="137" fillId="0" borderId="141" xfId="0" applyNumberFormat="1" applyFont="1" applyBorder="1" applyAlignment="1">
      <alignment horizontal="center" vertical="center"/>
    </xf>
    <xf numFmtId="0" fontId="131" fillId="0" borderId="141" xfId="0" applyFont="1" applyBorder="1" applyAlignment="1">
      <alignment horizontal="center"/>
    </xf>
    <xf numFmtId="0" fontId="284" fillId="0" borderId="141" xfId="0" applyFont="1" applyBorder="1" applyAlignment="1">
      <alignment horizontal="center"/>
    </xf>
    <xf numFmtId="0" fontId="131" fillId="0" borderId="141" xfId="0" applyFont="1" applyBorder="1"/>
    <xf numFmtId="0" fontId="131" fillId="58" borderId="141" xfId="0" applyFont="1" applyFill="1" applyBorder="1"/>
    <xf numFmtId="165" fontId="0" fillId="0" borderId="141" xfId="0" applyNumberFormat="1" applyBorder="1"/>
    <xf numFmtId="0" fontId="131" fillId="0" borderId="141" xfId="0" applyFont="1" applyBorder="1" applyAlignment="1">
      <alignment horizontal="right"/>
    </xf>
    <xf numFmtId="165" fontId="136" fillId="0" borderId="141" xfId="0" applyNumberFormat="1" applyFont="1" applyBorder="1" applyAlignment="1">
      <alignment horizontal="right" wrapText="1"/>
    </xf>
    <xf numFmtId="0" fontId="163" fillId="62" borderId="141" xfId="0" applyFont="1" applyFill="1" applyBorder="1" applyAlignment="1">
      <alignment horizontal="center" vertical="center" wrapText="1"/>
    </xf>
    <xf numFmtId="0" fontId="137" fillId="80" borderId="215" xfId="0" applyFont="1" applyFill="1" applyBorder="1" applyAlignment="1">
      <alignment horizontal="center" vertical="center"/>
    </xf>
    <xf numFmtId="0" fontId="137" fillId="80" borderId="40" xfId="0" applyFont="1" applyFill="1" applyBorder="1" applyAlignment="1">
      <alignment horizontal="center" vertical="center"/>
    </xf>
    <xf numFmtId="17" fontId="136" fillId="0" borderId="107" xfId="0" applyNumberFormat="1" applyFont="1" applyBorder="1" applyAlignment="1">
      <alignment horizontal="center" vertical="center"/>
    </xf>
    <xf numFmtId="0" fontId="303" fillId="58" borderId="107" xfId="0" applyFont="1" applyFill="1" applyBorder="1" applyAlignment="1">
      <alignment horizontal="center" vertical="center"/>
    </xf>
    <xf numFmtId="0" fontId="172" fillId="0" borderId="107" xfId="0" applyFont="1" applyBorder="1" applyAlignment="1">
      <alignment horizontal="center"/>
    </xf>
    <xf numFmtId="0" fontId="172" fillId="0" borderId="107" xfId="0" applyFont="1" applyBorder="1"/>
    <xf numFmtId="0" fontId="137" fillId="80" borderId="107" xfId="0" applyFont="1" applyFill="1" applyBorder="1" applyAlignment="1">
      <alignment horizontal="center" vertical="center"/>
    </xf>
    <xf numFmtId="0" fontId="177" fillId="0" borderId="107" xfId="0" applyFont="1" applyBorder="1" applyAlignment="1">
      <alignment horizontal="center" vertical="center"/>
    </xf>
    <xf numFmtId="0" fontId="163" fillId="0" borderId="107" xfId="0" applyFont="1" applyBorder="1" applyAlignment="1">
      <alignment horizontal="center" vertical="center" wrapText="1"/>
    </xf>
    <xf numFmtId="165" fontId="163" fillId="0" borderId="107" xfId="0" applyNumberFormat="1" applyFont="1" applyBorder="1" applyAlignment="1">
      <alignment horizontal="center" vertical="center" wrapText="1"/>
    </xf>
    <xf numFmtId="0" fontId="178" fillId="0" borderId="107" xfId="0" applyFont="1" applyBorder="1" applyAlignment="1">
      <alignment wrapText="1"/>
    </xf>
    <xf numFmtId="165" fontId="137" fillId="0" borderId="107" xfId="0" applyNumberFormat="1" applyFont="1" applyBorder="1"/>
    <xf numFmtId="0" fontId="163" fillId="0" borderId="107" xfId="0" applyFont="1" applyBorder="1" applyAlignment="1">
      <alignment horizontal="right"/>
    </xf>
    <xf numFmtId="165" fontId="137" fillId="0" borderId="107" xfId="0" applyNumberFormat="1" applyFont="1" applyBorder="1" applyAlignment="1">
      <alignment horizontal="right"/>
    </xf>
    <xf numFmtId="165" fontId="137" fillId="0" borderId="107" xfId="0" applyNumberFormat="1" applyFont="1" applyBorder="1" applyAlignment="1">
      <alignment horizontal="center" vertical="center"/>
    </xf>
    <xf numFmtId="17" fontId="157" fillId="65" borderId="140" xfId="0" applyNumberFormat="1" applyFont="1" applyFill="1" applyBorder="1" applyAlignment="1">
      <alignment horizontal="center" vertical="center"/>
    </xf>
    <xf numFmtId="0" fontId="162" fillId="0" borderId="140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140" xfId="0" applyBorder="1" applyAlignment="1">
      <alignment horizontal="center" wrapText="1"/>
    </xf>
    <xf numFmtId="0" fontId="297" fillId="0" borderId="140" xfId="0" applyFont="1" applyBorder="1" applyAlignment="1">
      <alignment wrapText="1"/>
    </xf>
    <xf numFmtId="0" fontId="147" fillId="65" borderId="84" xfId="0" applyFont="1" applyFill="1" applyBorder="1" applyAlignment="1">
      <alignment horizontal="center" vertical="center" wrapText="1"/>
    </xf>
    <xf numFmtId="0" fontId="297" fillId="0" borderId="140" xfId="0" applyFont="1" applyBorder="1" applyAlignment="1">
      <alignment horizontal="center" wrapText="1"/>
    </xf>
    <xf numFmtId="0" fontId="136" fillId="0" borderId="34" xfId="0" applyFont="1" applyBorder="1" applyAlignment="1">
      <alignment horizontal="center" vertical="center" wrapText="1"/>
    </xf>
    <xf numFmtId="0" fontId="147" fillId="65" borderId="34" xfId="0" applyFont="1" applyFill="1" applyBorder="1" applyAlignment="1">
      <alignment horizontal="center" vertical="center" wrapText="1"/>
    </xf>
    <xf numFmtId="14" fontId="136" fillId="0" borderId="84" xfId="0" applyNumberFormat="1" applyFont="1" applyBorder="1" applyAlignment="1">
      <alignment wrapText="1"/>
    </xf>
    <xf numFmtId="0" fontId="136" fillId="0" borderId="84" xfId="0" applyFont="1" applyBorder="1" applyAlignment="1">
      <alignment horizontal="right" wrapText="1"/>
    </xf>
    <xf numFmtId="0" fontId="136" fillId="0" borderId="140" xfId="0" applyFont="1" applyBorder="1" applyAlignment="1">
      <alignment wrapText="1"/>
    </xf>
    <xf numFmtId="0" fontId="304" fillId="0" borderId="84" xfId="0" applyFont="1" applyBorder="1" applyAlignment="1">
      <alignment horizontal="center" wrapText="1"/>
    </xf>
    <xf numFmtId="0" fontId="136" fillId="84" borderId="140" xfId="0" applyFont="1" applyFill="1" applyBorder="1" applyAlignment="1">
      <alignment horizontal="right" wrapText="1"/>
    </xf>
    <xf numFmtId="0" fontId="147" fillId="65" borderId="33" xfId="0" applyFont="1" applyFill="1" applyBorder="1" applyAlignment="1">
      <alignment horizontal="center" vertical="center" wrapText="1"/>
    </xf>
    <xf numFmtId="0" fontId="277" fillId="0" borderId="140" xfId="1" applyBorder="1" applyAlignment="1">
      <alignment horizontal="center" vertical="center" wrapText="1"/>
    </xf>
    <xf numFmtId="0" fontId="142" fillId="70" borderId="232" xfId="0" applyFont="1" applyFill="1" applyBorder="1" applyAlignment="1">
      <alignment horizontal="center" vertical="center" wrapText="1"/>
    </xf>
    <xf numFmtId="0" fontId="145" fillId="0" borderId="232" xfId="0" applyFont="1" applyBorder="1" applyAlignment="1">
      <alignment horizontal="center" vertical="center" wrapText="1"/>
    </xf>
    <xf numFmtId="0" fontId="0" fillId="59" borderId="140" xfId="0" applyFill="1" applyBorder="1"/>
    <xf numFmtId="0" fontId="304" fillId="0" borderId="140" xfId="0" applyFont="1" applyBorder="1" applyAlignment="1">
      <alignment horizontal="center" wrapText="1"/>
    </xf>
    <xf numFmtId="0" fontId="0" fillId="0" borderId="185" xfId="0" applyBorder="1"/>
    <xf numFmtId="0" fontId="136" fillId="62" borderId="140" xfId="0" applyFont="1" applyFill="1" applyBorder="1" applyAlignment="1">
      <alignment wrapText="1"/>
    </xf>
    <xf numFmtId="0" fontId="162" fillId="84" borderId="140" xfId="0" applyFont="1" applyFill="1" applyBorder="1" applyAlignment="1">
      <alignment horizontal="right" wrapText="1"/>
    </xf>
    <xf numFmtId="0" fontId="136" fillId="0" borderId="185" xfId="0" applyFont="1" applyBorder="1" applyAlignment="1">
      <alignment horizontal="right" wrapText="1"/>
    </xf>
    <xf numFmtId="0" fontId="137" fillId="0" borderId="140" xfId="0" applyFont="1" applyBorder="1" applyAlignment="1">
      <alignment horizontal="center"/>
    </xf>
    <xf numFmtId="0" fontId="0" fillId="58" borderId="140" xfId="0" applyFill="1" applyBorder="1"/>
    <xf numFmtId="0" fontId="284" fillId="0" borderId="140" xfId="0" applyFont="1" applyBorder="1" applyAlignment="1">
      <alignment horizontal="center"/>
    </xf>
    <xf numFmtId="0" fontId="278" fillId="0" borderId="0" xfId="0" applyFont="1" applyAlignment="1">
      <alignment wrapText="1"/>
    </xf>
    <xf numFmtId="0" fontId="278" fillId="58" borderId="140" xfId="0" applyFont="1" applyFill="1" applyBorder="1" applyAlignment="1">
      <alignment horizontal="center"/>
    </xf>
    <xf numFmtId="0" fontId="278" fillId="0" borderId="140" xfId="0" applyFont="1" applyBorder="1" applyAlignment="1">
      <alignment horizontal="center"/>
    </xf>
    <xf numFmtId="0" fontId="0" fillId="65" borderId="140" xfId="0" applyFill="1" applyBorder="1" applyAlignment="1">
      <alignment horizontal="center"/>
    </xf>
    <xf numFmtId="0" fontId="298" fillId="0" borderId="140" xfId="0" applyFont="1" applyBorder="1"/>
    <xf numFmtId="0" fontId="192" fillId="58" borderId="140" xfId="0" applyFont="1" applyFill="1" applyBorder="1" applyAlignment="1">
      <alignment horizontal="center"/>
    </xf>
    <xf numFmtId="0" fontId="246" fillId="0" borderId="158" xfId="0" applyFont="1" applyBorder="1" applyAlignment="1">
      <alignment horizontal="center" vertical="center" wrapText="1"/>
    </xf>
    <xf numFmtId="0" fontId="0" fillId="0" borderId="107" xfId="0" applyBorder="1" applyAlignment="1">
      <alignment horizontal="center" vertical="center"/>
    </xf>
    <xf numFmtId="14" fontId="136" fillId="0" borderId="141" xfId="0" applyNumberFormat="1" applyFont="1" applyBorder="1"/>
    <xf numFmtId="14" fontId="162" fillId="0" borderId="140" xfId="0" applyNumberFormat="1" applyFont="1" applyBorder="1"/>
    <xf numFmtId="16" fontId="130" fillId="0" borderId="140" xfId="0" applyNumberFormat="1" applyFont="1" applyBorder="1"/>
    <xf numFmtId="16" fontId="0" fillId="0" borderId="140" xfId="0" applyNumberFormat="1" applyBorder="1"/>
    <xf numFmtId="15" fontId="136" fillId="0" borderId="140" xfId="0" applyNumberFormat="1" applyFont="1" applyBorder="1"/>
    <xf numFmtId="14" fontId="136" fillId="0" borderId="140" xfId="0" applyNumberFormat="1" applyFont="1" applyBorder="1"/>
    <xf numFmtId="0" fontId="278" fillId="0" borderId="0" xfId="0" applyFont="1" applyAlignment="1">
      <alignment horizontal="center" vertical="center" wrapText="1"/>
    </xf>
    <xf numFmtId="0" fontId="278" fillId="0" borderId="140" xfId="0" applyFont="1" applyBorder="1" applyAlignment="1">
      <alignment horizontal="center" vertical="center" wrapText="1"/>
    </xf>
    <xf numFmtId="0" fontId="314" fillId="0" borderId="140" xfId="1" applyFont="1" applyBorder="1" applyAlignment="1">
      <alignment horizontal="center" vertical="center" wrapText="1"/>
    </xf>
    <xf numFmtId="0" fontId="278" fillId="0" borderId="140" xfId="1" applyFont="1" applyBorder="1" applyAlignment="1">
      <alignment horizontal="center" vertical="center" wrapText="1"/>
    </xf>
    <xf numFmtId="0" fontId="139" fillId="0" borderId="142" xfId="0" applyFont="1" applyBorder="1" applyAlignment="1">
      <alignment horizontal="center" vertical="center" wrapText="1"/>
    </xf>
    <xf numFmtId="0" fontId="277" fillId="0" borderId="107" xfId="1" applyBorder="1" applyAlignment="1">
      <alignment wrapText="1"/>
    </xf>
    <xf numFmtId="0" fontId="316" fillId="0" borderId="0" xfId="1" applyFont="1" applyAlignment="1">
      <alignment horizontal="center" vertical="center" wrapText="1"/>
    </xf>
    <xf numFmtId="0" fontId="316" fillId="0" borderId="140" xfId="1" applyFont="1" applyBorder="1" applyAlignment="1">
      <alignment horizontal="center" vertical="center" wrapText="1"/>
    </xf>
    <xf numFmtId="0" fontId="147" fillId="3" borderId="192" xfId="0" applyFont="1" applyFill="1" applyBorder="1" applyAlignment="1">
      <alignment horizontal="center" vertical="center" wrapText="1"/>
    </xf>
    <xf numFmtId="0" fontId="147" fillId="0" borderId="158" xfId="0" applyFont="1" applyBorder="1" applyAlignment="1">
      <alignment horizontal="center" vertical="center" wrapText="1"/>
    </xf>
    <xf numFmtId="0" fontId="142" fillId="5" borderId="158" xfId="0" applyFont="1" applyFill="1" applyBorder="1" applyAlignment="1">
      <alignment vertical="center" wrapText="1"/>
    </xf>
    <xf numFmtId="0" fontId="143" fillId="2" borderId="192" xfId="0" applyFont="1" applyFill="1" applyBorder="1" applyAlignment="1">
      <alignment horizontal="center" vertical="center"/>
    </xf>
    <xf numFmtId="0" fontId="142" fillId="74" borderId="185" xfId="0" applyFont="1" applyFill="1" applyBorder="1" applyAlignment="1">
      <alignment horizontal="center" vertical="center" wrapText="1"/>
    </xf>
    <xf numFmtId="0" fontId="215" fillId="97" borderId="158" xfId="0" applyFont="1" applyFill="1" applyBorder="1" applyAlignment="1">
      <alignment horizontal="center" vertical="center" wrapText="1"/>
    </xf>
    <xf numFmtId="0" fontId="210" fillId="86" borderId="185" xfId="0" applyFont="1" applyFill="1" applyBorder="1" applyAlignment="1">
      <alignment horizontal="center" vertical="center" wrapText="1"/>
    </xf>
    <xf numFmtId="0" fontId="210" fillId="98" borderId="185" xfId="0" applyFont="1" applyFill="1" applyBorder="1" applyAlignment="1">
      <alignment horizontal="center" vertical="center" wrapText="1"/>
    </xf>
    <xf numFmtId="0" fontId="206" fillId="99" borderId="158" xfId="0" applyFont="1" applyFill="1" applyBorder="1" applyAlignment="1">
      <alignment horizontal="center" vertical="center" wrapText="1"/>
    </xf>
    <xf numFmtId="0" fontId="210" fillId="100" borderId="185" xfId="0" applyFont="1" applyFill="1" applyBorder="1" applyAlignment="1">
      <alignment horizontal="center" vertical="center" wrapText="1"/>
    </xf>
    <xf numFmtId="0" fontId="210" fillId="75" borderId="237" xfId="0" applyFont="1" applyFill="1" applyBorder="1" applyAlignment="1">
      <alignment horizontal="center" vertical="center" wrapText="1"/>
    </xf>
    <xf numFmtId="0" fontId="142" fillId="75" borderId="140" xfId="0" applyFont="1" applyFill="1" applyBorder="1" applyAlignment="1">
      <alignment horizontal="center" vertical="center" wrapText="1"/>
    </xf>
    <xf numFmtId="0" fontId="300" fillId="101" borderId="140" xfId="0" applyFont="1" applyFill="1" applyBorder="1" applyAlignment="1">
      <alignment horizontal="center" vertical="center" wrapText="1"/>
    </xf>
    <xf numFmtId="0" fontId="210" fillId="102" borderId="140" xfId="0" applyFont="1" applyFill="1" applyBorder="1" applyAlignment="1">
      <alignment horizontal="center" vertical="center" wrapText="1"/>
    </xf>
    <xf numFmtId="0" fontId="142" fillId="103" borderId="140" xfId="0" applyFont="1" applyFill="1" applyBorder="1" applyAlignment="1">
      <alignment horizontal="center" vertical="center" wrapText="1"/>
    </xf>
    <xf numFmtId="0" fontId="147" fillId="66" borderId="140" xfId="0" applyFont="1" applyFill="1" applyBorder="1" applyAlignment="1">
      <alignment horizontal="center" vertical="center" wrapText="1"/>
    </xf>
    <xf numFmtId="0" fontId="192" fillId="0" borderId="107" xfId="0" applyFont="1" applyBorder="1" applyAlignment="1">
      <alignment horizontal="center"/>
    </xf>
    <xf numFmtId="17" fontId="157" fillId="65" borderId="185" xfId="0" applyNumberFormat="1" applyFont="1" applyFill="1" applyBorder="1" applyAlignment="1">
      <alignment horizontal="center" vertical="center"/>
    </xf>
    <xf numFmtId="0" fontId="136" fillId="62" borderId="185" xfId="0" applyFont="1" applyFill="1" applyBorder="1" applyAlignment="1">
      <alignment horizontal="center"/>
    </xf>
    <xf numFmtId="0" fontId="210" fillId="106" borderId="140" xfId="0" applyFont="1" applyFill="1" applyBorder="1" applyAlignment="1">
      <alignment horizontal="center" vertical="center" wrapText="1"/>
    </xf>
    <xf numFmtId="0" fontId="142" fillId="58" borderId="217" xfId="0" applyFont="1" applyFill="1" applyBorder="1" applyAlignment="1">
      <alignment horizontal="center" vertical="center" wrapText="1"/>
    </xf>
    <xf numFmtId="0" fontId="142" fillId="58" borderId="140" xfId="0" applyFont="1" applyFill="1" applyBorder="1" applyAlignment="1">
      <alignment horizontal="center" vertical="center" wrapText="1"/>
    </xf>
    <xf numFmtId="0" fontId="136" fillId="58" borderId="140" xfId="0" applyFont="1" applyFill="1" applyBorder="1"/>
    <xf numFmtId="0" fontId="147" fillId="66" borderId="107" xfId="0" applyFont="1" applyFill="1" applyBorder="1" applyAlignment="1">
      <alignment horizontal="center" vertical="center" wrapText="1"/>
    </xf>
    <xf numFmtId="0" fontId="192" fillId="0" borderId="218" xfId="0" applyFont="1" applyBorder="1"/>
    <xf numFmtId="0" fontId="136" fillId="0" borderId="140" xfId="0" applyFont="1" applyBorder="1" applyAlignment="1">
      <alignment horizontal="center"/>
    </xf>
    <xf numFmtId="0" fontId="136" fillId="62" borderId="140" xfId="0" applyFont="1" applyFill="1" applyBorder="1" applyAlignment="1">
      <alignment horizontal="center"/>
    </xf>
    <xf numFmtId="0" fontId="136" fillId="93" borderId="140" xfId="0" applyFont="1" applyFill="1" applyBorder="1" applyAlignment="1">
      <alignment horizontal="center"/>
    </xf>
    <xf numFmtId="17" fontId="0" fillId="0" borderId="140" xfId="0" applyNumberFormat="1" applyBorder="1" applyAlignment="1">
      <alignment horizontal="center"/>
    </xf>
    <xf numFmtId="0" fontId="136" fillId="0" borderId="185" xfId="0" applyFont="1" applyBorder="1" applyAlignment="1">
      <alignment horizontal="center"/>
    </xf>
    <xf numFmtId="0" fontId="192" fillId="0" borderId="140" xfId="0" applyFont="1" applyBorder="1" applyAlignment="1">
      <alignment horizontal="center"/>
    </xf>
    <xf numFmtId="0" fontId="137" fillId="0" borderId="214" xfId="0" applyFont="1" applyBorder="1" applyAlignment="1">
      <alignment horizontal="right" wrapText="1"/>
    </xf>
    <xf numFmtId="0" fontId="139" fillId="58" borderId="140" xfId="0" applyFont="1" applyFill="1" applyBorder="1" applyAlignment="1">
      <alignment horizontal="right" wrapText="1"/>
    </xf>
    <xf numFmtId="17" fontId="157" fillId="59" borderId="140" xfId="0" applyNumberFormat="1" applyFont="1" applyFill="1" applyBorder="1" applyAlignment="1">
      <alignment horizontal="center" vertical="center"/>
    </xf>
    <xf numFmtId="0" fontId="304" fillId="0" borderId="107" xfId="0" applyFont="1" applyBorder="1" applyAlignment="1">
      <alignment wrapText="1"/>
    </xf>
    <xf numFmtId="0" fontId="172" fillId="0" borderId="140" xfId="0" applyFont="1" applyBorder="1" applyAlignment="1">
      <alignment horizontal="center" vertical="center"/>
    </xf>
    <xf numFmtId="17" fontId="157" fillId="0" borderId="107" xfId="0" applyNumberFormat="1" applyFont="1" applyBorder="1" applyAlignment="1">
      <alignment horizontal="center" vertical="center"/>
    </xf>
    <xf numFmtId="0" fontId="157" fillId="0" borderId="107" xfId="0" applyFont="1" applyBorder="1" applyAlignment="1">
      <alignment horizontal="center" vertical="center"/>
    </xf>
    <xf numFmtId="0" fontId="179" fillId="0" borderId="140" xfId="0" applyFont="1" applyBorder="1" applyAlignment="1">
      <alignment horizontal="right" vertical="top" wrapText="1"/>
    </xf>
    <xf numFmtId="0" fontId="130" fillId="0" borderId="0" xfId="0" applyFont="1"/>
    <xf numFmtId="0" fontId="136" fillId="62" borderId="140" xfId="0" applyFont="1" applyFill="1" applyBorder="1"/>
    <xf numFmtId="0" fontId="163" fillId="107" borderId="158" xfId="0" applyFont="1" applyFill="1" applyBorder="1" applyAlignment="1">
      <alignment vertical="top" wrapText="1"/>
    </xf>
    <xf numFmtId="0" fontId="179" fillId="82" borderId="158" xfId="0" applyFont="1" applyFill="1" applyBorder="1" applyAlignment="1">
      <alignment horizontal="left" vertical="top" wrapText="1"/>
    </xf>
    <xf numFmtId="0" fontId="179" fillId="85" borderId="158" xfId="0" applyFont="1" applyFill="1" applyBorder="1" applyAlignment="1">
      <alignment horizontal="left" vertical="top" wrapText="1"/>
    </xf>
    <xf numFmtId="0" fontId="278" fillId="81" borderId="107" xfId="0" applyFont="1" applyFill="1" applyBorder="1" applyAlignment="1">
      <alignment wrapText="1"/>
    </xf>
    <xf numFmtId="0" fontId="191" fillId="108" borderId="158" xfId="0" applyFont="1" applyFill="1" applyBorder="1" applyAlignment="1">
      <alignment vertical="top" wrapText="1"/>
    </xf>
    <xf numFmtId="0" fontId="191" fillId="98" borderId="158" xfId="0" applyFont="1" applyFill="1" applyBorder="1" applyAlignment="1">
      <alignment vertical="top" wrapText="1"/>
    </xf>
    <xf numFmtId="0" fontId="191" fillId="109" borderId="158" xfId="0" applyFont="1" applyFill="1" applyBorder="1" applyAlignment="1">
      <alignment vertical="top" wrapText="1"/>
    </xf>
    <xf numFmtId="0" fontId="136" fillId="78" borderId="185" xfId="0" applyFont="1" applyFill="1" applyBorder="1" applyAlignment="1">
      <alignment wrapText="1"/>
    </xf>
    <xf numFmtId="0" fontId="305" fillId="82" borderId="185" xfId="0" applyFont="1" applyFill="1" applyBorder="1" applyAlignment="1">
      <alignment wrapText="1"/>
    </xf>
    <xf numFmtId="0" fontId="286" fillId="83" borderId="185" xfId="0" applyFont="1" applyFill="1" applyBorder="1" applyAlignment="1">
      <alignment horizontal="center" wrapText="1"/>
    </xf>
    <xf numFmtId="0" fontId="129" fillId="58" borderId="140" xfId="0" applyFont="1" applyFill="1" applyBorder="1"/>
    <xf numFmtId="0" fontId="129" fillId="0" borderId="140" xfId="0" applyFont="1" applyBorder="1"/>
    <xf numFmtId="165" fontId="0" fillId="0" borderId="140" xfId="0" applyNumberFormat="1" applyBorder="1"/>
    <xf numFmtId="0" fontId="0" fillId="0" borderId="140" xfId="0" applyBorder="1" applyAlignment="1">
      <alignment horizontal="center"/>
    </xf>
    <xf numFmtId="0" fontId="172" fillId="0" borderId="140" xfId="0" applyFont="1" applyBorder="1" applyAlignment="1">
      <alignment horizontal="center"/>
    </xf>
    <xf numFmtId="0" fontId="136" fillId="3" borderId="68" xfId="0" applyFont="1" applyFill="1" applyBorder="1" applyAlignment="1">
      <alignment horizontal="center" vertical="center" wrapText="1"/>
    </xf>
    <xf numFmtId="0" fontId="129" fillId="70" borderId="185" xfId="0" applyFont="1" applyFill="1" applyBorder="1" applyAlignment="1">
      <alignment wrapText="1"/>
    </xf>
    <xf numFmtId="0" fontId="298" fillId="110" borderId="237" xfId="0" applyFont="1" applyFill="1" applyBorder="1" applyAlignment="1">
      <alignment horizontal="center"/>
    </xf>
    <xf numFmtId="0" fontId="137" fillId="58" borderId="140" xfId="0" applyFont="1" applyFill="1" applyBorder="1" applyAlignment="1">
      <alignment horizontal="center" vertical="center"/>
    </xf>
    <xf numFmtId="17" fontId="157" fillId="58" borderId="140" xfId="0" applyNumberFormat="1" applyFont="1" applyFill="1" applyBorder="1" applyAlignment="1">
      <alignment horizontal="center" vertical="center"/>
    </xf>
    <xf numFmtId="0" fontId="162" fillId="76" borderId="140" xfId="0" applyFont="1" applyFill="1" applyBorder="1" applyAlignment="1">
      <alignment horizontal="center" wrapText="1"/>
    </xf>
    <xf numFmtId="0" fontId="319" fillId="0" borderId="107" xfId="1" applyFont="1" applyBorder="1" applyAlignment="1">
      <alignment wrapText="1"/>
    </xf>
    <xf numFmtId="0" fontId="316" fillId="58" borderId="185" xfId="1" applyFont="1" applyFill="1" applyBorder="1" applyAlignment="1">
      <alignment horizontal="center" wrapText="1"/>
    </xf>
    <xf numFmtId="0" fontId="277" fillId="58" borderId="185" xfId="1" applyFill="1" applyBorder="1" applyAlignment="1">
      <alignment horizontal="center" wrapText="1"/>
    </xf>
    <xf numFmtId="17" fontId="137" fillId="0" borderId="98" xfId="0" applyNumberFormat="1" applyFont="1" applyBorder="1" applyAlignment="1">
      <alignment vertical="center"/>
    </xf>
    <xf numFmtId="0" fontId="300" fillId="70" borderId="226" xfId="0" applyFont="1" applyFill="1" applyBorder="1" applyAlignment="1">
      <alignment horizontal="center" wrapText="1"/>
    </xf>
    <xf numFmtId="0" fontId="196" fillId="0" borderId="218" xfId="0" applyFont="1" applyBorder="1" applyAlignment="1">
      <alignment horizontal="left" vertical="center"/>
    </xf>
    <xf numFmtId="0" fontId="137" fillId="0" borderId="218" xfId="0" applyFont="1" applyBorder="1" applyAlignment="1">
      <alignment horizontal="center" vertical="center"/>
    </xf>
    <xf numFmtId="0" fontId="300" fillId="62" borderId="140" xfId="0" applyFont="1" applyFill="1" applyBorder="1"/>
    <xf numFmtId="0" fontId="300" fillId="62" borderId="140" xfId="0" applyFont="1" applyFill="1" applyBorder="1" applyAlignment="1">
      <alignment horizontal="center"/>
    </xf>
    <xf numFmtId="0" fontId="147" fillId="62" borderId="140" xfId="0" applyFont="1" applyFill="1" applyBorder="1"/>
    <xf numFmtId="0" fontId="147" fillId="62" borderId="223" xfId="0" applyFont="1" applyFill="1" applyBorder="1"/>
    <xf numFmtId="0" fontId="196" fillId="62" borderId="140" xfId="0" applyFont="1" applyFill="1" applyBorder="1"/>
    <xf numFmtId="0" fontId="147" fillId="62" borderId="217" xfId="0" applyFont="1" applyFill="1" applyBorder="1"/>
    <xf numFmtId="0" fontId="136" fillId="3" borderId="97" xfId="0" applyFont="1" applyFill="1" applyBorder="1" applyAlignment="1">
      <alignment horizontal="center" vertical="center" wrapText="1"/>
    </xf>
    <xf numFmtId="0" fontId="136" fillId="58" borderId="107" xfId="0" applyFont="1" applyFill="1" applyBorder="1"/>
    <xf numFmtId="0" fontId="129" fillId="58" borderId="140" xfId="0" applyFont="1" applyFill="1" applyBorder="1" applyAlignment="1">
      <alignment horizontal="center"/>
    </xf>
    <xf numFmtId="17" fontId="129" fillId="0" borderId="140" xfId="0" applyNumberFormat="1" applyFont="1" applyBorder="1" applyAlignment="1">
      <alignment horizontal="center"/>
    </xf>
    <xf numFmtId="0" fontId="129" fillId="0" borderId="140" xfId="0" applyFont="1" applyBorder="1" applyAlignment="1">
      <alignment horizontal="center"/>
    </xf>
    <xf numFmtId="0" fontId="177" fillId="62" borderId="140" xfId="0" applyFont="1" applyFill="1" applyBorder="1" applyAlignment="1">
      <alignment horizontal="center" vertical="center"/>
    </xf>
    <xf numFmtId="0" fontId="129" fillId="58" borderId="140" xfId="0" applyFont="1" applyFill="1" applyBorder="1" applyAlignment="1">
      <alignment wrapText="1"/>
    </xf>
    <xf numFmtId="0" fontId="0" fillId="58" borderId="140" xfId="0" applyFill="1" applyBorder="1" applyAlignment="1">
      <alignment wrapText="1"/>
    </xf>
    <xf numFmtId="0" fontId="137" fillId="0" borderId="107" xfId="0" applyFont="1" applyBorder="1" applyAlignment="1">
      <alignment horizontal="right" wrapText="1"/>
    </xf>
    <xf numFmtId="0" fontId="281" fillId="0" borderId="140" xfId="0" applyFont="1" applyBorder="1" applyAlignment="1">
      <alignment horizontal="center"/>
    </xf>
    <xf numFmtId="0" fontId="129" fillId="0" borderId="140" xfId="0" applyFont="1" applyBorder="1" applyAlignment="1">
      <alignment horizontal="center" vertical="center"/>
    </xf>
    <xf numFmtId="0" fontId="177" fillId="58" borderId="140" xfId="0" applyFont="1" applyFill="1" applyBorder="1" applyAlignment="1">
      <alignment horizontal="center" vertical="center"/>
    </xf>
    <xf numFmtId="0" fontId="129" fillId="88" borderId="227" xfId="0" applyFont="1" applyFill="1" applyBorder="1" applyAlignment="1">
      <alignment horizontal="center"/>
    </xf>
    <xf numFmtId="0" fontId="162" fillId="59" borderId="140" xfId="0" applyFont="1" applyFill="1" applyBorder="1" applyAlignment="1">
      <alignment horizontal="center"/>
    </xf>
    <xf numFmtId="0" fontId="162" fillId="0" borderId="107" xfId="0" applyFont="1" applyBorder="1" applyAlignment="1">
      <alignment horizontal="center"/>
    </xf>
    <xf numFmtId="0" fontId="129" fillId="0" borderId="185" xfId="0" applyFont="1" applyBorder="1" applyAlignment="1">
      <alignment horizontal="center" vertical="center"/>
    </xf>
    <xf numFmtId="0" fontId="129" fillId="88" borderId="140" xfId="0" applyFont="1" applyFill="1" applyBorder="1" applyAlignment="1">
      <alignment horizontal="center"/>
    </xf>
    <xf numFmtId="0" fontId="177" fillId="62" borderId="218" xfId="0" applyFont="1" applyFill="1" applyBorder="1" applyAlignment="1">
      <alignment horizontal="center" vertical="center"/>
    </xf>
    <xf numFmtId="0" fontId="142" fillId="6" borderId="141" xfId="0" applyFont="1" applyFill="1" applyBorder="1" applyAlignment="1">
      <alignment vertical="center" wrapText="1"/>
    </xf>
    <xf numFmtId="0" fontId="143" fillId="7" borderId="141" xfId="0" applyFont="1" applyFill="1" applyBorder="1" applyAlignment="1">
      <alignment vertical="center" wrapText="1"/>
    </xf>
    <xf numFmtId="0" fontId="145" fillId="112" borderId="141" xfId="0" applyFont="1" applyFill="1" applyBorder="1" applyAlignment="1">
      <alignment horizontal="center" wrapText="1"/>
    </xf>
    <xf numFmtId="0" fontId="277" fillId="0" borderId="0" xfId="1" applyAlignment="1">
      <alignment horizontal="center" vertical="center" wrapText="1"/>
    </xf>
    <xf numFmtId="0" fontId="155" fillId="0" borderId="224" xfId="0" applyFont="1" applyBorder="1" applyAlignment="1">
      <alignment horizontal="center" vertical="center"/>
    </xf>
    <xf numFmtId="0" fontId="155" fillId="0" borderId="182" xfId="0" applyFont="1" applyBorder="1" applyAlignment="1">
      <alignment horizontal="center" vertical="center"/>
    </xf>
    <xf numFmtId="0" fontId="141" fillId="0" borderId="182" xfId="0" applyFont="1" applyBorder="1" applyAlignment="1">
      <alignment horizontal="center" vertical="center"/>
    </xf>
    <xf numFmtId="0" fontId="144" fillId="15" borderId="192" xfId="0" applyFont="1" applyFill="1" applyBorder="1" applyAlignment="1">
      <alignment horizontal="center" vertical="center" wrapText="1"/>
    </xf>
    <xf numFmtId="0" fontId="144" fillId="15" borderId="147" xfId="0" applyFont="1" applyFill="1" applyBorder="1" applyAlignment="1">
      <alignment horizontal="center" vertical="center" wrapText="1"/>
    </xf>
    <xf numFmtId="0" fontId="144" fillId="15" borderId="107" xfId="0" applyFont="1" applyFill="1" applyBorder="1" applyAlignment="1">
      <alignment horizontal="center" vertical="center" wrapText="1"/>
    </xf>
    <xf numFmtId="0" fontId="278" fillId="0" borderId="107" xfId="0" applyFont="1" applyBorder="1" applyAlignment="1">
      <alignment wrapText="1"/>
    </xf>
    <xf numFmtId="0" fontId="136" fillId="58" borderId="140" xfId="0" applyFont="1" applyFill="1" applyBorder="1" applyAlignment="1">
      <alignment horizontal="center" vertical="center"/>
    </xf>
    <xf numFmtId="0" fontId="202" fillId="58" borderId="140" xfId="0" applyFont="1" applyFill="1" applyBorder="1" applyAlignment="1">
      <alignment horizontal="center" vertical="center"/>
    </xf>
    <xf numFmtId="0" fontId="192" fillId="58" borderId="140" xfId="0" applyFont="1" applyFill="1" applyBorder="1" applyAlignment="1">
      <alignment horizontal="center" vertical="center"/>
    </xf>
    <xf numFmtId="0" fontId="136" fillId="65" borderId="140" xfId="0" applyFont="1" applyFill="1" applyBorder="1" applyAlignment="1">
      <alignment horizontal="center"/>
    </xf>
    <xf numFmtId="0" fontId="129" fillId="62" borderId="140" xfId="0" applyFont="1" applyFill="1" applyBorder="1" applyAlignment="1">
      <alignment horizontal="center"/>
    </xf>
    <xf numFmtId="0" fontId="136" fillId="59" borderId="140" xfId="0" applyFont="1" applyFill="1" applyBorder="1" applyAlignment="1">
      <alignment horizontal="center"/>
    </xf>
    <xf numFmtId="165" fontId="129" fillId="0" borderId="140" xfId="0" applyNumberFormat="1" applyFont="1" applyBorder="1" applyAlignment="1">
      <alignment horizontal="right"/>
    </xf>
    <xf numFmtId="0" fontId="129" fillId="0" borderId="140" xfId="0" applyFont="1" applyBorder="1" applyAlignment="1">
      <alignment horizontal="right"/>
    </xf>
    <xf numFmtId="165" fontId="284" fillId="58" borderId="140" xfId="0" applyNumberFormat="1" applyFont="1" applyFill="1" applyBorder="1" applyAlignment="1">
      <alignment horizontal="right"/>
    </xf>
    <xf numFmtId="0" fontId="192" fillId="58" borderId="140" xfId="0" applyFont="1" applyFill="1" applyBorder="1" applyAlignment="1">
      <alignment horizontal="center" wrapText="1"/>
    </xf>
    <xf numFmtId="0" fontId="192" fillId="0" borderId="140" xfId="0" applyFont="1" applyBorder="1"/>
    <xf numFmtId="0" fontId="192" fillId="65" borderId="140" xfId="0" applyFont="1" applyFill="1" applyBorder="1" applyAlignment="1">
      <alignment horizontal="center"/>
    </xf>
    <xf numFmtId="0" fontId="278" fillId="62" borderId="140" xfId="0" applyFont="1" applyFill="1" applyBorder="1" applyAlignment="1">
      <alignment horizontal="center"/>
    </xf>
    <xf numFmtId="0" fontId="278" fillId="0" borderId="140" xfId="0" applyFont="1" applyBorder="1"/>
    <xf numFmtId="165" fontId="284" fillId="58" borderId="140" xfId="0" applyNumberFormat="1" applyFont="1" applyFill="1" applyBorder="1" applyAlignment="1">
      <alignment horizontal="center"/>
    </xf>
    <xf numFmtId="0" fontId="204" fillId="58" borderId="140" xfId="0" applyFont="1" applyFill="1" applyBorder="1" applyAlignment="1">
      <alignment horizontal="center" vertical="center"/>
    </xf>
    <xf numFmtId="0" fontId="204" fillId="0" borderId="140" xfId="0" applyFont="1" applyBorder="1" applyAlignment="1">
      <alignment horizontal="center" vertical="center"/>
    </xf>
    <xf numFmtId="165" fontId="129" fillId="62" borderId="140" xfId="0" applyNumberFormat="1" applyFont="1" applyFill="1" applyBorder="1" applyAlignment="1">
      <alignment horizontal="center"/>
    </xf>
    <xf numFmtId="0" fontId="284" fillId="58" borderId="140" xfId="0" applyFont="1" applyFill="1" applyBorder="1" applyAlignment="1">
      <alignment horizontal="center"/>
    </xf>
    <xf numFmtId="0" fontId="0" fillId="62" borderId="140" xfId="0" applyFill="1" applyBorder="1"/>
    <xf numFmtId="0" fontId="209" fillId="0" borderId="140" xfId="0" applyFont="1" applyBorder="1" applyAlignment="1">
      <alignment horizontal="center" vertical="center"/>
    </xf>
    <xf numFmtId="0" fontId="159" fillId="0" borderId="140" xfId="0" applyFont="1" applyBorder="1" applyAlignment="1">
      <alignment horizontal="center"/>
    </xf>
    <xf numFmtId="0" fontId="159" fillId="0" borderId="140" xfId="0" applyFont="1" applyBorder="1" applyAlignment="1">
      <alignment horizontal="center" vertical="center"/>
    </xf>
    <xf numFmtId="0" fontId="145" fillId="11" borderId="158" xfId="0" applyFont="1" applyFill="1" applyBorder="1" applyAlignment="1">
      <alignment horizontal="center"/>
    </xf>
    <xf numFmtId="0" fontId="145" fillId="11" borderId="192" xfId="0" applyFont="1" applyFill="1" applyBorder="1" applyAlignment="1">
      <alignment horizontal="center"/>
    </xf>
    <xf numFmtId="0" fontId="277" fillId="0" borderId="141" xfId="1" applyBorder="1" applyAlignment="1">
      <alignment horizontal="center" vertical="center" wrapText="1"/>
    </xf>
    <xf numFmtId="0" fontId="277" fillId="13" borderId="141" xfId="1" applyFill="1" applyBorder="1" applyAlignment="1">
      <alignment horizontal="center" wrapText="1"/>
    </xf>
    <xf numFmtId="0" fontId="277" fillId="11" borderId="140" xfId="1" applyFill="1" applyBorder="1" applyAlignment="1">
      <alignment horizontal="center" wrapText="1"/>
    </xf>
    <xf numFmtId="0" fontId="320" fillId="15" borderId="140" xfId="0" applyFont="1" applyFill="1" applyBorder="1" applyAlignment="1">
      <alignment horizontal="center" vertical="center" wrapText="1"/>
    </xf>
    <xf numFmtId="175" fontId="136" fillId="0" borderId="98" xfId="0" applyNumberFormat="1" applyFont="1" applyBorder="1" applyAlignment="1">
      <alignment horizontal="center" vertical="center"/>
    </xf>
    <xf numFmtId="0" fontId="137" fillId="58" borderId="145" xfId="0" applyFont="1" applyFill="1" applyBorder="1"/>
    <xf numFmtId="0" fontId="137" fillId="62" borderId="145" xfId="0" applyFont="1" applyFill="1" applyBorder="1"/>
    <xf numFmtId="165" fontId="137" fillId="68" borderId="140" xfId="0" applyNumberFormat="1" applyFont="1" applyFill="1" applyBorder="1"/>
    <xf numFmtId="0" fontId="137" fillId="57" borderId="140" xfId="0" applyFont="1" applyFill="1" applyBorder="1"/>
    <xf numFmtId="0" fontId="137" fillId="0" borderId="223" xfId="0" applyFont="1" applyBorder="1"/>
    <xf numFmtId="0" fontId="137" fillId="2" borderId="140" xfId="0" applyFont="1" applyFill="1" applyBorder="1" applyAlignment="1" applyProtection="1">
      <alignment horizontal="center" vertical="center"/>
      <protection locked="0"/>
    </xf>
    <xf numFmtId="0" fontId="162" fillId="0" borderId="0" xfId="0" applyFont="1" applyAlignment="1">
      <alignment horizontal="center" wrapText="1"/>
    </xf>
    <xf numFmtId="0" fontId="137" fillId="113" borderId="140" xfId="0" applyFont="1" applyFill="1" applyBorder="1" applyAlignment="1">
      <alignment horizontal="center" vertical="center"/>
    </xf>
    <xf numFmtId="0" fontId="128" fillId="79" borderId="227" xfId="0" applyFont="1" applyFill="1" applyBorder="1"/>
    <xf numFmtId="0" fontId="137" fillId="2" borderId="185" xfId="0" applyFont="1" applyFill="1" applyBorder="1" applyAlignment="1">
      <alignment horizontal="center" vertical="center"/>
    </xf>
    <xf numFmtId="0" fontId="137" fillId="113" borderId="185" xfId="0" applyFont="1" applyFill="1" applyBorder="1" applyAlignment="1">
      <alignment horizontal="center" vertical="center"/>
    </xf>
    <xf numFmtId="0" fontId="128" fillId="0" borderId="227" xfId="0" applyFont="1" applyBorder="1"/>
    <xf numFmtId="0" fontId="136" fillId="0" borderId="245" xfId="0" applyFont="1" applyBorder="1" applyAlignment="1">
      <alignment horizontal="center" vertical="center"/>
    </xf>
    <xf numFmtId="0" fontId="137" fillId="59" borderId="140" xfId="0" applyFont="1" applyFill="1" applyBorder="1" applyAlignment="1">
      <alignment horizontal="center" vertical="center"/>
    </xf>
    <xf numFmtId="0" fontId="137" fillId="63" borderId="140" xfId="0" applyFont="1" applyFill="1" applyBorder="1"/>
    <xf numFmtId="0" fontId="137" fillId="114" borderId="140" xfId="0" applyFont="1" applyFill="1" applyBorder="1"/>
    <xf numFmtId="0" fontId="137" fillId="62" borderId="140" xfId="0" applyFont="1" applyFill="1" applyBorder="1"/>
    <xf numFmtId="0" fontId="266" fillId="0" borderId="107" xfId="0" applyFont="1" applyBorder="1"/>
    <xf numFmtId="0" fontId="269" fillId="0" borderId="107" xfId="0" applyFont="1" applyBorder="1" applyAlignment="1">
      <alignment horizontal="center" vertical="center" wrapText="1"/>
    </xf>
    <xf numFmtId="0" fontId="269" fillId="56" borderId="107" xfId="0" applyFont="1" applyFill="1" applyBorder="1" applyAlignment="1">
      <alignment horizontal="center"/>
    </xf>
    <xf numFmtId="0" fontId="192" fillId="22" borderId="107" xfId="0" applyFont="1" applyFill="1" applyBorder="1"/>
    <xf numFmtId="0" fontId="291" fillId="0" borderId="107" xfId="0" applyFont="1" applyBorder="1" applyAlignment="1">
      <alignment horizontal="center"/>
    </xf>
    <xf numFmtId="0" fontId="156" fillId="0" borderId="22" xfId="0" applyFont="1" applyBorder="1" applyAlignment="1">
      <alignment wrapText="1"/>
    </xf>
    <xf numFmtId="0" fontId="156" fillId="0" borderId="22" xfId="0" applyFont="1" applyBorder="1" applyAlignment="1">
      <alignment horizontal="center" wrapText="1"/>
    </xf>
    <xf numFmtId="0" fontId="277" fillId="2" borderId="54" xfId="1" applyFill="1" applyBorder="1" applyAlignment="1">
      <alignment wrapText="1"/>
    </xf>
    <xf numFmtId="0" fontId="277" fillId="2" borderId="22" xfId="1" applyFill="1" applyBorder="1" applyAlignment="1">
      <alignment wrapText="1"/>
    </xf>
    <xf numFmtId="0" fontId="277" fillId="0" borderId="22" xfId="1" applyBorder="1" applyAlignment="1">
      <alignment wrapText="1"/>
    </xf>
    <xf numFmtId="0" fontId="149" fillId="0" borderId="22" xfId="0" applyFont="1" applyBorder="1" applyAlignment="1">
      <alignment wrapText="1"/>
    </xf>
    <xf numFmtId="0" fontId="127" fillId="0" borderId="107" xfId="0" applyFont="1" applyBorder="1"/>
    <xf numFmtId="0" fontId="127" fillId="0" borderId="223" xfId="0" applyFont="1" applyBorder="1"/>
    <xf numFmtId="0" fontId="136" fillId="3" borderId="66" xfId="0" applyFont="1" applyFill="1" applyBorder="1" applyAlignment="1">
      <alignment horizontal="center" vertical="center" wrapText="1"/>
    </xf>
    <xf numFmtId="0" fontId="156" fillId="0" borderId="66" xfId="0" applyFont="1" applyBorder="1" applyAlignment="1">
      <alignment horizontal="center" vertical="center" wrapText="1"/>
    </xf>
    <xf numFmtId="0" fontId="143" fillId="2" borderId="66" xfId="0" applyFont="1" applyFill="1" applyBorder="1" applyAlignment="1">
      <alignment horizontal="center" vertical="center"/>
    </xf>
    <xf numFmtId="0" fontId="206" fillId="11" borderId="66" xfId="0" applyFont="1" applyFill="1" applyBorder="1" applyAlignment="1">
      <alignment horizontal="center" vertical="center" wrapText="1"/>
    </xf>
    <xf numFmtId="0" fontId="206" fillId="11" borderId="68" xfId="0" applyFont="1" applyFill="1" applyBorder="1" applyAlignment="1">
      <alignment horizontal="center" vertical="center" wrapText="1"/>
    </xf>
    <xf numFmtId="0" fontId="156" fillId="115" borderId="140" xfId="0" applyFont="1" applyFill="1" applyBorder="1" applyAlignment="1">
      <alignment horizontal="center" vertical="center" wrapText="1"/>
    </xf>
    <xf numFmtId="0" fontId="322" fillId="81" borderId="140" xfId="0" applyFont="1" applyFill="1" applyBorder="1" applyAlignment="1">
      <alignment horizontal="center" vertical="center" wrapText="1"/>
    </xf>
    <xf numFmtId="0" fontId="304" fillId="81" borderId="140" xfId="0" applyFont="1" applyFill="1" applyBorder="1" applyAlignment="1">
      <alignment horizontal="center" wrapText="1"/>
    </xf>
    <xf numFmtId="0" fontId="304" fillId="64" borderId="140" xfId="0" applyFont="1" applyFill="1" applyBorder="1" applyAlignment="1">
      <alignment horizontal="center" wrapText="1"/>
    </xf>
    <xf numFmtId="0" fontId="275" fillId="64" borderId="140" xfId="0" applyFont="1" applyFill="1" applyBorder="1" applyAlignment="1">
      <alignment horizontal="center" wrapText="1"/>
    </xf>
    <xf numFmtId="0" fontId="304" fillId="74" borderId="223" xfId="0" applyFont="1" applyFill="1" applyBorder="1" applyAlignment="1">
      <alignment horizontal="center" wrapText="1"/>
    </xf>
    <xf numFmtId="0" fontId="304" fillId="116" borderId="140" xfId="0" applyFont="1" applyFill="1" applyBorder="1" applyAlignment="1">
      <alignment horizontal="center" wrapText="1"/>
    </xf>
    <xf numFmtId="0" fontId="278" fillId="116" borderId="140" xfId="0" applyFont="1" applyFill="1" applyBorder="1" applyAlignment="1">
      <alignment wrapText="1"/>
    </xf>
    <xf numFmtId="0" fontId="278" fillId="116" borderId="107" xfId="0" applyFont="1" applyFill="1" applyBorder="1" applyAlignment="1">
      <alignment horizontal="center" wrapText="1"/>
    </xf>
    <xf numFmtId="0" fontId="127" fillId="62" borderId="140" xfId="0" applyFont="1" applyFill="1" applyBorder="1" applyAlignment="1">
      <alignment horizontal="center"/>
    </xf>
    <xf numFmtId="0" fontId="127" fillId="62" borderId="140" xfId="0" applyFont="1" applyFill="1" applyBorder="1"/>
    <xf numFmtId="0" fontId="137" fillId="0" borderId="185" xfId="0" applyFont="1" applyBorder="1" applyAlignment="1">
      <alignment horizontal="center" vertical="center"/>
    </xf>
    <xf numFmtId="17" fontId="157" fillId="72" borderId="218" xfId="0" applyNumberFormat="1" applyFont="1" applyFill="1" applyBorder="1" applyAlignment="1">
      <alignment horizontal="center" vertical="center"/>
    </xf>
    <xf numFmtId="17" fontId="157" fillId="72" borderId="140" xfId="0" applyNumberFormat="1" applyFont="1" applyFill="1" applyBorder="1" applyAlignment="1">
      <alignment horizontal="center" vertical="center"/>
    </xf>
    <xf numFmtId="0" fontId="137" fillId="117" borderId="140" xfId="0" applyFont="1" applyFill="1" applyBorder="1" applyAlignment="1">
      <alignment horizontal="right"/>
    </xf>
    <xf numFmtId="0" fontId="137" fillId="0" borderId="140" xfId="0" applyFont="1" applyBorder="1" applyAlignment="1">
      <alignment horizontal="right"/>
    </xf>
    <xf numFmtId="0" fontId="163" fillId="113" borderId="140" xfId="0" applyFont="1" applyFill="1" applyBorder="1" applyAlignment="1">
      <alignment horizontal="right"/>
    </xf>
    <xf numFmtId="0" fontId="143" fillId="7" borderId="158" xfId="0" applyFont="1" applyFill="1" applyBorder="1" applyAlignment="1">
      <alignment horizontal="center" vertical="center" wrapText="1"/>
    </xf>
    <xf numFmtId="0" fontId="0" fillId="0" borderId="227" xfId="0" applyBorder="1"/>
    <xf numFmtId="0" fontId="126" fillId="0" borderId="140" xfId="0" applyFont="1" applyBorder="1"/>
    <xf numFmtId="0" fontId="162" fillId="0" borderId="217" xfId="0" applyFont="1" applyBorder="1" applyAlignment="1">
      <alignment wrapText="1"/>
    </xf>
    <xf numFmtId="0" fontId="137" fillId="54" borderId="66" xfId="0" applyFont="1" applyFill="1" applyBorder="1" applyAlignment="1">
      <alignment horizontal="center" vertical="center" wrapText="1"/>
    </xf>
    <xf numFmtId="0" fontId="172" fillId="54" borderId="114" xfId="0" applyFont="1" applyFill="1" applyBorder="1" applyAlignment="1">
      <alignment horizontal="center" vertical="center" wrapText="1"/>
    </xf>
    <xf numFmtId="0" fontId="136" fillId="0" borderId="22" xfId="0" applyFont="1" applyBorder="1" applyAlignment="1">
      <alignment horizontal="right" wrapText="1"/>
    </xf>
    <xf numFmtId="165" fontId="163" fillId="0" borderId="22" xfId="0" applyNumberFormat="1" applyFont="1" applyBorder="1" applyAlignment="1">
      <alignment horizontal="center" vertical="center"/>
    </xf>
    <xf numFmtId="0" fontId="306" fillId="0" borderId="22" xfId="0" applyFont="1" applyBorder="1" applyAlignment="1">
      <alignment horizontal="right" wrapText="1"/>
    </xf>
    <xf numFmtId="0" fontId="136" fillId="62" borderId="32" xfId="0" applyFont="1" applyFill="1" applyBorder="1" applyAlignment="1">
      <alignment horizontal="center"/>
    </xf>
    <xf numFmtId="14" fontId="137" fillId="0" borderId="0" xfId="0" applyNumberFormat="1" applyFont="1"/>
    <xf numFmtId="0" fontId="125" fillId="79" borderId="227" xfId="0" applyFont="1" applyFill="1" applyBorder="1"/>
    <xf numFmtId="0" fontId="125" fillId="0" borderId="227" xfId="0" applyFont="1" applyBorder="1"/>
    <xf numFmtId="0" fontId="197" fillId="0" borderId="107" xfId="0" applyFont="1" applyBorder="1" applyAlignment="1">
      <alignment horizontal="center" vertical="center" wrapText="1"/>
    </xf>
    <xf numFmtId="0" fontId="192" fillId="58" borderId="141" xfId="0" applyFont="1" applyFill="1" applyBorder="1" applyAlignment="1">
      <alignment horizontal="center" vertical="center"/>
    </xf>
    <xf numFmtId="0" fontId="278" fillId="58" borderId="141" xfId="0" applyFont="1" applyFill="1" applyBorder="1" applyAlignment="1">
      <alignment horizontal="center" vertical="center"/>
    </xf>
    <xf numFmtId="0" fontId="172" fillId="0" borderId="141" xfId="0" applyFont="1" applyBorder="1" applyAlignment="1">
      <alignment horizontal="center" vertical="center"/>
    </xf>
    <xf numFmtId="0" fontId="202" fillId="58" borderId="141" xfId="0" applyFont="1" applyFill="1" applyBorder="1" applyAlignment="1">
      <alignment horizontal="center" vertical="center"/>
    </xf>
    <xf numFmtId="0" fontId="177" fillId="58" borderId="140" xfId="0" applyFont="1" applyFill="1" applyBorder="1" applyAlignment="1">
      <alignment horizontal="center"/>
    </xf>
    <xf numFmtId="0" fontId="137" fillId="28" borderId="107" xfId="0" applyFont="1" applyFill="1" applyBorder="1"/>
    <xf numFmtId="0" fontId="137" fillId="2" borderId="107" xfId="0" applyFont="1" applyFill="1" applyBorder="1" applyAlignment="1">
      <alignment horizontal="center" vertical="center"/>
    </xf>
    <xf numFmtId="0" fontId="124" fillId="0" borderId="0" xfId="0" applyFont="1"/>
    <xf numFmtId="0" fontId="323" fillId="0" borderId="0" xfId="0" applyFont="1"/>
    <xf numFmtId="0" fontId="143" fillId="2" borderId="18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3" fillId="0" borderId="140" xfId="0" applyFont="1" applyBorder="1" applyAlignment="1">
      <alignment horizontal="center"/>
    </xf>
    <xf numFmtId="0" fontId="157" fillId="0" borderId="107" xfId="0" applyFont="1" applyBorder="1" applyAlignment="1">
      <alignment horizontal="center" vertical="center" wrapText="1"/>
    </xf>
    <xf numFmtId="0" fontId="0" fillId="0" borderId="107" xfId="0" applyBorder="1" applyAlignment="1">
      <alignment wrapText="1"/>
    </xf>
    <xf numFmtId="0" fontId="141" fillId="0" borderId="200" xfId="0" applyFont="1" applyBorder="1" applyAlignment="1">
      <alignment horizontal="center" vertical="center"/>
    </xf>
    <xf numFmtId="0" fontId="141" fillId="0" borderId="183" xfId="0" applyFont="1" applyBorder="1" applyAlignment="1">
      <alignment horizontal="center" vertical="center"/>
    </xf>
    <xf numFmtId="0" fontId="0" fillId="0" borderId="246" xfId="0" applyBorder="1"/>
    <xf numFmtId="0" fontId="0" fillId="0" borderId="247" xfId="0" applyBorder="1"/>
    <xf numFmtId="0" fontId="141" fillId="0" borderId="247" xfId="0" applyFont="1" applyBorder="1" applyAlignment="1">
      <alignment horizontal="center" vertical="center"/>
    </xf>
    <xf numFmtId="0" fontId="324" fillId="0" borderId="107" xfId="5"/>
    <xf numFmtId="0" fontId="288" fillId="0" borderId="107" xfId="5" applyFont="1" applyAlignment="1">
      <alignment horizontal="center"/>
    </xf>
    <xf numFmtId="0" fontId="136" fillId="0" borderId="107" xfId="5" applyFont="1"/>
    <xf numFmtId="0" fontId="141" fillId="0" borderId="141" xfId="5" applyFont="1" applyBorder="1" applyAlignment="1">
      <alignment horizontal="center" vertical="center" wrapText="1"/>
    </xf>
    <xf numFmtId="0" fontId="147" fillId="3" borderId="141" xfId="5" applyFont="1" applyFill="1" applyBorder="1" applyAlignment="1">
      <alignment horizontal="center" vertical="center" wrapText="1"/>
    </xf>
    <xf numFmtId="0" fontId="137" fillId="0" borderId="141" xfId="5" applyFont="1" applyBorder="1"/>
    <xf numFmtId="0" fontId="139" fillId="0" borderId="141" xfId="5" applyFont="1" applyBorder="1"/>
    <xf numFmtId="0" fontId="145" fillId="11" borderId="141" xfId="5" applyFont="1" applyFill="1" applyBorder="1" applyAlignment="1">
      <alignment horizontal="center"/>
    </xf>
    <xf numFmtId="0" fontId="197" fillId="0" borderId="141" xfId="5" applyFont="1" applyBorder="1" applyAlignment="1">
      <alignment horizontal="center" vertical="center" wrapText="1"/>
    </xf>
    <xf numFmtId="0" fontId="145" fillId="18" borderId="141" xfId="5" applyFont="1" applyFill="1" applyBorder="1" applyAlignment="1">
      <alignment horizontal="center" vertical="top"/>
    </xf>
    <xf numFmtId="0" fontId="136" fillId="0" borderId="141" xfId="5" applyFont="1" applyBorder="1"/>
    <xf numFmtId="0" fontId="145" fillId="18" borderId="141" xfId="5" applyFont="1" applyFill="1" applyBorder="1" applyAlignment="1">
      <alignment horizontal="center"/>
    </xf>
    <xf numFmtId="0" fontId="277" fillId="0" borderId="141" xfId="6" applyBorder="1" applyAlignment="1">
      <alignment wrapText="1"/>
    </xf>
    <xf numFmtId="0" fontId="148" fillId="0" borderId="141" xfId="5" applyFont="1" applyBorder="1" applyAlignment="1">
      <alignment wrapText="1"/>
    </xf>
    <xf numFmtId="0" fontId="151" fillId="0" borderId="141" xfId="5" applyFont="1" applyBorder="1" applyAlignment="1">
      <alignment wrapText="1"/>
    </xf>
    <xf numFmtId="0" fontId="153" fillId="0" borderId="141" xfId="5" applyFont="1" applyBorder="1" applyAlignment="1">
      <alignment wrapText="1"/>
    </xf>
    <xf numFmtId="0" fontId="136" fillId="0" borderId="141" xfId="5" applyFont="1" applyBorder="1" applyAlignment="1">
      <alignment wrapText="1"/>
    </xf>
    <xf numFmtId="0" fontId="149" fillId="18" borderId="141" xfId="5" applyFont="1" applyFill="1" applyBorder="1" applyAlignment="1">
      <alignment horizontal="center" wrapText="1"/>
    </xf>
    <xf numFmtId="0" fontId="156" fillId="0" borderId="142" xfId="5" applyFont="1" applyBorder="1" applyAlignment="1">
      <alignment horizontal="center" vertical="center" wrapText="1"/>
    </xf>
    <xf numFmtId="0" fontId="141" fillId="0" borderId="141" xfId="5" applyFont="1" applyBorder="1" applyAlignment="1">
      <alignment horizontal="center" vertical="center"/>
    </xf>
    <xf numFmtId="0" fontId="141" fillId="0" borderId="158" xfId="5" applyFont="1" applyBorder="1" applyAlignment="1">
      <alignment horizontal="center" vertical="center" wrapText="1"/>
    </xf>
    <xf numFmtId="0" fontId="283" fillId="0" borderId="158" xfId="5" applyFont="1" applyBorder="1" applyAlignment="1">
      <alignment horizontal="center" vertical="center" wrapText="1"/>
    </xf>
    <xf numFmtId="0" fontId="143" fillId="2" borderId="158" xfId="5" applyFont="1" applyFill="1" applyBorder="1" applyAlignment="1">
      <alignment horizontal="center" vertical="center"/>
    </xf>
    <xf numFmtId="0" fontId="156" fillId="2" borderId="158" xfId="5" applyFont="1" applyFill="1" applyBorder="1" applyAlignment="1">
      <alignment horizontal="center" vertical="center"/>
    </xf>
    <xf numFmtId="0" fontId="197" fillId="0" borderId="158" xfId="5" applyFont="1" applyBorder="1" applyAlignment="1">
      <alignment horizontal="center" vertical="center" wrapText="1"/>
    </xf>
    <xf numFmtId="0" fontId="144" fillId="15" borderId="158" xfId="5" applyFont="1" applyFill="1" applyBorder="1" applyAlignment="1">
      <alignment horizontal="center" vertical="center" wrapText="1"/>
    </xf>
    <xf numFmtId="0" fontId="176" fillId="15" borderId="158" xfId="5" applyFont="1" applyFill="1" applyBorder="1" applyAlignment="1">
      <alignment horizontal="center" vertical="center" wrapText="1"/>
    </xf>
    <xf numFmtId="0" fontId="144" fillId="15" borderId="158" xfId="5" applyFont="1" applyFill="1" applyBorder="1" applyAlignment="1">
      <alignment wrapText="1"/>
    </xf>
    <xf numFmtId="0" fontId="144" fillId="15" borderId="158" xfId="5" applyFont="1" applyFill="1" applyBorder="1" applyAlignment="1">
      <alignment horizontal="center" vertical="center"/>
    </xf>
    <xf numFmtId="0" fontId="280" fillId="61" borderId="158" xfId="5" applyFont="1" applyFill="1" applyBorder="1" applyAlignment="1">
      <alignment horizontal="center" vertical="center" wrapText="1"/>
    </xf>
    <xf numFmtId="0" fontId="136" fillId="0" borderId="143" xfId="5" applyFont="1" applyBorder="1" applyAlignment="1">
      <alignment horizontal="center" vertical="center"/>
    </xf>
    <xf numFmtId="17" fontId="136" fillId="0" borderId="145" xfId="5" applyNumberFormat="1" applyFont="1" applyBorder="1" applyAlignment="1">
      <alignment horizontal="center" vertical="center"/>
    </xf>
    <xf numFmtId="0" fontId="136" fillId="0" borderId="145" xfId="5" applyFont="1" applyBorder="1" applyAlignment="1">
      <alignment horizontal="center" vertical="center"/>
    </xf>
    <xf numFmtId="0" fontId="157" fillId="0" borderId="145" xfId="5" applyFont="1" applyBorder="1"/>
    <xf numFmtId="0" fontId="172" fillId="0" borderId="145" xfId="5" applyFont="1" applyBorder="1" applyAlignment="1">
      <alignment horizontal="center"/>
    </xf>
    <xf numFmtId="0" fontId="172" fillId="0" borderId="145" xfId="5" applyFont="1" applyBorder="1"/>
    <xf numFmtId="0" fontId="137" fillId="0" borderId="145" xfId="5" applyFont="1" applyBorder="1" applyAlignment="1">
      <alignment horizontal="center" vertical="center"/>
    </xf>
    <xf numFmtId="0" fontId="147" fillId="3" borderId="159" xfId="5" applyFont="1" applyFill="1" applyBorder="1" applyAlignment="1">
      <alignment horizontal="center" vertical="center" wrapText="1"/>
    </xf>
    <xf numFmtId="0" fontId="177" fillId="0" borderId="143" xfId="5" applyFont="1" applyBorder="1" applyAlignment="1">
      <alignment horizontal="center" vertical="center"/>
    </xf>
    <xf numFmtId="0" fontId="177" fillId="0" borderId="145" xfId="5" applyFont="1" applyBorder="1" applyAlignment="1">
      <alignment horizontal="center" vertical="center"/>
    </xf>
    <xf numFmtId="0" fontId="177" fillId="0" borderId="159" xfId="5" applyFont="1" applyBorder="1" applyAlignment="1">
      <alignment horizontal="center" vertical="center"/>
    </xf>
    <xf numFmtId="0" fontId="163" fillId="0" borderId="143" xfId="5" applyFont="1" applyBorder="1" applyAlignment="1">
      <alignment horizontal="center" vertical="center" wrapText="1"/>
    </xf>
    <xf numFmtId="0" fontId="137" fillId="0" borderId="145" xfId="5" applyFont="1" applyBorder="1" applyAlignment="1">
      <alignment horizontal="center"/>
    </xf>
    <xf numFmtId="0" fontId="137" fillId="0" borderId="143" xfId="5" applyFont="1" applyBorder="1"/>
    <xf numFmtId="0" fontId="137" fillId="0" borderId="145" xfId="5" applyFont="1" applyBorder="1"/>
    <xf numFmtId="0" fontId="163" fillId="0" borderId="145" xfId="5" applyFont="1" applyBorder="1" applyAlignment="1">
      <alignment horizontal="center" vertical="center" wrapText="1"/>
    </xf>
    <xf numFmtId="0" fontId="137" fillId="0" borderId="159" xfId="5" applyFont="1" applyBorder="1"/>
    <xf numFmtId="165" fontId="137" fillId="0" borderId="143" xfId="5" applyNumberFormat="1" applyFont="1" applyBorder="1"/>
    <xf numFmtId="0" fontId="163" fillId="0" borderId="145" xfId="5" applyFont="1" applyBorder="1" applyAlignment="1">
      <alignment horizontal="right"/>
    </xf>
    <xf numFmtId="165" fontId="137" fillId="0" borderId="145" xfId="5" applyNumberFormat="1" applyFont="1" applyBorder="1"/>
    <xf numFmtId="165" fontId="137" fillId="0" borderId="159" xfId="5" applyNumberFormat="1" applyFont="1" applyBorder="1"/>
    <xf numFmtId="165" fontId="137" fillId="0" borderId="145" xfId="5" applyNumberFormat="1" applyFont="1" applyBorder="1" applyAlignment="1">
      <alignment horizontal="right"/>
    </xf>
    <xf numFmtId="0" fontId="137" fillId="0" borderId="143" xfId="5" applyFont="1" applyBorder="1" applyAlignment="1">
      <alignment horizontal="center" vertical="center"/>
    </xf>
    <xf numFmtId="165" fontId="137" fillId="0" borderId="145" xfId="5" applyNumberFormat="1" applyFont="1" applyBorder="1" applyAlignment="1">
      <alignment horizontal="center" vertical="center"/>
    </xf>
    <xf numFmtId="0" fontId="137" fillId="0" borderId="248" xfId="5" applyFont="1" applyBorder="1"/>
    <xf numFmtId="0" fontId="136" fillId="0" borderId="150" xfId="5" applyFont="1" applyBorder="1" applyAlignment="1">
      <alignment horizontal="center" vertical="center"/>
    </xf>
    <xf numFmtId="17" fontId="136" fillId="0" borderId="140" xfId="5" applyNumberFormat="1" applyFont="1" applyBorder="1" applyAlignment="1">
      <alignment horizontal="center" vertical="center"/>
    </xf>
    <xf numFmtId="0" fontId="136" fillId="0" borderId="140" xfId="5" applyFont="1" applyBorder="1" applyAlignment="1">
      <alignment horizontal="center" vertical="center"/>
    </xf>
    <xf numFmtId="0" fontId="157" fillId="0" borderId="140" xfId="5" applyFont="1" applyBorder="1"/>
    <xf numFmtId="0" fontId="172" fillId="0" borderId="140" xfId="5" applyFont="1" applyBorder="1" applyAlignment="1">
      <alignment horizontal="center"/>
    </xf>
    <xf numFmtId="0" fontId="172" fillId="0" borderId="140" xfId="5" applyFont="1" applyBorder="1"/>
    <xf numFmtId="0" fontId="137" fillId="0" borderId="140" xfId="5" applyFont="1" applyBorder="1" applyAlignment="1">
      <alignment horizontal="center" vertical="center"/>
    </xf>
    <xf numFmtId="0" fontId="147" fillId="3" borderId="160" xfId="5" applyFont="1" applyFill="1" applyBorder="1" applyAlignment="1">
      <alignment horizontal="center" vertical="center" wrapText="1"/>
    </xf>
    <xf numFmtId="0" fontId="177" fillId="0" borderId="150" xfId="5" applyFont="1" applyBorder="1" applyAlignment="1">
      <alignment horizontal="center" vertical="center"/>
    </xf>
    <xf numFmtId="0" fontId="177" fillId="0" borderId="140" xfId="5" applyFont="1" applyBorder="1" applyAlignment="1">
      <alignment horizontal="center" vertical="center"/>
    </xf>
    <xf numFmtId="0" fontId="177" fillId="0" borderId="160" xfId="5" applyFont="1" applyBorder="1" applyAlignment="1">
      <alignment horizontal="center" vertical="center"/>
    </xf>
    <xf numFmtId="0" fontId="163" fillId="0" borderId="150" xfId="5" applyFont="1" applyBorder="1" applyAlignment="1">
      <alignment horizontal="center" vertical="center" wrapText="1"/>
    </xf>
    <xf numFmtId="0" fontId="137" fillId="0" borderId="140" xfId="5" applyFont="1" applyBorder="1" applyAlignment="1">
      <alignment horizontal="center"/>
    </xf>
    <xf numFmtId="0" fontId="137" fillId="0" borderId="150" xfId="5" applyFont="1" applyBorder="1"/>
    <xf numFmtId="0" fontId="137" fillId="0" borderId="140" xfId="5" applyFont="1" applyBorder="1"/>
    <xf numFmtId="165" fontId="163" fillId="0" borderId="140" xfId="5" applyNumberFormat="1" applyFont="1" applyBorder="1" applyAlignment="1">
      <alignment horizontal="center" vertical="center" wrapText="1"/>
    </xf>
    <xf numFmtId="0" fontId="178" fillId="0" borderId="140" xfId="5" applyFont="1" applyBorder="1" applyAlignment="1">
      <alignment wrapText="1"/>
    </xf>
    <xf numFmtId="0" fontId="137" fillId="0" borderId="160" xfId="5" applyFont="1" applyBorder="1"/>
    <xf numFmtId="165" fontId="137" fillId="0" borderId="150" xfId="5" applyNumberFormat="1" applyFont="1" applyBorder="1"/>
    <xf numFmtId="0" fontId="163" fillId="0" borderId="140" xfId="5" applyFont="1" applyBorder="1" applyAlignment="1">
      <alignment horizontal="right"/>
    </xf>
    <xf numFmtId="165" fontId="137" fillId="0" borderId="140" xfId="5" applyNumberFormat="1" applyFont="1" applyBorder="1"/>
    <xf numFmtId="165" fontId="137" fillId="0" borderId="160" xfId="5" applyNumberFormat="1" applyFont="1" applyBorder="1"/>
    <xf numFmtId="165" fontId="137" fillId="0" borderId="140" xfId="5" applyNumberFormat="1" applyFont="1" applyBorder="1" applyAlignment="1">
      <alignment horizontal="right"/>
    </xf>
    <xf numFmtId="165" fontId="137" fillId="0" borderId="140" xfId="5" applyNumberFormat="1" applyFont="1" applyBorder="1" applyAlignment="1">
      <alignment horizontal="center" vertical="center"/>
    </xf>
    <xf numFmtId="0" fontId="137" fillId="0" borderId="216" xfId="5" applyFont="1" applyBorder="1"/>
    <xf numFmtId="0" fontId="163" fillId="0" borderId="140" xfId="5" applyFont="1" applyBorder="1" applyAlignment="1">
      <alignment horizontal="center" vertical="center" wrapText="1"/>
    </xf>
    <xf numFmtId="0" fontId="137" fillId="0" borderId="140" xfId="5" applyFont="1" applyBorder="1" applyAlignment="1">
      <alignment horizontal="right"/>
    </xf>
    <xf numFmtId="0" fontId="137" fillId="0" borderId="150" xfId="5" applyFont="1" applyBorder="1" applyAlignment="1">
      <alignment horizontal="center" vertical="center"/>
    </xf>
    <xf numFmtId="165" fontId="177" fillId="0" borderId="140" xfId="5" applyNumberFormat="1" applyFont="1" applyBorder="1" applyAlignment="1">
      <alignment horizontal="center" vertical="center"/>
    </xf>
    <xf numFmtId="165" fontId="177" fillId="0" borderId="160" xfId="5" applyNumberFormat="1" applyFont="1" applyBorder="1" applyAlignment="1">
      <alignment horizontal="center" vertical="center"/>
    </xf>
    <xf numFmtId="165" fontId="137" fillId="0" borderId="150" xfId="5" applyNumberFormat="1" applyFont="1" applyBorder="1" applyAlignment="1">
      <alignment horizontal="center" vertical="center"/>
    </xf>
    <xf numFmtId="0" fontId="163" fillId="0" borderId="140" xfId="5" applyFont="1" applyBorder="1" applyAlignment="1">
      <alignment horizontal="center"/>
    </xf>
    <xf numFmtId="0" fontId="137" fillId="0" borderId="160" xfId="5" applyFont="1" applyBorder="1" applyAlignment="1">
      <alignment horizontal="right" vertical="center"/>
    </xf>
    <xf numFmtId="165" fontId="137" fillId="0" borderId="160" xfId="5" applyNumberFormat="1" applyFont="1" applyBorder="1" applyAlignment="1">
      <alignment horizontal="center" vertical="center"/>
    </xf>
    <xf numFmtId="165" fontId="157" fillId="0" borderId="160" xfId="5" applyNumberFormat="1" applyFont="1" applyBorder="1"/>
    <xf numFmtId="0" fontId="137" fillId="0" borderId="160" xfId="5" applyFont="1" applyBorder="1" applyAlignment="1">
      <alignment horizontal="center" vertical="center"/>
    </xf>
    <xf numFmtId="0" fontId="163" fillId="0" borderId="160" xfId="5" applyFont="1" applyBorder="1" applyAlignment="1">
      <alignment horizontal="center" vertical="center" wrapText="1"/>
    </xf>
    <xf numFmtId="2" fontId="137" fillId="0" borderId="140" xfId="5" applyNumberFormat="1" applyFont="1" applyBorder="1"/>
    <xf numFmtId="0" fontId="136" fillId="0" borderId="140" xfId="5" applyFont="1" applyBorder="1"/>
    <xf numFmtId="0" fontId="136" fillId="0" borderId="160" xfId="5" applyFont="1" applyBorder="1"/>
    <xf numFmtId="0" fontId="156" fillId="0" borderId="140" xfId="5" applyFont="1" applyBorder="1" applyAlignment="1">
      <alignment horizontal="right"/>
    </xf>
    <xf numFmtId="0" fontId="136" fillId="0" borderId="150" xfId="5" applyFont="1" applyBorder="1"/>
    <xf numFmtId="0" fontId="324" fillId="0" borderId="140" xfId="5" applyBorder="1"/>
    <xf numFmtId="0" fontId="324" fillId="0" borderId="150" xfId="5" applyBorder="1"/>
    <xf numFmtId="0" fontId="324" fillId="0" borderId="160" xfId="5" applyBorder="1"/>
    <xf numFmtId="0" fontId="324" fillId="0" borderId="216" xfId="5" applyBorder="1"/>
    <xf numFmtId="0" fontId="136" fillId="0" borderId="152" xfId="5" applyFont="1" applyBorder="1" applyAlignment="1">
      <alignment horizontal="center" vertical="center"/>
    </xf>
    <xf numFmtId="17" fontId="136" fillId="0" borderId="154" xfId="5" applyNumberFormat="1" applyFont="1" applyBorder="1" applyAlignment="1">
      <alignment horizontal="center" vertical="center"/>
    </xf>
    <xf numFmtId="0" fontId="136" fillId="0" borderId="154" xfId="5" applyFont="1" applyBorder="1" applyAlignment="1">
      <alignment horizontal="center" vertical="center"/>
    </xf>
    <xf numFmtId="0" fontId="157" fillId="0" borderId="154" xfId="5" applyFont="1" applyBorder="1"/>
    <xf numFmtId="0" fontId="172" fillId="0" borderId="154" xfId="5" applyFont="1" applyBorder="1" applyAlignment="1">
      <alignment horizontal="center"/>
    </xf>
    <xf numFmtId="0" fontId="137" fillId="0" borderId="154" xfId="5" applyFont="1" applyBorder="1" applyAlignment="1">
      <alignment horizontal="center" vertical="center"/>
    </xf>
    <xf numFmtId="0" fontId="324" fillId="0" borderId="154" xfId="5" applyBorder="1"/>
    <xf numFmtId="0" fontId="147" fillId="3" borderId="161" xfId="5" applyFont="1" applyFill="1" applyBorder="1" applyAlignment="1">
      <alignment horizontal="center" vertical="center" wrapText="1"/>
    </xf>
    <xf numFmtId="0" fontId="324" fillId="0" borderId="152" xfId="5" applyBorder="1"/>
    <xf numFmtId="0" fontId="324" fillId="0" borderId="161" xfId="5" applyBorder="1"/>
    <xf numFmtId="0" fontId="324" fillId="0" borderId="249" xfId="5" applyBorder="1"/>
    <xf numFmtId="0" fontId="157" fillId="0" borderId="143" xfId="5" applyFont="1" applyBorder="1" applyAlignment="1">
      <alignment horizontal="center" vertical="center"/>
    </xf>
    <xf numFmtId="0" fontId="157" fillId="0" borderId="145" xfId="5" applyFont="1" applyBorder="1" applyAlignment="1">
      <alignment horizontal="center" vertical="center"/>
    </xf>
    <xf numFmtId="0" fontId="137" fillId="0" borderId="159" xfId="5" applyFont="1" applyBorder="1" applyAlignment="1">
      <alignment horizontal="center" vertical="center"/>
    </xf>
    <xf numFmtId="0" fontId="157" fillId="0" borderId="150" xfId="5" applyFont="1" applyBorder="1" applyAlignment="1">
      <alignment horizontal="center" vertical="center"/>
    </xf>
    <xf numFmtId="0" fontId="157" fillId="0" borderId="140" xfId="5" applyFont="1" applyBorder="1" applyAlignment="1">
      <alignment horizontal="center" vertical="center"/>
    </xf>
    <xf numFmtId="0" fontId="157" fillId="0" borderId="152" xfId="5" applyFont="1" applyBorder="1" applyAlignment="1">
      <alignment horizontal="center" vertical="center"/>
    </xf>
    <xf numFmtId="0" fontId="157" fillId="0" borderId="154" xfId="5" applyFont="1" applyBorder="1" applyAlignment="1">
      <alignment horizontal="center" vertical="center"/>
    </xf>
    <xf numFmtId="0" fontId="147" fillId="3" borderId="158" xfId="0" applyFont="1" applyFill="1" applyBorder="1" applyAlignment="1">
      <alignment horizontal="center" vertical="center" wrapText="1"/>
    </xf>
    <xf numFmtId="0" fontId="141" fillId="0" borderId="42" xfId="0" applyFont="1" applyBorder="1" applyAlignment="1">
      <alignment horizontal="center" vertical="center" wrapText="1"/>
    </xf>
    <xf numFmtId="0" fontId="136" fillId="62" borderId="0" xfId="0" applyFont="1" applyFill="1" applyAlignment="1">
      <alignment horizontal="center" vertical="center"/>
    </xf>
    <xf numFmtId="0" fontId="147" fillId="65" borderId="128" xfId="0" applyFont="1" applyFill="1" applyBorder="1" applyAlignment="1">
      <alignment horizontal="center" vertical="center" wrapText="1"/>
    </xf>
    <xf numFmtId="0" fontId="147" fillId="65" borderId="139" xfId="0" applyFont="1" applyFill="1" applyBorder="1" applyAlignment="1">
      <alignment horizontal="center" vertical="center" wrapText="1"/>
    </xf>
    <xf numFmtId="0" fontId="131" fillId="0" borderId="129" xfId="0" applyFont="1" applyBorder="1" applyAlignment="1">
      <alignment wrapText="1"/>
    </xf>
    <xf numFmtId="0" fontId="246" fillId="0" borderId="181" xfId="0" applyFont="1" applyBorder="1" applyAlignment="1">
      <alignment horizontal="center" vertical="center" wrapText="1"/>
    </xf>
    <xf numFmtId="0" fontId="147" fillId="3" borderId="68" xfId="0" applyFont="1" applyFill="1" applyBorder="1" applyAlignment="1">
      <alignment horizontal="center" vertical="center" wrapText="1"/>
    </xf>
    <xf numFmtId="0" fontId="137" fillId="15" borderId="107" xfId="0" applyFont="1" applyFill="1" applyBorder="1" applyAlignment="1">
      <alignment horizontal="center" vertical="center"/>
    </xf>
    <xf numFmtId="0" fontId="136" fillId="50" borderId="147" xfId="0" applyFont="1" applyFill="1" applyBorder="1" applyAlignment="1">
      <alignment horizontal="center"/>
    </xf>
    <xf numFmtId="0" fontId="141" fillId="0" borderId="250" xfId="0" applyFont="1" applyBorder="1" applyAlignment="1">
      <alignment horizontal="center" vertical="center" wrapText="1"/>
    </xf>
    <xf numFmtId="0" fontId="147" fillId="3" borderId="244" xfId="0" applyFont="1" applyFill="1" applyBorder="1" applyAlignment="1">
      <alignment horizontal="center" vertical="center" wrapText="1"/>
    </xf>
    <xf numFmtId="17" fontId="198" fillId="0" borderId="40" xfId="0" applyNumberFormat="1" applyFont="1" applyBorder="1" applyAlignment="1">
      <alignment vertical="center"/>
    </xf>
    <xf numFmtId="17" fontId="171" fillId="0" borderId="71" xfId="0" applyNumberFormat="1" applyFont="1" applyBorder="1"/>
    <xf numFmtId="0" fontId="147" fillId="3" borderId="66" xfId="0" applyFont="1" applyFill="1" applyBorder="1" applyAlignment="1">
      <alignment horizontal="center" vertical="center" wrapText="1"/>
    </xf>
    <xf numFmtId="17" fontId="147" fillId="18" borderId="42" xfId="0" applyNumberFormat="1" applyFont="1" applyFill="1" applyBorder="1" applyAlignment="1">
      <alignment horizontal="center" vertical="center" wrapText="1"/>
    </xf>
    <xf numFmtId="0" fontId="147" fillId="18" borderId="95" xfId="0" applyFont="1" applyFill="1" applyBorder="1" applyAlignment="1">
      <alignment horizontal="center" vertical="center" wrapText="1"/>
    </xf>
    <xf numFmtId="17" fontId="171" fillId="0" borderId="40" xfId="0" applyNumberFormat="1" applyFont="1" applyBorder="1"/>
    <xf numFmtId="0" fontId="137" fillId="2" borderId="107" xfId="0" applyFont="1" applyFill="1" applyBorder="1"/>
    <xf numFmtId="0" fontId="177" fillId="3" borderId="107" xfId="0" applyFont="1" applyFill="1" applyBorder="1" applyAlignment="1">
      <alignment horizontal="center"/>
    </xf>
    <xf numFmtId="0" fontId="191" fillId="0" borderId="140" xfId="0" applyFont="1" applyBorder="1" applyAlignment="1">
      <alignment horizontal="center" vertical="center"/>
    </xf>
    <xf numFmtId="0" fontId="0" fillId="62" borderId="107" xfId="0" applyFill="1" applyBorder="1"/>
    <xf numFmtId="0" fontId="136" fillId="120" borderId="140" xfId="0" applyFont="1" applyFill="1" applyBorder="1"/>
    <xf numFmtId="0" fontId="162" fillId="58" borderId="140" xfId="0" applyFont="1" applyFill="1" applyBorder="1" applyAlignment="1">
      <alignment horizontal="center" vertical="center" wrapText="1"/>
    </xf>
    <xf numFmtId="0" fontId="136" fillId="120" borderId="185" xfId="0" applyFont="1" applyFill="1" applyBorder="1"/>
    <xf numFmtId="0" fontId="311" fillId="0" borderId="0" xfId="0" applyFont="1"/>
    <xf numFmtId="0" fontId="136" fillId="0" borderId="142" xfId="0" applyFont="1" applyBorder="1" applyAlignment="1">
      <alignment wrapText="1"/>
    </xf>
    <xf numFmtId="0" fontId="136" fillId="0" borderId="107" xfId="0" applyFont="1" applyBorder="1" applyAlignment="1">
      <alignment vertical="center"/>
    </xf>
    <xf numFmtId="0" fontId="191" fillId="0" borderId="141" xfId="0" applyFont="1" applyBorder="1"/>
    <xf numFmtId="0" fontId="124" fillId="79" borderId="107" xfId="0" applyFont="1" applyFill="1" applyBorder="1"/>
    <xf numFmtId="0" fontId="157" fillId="58" borderId="107" xfId="0" applyFont="1" applyFill="1" applyBorder="1" applyAlignment="1">
      <alignment horizontal="center" vertical="center" wrapText="1"/>
    </xf>
    <xf numFmtId="0" fontId="0" fillId="62" borderId="0" xfId="0" applyFill="1"/>
    <xf numFmtId="0" fontId="191" fillId="62" borderId="0" xfId="0" applyFont="1" applyFill="1"/>
    <xf numFmtId="17" fontId="157" fillId="65" borderId="97" xfId="0" applyNumberFormat="1" applyFont="1" applyFill="1" applyBorder="1" applyAlignment="1">
      <alignment horizontal="center" vertical="center"/>
    </xf>
    <xf numFmtId="0" fontId="136" fillId="65" borderId="217" xfId="0" applyFont="1" applyFill="1" applyBorder="1" applyAlignment="1">
      <alignment horizontal="center"/>
    </xf>
    <xf numFmtId="0" fontId="172" fillId="0" borderId="244" xfId="0" applyFont="1" applyBorder="1"/>
    <xf numFmtId="0" fontId="177" fillId="0" borderId="158" xfId="0" applyFont="1" applyBorder="1" applyAlignment="1">
      <alignment horizontal="center" vertical="center"/>
    </xf>
    <xf numFmtId="0" fontId="137" fillId="0" borderId="158" xfId="0" applyFont="1" applyBorder="1"/>
    <xf numFmtId="165" fontId="137" fillId="0" borderId="158" xfId="0" applyNumberFormat="1" applyFont="1" applyBorder="1" applyAlignment="1">
      <alignment horizontal="center" vertical="center"/>
    </xf>
    <xf numFmtId="165" fontId="137" fillId="0" borderId="158" xfId="0" applyNumberFormat="1" applyFont="1" applyBorder="1"/>
    <xf numFmtId="0" fontId="177" fillId="0" borderId="251" xfId="0" applyFont="1" applyBorder="1" applyAlignment="1">
      <alignment horizontal="center" vertical="center"/>
    </xf>
    <xf numFmtId="165" fontId="163" fillId="0" borderId="66" xfId="0" applyNumberFormat="1" applyFont="1" applyBorder="1" applyAlignment="1">
      <alignment horizontal="center" vertical="center" wrapText="1"/>
    </xf>
    <xf numFmtId="0" fontId="137" fillId="0" borderId="114" xfId="0" applyFont="1" applyBorder="1"/>
    <xf numFmtId="165" fontId="137" fillId="0" borderId="113" xfId="0" applyNumberFormat="1" applyFont="1" applyBorder="1"/>
    <xf numFmtId="0" fontId="163" fillId="0" borderId="66" xfId="0" applyFont="1" applyBorder="1" applyAlignment="1">
      <alignment horizontal="right"/>
    </xf>
    <xf numFmtId="165" fontId="137" fillId="0" borderId="66" xfId="0" applyNumberFormat="1" applyFont="1" applyBorder="1"/>
    <xf numFmtId="165" fontId="137" fillId="0" borderId="114" xfId="0" applyNumberFormat="1" applyFont="1" applyBorder="1"/>
    <xf numFmtId="0" fontId="137" fillId="0" borderId="113" xfId="0" applyFont="1" applyBorder="1"/>
    <xf numFmtId="165" fontId="137" fillId="0" borderId="66" xfId="0" applyNumberFormat="1" applyFont="1" applyBorder="1" applyAlignment="1">
      <alignment horizontal="right"/>
    </xf>
    <xf numFmtId="0" fontId="124" fillId="0" borderId="140" xfId="0" applyFont="1" applyBorder="1" applyAlignment="1">
      <alignment horizontal="center" vertical="center"/>
    </xf>
    <xf numFmtId="0" fontId="178" fillId="0" borderId="140" xfId="0" applyFont="1" applyBorder="1" applyAlignment="1">
      <alignment wrapText="1"/>
    </xf>
    <xf numFmtId="0" fontId="163" fillId="0" borderId="140" xfId="0" applyFont="1" applyBorder="1" applyAlignment="1">
      <alignment horizontal="right"/>
    </xf>
    <xf numFmtId="165" fontId="137" fillId="0" borderId="140" xfId="0" applyNumberFormat="1" applyFont="1" applyBorder="1" applyAlignment="1">
      <alignment horizontal="right"/>
    </xf>
    <xf numFmtId="0" fontId="197" fillId="0" borderId="140" xfId="0" applyFont="1" applyBorder="1" applyAlignment="1">
      <alignment horizontal="center" vertical="center" wrapText="1"/>
    </xf>
    <xf numFmtId="0" fontId="0" fillId="62" borderId="140" xfId="0" applyFill="1" applyBorder="1" applyAlignment="1">
      <alignment horizontal="center" vertical="center"/>
    </xf>
    <xf numFmtId="0" fontId="191" fillId="62" borderId="140" xfId="0" applyFont="1" applyFill="1" applyBorder="1"/>
    <xf numFmtId="0" fontId="0" fillId="121" borderId="140" xfId="0" applyFill="1" applyBorder="1"/>
    <xf numFmtId="0" fontId="0" fillId="64" borderId="0" xfId="0" applyFill="1"/>
    <xf numFmtId="0" fontId="142" fillId="2" borderId="140" xfId="0" applyFont="1" applyFill="1" applyBorder="1" applyAlignment="1">
      <alignment horizontal="center" vertical="center"/>
    </xf>
    <xf numFmtId="0" fontId="144" fillId="63" borderId="141" xfId="0" applyFont="1" applyFill="1" applyBorder="1" applyAlignment="1">
      <alignment horizontal="center" vertical="center" wrapText="1"/>
    </xf>
    <xf numFmtId="0" fontId="177" fillId="62" borderId="107" xfId="0" applyFont="1" applyFill="1" applyBorder="1" applyAlignment="1">
      <alignment horizontal="center" vertical="center"/>
    </xf>
    <xf numFmtId="0" fontId="172" fillId="62" borderId="146" xfId="0" applyFont="1" applyFill="1" applyBorder="1"/>
    <xf numFmtId="0" fontId="136" fillId="62" borderId="0" xfId="0" applyFont="1" applyFill="1"/>
    <xf numFmtId="0" fontId="137" fillId="84" borderId="62" xfId="0" applyFont="1" applyFill="1" applyBorder="1" applyAlignment="1">
      <alignment horizontal="right" wrapText="1"/>
    </xf>
    <xf numFmtId="0" fontId="136" fillId="120" borderId="212" xfId="0" applyFont="1" applyFill="1" applyBorder="1"/>
    <xf numFmtId="0" fontId="136" fillId="120" borderId="183" xfId="0" applyFont="1" applyFill="1" applyBorder="1"/>
    <xf numFmtId="0" fontId="137" fillId="0" borderId="140" xfId="0" applyFont="1" applyBorder="1" applyAlignment="1">
      <alignment horizontal="center" wrapText="1"/>
    </xf>
    <xf numFmtId="0" fontId="119" fillId="58" borderId="140" xfId="0" applyFont="1" applyFill="1" applyBorder="1" applyAlignment="1">
      <alignment horizontal="center"/>
    </xf>
    <xf numFmtId="0" fontId="191" fillId="104" borderId="140" xfId="0" applyFont="1" applyFill="1" applyBorder="1" applyAlignment="1">
      <alignment horizontal="center" vertical="center" wrapText="1"/>
    </xf>
    <xf numFmtId="0" fontId="163" fillId="105" borderId="140" xfId="0" applyFont="1" applyFill="1" applyBorder="1" applyAlignment="1">
      <alignment horizontal="center" vertical="center" wrapText="1"/>
    </xf>
    <xf numFmtId="0" fontId="191" fillId="58" borderId="140" xfId="0" applyFont="1" applyFill="1" applyBorder="1" applyAlignment="1">
      <alignment horizontal="center" vertical="center" wrapText="1"/>
    </xf>
    <xf numFmtId="0" fontId="202" fillId="106" borderId="183" xfId="0" applyFont="1" applyFill="1" applyBorder="1" applyAlignment="1">
      <alignment horizontal="center" vertical="center" wrapText="1"/>
    </xf>
    <xf numFmtId="0" fontId="202" fillId="106" borderId="242" xfId="0" applyFont="1" applyFill="1" applyBorder="1" applyAlignment="1">
      <alignment horizontal="center" vertical="center" wrapText="1"/>
    </xf>
    <xf numFmtId="0" fontId="192" fillId="0" borderId="242" xfId="0" applyFont="1" applyBorder="1" applyAlignment="1">
      <alignment horizontal="center"/>
    </xf>
    <xf numFmtId="0" fontId="192" fillId="0" borderId="183" xfId="0" applyFont="1" applyBorder="1" applyAlignment="1">
      <alignment horizontal="center"/>
    </xf>
    <xf numFmtId="14" fontId="137" fillId="62" borderId="0" xfId="0" applyNumberFormat="1" applyFont="1" applyFill="1"/>
    <xf numFmtId="0" fontId="144" fillId="123" borderId="141" xfId="0" applyFont="1" applyFill="1" applyBorder="1" applyAlignment="1">
      <alignment horizontal="center" vertical="center" wrapText="1"/>
    </xf>
    <xf numFmtId="0" fontId="136" fillId="122" borderId="0" xfId="0" applyFont="1" applyFill="1"/>
    <xf numFmtId="0" fontId="137" fillId="122" borderId="107" xfId="0" applyFont="1" applyFill="1" applyBorder="1"/>
    <xf numFmtId="0" fontId="137" fillId="122" borderId="0" xfId="0" applyFont="1" applyFill="1"/>
    <xf numFmtId="0" fontId="0" fillId="122" borderId="0" xfId="0" applyFill="1"/>
    <xf numFmtId="0" fontId="136" fillId="58" borderId="0" xfId="0" applyFont="1" applyFill="1"/>
    <xf numFmtId="0" fontId="137" fillId="58" borderId="107" xfId="0" applyFont="1" applyFill="1" applyBorder="1"/>
    <xf numFmtId="0" fontId="137" fillId="58" borderId="0" xfId="0" applyFont="1" applyFill="1"/>
    <xf numFmtId="0" fontId="0" fillId="58" borderId="0" xfId="0" applyFill="1"/>
    <xf numFmtId="0" fontId="118" fillId="0" borderId="91" xfId="0" applyFont="1" applyBorder="1" applyAlignment="1">
      <alignment wrapText="1"/>
    </xf>
    <xf numFmtId="0" fontId="118" fillId="0" borderId="84" xfId="0" applyFont="1" applyBorder="1" applyAlignment="1">
      <alignment wrapText="1"/>
    </xf>
    <xf numFmtId="0" fontId="297" fillId="0" borderId="84" xfId="0" applyFont="1" applyBorder="1" applyAlignment="1">
      <alignment wrapText="1"/>
    </xf>
    <xf numFmtId="0" fontId="304" fillId="0" borderId="84" xfId="0" applyFont="1" applyBorder="1" applyAlignment="1">
      <alignment wrapText="1"/>
    </xf>
    <xf numFmtId="0" fontId="277" fillId="0" borderId="84" xfId="1" applyBorder="1" applyAlignment="1">
      <alignment wrapText="1"/>
    </xf>
    <xf numFmtId="0" fontId="297" fillId="0" borderId="84" xfId="0" applyFont="1" applyBorder="1" applyAlignment="1">
      <alignment horizontal="center" wrapText="1"/>
    </xf>
    <xf numFmtId="0" fontId="286" fillId="0" borderId="84" xfId="0" applyFont="1" applyBorder="1" applyAlignment="1">
      <alignment wrapText="1"/>
    </xf>
    <xf numFmtId="0" fontId="304" fillId="89" borderId="84" xfId="0" applyFont="1" applyFill="1" applyBorder="1" applyAlignment="1">
      <alignment horizontal="center" wrapText="1"/>
    </xf>
    <xf numFmtId="0" fontId="118" fillId="62" borderId="84" xfId="0" applyFont="1" applyFill="1" applyBorder="1" applyAlignment="1">
      <alignment wrapText="1"/>
    </xf>
    <xf numFmtId="14" fontId="137" fillId="76" borderId="0" xfId="0" applyNumberFormat="1" applyFont="1" applyFill="1"/>
    <xf numFmtId="0" fontId="306" fillId="0" borderId="107" xfId="0" applyFont="1" applyBorder="1"/>
    <xf numFmtId="0" fontId="0" fillId="62" borderId="140" xfId="0" applyFill="1" applyBorder="1" applyAlignment="1">
      <alignment horizontal="right" vertical="center"/>
    </xf>
    <xf numFmtId="0" fontId="191" fillId="58" borderId="140" xfId="0" applyFont="1" applyFill="1" applyBorder="1"/>
    <xf numFmtId="0" fontId="141" fillId="0" borderId="192" xfId="0" applyFont="1" applyBorder="1" applyAlignment="1">
      <alignment horizontal="center" vertical="center"/>
    </xf>
    <xf numFmtId="0" fontId="144" fillId="123" borderId="200" xfId="0" applyFont="1" applyFill="1" applyBorder="1" applyAlignment="1">
      <alignment horizontal="center" vertical="center" wrapText="1"/>
    </xf>
    <xf numFmtId="0" fontId="163" fillId="0" borderId="42" xfId="0" applyFont="1" applyBorder="1" applyAlignment="1">
      <alignment horizontal="center" vertical="center" wrapText="1"/>
    </xf>
    <xf numFmtId="0" fontId="191" fillId="0" borderId="107" xfId="0" applyFont="1" applyBorder="1"/>
    <xf numFmtId="0" fontId="278" fillId="62" borderId="247" xfId="0" applyFont="1" applyFill="1" applyBorder="1" applyAlignment="1">
      <alignment wrapText="1"/>
    </xf>
    <xf numFmtId="0" fontId="144" fillId="63" borderId="247" xfId="0" applyFont="1" applyFill="1" applyBorder="1" applyAlignment="1">
      <alignment horizontal="center" vertical="center" wrapText="1"/>
    </xf>
    <xf numFmtId="0" fontId="144" fillId="63" borderId="142" xfId="0" applyFont="1" applyFill="1" applyBorder="1" applyAlignment="1">
      <alignment horizontal="center" vertical="center" wrapText="1"/>
    </xf>
    <xf numFmtId="0" fontId="278" fillId="75" borderId="246" xfId="0" applyFont="1" applyFill="1" applyBorder="1" applyAlignment="1">
      <alignment wrapText="1"/>
    </xf>
    <xf numFmtId="0" fontId="278" fillId="75" borderId="247" xfId="0" applyFont="1" applyFill="1" applyBorder="1" applyAlignment="1">
      <alignment wrapText="1"/>
    </xf>
    <xf numFmtId="0" fontId="278" fillId="62" borderId="247" xfId="0" applyFont="1" applyFill="1" applyBorder="1" applyAlignment="1">
      <alignment horizontal="center" vertical="center" wrapText="1"/>
    </xf>
    <xf numFmtId="0" fontId="144" fillId="127" borderId="253" xfId="0" applyFont="1" applyFill="1" applyBorder="1" applyAlignment="1">
      <alignment horizontal="center" vertical="center" wrapText="1"/>
    </xf>
    <xf numFmtId="0" fontId="303" fillId="0" borderId="140" xfId="0" applyFont="1" applyBorder="1" applyAlignment="1">
      <alignment horizontal="center"/>
    </xf>
    <xf numFmtId="0" fontId="243" fillId="2" borderId="1" xfId="0" applyFont="1" applyFill="1" applyBorder="1" applyAlignment="1" applyProtection="1">
      <alignment horizontal="center" vertical="center"/>
      <protection locked="0"/>
    </xf>
    <xf numFmtId="0" fontId="243" fillId="0" borderId="0" xfId="0" applyFont="1" applyAlignment="1" applyProtection="1">
      <alignment horizontal="center" vertical="center"/>
      <protection locked="0"/>
    </xf>
    <xf numFmtId="0" fontId="144" fillId="15" borderId="107" xfId="0" applyFont="1" applyFill="1" applyBorder="1" applyAlignment="1">
      <alignment wrapText="1"/>
    </xf>
    <xf numFmtId="0" fontId="136" fillId="0" borderId="107" xfId="0" applyFont="1" applyBorder="1" applyAlignment="1">
      <alignment horizontal="center"/>
    </xf>
    <xf numFmtId="0" fontId="278" fillId="75" borderId="107" xfId="0" applyFont="1" applyFill="1" applyBorder="1" applyAlignment="1">
      <alignment wrapText="1"/>
    </xf>
    <xf numFmtId="0" fontId="129" fillId="91" borderId="140" xfId="0" applyFont="1" applyFill="1" applyBorder="1" applyAlignment="1">
      <alignment horizontal="center" vertical="center"/>
    </xf>
    <xf numFmtId="0" fontId="127" fillId="91" borderId="140" xfId="0" applyFont="1" applyFill="1" applyBorder="1" applyAlignment="1">
      <alignment horizontal="center"/>
    </xf>
    <xf numFmtId="0" fontId="177" fillId="91" borderId="140" xfId="0" applyFont="1" applyFill="1" applyBorder="1" applyAlignment="1">
      <alignment horizontal="center" vertical="center"/>
    </xf>
    <xf numFmtId="0" fontId="192" fillId="58" borderId="34" xfId="0" applyFont="1" applyFill="1" applyBorder="1" applyAlignment="1">
      <alignment wrapText="1"/>
    </xf>
    <xf numFmtId="0" fontId="116" fillId="0" borderId="252" xfId="0" applyFont="1" applyBorder="1" applyAlignment="1">
      <alignment wrapText="1"/>
    </xf>
    <xf numFmtId="0" fontId="116" fillId="0" borderId="84" xfId="0" applyFont="1" applyBorder="1" applyAlignment="1">
      <alignment wrapText="1"/>
    </xf>
    <xf numFmtId="0" fontId="136" fillId="0" borderId="84" xfId="0" applyFont="1" applyBorder="1" applyAlignment="1">
      <alignment horizontal="center" vertical="center" wrapText="1"/>
    </xf>
    <xf numFmtId="0" fontId="312" fillId="0" borderId="84" xfId="0" applyFont="1" applyBorder="1" applyAlignment="1">
      <alignment horizontal="center" wrapText="1"/>
    </xf>
    <xf numFmtId="0" fontId="250" fillId="0" borderId="0" xfId="0" applyFont="1" applyAlignment="1">
      <alignment horizontal="center"/>
    </xf>
    <xf numFmtId="0" fontId="246" fillId="0" borderId="0" xfId="0" applyFont="1" applyAlignment="1">
      <alignment horizontal="center"/>
    </xf>
    <xf numFmtId="0" fontId="25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18" fillId="0" borderId="140" xfId="0" applyFont="1" applyBorder="1" applyAlignment="1">
      <alignment wrapText="1"/>
    </xf>
    <xf numFmtId="0" fontId="147" fillId="0" borderId="232" xfId="0" applyFont="1" applyBorder="1" applyAlignment="1">
      <alignment horizontal="center" vertical="center" wrapText="1"/>
    </xf>
    <xf numFmtId="0" fontId="0" fillId="70" borderId="0" xfId="0" applyFill="1"/>
    <xf numFmtId="0" fontId="136" fillId="0" borderId="96" xfId="0" applyFont="1" applyBorder="1" applyAlignment="1">
      <alignment horizontal="center"/>
    </xf>
    <xf numFmtId="0" fontId="142" fillId="3" borderId="142" xfId="0" applyFont="1" applyFill="1" applyBorder="1" applyAlignment="1">
      <alignment horizontal="center" vertical="center" wrapText="1"/>
    </xf>
    <xf numFmtId="0" fontId="177" fillId="62" borderId="140" xfId="0" applyFont="1" applyFill="1" applyBorder="1" applyAlignment="1">
      <alignment horizontal="center"/>
    </xf>
    <xf numFmtId="0" fontId="0" fillId="78" borderId="0" xfId="0" applyFill="1"/>
    <xf numFmtId="0" fontId="277" fillId="0" borderId="84" xfId="1" applyBorder="1" applyAlignment="1">
      <alignment vertical="center" wrapText="1"/>
    </xf>
    <xf numFmtId="0" fontId="136" fillId="78" borderId="0" xfId="0" applyFont="1" applyFill="1"/>
    <xf numFmtId="0" fontId="112" fillId="0" borderId="0" xfId="0" applyFont="1"/>
    <xf numFmtId="0" fontId="136" fillId="62" borderId="107" xfId="0" applyFont="1" applyFill="1" applyBorder="1"/>
    <xf numFmtId="0" fontId="136" fillId="0" borderId="179" xfId="0" applyFont="1" applyBorder="1" applyAlignment="1">
      <alignment horizontal="center" vertical="center"/>
    </xf>
    <xf numFmtId="0" fontId="136" fillId="0" borderId="98" xfId="0" applyFont="1" applyBorder="1" applyAlignment="1">
      <alignment horizontal="center" vertical="center"/>
    </xf>
    <xf numFmtId="0" fontId="136" fillId="0" borderId="95" xfId="0" applyFont="1" applyBorder="1" applyAlignment="1">
      <alignment horizontal="center" vertical="center"/>
    </xf>
    <xf numFmtId="0" fontId="136" fillId="0" borderId="97" xfId="0" applyFont="1" applyBorder="1" applyAlignment="1">
      <alignment horizontal="center" vertical="center"/>
    </xf>
    <xf numFmtId="0" fontId="136" fillId="0" borderId="147" xfId="0" applyFont="1" applyBorder="1" applyAlignment="1">
      <alignment horizontal="center" vertical="center"/>
    </xf>
    <xf numFmtId="0" fontId="129" fillId="62" borderId="140" xfId="0" applyFont="1" applyFill="1" applyBorder="1" applyAlignment="1">
      <alignment horizontal="center" vertical="center"/>
    </xf>
    <xf numFmtId="0" fontId="202" fillId="106" borderId="140" xfId="0" applyFont="1" applyFill="1" applyBorder="1" applyAlignment="1">
      <alignment horizontal="center" vertical="center" wrapText="1"/>
    </xf>
    <xf numFmtId="0" fontId="162" fillId="0" borderId="140" xfId="0" applyFont="1" applyBorder="1" applyAlignment="1">
      <alignment horizontal="center" vertical="center" wrapText="1"/>
    </xf>
    <xf numFmtId="0" fontId="111" fillId="0" borderId="0" xfId="0" applyFont="1"/>
    <xf numFmtId="0" fontId="110" fillId="0" borderId="0" xfId="0" applyFont="1"/>
    <xf numFmtId="0" fontId="110" fillId="58" borderId="0" xfId="0" applyFont="1" applyFill="1"/>
    <xf numFmtId="0" fontId="0" fillId="79" borderId="227" xfId="0" applyFill="1" applyBorder="1"/>
    <xf numFmtId="0" fontId="278" fillId="78" borderId="140" xfId="0" applyFont="1" applyFill="1" applyBorder="1" applyAlignment="1">
      <alignment horizontal="center" vertical="center" wrapText="1"/>
    </xf>
    <xf numFmtId="0" fontId="280" fillId="133" borderId="141" xfId="0" applyFont="1" applyFill="1" applyBorder="1" applyAlignment="1">
      <alignment horizontal="center" vertical="center" wrapText="1"/>
    </xf>
    <xf numFmtId="0" fontId="144" fillId="133" borderId="141" xfId="0" applyFont="1" applyFill="1" applyBorder="1" applyAlignment="1">
      <alignment wrapText="1"/>
    </xf>
    <xf numFmtId="0" fontId="144" fillId="133" borderId="141" xfId="0" applyFont="1" applyFill="1" applyBorder="1" applyAlignment="1">
      <alignment horizontal="center" vertical="center" wrapText="1"/>
    </xf>
    <xf numFmtId="0" fontId="109" fillId="0" borderId="0" xfId="0" applyFont="1"/>
    <xf numFmtId="0" fontId="0" fillId="134" borderId="0" xfId="0" applyFill="1"/>
    <xf numFmtId="0" fontId="329" fillId="134" borderId="0" xfId="0" applyFont="1" applyFill="1"/>
    <xf numFmtId="0" fontId="136" fillId="0" borderId="0" xfId="0" quotePrefix="1" applyFont="1"/>
    <xf numFmtId="0" fontId="307" fillId="0" borderId="0" xfId="0" quotePrefix="1" applyFont="1"/>
    <xf numFmtId="0" fontId="193" fillId="0" borderId="192" xfId="5" applyFont="1" applyBorder="1" applyAlignment="1">
      <alignment horizontal="center" vertical="center" wrapText="1"/>
    </xf>
    <xf numFmtId="0" fontId="147" fillId="3" borderId="196" xfId="5" applyFont="1" applyFill="1" applyBorder="1" applyAlignment="1">
      <alignment horizontal="center" vertical="center" wrapText="1"/>
    </xf>
    <xf numFmtId="0" fontId="147" fillId="3" borderId="217" xfId="5" applyFont="1" applyFill="1" applyBorder="1" applyAlignment="1">
      <alignment horizontal="center" vertical="center" wrapText="1"/>
    </xf>
    <xf numFmtId="0" fontId="156" fillId="85" borderId="185" xfId="0" applyFont="1" applyFill="1" applyBorder="1" applyAlignment="1">
      <alignment horizontal="center" vertical="center" wrapText="1"/>
    </xf>
    <xf numFmtId="0" fontId="141" fillId="0" borderId="218" xfId="5" applyFont="1" applyBorder="1" applyAlignment="1">
      <alignment horizontal="center" vertical="center"/>
    </xf>
    <xf numFmtId="0" fontId="136" fillId="0" borderId="218" xfId="0" applyFont="1" applyBorder="1" applyAlignment="1">
      <alignment horizontal="center"/>
    </xf>
    <xf numFmtId="165" fontId="197" fillId="135" borderId="9" xfId="0" applyNumberFormat="1" applyFont="1" applyFill="1" applyBorder="1" applyAlignment="1">
      <alignment horizontal="center" vertical="center" wrapText="1"/>
    </xf>
    <xf numFmtId="0" fontId="210" fillId="136" borderId="185" xfId="0" applyFont="1" applyFill="1" applyBorder="1" applyAlignment="1">
      <alignment horizontal="center" vertical="center" wrapText="1"/>
    </xf>
    <xf numFmtId="0" fontId="206" fillId="74" borderId="158" xfId="0" applyFont="1" applyFill="1" applyBorder="1" applyAlignment="1">
      <alignment horizontal="center" vertical="center" wrapText="1"/>
    </xf>
    <xf numFmtId="0" fontId="289" fillId="86" borderId="185" xfId="0" applyFont="1" applyFill="1" applyBorder="1" applyAlignment="1">
      <alignment horizontal="center" vertical="center" wrapText="1"/>
    </xf>
    <xf numFmtId="0" fontId="210" fillId="78" borderId="185" xfId="0" applyFont="1" applyFill="1" applyBorder="1" applyAlignment="1">
      <alignment horizontal="center" vertical="center" wrapText="1"/>
    </xf>
    <xf numFmtId="0" fontId="220" fillId="22" borderId="107" xfId="0" applyFont="1" applyFill="1" applyBorder="1" applyAlignment="1">
      <alignment horizontal="center" vertical="center" wrapText="1"/>
    </xf>
    <xf numFmtId="0" fontId="172" fillId="0" borderId="42" xfId="0" applyFont="1" applyBorder="1"/>
    <xf numFmtId="0" fontId="147" fillId="62" borderId="107" xfId="0" applyFont="1" applyFill="1" applyBorder="1"/>
    <xf numFmtId="0" fontId="137" fillId="0" borderId="217" xfId="0" applyFont="1" applyBorder="1" applyAlignment="1">
      <alignment horizontal="center" vertical="center"/>
    </xf>
    <xf numFmtId="0" fontId="197" fillId="0" borderId="181" xfId="0" applyFont="1" applyBorder="1" applyAlignment="1">
      <alignment horizontal="center" vertical="center" wrapText="1"/>
    </xf>
    <xf numFmtId="0" fontId="144" fillId="15" borderId="181" xfId="0" applyFont="1" applyFill="1" applyBorder="1" applyAlignment="1">
      <alignment horizontal="center" vertical="center" wrapText="1"/>
    </xf>
    <xf numFmtId="0" fontId="278" fillId="76" borderId="185" xfId="0" applyFont="1" applyFill="1" applyBorder="1" applyAlignment="1">
      <alignment wrapText="1"/>
    </xf>
    <xf numFmtId="0" fontId="278" fillId="76" borderId="256" xfId="0" applyFont="1" applyFill="1" applyBorder="1" applyAlignment="1">
      <alignment horizontal="center" vertical="center" wrapText="1"/>
    </xf>
    <xf numFmtId="0" fontId="278" fillId="76" borderId="76" xfId="0" applyFont="1" applyFill="1" applyBorder="1" applyAlignment="1">
      <alignment horizontal="center" vertical="center" wrapText="1"/>
    </xf>
    <xf numFmtId="0" fontId="278" fillId="111" borderId="257" xfId="0" applyFont="1" applyFill="1" applyBorder="1" applyAlignment="1">
      <alignment horizontal="center" vertical="center" wrapText="1"/>
    </xf>
    <xf numFmtId="0" fontId="278" fillId="122" borderId="257" xfId="0" applyFont="1" applyFill="1" applyBorder="1" applyAlignment="1">
      <alignment horizontal="center" vertical="center" wrapText="1"/>
    </xf>
    <xf numFmtId="0" fontId="278" fillId="132" borderId="257" xfId="0" applyFont="1" applyFill="1" applyBorder="1" applyAlignment="1">
      <alignment horizontal="center" vertical="center" wrapText="1"/>
    </xf>
    <xf numFmtId="0" fontId="191" fillId="0" borderId="140" xfId="0" applyFont="1" applyBorder="1" applyAlignment="1">
      <alignment horizontal="center"/>
    </xf>
    <xf numFmtId="0" fontId="306" fillId="0" borderId="140" xfId="0" applyFont="1" applyBorder="1" applyAlignment="1">
      <alignment horizontal="center"/>
    </xf>
    <xf numFmtId="0" fontId="0" fillId="62" borderId="140" xfId="0" applyFill="1" applyBorder="1" applyAlignment="1">
      <alignment horizontal="right"/>
    </xf>
    <xf numFmtId="0" fontId="0" fillId="62" borderId="140" xfId="0" applyFill="1" applyBorder="1" applyAlignment="1">
      <alignment horizontal="center"/>
    </xf>
    <xf numFmtId="0" fontId="191" fillId="62" borderId="140" xfId="0" applyFont="1" applyFill="1" applyBorder="1" applyAlignment="1">
      <alignment horizontal="center"/>
    </xf>
    <xf numFmtId="0" fontId="0" fillId="101" borderId="140" xfId="0" applyFill="1" applyBorder="1" applyAlignment="1">
      <alignment horizontal="center" vertical="center"/>
    </xf>
    <xf numFmtId="0" fontId="0" fillId="101" borderId="140" xfId="0" applyFill="1" applyBorder="1"/>
    <xf numFmtId="0" fontId="0" fillId="101" borderId="140" xfId="0" applyFill="1" applyBorder="1" applyAlignment="1">
      <alignment horizontal="right"/>
    </xf>
    <xf numFmtId="0" fontId="136" fillId="0" borderId="258" xfId="5" applyFont="1" applyBorder="1" applyAlignment="1">
      <alignment horizontal="center" vertical="center"/>
    </xf>
    <xf numFmtId="0" fontId="281" fillId="0" borderId="107" xfId="0" applyFont="1" applyBorder="1"/>
    <xf numFmtId="0" fontId="157" fillId="0" borderId="185" xfId="0" applyFont="1" applyBorder="1" applyAlignment="1">
      <alignment horizontal="center" vertical="center" wrapText="1"/>
    </xf>
    <xf numFmtId="0" fontId="137" fillId="0" borderId="237" xfId="0" applyFont="1" applyBorder="1" applyAlignment="1">
      <alignment horizontal="center" vertical="center"/>
    </xf>
    <xf numFmtId="0" fontId="121" fillId="0" borderId="140" xfId="0" applyFont="1" applyBorder="1"/>
    <xf numFmtId="14" fontId="137" fillId="0" borderId="140" xfId="0" applyNumberFormat="1" applyFont="1" applyBorder="1"/>
    <xf numFmtId="0" fontId="136" fillId="0" borderId="183" xfId="0" applyFont="1" applyBorder="1" applyAlignment="1">
      <alignment horizontal="center"/>
    </xf>
    <xf numFmtId="0" fontId="105" fillId="58" borderId="223" xfId="0" applyFont="1" applyFill="1" applyBorder="1"/>
    <xf numFmtId="0" fontId="278" fillId="58" borderId="223" xfId="0" applyFont="1" applyFill="1" applyBorder="1"/>
    <xf numFmtId="0" fontId="136" fillId="138" borderId="140" xfId="0" applyFont="1" applyFill="1" applyBorder="1"/>
    <xf numFmtId="0" fontId="331" fillId="124" borderId="140" xfId="0" applyFont="1" applyFill="1" applyBorder="1" applyAlignment="1">
      <alignment horizontal="center" vertical="center" wrapText="1"/>
    </xf>
    <xf numFmtId="0" fontId="0" fillId="120" borderId="140" xfId="0" applyFill="1" applyBorder="1"/>
    <xf numFmtId="0" fontId="0" fillId="59" borderId="0" xfId="0" applyFill="1"/>
    <xf numFmtId="17" fontId="324" fillId="0" borderId="107" xfId="5" applyNumberFormat="1"/>
    <xf numFmtId="0" fontId="129" fillId="59" borderId="140" xfId="0" applyFont="1" applyFill="1" applyBorder="1" applyAlignment="1">
      <alignment horizontal="center"/>
    </xf>
    <xf numFmtId="17" fontId="129" fillId="59" borderId="140" xfId="0" applyNumberFormat="1" applyFont="1" applyFill="1" applyBorder="1" applyAlignment="1">
      <alignment horizontal="center"/>
    </xf>
    <xf numFmtId="0" fontId="136" fillId="59" borderId="140" xfId="5" applyFont="1" applyFill="1" applyBorder="1" applyAlignment="1">
      <alignment horizontal="center" vertical="center"/>
    </xf>
    <xf numFmtId="0" fontId="129" fillId="59" borderId="140" xfId="0" applyFont="1" applyFill="1" applyBorder="1" applyAlignment="1">
      <alignment horizontal="center" vertical="center"/>
    </xf>
    <xf numFmtId="1" fontId="177" fillId="59" borderId="140" xfId="0" applyNumberFormat="1" applyFont="1" applyFill="1" applyBorder="1" applyAlignment="1">
      <alignment horizontal="right" vertical="center"/>
    </xf>
    <xf numFmtId="0" fontId="136" fillId="59" borderId="140" xfId="0" applyFont="1" applyFill="1" applyBorder="1"/>
    <xf numFmtId="0" fontId="0" fillId="59" borderId="140" xfId="0" applyFill="1" applyBorder="1" applyAlignment="1">
      <alignment wrapText="1"/>
    </xf>
    <xf numFmtId="0" fontId="193" fillId="2" borderId="107" xfId="0" applyFont="1" applyFill="1" applyBorder="1" applyAlignment="1">
      <alignment horizontal="center" vertical="center"/>
    </xf>
    <xf numFmtId="0" fontId="100" fillId="0" borderId="0" xfId="0" applyFont="1"/>
    <xf numFmtId="0" fontId="99" fillId="0" borderId="0" xfId="0" applyFont="1"/>
    <xf numFmtId="0" fontId="177" fillId="62" borderId="140" xfId="5" applyFont="1" applyFill="1" applyBorder="1" applyAlignment="1">
      <alignment horizontal="center" vertical="center"/>
    </xf>
    <xf numFmtId="0" fontId="176" fillId="133" borderId="141" xfId="0" applyFont="1" applyFill="1" applyBorder="1" applyAlignment="1">
      <alignment horizontal="center" vertical="center" wrapText="1"/>
    </xf>
    <xf numFmtId="0" fontId="172" fillId="59" borderId="140" xfId="0" applyFont="1" applyFill="1" applyBorder="1" applyAlignment="1">
      <alignment horizontal="center"/>
    </xf>
    <xf numFmtId="0" fontId="136" fillId="59" borderId="141" xfId="0" applyFont="1" applyFill="1" applyBorder="1"/>
    <xf numFmtId="0" fontId="145" fillId="60" borderId="141" xfId="0" applyFont="1" applyFill="1" applyBorder="1" applyAlignment="1">
      <alignment horizontal="center" vertical="top"/>
    </xf>
    <xf numFmtId="0" fontId="136" fillId="59" borderId="141" xfId="0" applyFont="1" applyFill="1" applyBorder="1" applyAlignment="1">
      <alignment wrapText="1"/>
    </xf>
    <xf numFmtId="0" fontId="0" fillId="65" borderId="140" xfId="0" applyFill="1" applyBorder="1" applyAlignment="1">
      <alignment wrapText="1"/>
    </xf>
    <xf numFmtId="0" fontId="129" fillId="65" borderId="140" xfId="0" applyFont="1" applyFill="1" applyBorder="1" applyAlignment="1">
      <alignment wrapText="1"/>
    </xf>
    <xf numFmtId="0" fontId="144" fillId="147" borderId="192" xfId="0" applyFont="1" applyFill="1" applyBorder="1" applyAlignment="1">
      <alignment horizontal="center" vertical="center" wrapText="1"/>
    </xf>
    <xf numFmtId="0" fontId="162" fillId="59" borderId="140" xfId="0" applyFont="1" applyFill="1" applyBorder="1" applyAlignment="1">
      <alignment horizontal="center" vertical="center" wrapText="1"/>
    </xf>
    <xf numFmtId="0" fontId="95" fillId="0" borderId="0" xfId="0" applyFont="1"/>
    <xf numFmtId="0" fontId="95" fillId="0" borderId="107" xfId="0" applyFont="1" applyBorder="1"/>
    <xf numFmtId="0" fontId="278" fillId="0" borderId="223" xfId="0" applyFont="1" applyBorder="1" applyAlignment="1">
      <alignment horizontal="center" vertical="center" wrapText="1"/>
    </xf>
    <xf numFmtId="0" fontId="94" fillId="0" borderId="0" xfId="0" applyFont="1"/>
    <xf numFmtId="0" fontId="0" fillId="149" borderId="0" xfId="0" applyFill="1"/>
    <xf numFmtId="0" fontId="95" fillId="149" borderId="0" xfId="0" applyFont="1" applyFill="1"/>
    <xf numFmtId="0" fontId="136" fillId="0" borderId="0" xfId="0" applyFont="1" applyAlignment="1">
      <alignment wrapText="1"/>
    </xf>
    <xf numFmtId="0" fontId="156" fillId="134" borderId="185" xfId="0" applyFont="1" applyFill="1" applyBorder="1" applyAlignment="1">
      <alignment horizontal="center" vertical="center" wrapText="1"/>
    </xf>
    <xf numFmtId="0" fontId="90" fillId="0" borderId="259" xfId="0" applyFont="1" applyBorder="1" applyAlignment="1">
      <alignment wrapText="1"/>
    </xf>
    <xf numFmtId="0" fontId="90" fillId="0" borderId="254" xfId="0" applyFont="1" applyBorder="1" applyAlignment="1">
      <alignment wrapText="1"/>
    </xf>
    <xf numFmtId="0" fontId="90" fillId="0" borderId="84" xfId="0" applyFont="1" applyBorder="1" applyAlignment="1">
      <alignment wrapText="1"/>
    </xf>
    <xf numFmtId="0" fontId="90" fillId="0" borderId="263" xfId="0" applyFont="1" applyBorder="1" applyAlignment="1">
      <alignment wrapText="1"/>
    </xf>
    <xf numFmtId="0" fontId="297" fillId="0" borderId="259" xfId="0" applyFont="1" applyBorder="1" applyAlignment="1">
      <alignment horizontal="center" wrapText="1"/>
    </xf>
    <xf numFmtId="0" fontId="297" fillId="0" borderId="254" xfId="0" applyFont="1" applyBorder="1" applyAlignment="1">
      <alignment horizontal="center" wrapText="1"/>
    </xf>
    <xf numFmtId="0" fontId="90" fillId="89" borderId="263" xfId="0" applyFont="1" applyFill="1" applyBorder="1" applyAlignment="1">
      <alignment wrapText="1"/>
    </xf>
    <xf numFmtId="0" fontId="90" fillId="62" borderId="254" xfId="0" applyFont="1" applyFill="1" applyBorder="1" applyAlignment="1">
      <alignment wrapText="1"/>
    </xf>
    <xf numFmtId="0" fontId="144" fillId="89" borderId="232" xfId="0" applyFont="1" applyFill="1" applyBorder="1" applyAlignment="1">
      <alignment horizontal="center" wrapText="1"/>
    </xf>
    <xf numFmtId="0" fontId="90" fillId="0" borderId="140" xfId="0" applyFont="1" applyBorder="1" applyAlignment="1">
      <alignment wrapText="1"/>
    </xf>
    <xf numFmtId="0" fontId="137" fillId="138" borderId="140" xfId="0" applyFont="1" applyFill="1" applyBorder="1"/>
    <xf numFmtId="0" fontId="136" fillId="78" borderId="150" xfId="0" applyFont="1" applyFill="1" applyBorder="1" applyAlignment="1">
      <alignment horizontal="center" vertical="center"/>
    </xf>
    <xf numFmtId="175" fontId="136" fillId="78" borderId="98" xfId="0" applyNumberFormat="1" applyFont="1" applyFill="1" applyBorder="1" applyAlignment="1">
      <alignment horizontal="center" vertical="center"/>
    </xf>
    <xf numFmtId="0" fontId="136" fillId="78" borderId="145" xfId="5" applyFont="1" applyFill="1" applyBorder="1" applyAlignment="1">
      <alignment horizontal="center" vertical="center"/>
    </xf>
    <xf numFmtId="0" fontId="157" fillId="78" borderId="140" xfId="0" applyFont="1" applyFill="1" applyBorder="1" applyAlignment="1">
      <alignment horizontal="center" vertical="center"/>
    </xf>
    <xf numFmtId="0" fontId="157" fillId="78" borderId="140" xfId="0" applyFont="1" applyFill="1" applyBorder="1" applyAlignment="1">
      <alignment horizontal="center" vertical="center" wrapText="1"/>
    </xf>
    <xf numFmtId="0" fontId="137" fillId="78" borderId="140" xfId="0" applyFont="1" applyFill="1" applyBorder="1" applyAlignment="1">
      <alignment horizontal="center" vertical="center"/>
    </xf>
    <xf numFmtId="17" fontId="157" fillId="78" borderId="97" xfId="0" applyNumberFormat="1" applyFont="1" applyFill="1" applyBorder="1" applyAlignment="1">
      <alignment horizontal="center" vertical="center"/>
    </xf>
    <xf numFmtId="0" fontId="147" fillId="92" borderId="140" xfId="0" applyFont="1" applyFill="1" applyBorder="1" applyAlignment="1">
      <alignment horizontal="center" vertical="center" wrapText="1"/>
    </xf>
    <xf numFmtId="0" fontId="137" fillId="78" borderId="140" xfId="0" applyFont="1" applyFill="1" applyBorder="1" applyAlignment="1">
      <alignment horizontal="center"/>
    </xf>
    <xf numFmtId="0" fontId="137" fillId="150" borderId="140" xfId="0" applyFont="1" applyFill="1" applyBorder="1" applyAlignment="1">
      <alignment horizontal="center" vertical="center"/>
    </xf>
    <xf numFmtId="0" fontId="137" fillId="151" borderId="140" xfId="0" applyFont="1" applyFill="1" applyBorder="1" applyAlignment="1">
      <alignment horizontal="center" vertical="center"/>
    </xf>
    <xf numFmtId="0" fontId="137" fillId="78" borderId="140" xfId="0" applyFont="1" applyFill="1" applyBorder="1"/>
    <xf numFmtId="1" fontId="137" fillId="78" borderId="140" xfId="0" applyNumberFormat="1" applyFont="1" applyFill="1" applyBorder="1" applyAlignment="1">
      <alignment horizontal="right" wrapText="1"/>
    </xf>
    <xf numFmtId="0" fontId="137" fillId="152" borderId="140" xfId="0" applyFont="1" applyFill="1" applyBorder="1"/>
    <xf numFmtId="0" fontId="137" fillId="153" borderId="140" xfId="0" applyFont="1" applyFill="1" applyBorder="1"/>
    <xf numFmtId="0" fontId="137" fillId="133" borderId="140" xfId="0" applyFont="1" applyFill="1" applyBorder="1"/>
    <xf numFmtId="0" fontId="139" fillId="78" borderId="140" xfId="0" applyFont="1" applyFill="1" applyBorder="1"/>
    <xf numFmtId="0" fontId="139" fillId="150" borderId="140" xfId="0" applyFont="1" applyFill="1" applyBorder="1"/>
    <xf numFmtId="0" fontId="0" fillId="78" borderId="140" xfId="0" applyFill="1" applyBorder="1"/>
    <xf numFmtId="165" fontId="0" fillId="78" borderId="140" xfId="0" applyNumberFormat="1" applyFill="1" applyBorder="1"/>
    <xf numFmtId="0" fontId="197" fillId="0" borderId="210" xfId="0" applyFont="1" applyBorder="1" applyAlignment="1">
      <alignment horizontal="center" vertical="center" wrapText="1"/>
    </xf>
    <xf numFmtId="0" fontId="300" fillId="0" borderId="208" xfId="0" applyFont="1" applyBorder="1" applyAlignment="1">
      <alignment horizontal="center"/>
    </xf>
    <xf numFmtId="17" fontId="0" fillId="0" borderId="107" xfId="0" applyNumberFormat="1" applyBorder="1" applyAlignment="1">
      <alignment wrapText="1"/>
    </xf>
    <xf numFmtId="17" fontId="88" fillId="0" borderId="107" xfId="0" applyNumberFormat="1" applyFont="1" applyBorder="1" applyAlignment="1">
      <alignment wrapText="1"/>
    </xf>
    <xf numFmtId="0" fontId="157" fillId="70" borderId="156" xfId="0" applyFont="1" applyFill="1" applyBorder="1"/>
    <xf numFmtId="0" fontId="172" fillId="70" borderId="156" xfId="0" applyFont="1" applyFill="1" applyBorder="1" applyAlignment="1">
      <alignment horizontal="center"/>
    </xf>
    <xf numFmtId="0" fontId="141" fillId="0" borderId="235" xfId="0" applyFont="1" applyBorder="1" applyAlignment="1">
      <alignment horizontal="center" vertical="center" wrapText="1"/>
    </xf>
    <xf numFmtId="0" fontId="136" fillId="0" borderId="235" xfId="0" applyFont="1" applyBorder="1" applyAlignment="1">
      <alignment wrapText="1"/>
    </xf>
    <xf numFmtId="0" fontId="137" fillId="0" borderId="235" xfId="0" applyFont="1" applyBorder="1" applyAlignment="1">
      <alignment wrapText="1"/>
    </xf>
    <xf numFmtId="0" fontId="144" fillId="84" borderId="259" xfId="0" applyFont="1" applyFill="1" applyBorder="1" applyAlignment="1">
      <alignment horizontal="center" vertical="center" wrapText="1"/>
    </xf>
    <xf numFmtId="0" fontId="144" fillId="154" borderId="259" xfId="0" applyFont="1" applyFill="1" applyBorder="1" applyAlignment="1">
      <alignment horizontal="center" vertical="center" wrapText="1"/>
    </xf>
    <xf numFmtId="0" fontId="144" fillId="155" borderId="259" xfId="0" applyFont="1" applyFill="1" applyBorder="1" applyAlignment="1">
      <alignment horizontal="center" vertical="center" wrapText="1"/>
    </xf>
    <xf numFmtId="0" fontId="144" fillId="70" borderId="259" xfId="0" applyFont="1" applyFill="1" applyBorder="1" applyAlignment="1">
      <alignment horizontal="center" vertical="center" wrapText="1"/>
    </xf>
    <xf numFmtId="0" fontId="136" fillId="70" borderId="259" xfId="0" applyFont="1" applyFill="1" applyBorder="1" applyAlignment="1">
      <alignment horizontal="center" vertical="center" wrapText="1"/>
    </xf>
    <xf numFmtId="0" fontId="144" fillId="72" borderId="259" xfId="0" applyFont="1" applyFill="1" applyBorder="1" applyAlignment="1">
      <alignment horizontal="center" vertical="center" wrapText="1"/>
    </xf>
    <xf numFmtId="0" fontId="144" fillId="156" borderId="259" xfId="0" applyFont="1" applyFill="1" applyBorder="1" applyAlignment="1">
      <alignment horizontal="center" vertical="center" wrapText="1"/>
    </xf>
    <xf numFmtId="0" fontId="137" fillId="0" borderId="254" xfId="0" applyFont="1" applyBorder="1" applyAlignment="1">
      <alignment horizontal="center" vertical="center" wrapText="1"/>
    </xf>
    <xf numFmtId="0" fontId="137" fillId="62" borderId="254" xfId="0" applyFont="1" applyFill="1" applyBorder="1" applyAlignment="1">
      <alignment horizontal="center" vertical="center" wrapText="1"/>
    </xf>
    <xf numFmtId="0" fontId="137" fillId="0" borderId="254" xfId="0" applyFont="1" applyBorder="1" applyAlignment="1">
      <alignment horizontal="center" wrapText="1"/>
    </xf>
    <xf numFmtId="0" fontId="137" fillId="0" borderId="259" xfId="0" applyFont="1" applyBorder="1" applyAlignment="1">
      <alignment horizontal="center" vertical="center" wrapText="1"/>
    </xf>
    <xf numFmtId="0" fontId="137" fillId="0" borderId="254" xfId="0" applyFont="1" applyBorder="1" applyAlignment="1">
      <alignment horizontal="right" wrapText="1"/>
    </xf>
    <xf numFmtId="0" fontId="137" fillId="0" borderId="259" xfId="0" applyFont="1" applyBorder="1" applyAlignment="1">
      <alignment horizontal="right" wrapText="1"/>
    </xf>
    <xf numFmtId="0" fontId="137" fillId="84" borderId="254" xfId="0" applyFont="1" applyFill="1" applyBorder="1" applyAlignment="1">
      <alignment horizontal="right" wrapText="1"/>
    </xf>
    <xf numFmtId="0" fontId="137" fillId="84" borderId="259" xfId="0" applyFont="1" applyFill="1" applyBorder="1" applyAlignment="1">
      <alignment horizontal="right" wrapText="1"/>
    </xf>
    <xf numFmtId="0" fontId="137" fillId="84" borderId="254" xfId="0" applyFont="1" applyFill="1" applyBorder="1" applyAlignment="1">
      <alignment horizontal="center" vertical="center" wrapText="1"/>
    </xf>
    <xf numFmtId="0" fontId="136" fillId="84" borderId="254" xfId="0" applyFont="1" applyFill="1" applyBorder="1" applyAlignment="1">
      <alignment horizontal="center" vertical="center" wrapText="1"/>
    </xf>
    <xf numFmtId="0" fontId="161" fillId="84" borderId="254" xfId="0" applyFont="1" applyFill="1" applyBorder="1" applyAlignment="1">
      <alignment horizontal="right" wrapText="1"/>
    </xf>
    <xf numFmtId="0" fontId="161" fillId="84" borderId="259" xfId="0" applyFont="1" applyFill="1" applyBorder="1" applyAlignment="1">
      <alignment horizontal="right" wrapText="1"/>
    </xf>
    <xf numFmtId="0" fontId="90" fillId="58" borderId="140" xfId="0" applyFont="1" applyFill="1" applyBorder="1" applyAlignment="1">
      <alignment wrapText="1"/>
    </xf>
    <xf numFmtId="0" fontId="90" fillId="157" borderId="140" xfId="0" applyFont="1" applyFill="1" applyBorder="1" applyAlignment="1">
      <alignment wrapText="1"/>
    </xf>
    <xf numFmtId="0" fontId="0" fillId="157" borderId="0" xfId="0" applyFill="1"/>
    <xf numFmtId="0" fontId="90" fillId="120" borderId="140" xfId="0" applyFont="1" applyFill="1" applyBorder="1" applyAlignment="1">
      <alignment wrapText="1"/>
    </xf>
    <xf numFmtId="0" fontId="294" fillId="0" borderId="140" xfId="0" applyFont="1" applyBorder="1"/>
    <xf numFmtId="0" fontId="144" fillId="61" borderId="192" xfId="0" applyFont="1" applyFill="1" applyBorder="1" applyAlignment="1">
      <alignment horizontal="center" vertical="center" wrapText="1"/>
    </xf>
    <xf numFmtId="0" fontId="141" fillId="61" borderId="192" xfId="0" applyFont="1" applyFill="1" applyBorder="1" applyAlignment="1">
      <alignment horizontal="center" vertical="center" wrapText="1"/>
    </xf>
    <xf numFmtId="0" fontId="144" fillId="61" borderId="107" xfId="0" applyFont="1" applyFill="1" applyBorder="1" applyAlignment="1">
      <alignment horizontal="center" vertical="center" wrapText="1"/>
    </xf>
    <xf numFmtId="0" fontId="278" fillId="59" borderId="107" xfId="0" applyFont="1" applyFill="1" applyBorder="1" applyAlignment="1">
      <alignment wrapText="1"/>
    </xf>
    <xf numFmtId="0" fontId="144" fillId="61" borderId="210" xfId="0" applyFont="1" applyFill="1" applyBorder="1" applyAlignment="1">
      <alignment horizontal="center" vertical="center" wrapText="1"/>
    </xf>
    <xf numFmtId="0" fontId="278" fillId="58" borderId="107" xfId="0" applyFont="1" applyFill="1" applyBorder="1" applyAlignment="1">
      <alignment horizontal="center" vertical="center" wrapText="1"/>
    </xf>
    <xf numFmtId="0" fontId="106" fillId="58" borderId="140" xfId="0" applyFont="1" applyFill="1" applyBorder="1" applyAlignment="1">
      <alignment horizontal="center" vertical="center" wrapText="1"/>
    </xf>
    <xf numFmtId="0" fontId="143" fillId="113" borderId="140" xfId="0" applyFont="1" applyFill="1" applyBorder="1" applyAlignment="1">
      <alignment horizontal="center" vertical="center" wrapText="1"/>
    </xf>
    <xf numFmtId="0" fontId="144" fillId="61" borderId="140" xfId="0" applyFont="1" applyFill="1" applyBorder="1" applyAlignment="1">
      <alignment horizontal="center" vertical="center" wrapText="1"/>
    </xf>
    <xf numFmtId="0" fontId="278" fillId="58" borderId="140" xfId="0" applyFont="1" applyFill="1" applyBorder="1" applyAlignment="1">
      <alignment wrapText="1"/>
    </xf>
    <xf numFmtId="0" fontId="278" fillId="58" borderId="140" xfId="0" applyFont="1" applyFill="1" applyBorder="1" applyAlignment="1">
      <alignment horizontal="center" vertical="center" wrapText="1"/>
    </xf>
    <xf numFmtId="0" fontId="69" fillId="0" borderId="140" xfId="0" applyFont="1" applyBorder="1"/>
    <xf numFmtId="165" fontId="162" fillId="0" borderId="140" xfId="0" applyNumberFormat="1" applyFont="1" applyBorder="1" applyAlignment="1">
      <alignment horizontal="center" vertical="center" wrapText="1"/>
    </xf>
    <xf numFmtId="1" fontId="162" fillId="0" borderId="140" xfId="0" applyNumberFormat="1" applyFont="1" applyBorder="1" applyAlignment="1">
      <alignment horizontal="center" vertical="center" wrapText="1"/>
    </xf>
    <xf numFmtId="0" fontId="67" fillId="0" borderId="0" xfId="0" applyFont="1"/>
    <xf numFmtId="0" fontId="201" fillId="0" borderId="0" xfId="0" applyFont="1" applyAlignment="1">
      <alignment horizontal="center"/>
    </xf>
    <xf numFmtId="1" fontId="197" fillId="159" borderId="9" xfId="0" applyNumberFormat="1" applyFont="1" applyFill="1" applyBorder="1" applyAlignment="1">
      <alignment horizontal="center" vertical="center" wrapText="1"/>
    </xf>
    <xf numFmtId="0" fontId="215" fillId="58" borderId="218" xfId="0" applyFont="1" applyFill="1" applyBorder="1" applyAlignment="1">
      <alignment horizontal="center" vertical="center" wrapText="1"/>
    </xf>
    <xf numFmtId="0" fontId="136" fillId="0" borderId="185" xfId="0" applyFont="1" applyBorder="1" applyAlignment="1">
      <alignment horizontal="center" wrapText="1"/>
    </xf>
    <xf numFmtId="17" fontId="136" fillId="0" borderId="94" xfId="0" applyNumberFormat="1" applyFont="1" applyBorder="1" applyAlignment="1">
      <alignment horizontal="right"/>
    </xf>
    <xf numFmtId="176" fontId="162" fillId="0" borderId="140" xfId="0" applyNumberFormat="1" applyFont="1" applyBorder="1" applyAlignment="1">
      <alignment horizontal="center" vertical="center" wrapText="1"/>
    </xf>
    <xf numFmtId="0" fontId="209" fillId="0" borderId="145" xfId="5" applyFont="1" applyBorder="1"/>
    <xf numFmtId="0" fontId="129" fillId="58" borderId="107" xfId="0" applyFont="1" applyFill="1" applyBorder="1" applyAlignment="1">
      <alignment horizontal="center"/>
    </xf>
    <xf numFmtId="17" fontId="129" fillId="0" borderId="107" xfId="0" applyNumberFormat="1" applyFont="1" applyBorder="1" applyAlignment="1">
      <alignment horizontal="center" vertical="center"/>
    </xf>
    <xf numFmtId="0" fontId="136" fillId="0" borderId="107" xfId="5" applyFont="1" applyAlignment="1">
      <alignment horizontal="center" vertical="center"/>
    </xf>
    <xf numFmtId="0" fontId="162" fillId="0" borderId="107" xfId="0" applyFont="1" applyBorder="1" applyAlignment="1">
      <alignment horizontal="center" wrapText="1"/>
    </xf>
    <xf numFmtId="0" fontId="129" fillId="91" borderId="107" xfId="0" applyFont="1" applyFill="1" applyBorder="1" applyAlignment="1">
      <alignment horizontal="center" vertical="center"/>
    </xf>
    <xf numFmtId="0" fontId="129" fillId="0" borderId="107" xfId="0" applyFont="1" applyBorder="1" applyAlignment="1">
      <alignment horizontal="center"/>
    </xf>
    <xf numFmtId="0" fontId="162" fillId="59" borderId="107" xfId="0" applyFont="1" applyFill="1" applyBorder="1" applyAlignment="1">
      <alignment horizontal="center"/>
    </xf>
    <xf numFmtId="1" fontId="177" fillId="0" borderId="107" xfId="0" applyNumberFormat="1" applyFont="1" applyBorder="1" applyAlignment="1">
      <alignment horizontal="right" vertical="center"/>
    </xf>
    <xf numFmtId="0" fontId="0" fillId="58" borderId="107" xfId="0" applyFill="1" applyBorder="1" applyAlignment="1">
      <alignment wrapText="1"/>
    </xf>
    <xf numFmtId="0" fontId="129" fillId="58" borderId="107" xfId="0" applyFont="1" applyFill="1" applyBorder="1" applyAlignment="1">
      <alignment wrapText="1"/>
    </xf>
    <xf numFmtId="0" fontId="136" fillId="89" borderId="252" xfId="0" applyFont="1" applyFill="1" applyBorder="1" applyAlignment="1">
      <alignment wrapText="1"/>
    </xf>
    <xf numFmtId="0" fontId="59" fillId="89" borderId="271" xfId="0" applyFont="1" applyFill="1" applyBorder="1" applyAlignment="1">
      <alignment wrapText="1"/>
    </xf>
    <xf numFmtId="0" fontId="59" fillId="89" borderId="259" xfId="0" applyFont="1" applyFill="1" applyBorder="1" applyAlignment="1">
      <alignment wrapText="1"/>
    </xf>
    <xf numFmtId="0" fontId="297" fillId="0" borderId="259" xfId="0" applyFont="1" applyBorder="1" applyAlignment="1">
      <alignment wrapText="1"/>
    </xf>
    <xf numFmtId="0" fontId="277" fillId="0" borderId="259" xfId="1" applyBorder="1" applyAlignment="1">
      <alignment wrapText="1"/>
    </xf>
    <xf numFmtId="0" fontId="297" fillId="0" borderId="263" xfId="0" applyFont="1" applyBorder="1" applyAlignment="1">
      <alignment horizontal="center" wrapText="1"/>
    </xf>
    <xf numFmtId="0" fontId="143" fillId="62" borderId="259" xfId="0" applyFont="1" applyFill="1" applyBorder="1" applyAlignment="1">
      <alignment horizontal="center" vertical="center" wrapText="1"/>
    </xf>
    <xf numFmtId="0" fontId="289" fillId="62" borderId="263" xfId="0" applyFont="1" applyFill="1" applyBorder="1" applyAlignment="1">
      <alignment horizontal="center" vertical="center" wrapText="1"/>
    </xf>
    <xf numFmtId="0" fontId="90" fillId="0" borderId="274" xfId="0" applyFont="1" applyBorder="1" applyAlignment="1">
      <alignment wrapText="1"/>
    </xf>
    <xf numFmtId="0" fontId="90" fillId="0" borderId="239" xfId="0" applyFont="1" applyBorder="1" applyAlignment="1">
      <alignment wrapText="1"/>
    </xf>
    <xf numFmtId="0" fontId="145" fillId="0" borderId="141" xfId="0" applyFont="1" applyBorder="1" applyAlignment="1">
      <alignment horizontal="center" wrapText="1"/>
    </xf>
    <xf numFmtId="0" fontId="90" fillId="0" borderId="232" xfId="0" applyFont="1" applyBorder="1" applyAlignment="1">
      <alignment wrapText="1"/>
    </xf>
    <xf numFmtId="0" fontId="147" fillId="72" borderId="141" xfId="0" applyFont="1" applyFill="1" applyBorder="1"/>
    <xf numFmtId="0" fontId="147" fillId="0" borderId="272" xfId="0" applyFont="1" applyBorder="1" applyAlignment="1">
      <alignment horizontal="center" wrapText="1"/>
    </xf>
    <xf numFmtId="0" fontId="76" fillId="0" borderId="140" xfId="0" applyFont="1" applyBorder="1" applyAlignment="1">
      <alignment horizontal="right" wrapText="1"/>
    </xf>
    <xf numFmtId="0" fontId="294" fillId="161" borderId="140" xfId="0" applyFont="1" applyFill="1" applyBorder="1" applyAlignment="1">
      <alignment wrapText="1"/>
    </xf>
    <xf numFmtId="0" fontId="306" fillId="161" borderId="140" xfId="0" applyFont="1" applyFill="1" applyBorder="1" applyAlignment="1">
      <alignment wrapText="1"/>
    </xf>
    <xf numFmtId="0" fontId="306" fillId="161" borderId="140" xfId="0" applyFont="1" applyFill="1" applyBorder="1" applyAlignment="1">
      <alignment horizontal="right" wrapText="1"/>
    </xf>
    <xf numFmtId="0" fontId="294" fillId="161" borderId="140" xfId="0" applyFont="1" applyFill="1" applyBorder="1" applyAlignment="1">
      <alignment horizontal="right" wrapText="1"/>
    </xf>
    <xf numFmtId="0" fontId="84" fillId="157" borderId="140" xfId="0" applyFont="1" applyFill="1" applyBorder="1" applyAlignment="1">
      <alignment wrapText="1"/>
    </xf>
    <xf numFmtId="0" fontId="136" fillId="157" borderId="140" xfId="0" applyFont="1" applyFill="1" applyBorder="1" applyAlignment="1">
      <alignment horizontal="right" wrapText="1"/>
    </xf>
    <xf numFmtId="0" fontId="59" fillId="0" borderId="140" xfId="0" applyFont="1" applyBorder="1" applyAlignment="1">
      <alignment horizontal="right" wrapText="1"/>
    </xf>
    <xf numFmtId="0" fontId="136" fillId="58" borderId="140" xfId="0" applyFont="1" applyFill="1" applyBorder="1" applyAlignment="1">
      <alignment horizontal="right" wrapText="1"/>
    </xf>
    <xf numFmtId="0" fontId="90" fillId="0" borderId="238" xfId="0" applyFont="1" applyBorder="1" applyAlignment="1">
      <alignment wrapText="1"/>
    </xf>
    <xf numFmtId="0" fontId="136" fillId="0" borderId="238" xfId="0" applyFont="1" applyBorder="1" applyAlignment="1">
      <alignment wrapText="1"/>
    </xf>
    <xf numFmtId="0" fontId="277" fillId="0" borderId="238" xfId="1" applyBorder="1" applyAlignment="1">
      <alignment wrapText="1"/>
    </xf>
    <xf numFmtId="0" fontId="277" fillId="0" borderId="239" xfId="1" applyBorder="1" applyAlignment="1">
      <alignment wrapText="1"/>
    </xf>
    <xf numFmtId="0" fontId="90" fillId="0" borderId="218" xfId="0" applyFont="1" applyBorder="1" applyAlignment="1">
      <alignment wrapText="1"/>
    </xf>
    <xf numFmtId="0" fontId="136" fillId="0" borderId="218" xfId="0" applyFont="1" applyBorder="1" applyAlignment="1">
      <alignment horizontal="right" wrapText="1"/>
    </xf>
    <xf numFmtId="0" fontId="76" fillId="0" borderId="218" xfId="0" applyFont="1" applyBorder="1" applyAlignment="1">
      <alignment horizontal="right" wrapText="1"/>
    </xf>
    <xf numFmtId="0" fontId="90" fillId="120" borderId="218" xfId="0" applyFont="1" applyFill="1" applyBorder="1" applyAlignment="1">
      <alignment wrapText="1"/>
    </xf>
    <xf numFmtId="0" fontId="90" fillId="0" borderId="279" xfId="0" applyFont="1" applyBorder="1" applyAlignment="1">
      <alignment wrapText="1"/>
    </xf>
    <xf numFmtId="0" fontId="147" fillId="65" borderId="280" xfId="0" applyFont="1" applyFill="1" applyBorder="1" applyAlignment="1">
      <alignment horizontal="center" wrapText="1"/>
    </xf>
    <xf numFmtId="0" fontId="297" fillId="0" borderId="283" xfId="0" applyFont="1" applyBorder="1" applyAlignment="1">
      <alignment horizontal="center" wrapText="1"/>
    </xf>
    <xf numFmtId="0" fontId="304" fillId="0" borderId="284" xfId="0" applyFont="1" applyBorder="1" applyAlignment="1">
      <alignment wrapText="1"/>
    </xf>
    <xf numFmtId="0" fontId="304" fillId="0" borderId="284" xfId="0" applyFont="1" applyBorder="1" applyAlignment="1">
      <alignment horizontal="center" wrapText="1"/>
    </xf>
    <xf numFmtId="0" fontId="90" fillId="0" borderId="284" xfId="0" applyFont="1" applyBorder="1" applyAlignment="1">
      <alignment horizontal="center" wrapText="1"/>
    </xf>
    <xf numFmtId="0" fontId="90" fillId="0" borderId="285" xfId="0" applyFont="1" applyBorder="1" applyAlignment="1">
      <alignment horizontal="center" wrapText="1"/>
    </xf>
    <xf numFmtId="0" fontId="136" fillId="0" borderId="286" xfId="0" applyFont="1" applyBorder="1" applyAlignment="1">
      <alignment horizontal="center" wrapText="1"/>
    </xf>
    <xf numFmtId="0" fontId="90" fillId="0" borderId="287" xfId="0" applyFont="1" applyBorder="1" applyAlignment="1">
      <alignment wrapText="1"/>
    </xf>
    <xf numFmtId="0" fontId="147" fillId="65" borderId="288" xfId="0" applyFont="1" applyFill="1" applyBorder="1" applyAlignment="1">
      <alignment horizontal="center" wrapText="1"/>
    </xf>
    <xf numFmtId="0" fontId="143" fillId="62" borderId="289" xfId="0" applyFont="1" applyFill="1" applyBorder="1" applyAlignment="1">
      <alignment horizontal="center" wrapText="1"/>
    </xf>
    <xf numFmtId="0" fontId="143" fillId="62" borderId="290" xfId="0" applyFont="1" applyFill="1" applyBorder="1" applyAlignment="1">
      <alignment horizontal="center" wrapText="1"/>
    </xf>
    <xf numFmtId="0" fontId="143" fillId="62" borderId="291" xfId="0" applyFont="1" applyFill="1" applyBorder="1" applyAlignment="1">
      <alignment horizontal="center" wrapText="1"/>
    </xf>
    <xf numFmtId="0" fontId="289" fillId="62" borderId="292" xfId="0" applyFont="1" applyFill="1" applyBorder="1" applyAlignment="1">
      <alignment horizontal="center" wrapText="1"/>
    </xf>
    <xf numFmtId="0" fontId="144" fillId="89" borderId="291" xfId="0" applyFont="1" applyFill="1" applyBorder="1" applyAlignment="1">
      <alignment horizontal="center" wrapText="1"/>
    </xf>
    <xf numFmtId="0" fontId="144" fillId="89" borderId="292" xfId="0" applyFont="1" applyFill="1" applyBorder="1" applyAlignment="1">
      <alignment horizontal="center" wrapText="1"/>
    </xf>
    <xf numFmtId="0" fontId="90" fillId="90" borderId="291" xfId="0" applyFont="1" applyFill="1" applyBorder="1" applyAlignment="1">
      <alignment horizontal="center" wrapText="1"/>
    </xf>
    <xf numFmtId="0" fontId="90" fillId="125" borderId="291" xfId="0" applyFont="1" applyFill="1" applyBorder="1" applyAlignment="1">
      <alignment wrapText="1"/>
    </xf>
    <xf numFmtId="0" fontId="90" fillId="125" borderId="292" xfId="0" applyFont="1" applyFill="1" applyBorder="1" applyAlignment="1">
      <alignment wrapText="1"/>
    </xf>
    <xf numFmtId="0" fontId="90" fillId="72" borderId="291" xfId="0" applyFont="1" applyFill="1" applyBorder="1" applyAlignment="1">
      <alignment wrapText="1"/>
    </xf>
    <xf numFmtId="0" fontId="90" fillId="72" borderId="292" xfId="0" applyFont="1" applyFill="1" applyBorder="1" applyAlignment="1">
      <alignment wrapText="1"/>
    </xf>
    <xf numFmtId="0" fontId="90" fillId="72" borderId="278" xfId="0" applyFont="1" applyFill="1" applyBorder="1" applyAlignment="1">
      <alignment wrapText="1"/>
    </xf>
    <xf numFmtId="0" fontId="90" fillId="0" borderId="218" xfId="0" applyFont="1" applyBorder="1" applyAlignment="1">
      <alignment horizontal="center" wrapText="1"/>
    </xf>
    <xf numFmtId="0" fontId="90" fillId="0" borderId="140" xfId="0" applyFont="1" applyBorder="1" applyAlignment="1">
      <alignment horizontal="center" wrapText="1"/>
    </xf>
    <xf numFmtId="0" fontId="294" fillId="161" borderId="140" xfId="0" applyFont="1" applyFill="1" applyBorder="1" applyAlignment="1">
      <alignment horizontal="center" wrapText="1"/>
    </xf>
    <xf numFmtId="0" fontId="90" fillId="157" borderId="140" xfId="0" applyFont="1" applyFill="1" applyBorder="1" applyAlignment="1">
      <alignment horizontal="center" wrapText="1"/>
    </xf>
    <xf numFmtId="0" fontId="198" fillId="0" borderId="140" xfId="0" applyFont="1" applyBorder="1" applyAlignment="1">
      <alignment horizontal="left"/>
    </xf>
    <xf numFmtId="0" fontId="294" fillId="161" borderId="140" xfId="0" applyFont="1" applyFill="1" applyBorder="1" applyAlignment="1">
      <alignment horizontal="left" wrapText="1"/>
    </xf>
    <xf numFmtId="0" fontId="90" fillId="157" borderId="140" xfId="0" applyFont="1" applyFill="1" applyBorder="1" applyAlignment="1">
      <alignment horizontal="left" wrapText="1"/>
    </xf>
    <xf numFmtId="0" fontId="275" fillId="161" borderId="140" xfId="0" applyFont="1" applyFill="1" applyBorder="1"/>
    <xf numFmtId="0" fontId="172" fillId="161" borderId="140" xfId="0" applyFont="1" applyFill="1" applyBorder="1" applyAlignment="1">
      <alignment horizontal="center"/>
    </xf>
    <xf numFmtId="0" fontId="143" fillId="62" borderId="232" xfId="0" applyFont="1" applyFill="1" applyBorder="1" applyAlignment="1">
      <alignment horizontal="center" vertical="center" wrapText="1"/>
    </xf>
    <xf numFmtId="0" fontId="289" fillId="62" borderId="232" xfId="0" applyFont="1" applyFill="1" applyBorder="1" applyAlignment="1">
      <alignment horizontal="center" vertical="center" wrapText="1"/>
    </xf>
    <xf numFmtId="0" fontId="144" fillId="90" borderId="232" xfId="0" applyFont="1" applyFill="1" applyBorder="1" applyAlignment="1">
      <alignment horizontal="center" wrapText="1"/>
    </xf>
    <xf numFmtId="0" fontId="313" fillId="90" borderId="232" xfId="0" applyFont="1" applyFill="1" applyBorder="1" applyAlignment="1">
      <alignment horizontal="center" wrapText="1"/>
    </xf>
    <xf numFmtId="0" fontId="325" fillId="125" borderId="232" xfId="0" applyFont="1" applyFill="1" applyBorder="1" applyAlignment="1">
      <alignment horizontal="center" wrapText="1"/>
    </xf>
    <xf numFmtId="0" fontId="144" fillId="72" borderId="232" xfId="0" applyFont="1" applyFill="1" applyBorder="1" applyAlignment="1">
      <alignment horizontal="center" wrapText="1"/>
    </xf>
    <xf numFmtId="0" fontId="59" fillId="59" borderId="140" xfId="0" applyFont="1" applyFill="1" applyBorder="1" applyAlignment="1">
      <alignment wrapText="1"/>
    </xf>
    <xf numFmtId="0" fontId="147" fillId="3" borderId="140" xfId="5" applyFont="1" applyFill="1" applyBorder="1" applyAlignment="1">
      <alignment horizontal="center" vertical="center" wrapText="1"/>
    </xf>
    <xf numFmtId="17" fontId="136" fillId="0" borderId="218" xfId="5" applyNumberFormat="1" applyFont="1" applyBorder="1" applyAlignment="1">
      <alignment horizontal="center" vertical="center"/>
    </xf>
    <xf numFmtId="0" fontId="304" fillId="59" borderId="140" xfId="0" applyFont="1" applyFill="1" applyBorder="1" applyAlignment="1">
      <alignment horizontal="center" wrapText="1"/>
    </xf>
    <xf numFmtId="0" fontId="136" fillId="59" borderId="140" xfId="0" applyFont="1" applyFill="1" applyBorder="1" applyAlignment="1">
      <alignment wrapText="1"/>
    </xf>
    <xf numFmtId="0" fontId="116" fillId="0" borderId="293" xfId="0" applyFont="1" applyBorder="1" applyAlignment="1">
      <alignment wrapText="1"/>
    </xf>
    <xf numFmtId="0" fontId="136" fillId="0" borderId="293" xfId="0" applyFont="1" applyBorder="1" applyAlignment="1">
      <alignment horizontal="right" wrapText="1"/>
    </xf>
    <xf numFmtId="0" fontId="116" fillId="0" borderId="140" xfId="0" applyFont="1" applyBorder="1" applyAlignment="1">
      <alignment wrapText="1"/>
    </xf>
    <xf numFmtId="0" fontId="116" fillId="0" borderId="294" xfId="0" applyFont="1" applyBorder="1" applyAlignment="1">
      <alignment wrapText="1"/>
    </xf>
    <xf numFmtId="0" fontId="116" fillId="59" borderId="294" xfId="0" applyFont="1" applyFill="1" applyBorder="1" applyAlignment="1">
      <alignment wrapText="1"/>
    </xf>
    <xf numFmtId="0" fontId="116" fillId="58" borderId="294" xfId="0" applyFont="1" applyFill="1" applyBorder="1" applyAlignment="1">
      <alignment wrapText="1"/>
    </xf>
    <xf numFmtId="0" fontId="192" fillId="90" borderId="232" xfId="0" applyFont="1" applyFill="1" applyBorder="1" applyAlignment="1">
      <alignment horizontal="center" wrapText="1"/>
    </xf>
    <xf numFmtId="0" fontId="162" fillId="90" borderId="232" xfId="0" applyFont="1" applyFill="1" applyBorder="1" applyAlignment="1">
      <alignment horizontal="center" wrapText="1"/>
    </xf>
    <xf numFmtId="0" fontId="230" fillId="124" borderId="232" xfId="0" applyFont="1" applyFill="1" applyBorder="1" applyAlignment="1">
      <alignment horizontal="center" wrapText="1"/>
    </xf>
    <xf numFmtId="0" fontId="326" fillId="124" borderId="232" xfId="0" applyFont="1" applyFill="1" applyBorder="1" applyAlignment="1">
      <alignment horizontal="center" wrapText="1"/>
    </xf>
    <xf numFmtId="0" fontId="162" fillId="72" borderId="232" xfId="0" applyFont="1" applyFill="1" applyBorder="1" applyAlignment="1">
      <alignment horizontal="center" wrapText="1"/>
    </xf>
    <xf numFmtId="0" fontId="156" fillId="72" borderId="232" xfId="0" applyFont="1" applyFill="1" applyBorder="1" applyAlignment="1">
      <alignment horizontal="center" wrapText="1"/>
    </xf>
    <xf numFmtId="0" fontId="136" fillId="59" borderId="140" xfId="0" applyFont="1" applyFill="1" applyBorder="1" applyAlignment="1">
      <alignment horizontal="right" wrapText="1"/>
    </xf>
    <xf numFmtId="0" fontId="59" fillId="59" borderId="140" xfId="0" applyFont="1" applyFill="1" applyBorder="1" applyAlignment="1">
      <alignment horizontal="right" wrapText="1"/>
    </xf>
    <xf numFmtId="0" fontId="136" fillId="129" borderId="140" xfId="0" applyFont="1" applyFill="1" applyBorder="1" applyAlignment="1">
      <alignment horizontal="right" wrapText="1"/>
    </xf>
    <xf numFmtId="0" fontId="59" fillId="129" borderId="140" xfId="0" applyFont="1" applyFill="1" applyBorder="1" applyAlignment="1">
      <alignment horizontal="right" wrapText="1"/>
    </xf>
    <xf numFmtId="0" fontId="59" fillId="129" borderId="140" xfId="0" applyFont="1" applyFill="1" applyBorder="1" applyAlignment="1">
      <alignment wrapText="1"/>
    </xf>
    <xf numFmtId="0" fontId="162" fillId="129" borderId="140" xfId="0" applyFont="1" applyFill="1" applyBorder="1" applyAlignment="1">
      <alignment horizontal="right" wrapText="1"/>
    </xf>
    <xf numFmtId="17" fontId="136" fillId="59" borderId="140" xfId="5" applyNumberFormat="1" applyFont="1" applyFill="1" applyBorder="1" applyAlignment="1">
      <alignment horizontal="center" vertical="center"/>
    </xf>
    <xf numFmtId="0" fontId="275" fillId="59" borderId="140" xfId="0" applyFont="1" applyFill="1" applyBorder="1"/>
    <xf numFmtId="0" fontId="198" fillId="59" borderId="140" xfId="0" applyFont="1" applyFill="1" applyBorder="1" applyAlignment="1">
      <alignment horizontal="left"/>
    </xf>
    <xf numFmtId="0" fontId="137" fillId="59" borderId="140" xfId="5" applyFont="1" applyFill="1" applyBorder="1" applyAlignment="1">
      <alignment horizontal="center" vertical="center"/>
    </xf>
    <xf numFmtId="17" fontId="136" fillId="85" borderId="140" xfId="5" applyNumberFormat="1" applyFont="1" applyFill="1" applyBorder="1" applyAlignment="1">
      <alignment horizontal="center" vertical="center"/>
    </xf>
    <xf numFmtId="0" fontId="136" fillId="85" borderId="140" xfId="0" applyFont="1" applyFill="1" applyBorder="1" applyAlignment="1">
      <alignment wrapText="1"/>
    </xf>
    <xf numFmtId="0" fontId="275" fillId="85" borderId="140" xfId="0" applyFont="1" applyFill="1" applyBorder="1"/>
    <xf numFmtId="0" fontId="172" fillId="85" borderId="140" xfId="0" applyFont="1" applyFill="1" applyBorder="1" applyAlignment="1">
      <alignment horizontal="center"/>
    </xf>
    <xf numFmtId="0" fontId="198" fillId="85" borderId="140" xfId="0" applyFont="1" applyFill="1" applyBorder="1" applyAlignment="1">
      <alignment horizontal="left"/>
    </xf>
    <xf numFmtId="0" fontId="137" fillId="85" borderId="140" xfId="5" applyFont="1" applyFill="1" applyBorder="1" applyAlignment="1">
      <alignment horizontal="center" vertical="center"/>
    </xf>
    <xf numFmtId="0" fontId="90" fillId="0" borderId="218" xfId="0" applyFont="1" applyBorder="1" applyAlignment="1">
      <alignment horizontal="left" wrapText="1"/>
    </xf>
    <xf numFmtId="0" fontId="90" fillId="0" borderId="140" xfId="0" applyFont="1" applyBorder="1" applyAlignment="1">
      <alignment horizontal="left" wrapText="1"/>
    </xf>
    <xf numFmtId="0" fontId="90" fillId="58" borderId="140" xfId="0" applyFont="1" applyFill="1" applyBorder="1" applyAlignment="1">
      <alignment horizontal="left" wrapText="1"/>
    </xf>
    <xf numFmtId="17" fontId="136" fillId="161" borderId="140" xfId="5" applyNumberFormat="1" applyFont="1" applyFill="1" applyBorder="1" applyAlignment="1">
      <alignment horizontal="center" vertical="center"/>
    </xf>
    <xf numFmtId="17" fontId="136" fillId="70" borderId="140" xfId="5" applyNumberFormat="1" applyFont="1" applyFill="1" applyBorder="1" applyAlignment="1">
      <alignment horizontal="center" vertical="center"/>
    </xf>
    <xf numFmtId="0" fontId="59" fillId="0" borderId="236" xfId="0" applyFont="1" applyBorder="1" applyAlignment="1">
      <alignment wrapText="1"/>
    </xf>
    <xf numFmtId="0" fontId="59" fillId="0" borderId="140" xfId="0" applyFont="1" applyBorder="1"/>
    <xf numFmtId="0" fontId="59" fillId="59" borderId="140" xfId="0" applyFont="1" applyFill="1" applyBorder="1"/>
    <xf numFmtId="0" fontId="136" fillId="0" borderId="274" xfId="0" applyFont="1" applyBorder="1" applyAlignment="1">
      <alignment horizontal="center" vertical="center" wrapText="1"/>
    </xf>
    <xf numFmtId="0" fontId="147" fillId="65" borderId="274" xfId="0" applyFont="1" applyFill="1" applyBorder="1" applyAlignment="1">
      <alignment horizontal="center" vertical="center" wrapText="1"/>
    </xf>
    <xf numFmtId="0" fontId="59" fillId="89" borderId="239" xfId="0" applyFont="1" applyFill="1" applyBorder="1" applyAlignment="1">
      <alignment wrapText="1"/>
    </xf>
    <xf numFmtId="0" fontId="304" fillId="0" borderId="218" xfId="0" applyFont="1" applyBorder="1" applyAlignment="1">
      <alignment horizontal="center" wrapText="1"/>
    </xf>
    <xf numFmtId="0" fontId="59" fillId="0" borderId="218" xfId="0" applyFont="1" applyBorder="1"/>
    <xf numFmtId="0" fontId="142" fillId="0" borderId="278" xfId="0" applyFont="1" applyBorder="1" applyAlignment="1">
      <alignment horizontal="center" vertical="center" wrapText="1"/>
    </xf>
    <xf numFmtId="0" fontId="142" fillId="70" borderId="299" xfId="0" applyFont="1" applyFill="1" applyBorder="1" applyAlignment="1">
      <alignment horizontal="center" vertical="center" wrapText="1"/>
    </xf>
    <xf numFmtId="0" fontId="147" fillId="65" borderId="281" xfId="0" applyFont="1" applyFill="1" applyBorder="1" applyAlignment="1">
      <alignment horizontal="center" vertical="center" wrapText="1"/>
    </xf>
    <xf numFmtId="0" fontId="147" fillId="65" borderId="260" xfId="0" applyFont="1" applyFill="1" applyBorder="1" applyAlignment="1">
      <alignment horizontal="center" vertical="center" wrapText="1"/>
    </xf>
    <xf numFmtId="0" fontId="147" fillId="158" borderId="217" xfId="5" applyFont="1" applyFill="1" applyBorder="1" applyAlignment="1">
      <alignment horizontal="center" vertical="center" wrapText="1"/>
    </xf>
    <xf numFmtId="0" fontId="162" fillId="89" borderId="266" xfId="0" applyFont="1" applyFill="1" applyBorder="1" applyAlignment="1">
      <alignment horizontal="center" wrapText="1"/>
    </xf>
    <xf numFmtId="0" fontId="215" fillId="162" borderId="266" xfId="0" applyFont="1" applyFill="1" applyBorder="1" applyAlignment="1">
      <alignment horizontal="center" wrapText="1"/>
    </xf>
    <xf numFmtId="0" fontId="215" fillId="162" borderId="232" xfId="0" applyFont="1" applyFill="1" applyBorder="1" applyAlignment="1">
      <alignment horizontal="center" wrapText="1"/>
    </xf>
    <xf numFmtId="0" fontId="162" fillId="162" borderId="232" xfId="0" applyFont="1" applyFill="1" applyBorder="1" applyAlignment="1">
      <alignment horizontal="center" vertical="top" wrapText="1"/>
    </xf>
    <xf numFmtId="0" fontId="145" fillId="162" borderId="266" xfId="0" applyFont="1" applyFill="1" applyBorder="1" applyAlignment="1">
      <alignment horizontal="center" vertical="top" wrapText="1"/>
    </xf>
    <xf numFmtId="0" fontId="162" fillId="65" borderId="266" xfId="0" applyFont="1" applyFill="1" applyBorder="1" applyAlignment="1">
      <alignment horizontal="center" vertical="top" wrapText="1"/>
    </xf>
    <xf numFmtId="0" fontId="145" fillId="65" borderId="266" xfId="0" applyFont="1" applyFill="1" applyBorder="1" applyAlignment="1">
      <alignment horizontal="center" vertical="top" wrapText="1"/>
    </xf>
    <xf numFmtId="0" fontId="162" fillId="163" borderId="266" xfId="0" applyFont="1" applyFill="1" applyBorder="1" applyAlignment="1">
      <alignment horizontal="center" vertical="top" wrapText="1"/>
    </xf>
    <xf numFmtId="0" fontId="145" fillId="70" borderId="266" xfId="0" applyFont="1" applyFill="1" applyBorder="1" applyAlignment="1">
      <alignment horizontal="center" vertical="top" wrapText="1"/>
    </xf>
    <xf numFmtId="0" fontId="162" fillId="70" borderId="266" xfId="0" applyFont="1" applyFill="1" applyBorder="1" applyAlignment="1">
      <alignment horizontal="center" vertical="top" wrapText="1"/>
    </xf>
    <xf numFmtId="0" fontId="59" fillId="84" borderId="140" xfId="0" applyFont="1" applyFill="1" applyBorder="1" applyAlignment="1">
      <alignment horizontal="right" wrapText="1"/>
    </xf>
    <xf numFmtId="0" fontId="59" fillId="84" borderId="185" xfId="0" applyFont="1" applyFill="1" applyBorder="1" applyAlignment="1">
      <alignment horizontal="right" wrapText="1"/>
    </xf>
    <xf numFmtId="0" fontId="59" fillId="62" borderId="185" xfId="0" applyFont="1" applyFill="1" applyBorder="1" applyAlignment="1">
      <alignment horizontal="right" wrapText="1"/>
    </xf>
    <xf numFmtId="0" fontId="59" fillId="0" borderId="185" xfId="0" applyFont="1" applyBorder="1" applyAlignment="1">
      <alignment horizontal="right" wrapText="1"/>
    </xf>
    <xf numFmtId="0" fontId="136" fillId="0" borderId="187" xfId="0" applyFont="1" applyBorder="1" applyAlignment="1">
      <alignment horizontal="right" wrapText="1"/>
    </xf>
    <xf numFmtId="0" fontId="147" fillId="164" borderId="217" xfId="5" applyFont="1" applyFill="1" applyBorder="1" applyAlignment="1">
      <alignment horizontal="center" vertical="center" wrapText="1"/>
    </xf>
    <xf numFmtId="0" fontId="336" fillId="0" borderId="0" xfId="0" applyFont="1"/>
    <xf numFmtId="0" fontId="336" fillId="0" borderId="0" xfId="0" applyFont="1" applyAlignment="1">
      <alignment horizontal="center"/>
    </xf>
    <xf numFmtId="14" fontId="157" fillId="0" borderId="107" xfId="0" applyNumberFormat="1" applyFont="1" applyBorder="1" applyAlignment="1">
      <alignment horizontal="center" vertical="center"/>
    </xf>
    <xf numFmtId="0" fontId="294" fillId="0" borderId="107" xfId="0" applyFont="1" applyBorder="1"/>
    <xf numFmtId="0" fontId="306" fillId="166" borderId="237" xfId="0" applyFont="1" applyFill="1" applyBorder="1"/>
    <xf numFmtId="0" fontId="306" fillId="166" borderId="187" xfId="0" applyFont="1" applyFill="1" applyBorder="1"/>
    <xf numFmtId="0" fontId="306" fillId="166" borderId="240" xfId="0" applyFont="1" applyFill="1" applyBorder="1"/>
    <xf numFmtId="0" fontId="306" fillId="166" borderId="241" xfId="0" applyFont="1" applyFill="1" applyBorder="1"/>
    <xf numFmtId="0" fontId="306" fillId="0" borderId="0" xfId="0" applyFont="1"/>
    <xf numFmtId="0" fontId="306" fillId="0" borderId="140" xfId="0" applyFont="1" applyBorder="1"/>
    <xf numFmtId="0" fontId="294" fillId="0" borderId="0" xfId="0" applyFont="1"/>
    <xf numFmtId="0" fontId="136" fillId="121" borderId="0" xfId="0" applyFont="1" applyFill="1"/>
    <xf numFmtId="0" fontId="136" fillId="121" borderId="115" xfId="0" applyFont="1" applyFill="1" applyBorder="1" applyAlignment="1">
      <alignment horizontal="center"/>
    </xf>
    <xf numFmtId="0" fontId="0" fillId="121" borderId="0" xfId="0" applyFill="1"/>
    <xf numFmtId="165" fontId="69" fillId="0" borderId="140" xfId="0" applyNumberFormat="1" applyFont="1" applyBorder="1"/>
    <xf numFmtId="0" fontId="206" fillId="74" borderId="107" xfId="0" applyFont="1" applyFill="1" applyBorder="1" applyAlignment="1">
      <alignment horizontal="center" vertical="center" wrapText="1"/>
    </xf>
    <xf numFmtId="0" fontId="215" fillId="58" borderId="107" xfId="0" applyFont="1" applyFill="1" applyBorder="1" applyAlignment="1">
      <alignment horizontal="center" vertical="center" wrapText="1"/>
    </xf>
    <xf numFmtId="0" fontId="172" fillId="0" borderId="158" xfId="0" applyFont="1" applyBorder="1" applyAlignment="1">
      <alignment wrapText="1"/>
    </xf>
    <xf numFmtId="0" fontId="137" fillId="62" borderId="107" xfId="0" applyFont="1" applyFill="1" applyBorder="1" applyAlignment="1">
      <alignment horizontal="right" wrapText="1"/>
    </xf>
    <xf numFmtId="0" fontId="197" fillId="43" borderId="115" xfId="0" applyFont="1" applyFill="1" applyBorder="1" applyAlignment="1">
      <alignment vertical="center" wrapText="1"/>
    </xf>
    <xf numFmtId="0" fontId="172" fillId="2" borderId="107" xfId="0" applyFont="1" applyFill="1" applyBorder="1"/>
    <xf numFmtId="0" fontId="286" fillId="75" borderId="140" xfId="0" applyFont="1" applyFill="1" applyBorder="1" applyAlignment="1">
      <alignment horizontal="center" vertical="center" wrapText="1"/>
    </xf>
    <xf numFmtId="0" fontId="286" fillId="0" borderId="140" xfId="0" applyFont="1" applyBorder="1" applyAlignment="1">
      <alignment vertical="center" wrapText="1"/>
    </xf>
    <xf numFmtId="0" fontId="286" fillId="111" borderId="140" xfId="0" applyFont="1" applyFill="1" applyBorder="1" applyAlignment="1">
      <alignment horizontal="center" vertical="center" wrapText="1"/>
    </xf>
    <xf numFmtId="0" fontId="341" fillId="0" borderId="0" xfId="0" applyFont="1" applyAlignment="1">
      <alignment horizontal="center"/>
    </xf>
    <xf numFmtId="0" fontId="294" fillId="58" borderId="0" xfId="0" applyFont="1" applyFill="1"/>
    <xf numFmtId="0" fontId="56" fillId="0" borderId="252" xfId="0" applyFont="1" applyBorder="1" applyAlignment="1">
      <alignment wrapText="1"/>
    </xf>
    <xf numFmtId="0" fontId="56" fillId="0" borderId="259" xfId="0" applyFont="1" applyBorder="1" applyAlignment="1">
      <alignment wrapText="1"/>
    </xf>
    <xf numFmtId="0" fontId="56" fillId="0" borderId="300" xfId="0" applyFont="1" applyBorder="1" applyAlignment="1">
      <alignment wrapText="1"/>
    </xf>
    <xf numFmtId="0" fontId="56" fillId="65" borderId="259" xfId="0" applyFont="1" applyFill="1" applyBorder="1" applyAlignment="1">
      <alignment vertical="center" wrapText="1"/>
    </xf>
    <xf numFmtId="0" fontId="162" fillId="0" borderId="259" xfId="0" applyFont="1" applyBorder="1" applyAlignment="1">
      <alignment wrapText="1"/>
    </xf>
    <xf numFmtId="0" fontId="162" fillId="0" borderId="254" xfId="0" applyFont="1" applyBorder="1" applyAlignment="1">
      <alignment wrapText="1"/>
    </xf>
    <xf numFmtId="0" fontId="162" fillId="0" borderId="84" xfId="0" applyFont="1" applyBorder="1" applyAlignment="1">
      <alignment wrapText="1"/>
    </xf>
    <xf numFmtId="0" fontId="277" fillId="0" borderId="254" xfId="1" applyBorder="1" applyAlignment="1">
      <alignment wrapText="1"/>
    </xf>
    <xf numFmtId="0" fontId="136" fillId="0" borderId="301" xfId="0" applyFont="1" applyBorder="1" applyAlignment="1">
      <alignment horizontal="center" vertical="center" wrapText="1"/>
    </xf>
    <xf numFmtId="0" fontId="304" fillId="0" borderId="259" xfId="0" applyFont="1" applyBorder="1" applyAlignment="1">
      <alignment wrapText="1"/>
    </xf>
    <xf numFmtId="0" fontId="278" fillId="0" borderId="259" xfId="0" applyFont="1" applyBorder="1" applyAlignment="1">
      <alignment wrapText="1"/>
    </xf>
    <xf numFmtId="0" fontId="278" fillId="0" borderId="254" xfId="0" applyFont="1" applyBorder="1" applyAlignment="1">
      <alignment wrapText="1"/>
    </xf>
    <xf numFmtId="0" fontId="278" fillId="0" borderId="84" xfId="0" applyFont="1" applyBorder="1" applyAlignment="1">
      <alignment wrapText="1"/>
    </xf>
    <xf numFmtId="0" fontId="147" fillId="65" borderId="301" xfId="0" applyFont="1" applyFill="1" applyBorder="1" applyAlignment="1">
      <alignment horizontal="center" vertical="center" wrapText="1"/>
    </xf>
    <xf numFmtId="0" fontId="147" fillId="0" borderId="259" xfId="0" applyFont="1" applyBorder="1" applyAlignment="1">
      <alignment horizontal="center" vertical="center" wrapText="1"/>
    </xf>
    <xf numFmtId="0" fontId="309" fillId="70" borderId="259" xfId="0" applyFont="1" applyFill="1" applyBorder="1" applyAlignment="1">
      <alignment horizontal="center" vertical="center" wrapText="1"/>
    </xf>
    <xf numFmtId="0" fontId="142" fillId="70" borderId="259" xfId="0" applyFont="1" applyFill="1" applyBorder="1" applyAlignment="1">
      <alignment horizontal="center" vertical="center" wrapText="1"/>
    </xf>
    <xf numFmtId="0" fontId="145" fillId="0" borderId="259" xfId="0" applyFont="1" applyBorder="1" applyAlignment="1">
      <alignment horizontal="center" vertical="center" wrapText="1"/>
    </xf>
    <xf numFmtId="0" fontId="289" fillId="62" borderId="259" xfId="0" applyFont="1" applyFill="1" applyBorder="1" applyAlignment="1">
      <alignment horizontal="center" vertical="center" wrapText="1"/>
    </xf>
    <xf numFmtId="0" fontId="136" fillId="167" borderId="259" xfId="0" applyFont="1" applyFill="1" applyBorder="1" applyAlignment="1">
      <alignment wrapText="1"/>
    </xf>
    <xf numFmtId="0" fontId="136" fillId="90" borderId="259" xfId="0" applyFont="1" applyFill="1" applyBorder="1" applyAlignment="1">
      <alignment wrapText="1"/>
    </xf>
    <xf numFmtId="0" fontId="136" fillId="90" borderId="254" xfId="0" applyFont="1" applyFill="1" applyBorder="1" applyAlignment="1">
      <alignment wrapText="1"/>
    </xf>
    <xf numFmtId="0" fontId="136" fillId="90" borderId="84" xfId="0" applyFont="1" applyFill="1" applyBorder="1" applyAlignment="1">
      <alignment wrapText="1"/>
    </xf>
    <xf numFmtId="0" fontId="56" fillId="0" borderId="230" xfId="0" applyFont="1" applyBorder="1" applyAlignment="1">
      <alignment wrapText="1"/>
    </xf>
    <xf numFmtId="0" fontId="56" fillId="84" borderId="84" xfId="0" applyFont="1" applyFill="1" applyBorder="1" applyAlignment="1">
      <alignment wrapText="1"/>
    </xf>
    <xf numFmtId="0" fontId="56" fillId="0" borderId="84" xfId="0" applyFont="1" applyBorder="1" applyAlignment="1">
      <alignment wrapText="1"/>
    </xf>
    <xf numFmtId="0" fontId="147" fillId="65" borderId="254" xfId="0" applyFont="1" applyFill="1" applyBorder="1" applyAlignment="1">
      <alignment horizontal="center" vertical="center" wrapText="1"/>
    </xf>
    <xf numFmtId="0" fontId="56" fillId="0" borderId="84" xfId="0" applyFont="1" applyBorder="1" applyAlignment="1">
      <alignment horizontal="right" wrapText="1"/>
    </xf>
    <xf numFmtId="0" fontId="136" fillId="0" borderId="230" xfId="0" applyFont="1" applyBorder="1" applyAlignment="1">
      <alignment wrapText="1"/>
    </xf>
    <xf numFmtId="0" fontId="239" fillId="0" borderId="230" xfId="0" applyFont="1" applyBorder="1" applyAlignment="1">
      <alignment wrapText="1"/>
    </xf>
    <xf numFmtId="0" fontId="56" fillId="62" borderId="252" xfId="0" applyFont="1" applyFill="1" applyBorder="1" applyAlignment="1">
      <alignment wrapText="1"/>
    </xf>
    <xf numFmtId="0" fontId="56" fillId="62" borderId="271" xfId="0" applyFont="1" applyFill="1" applyBorder="1" applyAlignment="1">
      <alignment wrapText="1"/>
    </xf>
    <xf numFmtId="0" fontId="56" fillId="62" borderId="259" xfId="0" applyFont="1" applyFill="1" applyBorder="1" applyAlignment="1">
      <alignment wrapText="1"/>
    </xf>
    <xf numFmtId="0" fontId="56" fillId="62" borderId="91" xfId="0" applyFont="1" applyFill="1" applyBorder="1" applyAlignment="1">
      <alignment wrapText="1"/>
    </xf>
    <xf numFmtId="0" fontId="277" fillId="0" borderId="259" xfId="1" applyBorder="1" applyAlignment="1">
      <alignment horizontal="center" wrapText="1"/>
    </xf>
    <xf numFmtId="0" fontId="277" fillId="0" borderId="84" xfId="1" applyBorder="1" applyAlignment="1">
      <alignment horizontal="right" wrapText="1"/>
    </xf>
    <xf numFmtId="0" fontId="312" fillId="0" borderId="259" xfId="0" applyFont="1" applyBorder="1" applyAlignment="1">
      <alignment horizontal="center" wrapText="1"/>
    </xf>
    <xf numFmtId="0" fontId="56" fillId="0" borderId="236" xfId="0" applyFont="1" applyBorder="1" applyAlignment="1">
      <alignment wrapText="1"/>
    </xf>
    <xf numFmtId="0" fontId="136" fillId="0" borderId="232" xfId="0" applyFont="1" applyBorder="1" applyAlignment="1">
      <alignment horizontal="center" vertical="center" wrapText="1"/>
    </xf>
    <xf numFmtId="0" fontId="309" fillId="70" borderId="232" xfId="0" applyFont="1" applyFill="1" applyBorder="1" applyAlignment="1">
      <alignment horizontal="center" vertical="center" wrapText="1"/>
    </xf>
    <xf numFmtId="0" fontId="144" fillId="89" borderId="266" xfId="0" applyFont="1" applyFill="1" applyBorder="1" applyAlignment="1">
      <alignment horizontal="center" wrapText="1"/>
    </xf>
    <xf numFmtId="0" fontId="304" fillId="90" borderId="232" xfId="0" applyFont="1" applyFill="1" applyBorder="1" applyAlignment="1">
      <alignment horizontal="center" wrapText="1"/>
    </xf>
    <xf numFmtId="0" fontId="327" fillId="124" borderId="232" xfId="0" applyFont="1" applyFill="1" applyBorder="1" applyAlignment="1">
      <alignment horizontal="center" wrapText="1"/>
    </xf>
    <xf numFmtId="0" fontId="297" fillId="72" borderId="232" xfId="0" applyFont="1" applyFill="1" applyBorder="1" applyAlignment="1">
      <alignment horizontal="right" wrapText="1"/>
    </xf>
    <xf numFmtId="0" fontId="147" fillId="65" borderId="140" xfId="0" applyFont="1" applyFill="1" applyBorder="1" applyAlignment="1">
      <alignment horizontal="center" vertical="center" wrapText="1"/>
    </xf>
    <xf numFmtId="0" fontId="56" fillId="0" borderId="140" xfId="0" applyFont="1" applyBorder="1" applyAlignment="1">
      <alignment horizontal="right" wrapText="1"/>
    </xf>
    <xf numFmtId="0" fontId="56" fillId="0" borderId="140" xfId="0" applyFont="1" applyBorder="1" applyAlignment="1">
      <alignment wrapText="1"/>
    </xf>
    <xf numFmtId="0" fontId="221" fillId="84" borderId="140" xfId="0" applyFont="1" applyFill="1" applyBorder="1" applyAlignment="1">
      <alignment horizontal="right" wrapText="1"/>
    </xf>
    <xf numFmtId="0" fontId="56" fillId="62" borderId="140" xfId="0" applyFont="1" applyFill="1" applyBorder="1" applyAlignment="1">
      <alignment wrapText="1"/>
    </xf>
    <xf numFmtId="0" fontId="56" fillId="62" borderId="140" xfId="0" applyFont="1" applyFill="1" applyBorder="1" applyAlignment="1">
      <alignment horizontal="right" wrapText="1"/>
    </xf>
    <xf numFmtId="0" fontId="56" fillId="65" borderId="140" xfId="0" applyFont="1" applyFill="1" applyBorder="1" applyAlignment="1">
      <alignment horizontal="right" wrapText="1"/>
    </xf>
    <xf numFmtId="0" fontId="136" fillId="65" borderId="140" xfId="0" applyFont="1" applyFill="1" applyBorder="1" applyAlignment="1">
      <alignment horizontal="right" wrapText="1"/>
    </xf>
    <xf numFmtId="0" fontId="56" fillId="59" borderId="140" xfId="0" applyFont="1" applyFill="1" applyBorder="1" applyAlignment="1">
      <alignment wrapText="1"/>
    </xf>
    <xf numFmtId="0" fontId="56" fillId="59" borderId="140" xfId="0" applyFont="1" applyFill="1" applyBorder="1" applyAlignment="1">
      <alignment horizontal="right" wrapText="1"/>
    </xf>
    <xf numFmtId="0" fontId="56" fillId="131" borderId="140" xfId="0" applyFont="1" applyFill="1" applyBorder="1" applyAlignment="1">
      <alignment wrapText="1"/>
    </xf>
    <xf numFmtId="0" fontId="56" fillId="131" borderId="140" xfId="0" applyFont="1" applyFill="1" applyBorder="1" applyAlignment="1">
      <alignment horizontal="right" wrapText="1"/>
    </xf>
    <xf numFmtId="0" fontId="56" fillId="84" borderId="140" xfId="0" applyFont="1" applyFill="1" applyBorder="1" applyAlignment="1">
      <alignment wrapText="1"/>
    </xf>
    <xf numFmtId="0" fontId="56" fillId="169" borderId="140" xfId="0" applyFont="1" applyFill="1" applyBorder="1" applyAlignment="1">
      <alignment wrapText="1"/>
    </xf>
    <xf numFmtId="0" fontId="56" fillId="169" borderId="140" xfId="0" applyFont="1" applyFill="1" applyBorder="1" applyAlignment="1">
      <alignment horizontal="right" wrapText="1"/>
    </xf>
    <xf numFmtId="0" fontId="141" fillId="0" borderId="142" xfId="0" applyFont="1" applyBorder="1" applyAlignment="1">
      <alignment horizontal="center" vertical="center"/>
    </xf>
    <xf numFmtId="0" fontId="278" fillId="122" borderId="303" xfId="0" applyFont="1" applyFill="1" applyBorder="1" applyAlignment="1">
      <alignment horizontal="center" vertical="center" wrapText="1"/>
    </xf>
    <xf numFmtId="0" fontId="0" fillId="120" borderId="217" xfId="0" applyFill="1" applyBorder="1"/>
    <xf numFmtId="0" fontId="56" fillId="0" borderId="140" xfId="0" applyFont="1" applyBorder="1"/>
    <xf numFmtId="0" fontId="300" fillId="0" borderId="0" xfId="0" applyFont="1"/>
    <xf numFmtId="0" fontId="300" fillId="0" borderId="107" xfId="0" applyFont="1" applyBorder="1"/>
    <xf numFmtId="0" fontId="340" fillId="11" borderId="141" xfId="0" applyFont="1" applyFill="1" applyBorder="1" applyAlignment="1">
      <alignment horizontal="center"/>
    </xf>
    <xf numFmtId="0" fontId="340" fillId="170" borderId="141" xfId="0" applyFont="1" applyFill="1" applyBorder="1" applyAlignment="1">
      <alignment horizontal="center"/>
    </xf>
    <xf numFmtId="0" fontId="294" fillId="78" borderId="0" xfId="0" applyFont="1" applyFill="1"/>
    <xf numFmtId="0" fontId="294" fillId="149" borderId="0" xfId="0" applyFont="1" applyFill="1"/>
    <xf numFmtId="0" fontId="314" fillId="0" borderId="107" xfId="0" applyFont="1" applyBorder="1" applyAlignment="1">
      <alignment wrapText="1"/>
    </xf>
    <xf numFmtId="0" fontId="314" fillId="122" borderId="223" xfId="0" applyFont="1" applyFill="1" applyBorder="1" applyAlignment="1">
      <alignment horizontal="center" vertical="center" wrapText="1"/>
    </xf>
    <xf numFmtId="0" fontId="139" fillId="0" borderId="165" xfId="0" applyFont="1" applyBorder="1"/>
    <xf numFmtId="0" fontId="139" fillId="0" borderId="166" xfId="0" applyFont="1" applyBorder="1"/>
    <xf numFmtId="0" fontId="294" fillId="122" borderId="0" xfId="0" applyFont="1" applyFill="1"/>
    <xf numFmtId="0" fontId="343" fillId="0" borderId="141" xfId="0" applyFont="1" applyBorder="1" applyAlignment="1">
      <alignment horizontal="center" vertical="center"/>
    </xf>
    <xf numFmtId="0" fontId="306" fillId="15" borderId="158" xfId="0" applyFont="1" applyFill="1" applyBorder="1" applyAlignment="1">
      <alignment horizontal="center" vertical="center" wrapText="1"/>
    </xf>
    <xf numFmtId="0" fontId="306" fillId="0" borderId="145" xfId="0" applyFont="1" applyBorder="1"/>
    <xf numFmtId="0" fontId="306" fillId="0" borderId="154" xfId="0" applyFont="1" applyBorder="1"/>
    <xf numFmtId="0" fontId="340" fillId="15" borderId="1" xfId="0" applyFont="1" applyFill="1" applyBorder="1" applyAlignment="1">
      <alignment horizontal="center"/>
    </xf>
    <xf numFmtId="0" fontId="280" fillId="15" borderId="1" xfId="0" applyFont="1" applyFill="1" applyBorder="1" applyAlignment="1">
      <alignment horizontal="center" vertical="center" wrapText="1"/>
    </xf>
    <xf numFmtId="0" fontId="139" fillId="0" borderId="0" xfId="0" applyFont="1"/>
    <xf numFmtId="0" fontId="139" fillId="15" borderId="1" xfId="0" applyFont="1" applyFill="1" applyBorder="1"/>
    <xf numFmtId="0" fontId="279" fillId="61" borderId="141" xfId="0" applyFont="1" applyFill="1" applyBorder="1" applyAlignment="1">
      <alignment horizontal="center" vertical="center" wrapText="1"/>
    </xf>
    <xf numFmtId="0" fontId="136" fillId="166" borderId="0" xfId="0" applyFont="1" applyFill="1"/>
    <xf numFmtId="0" fontId="113" fillId="166" borderId="107" xfId="0" applyFont="1" applyFill="1" applyBorder="1" applyAlignment="1">
      <alignment wrapText="1"/>
    </xf>
    <xf numFmtId="0" fontId="136" fillId="166" borderId="107" xfId="0" applyFont="1" applyFill="1" applyBorder="1" applyAlignment="1">
      <alignment wrapText="1"/>
    </xf>
    <xf numFmtId="0" fontId="0" fillId="166" borderId="0" xfId="0" applyFill="1"/>
    <xf numFmtId="0" fontId="56" fillId="0" borderId="107" xfId="0" applyFont="1" applyBorder="1" applyAlignment="1">
      <alignment wrapText="1"/>
    </xf>
    <xf numFmtId="0" fontId="193" fillId="0" borderId="140" xfId="0" applyFont="1" applyBorder="1" applyAlignment="1">
      <alignment horizontal="center" wrapText="1"/>
    </xf>
    <xf numFmtId="0" fontId="177" fillId="0" borderId="140" xfId="5" applyFont="1" applyBorder="1"/>
    <xf numFmtId="17" fontId="221" fillId="0" borderId="140" xfId="5" applyNumberFormat="1" applyFont="1" applyBorder="1" applyAlignment="1">
      <alignment horizontal="center" vertical="center"/>
    </xf>
    <xf numFmtId="0" fontId="177" fillId="0" borderId="140" xfId="5" applyFont="1" applyBorder="1" applyAlignment="1">
      <alignment horizontal="center"/>
    </xf>
    <xf numFmtId="0" fontId="303" fillId="0" borderId="140" xfId="0" applyFont="1" applyBorder="1"/>
    <xf numFmtId="165" fontId="303" fillId="0" borderId="140" xfId="0" applyNumberFormat="1" applyFont="1" applyBorder="1"/>
    <xf numFmtId="0" fontId="346" fillId="0" borderId="140" xfId="0" applyFont="1" applyBorder="1"/>
    <xf numFmtId="0" fontId="221" fillId="0" borderId="140" xfId="0" applyFont="1" applyBorder="1" applyAlignment="1">
      <alignment horizontal="right" wrapText="1"/>
    </xf>
    <xf numFmtId="0" fontId="177" fillId="0" borderId="140" xfId="0" applyFont="1" applyBorder="1"/>
    <xf numFmtId="0" fontId="122" fillId="0" borderId="107" xfId="0" applyFont="1" applyBorder="1"/>
    <xf numFmtId="0" fontId="177" fillId="0" borderId="107" xfId="0" applyFont="1" applyBorder="1" applyAlignment="1">
      <alignment horizontal="center"/>
    </xf>
    <xf numFmtId="0" fontId="201" fillId="0" borderId="107" xfId="0" applyFont="1" applyBorder="1" applyAlignment="1">
      <alignment horizontal="center"/>
    </xf>
    <xf numFmtId="0" fontId="193" fillId="0" borderId="107" xfId="0" applyFont="1" applyBorder="1" applyAlignment="1">
      <alignment horizontal="center" vertical="center" wrapText="1"/>
    </xf>
    <xf numFmtId="17" fontId="136" fillId="0" borderId="107" xfId="5" applyNumberFormat="1" applyFont="1" applyAlignment="1">
      <alignment horizontal="center" vertical="center"/>
    </xf>
    <xf numFmtId="0" fontId="338" fillId="0" borderId="107" xfId="0" applyFont="1" applyBorder="1" applyAlignment="1">
      <alignment horizontal="left" vertical="center" wrapText="1"/>
    </xf>
    <xf numFmtId="0" fontId="54" fillId="90" borderId="292" xfId="0" applyFont="1" applyFill="1" applyBorder="1" applyAlignment="1">
      <alignment wrapText="1"/>
    </xf>
    <xf numFmtId="0" fontId="303" fillId="0" borderId="140" xfId="0" applyFont="1" applyBorder="1" applyAlignment="1">
      <alignment wrapText="1"/>
    </xf>
    <xf numFmtId="165" fontId="177" fillId="0" borderId="107" xfId="5" applyNumberFormat="1" applyFont="1" applyAlignment="1">
      <alignment horizontal="center" vertical="center"/>
    </xf>
    <xf numFmtId="0" fontId="147" fillId="3" borderId="158" xfId="5" applyFont="1" applyFill="1" applyBorder="1" applyAlignment="1">
      <alignment horizontal="center" vertical="center" wrapText="1"/>
    </xf>
    <xf numFmtId="0" fontId="0" fillId="0" borderId="107" xfId="0" applyBorder="1" applyAlignment="1">
      <alignment horizontal="left"/>
    </xf>
    <xf numFmtId="0" fontId="0" fillId="0" borderId="140" xfId="0" applyBorder="1" applyAlignment="1">
      <alignment horizontal="left"/>
    </xf>
    <xf numFmtId="0" fontId="54" fillId="0" borderId="140" xfId="0" applyFont="1" applyBorder="1" applyAlignment="1">
      <alignment horizontal="right" wrapText="1"/>
    </xf>
    <xf numFmtId="0" fontId="139" fillId="0" borderId="140" xfId="5" applyFont="1" applyBorder="1"/>
    <xf numFmtId="0" fontId="177" fillId="0" borderId="140" xfId="0" applyFont="1" applyBorder="1" applyAlignment="1">
      <alignment horizontal="center"/>
    </xf>
    <xf numFmtId="0" fontId="278" fillId="116" borderId="107" xfId="0" applyFont="1" applyFill="1" applyBorder="1" applyAlignment="1">
      <alignment wrapText="1"/>
    </xf>
    <xf numFmtId="0" fontId="191" fillId="109" borderId="107" xfId="0" applyFont="1" applyFill="1" applyBorder="1" applyAlignment="1">
      <alignment vertical="top" wrapText="1"/>
    </xf>
    <xf numFmtId="0" fontId="197" fillId="11" borderId="115" xfId="0" applyFont="1" applyFill="1" applyBorder="1" applyAlignment="1">
      <alignment vertical="center" wrapText="1"/>
    </xf>
    <xf numFmtId="0" fontId="219" fillId="44" borderId="115" xfId="0" applyFont="1" applyFill="1" applyBorder="1" applyAlignment="1">
      <alignment horizontal="center" vertical="center" wrapText="1"/>
    </xf>
    <xf numFmtId="0" fontId="164" fillId="0" borderId="107" xfId="0" applyFont="1" applyBorder="1" applyAlignment="1">
      <alignment horizontal="center" vertical="center" wrapText="1"/>
    </xf>
    <xf numFmtId="0" fontId="230" fillId="22" borderId="107" xfId="0" applyFont="1" applyFill="1" applyBorder="1" applyAlignment="1">
      <alignment horizontal="center" vertical="center" wrapText="1"/>
    </xf>
    <xf numFmtId="165" fontId="137" fillId="0" borderId="107" xfId="0" applyNumberFormat="1" applyFont="1" applyBorder="1" applyAlignment="1">
      <alignment horizontal="right" wrapText="1"/>
    </xf>
    <xf numFmtId="0" fontId="159" fillId="0" borderId="42" xfId="0" applyFont="1" applyBorder="1" applyAlignment="1">
      <alignment horizontal="center"/>
    </xf>
    <xf numFmtId="0" fontId="235" fillId="2" borderId="107" xfId="0" applyFont="1" applyFill="1" applyBorder="1" applyAlignment="1">
      <alignment wrapText="1"/>
    </xf>
    <xf numFmtId="0" fontId="233" fillId="17" borderId="107" xfId="0" applyFont="1" applyFill="1" applyBorder="1" applyAlignment="1">
      <alignment horizontal="center" vertical="center" wrapText="1"/>
    </xf>
    <xf numFmtId="0" fontId="156" fillId="166" borderId="185" xfId="0" applyFont="1" applyFill="1" applyBorder="1" applyAlignment="1">
      <alignment horizontal="center" vertical="center" wrapText="1"/>
    </xf>
    <xf numFmtId="0" fontId="302" fillId="0" borderId="140" xfId="0" applyFont="1" applyBorder="1"/>
    <xf numFmtId="0" fontId="303" fillId="0" borderId="14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92" fillId="0" borderId="142" xfId="0" applyFont="1" applyBorder="1" applyAlignment="1">
      <alignment horizontal="center" vertical="center" wrapText="1"/>
    </xf>
    <xf numFmtId="0" fontId="320" fillId="0" borderId="141" xfId="0" applyFont="1" applyBorder="1" applyAlignment="1">
      <alignment horizontal="center" vertical="center" wrapText="1"/>
    </xf>
    <xf numFmtId="0" fontId="321" fillId="0" borderId="141" xfId="0" applyFont="1" applyBorder="1"/>
    <xf numFmtId="0" fontId="267" fillId="0" borderId="142" xfId="0" applyFont="1" applyBorder="1" applyAlignment="1">
      <alignment horizontal="center" vertical="center" wrapText="1"/>
    </xf>
    <xf numFmtId="0" fontId="320" fillId="0" borderId="140" xfId="0" applyFont="1" applyBorder="1" applyAlignment="1">
      <alignment horizontal="center" vertical="center"/>
    </xf>
    <xf numFmtId="0" fontId="347" fillId="3" borderId="141" xfId="0" applyFont="1" applyFill="1" applyBorder="1" applyAlignment="1">
      <alignment horizontal="center" vertical="center" wrapText="1"/>
    </xf>
    <xf numFmtId="0" fontId="348" fillId="0" borderId="141" xfId="0" applyFont="1" applyBorder="1" applyAlignment="1">
      <alignment horizontal="center" vertical="center" wrapText="1"/>
    </xf>
    <xf numFmtId="0" fontId="315" fillId="0" borderId="0" xfId="0" applyFont="1"/>
    <xf numFmtId="0" fontId="177" fillId="59" borderId="140" xfId="0" applyFont="1" applyFill="1" applyBorder="1" applyAlignment="1">
      <alignment horizontal="center"/>
    </xf>
    <xf numFmtId="17" fontId="0" fillId="0" borderId="107" xfId="0" applyNumberFormat="1" applyBorder="1"/>
    <xf numFmtId="0" fontId="172" fillId="0" borderId="107" xfId="0" applyFont="1" applyBorder="1" applyAlignment="1">
      <alignment horizontal="center" vertical="center"/>
    </xf>
    <xf numFmtId="165" fontId="303" fillId="0" borderId="107" xfId="0" applyNumberFormat="1" applyFont="1" applyBorder="1" applyAlignment="1">
      <alignment horizontal="center" vertical="center"/>
    </xf>
    <xf numFmtId="0" fontId="303" fillId="0" borderId="107" xfId="0" applyFont="1" applyBorder="1" applyAlignment="1">
      <alignment horizontal="center" vertical="center"/>
    </xf>
    <xf numFmtId="0" fontId="303" fillId="0" borderId="107" xfId="0" applyFont="1" applyBorder="1" applyAlignment="1">
      <alignment horizontal="center"/>
    </xf>
    <xf numFmtId="0" fontId="157" fillId="0" borderId="107" xfId="5" applyFont="1" applyAlignment="1">
      <alignment horizontal="center" vertical="center"/>
    </xf>
    <xf numFmtId="17" fontId="221" fillId="0" borderId="107" xfId="5" applyNumberFormat="1" applyFont="1" applyAlignment="1">
      <alignment horizontal="center" vertical="center"/>
    </xf>
    <xf numFmtId="0" fontId="177" fillId="0" borderId="107" xfId="5" applyFont="1" applyAlignment="1">
      <alignment horizontal="center" vertical="center"/>
    </xf>
    <xf numFmtId="0" fontId="177" fillId="0" borderId="107" xfId="5" applyFont="1"/>
    <xf numFmtId="0" fontId="177" fillId="0" borderId="107" xfId="5" applyFont="1" applyAlignment="1">
      <alignment horizontal="center"/>
    </xf>
    <xf numFmtId="0" fontId="246" fillId="0" borderId="107" xfId="5" applyFont="1" applyAlignment="1">
      <alignment horizontal="center" vertical="center" wrapText="1"/>
    </xf>
    <xf numFmtId="0" fontId="303" fillId="0" borderId="107" xfId="0" applyFont="1" applyBorder="1"/>
    <xf numFmtId="0" fontId="177" fillId="0" borderId="107" xfId="0" applyFont="1" applyBorder="1"/>
    <xf numFmtId="0" fontId="147" fillId="3" borderId="182" xfId="0" applyFont="1" applyFill="1" applyBorder="1" applyAlignment="1">
      <alignment horizontal="center" vertical="center" wrapText="1"/>
    </xf>
    <xf numFmtId="0" fontId="197" fillId="0" borderId="194" xfId="0" applyFont="1" applyBorder="1" applyAlignment="1">
      <alignment horizontal="center" vertical="center" wrapText="1"/>
    </xf>
    <xf numFmtId="0" fontId="319" fillId="18" borderId="218" xfId="1" applyFont="1" applyFill="1" applyBorder="1" applyAlignment="1">
      <alignment horizontal="center" wrapText="1"/>
    </xf>
    <xf numFmtId="0" fontId="319" fillId="18" borderId="218" xfId="1" applyFont="1" applyFill="1" applyBorder="1" applyAlignment="1">
      <alignment horizontal="center" vertical="center" wrapText="1"/>
    </xf>
    <xf numFmtId="0" fontId="0" fillId="0" borderId="306" xfId="0" applyBorder="1"/>
    <xf numFmtId="0" fontId="350" fillId="0" borderId="305" xfId="0" applyFont="1" applyBorder="1" applyAlignment="1">
      <alignment vertical="center"/>
    </xf>
    <xf numFmtId="0" fontId="350" fillId="0" borderId="306" xfId="0" applyFont="1" applyBorder="1" applyAlignment="1">
      <alignment vertical="center"/>
    </xf>
    <xf numFmtId="0" fontId="117" fillId="0" borderId="0" xfId="0" applyFont="1"/>
    <xf numFmtId="0" fontId="0" fillId="165" borderId="307" xfId="0" applyFill="1" applyBorder="1"/>
    <xf numFmtId="0" fontId="0" fillId="165" borderId="308" xfId="0" applyFill="1" applyBorder="1"/>
    <xf numFmtId="0" fontId="335" fillId="165" borderId="309" xfId="0" applyFont="1" applyFill="1" applyBorder="1"/>
    <xf numFmtId="0" fontId="0" fillId="165" borderId="310" xfId="0" applyFill="1" applyBorder="1"/>
    <xf numFmtId="0" fontId="136" fillId="0" borderId="217" xfId="0" applyFont="1" applyBorder="1" applyAlignment="1">
      <alignment horizontal="right" wrapText="1"/>
    </xf>
    <xf numFmtId="0" fontId="59" fillId="59" borderId="217" xfId="0" applyFont="1" applyFill="1" applyBorder="1" applyAlignment="1">
      <alignment wrapText="1"/>
    </xf>
    <xf numFmtId="0" fontId="59" fillId="0" borderId="107" xfId="0" applyFont="1" applyBorder="1" applyAlignment="1">
      <alignment wrapText="1"/>
    </xf>
    <xf numFmtId="0" fontId="304" fillId="0" borderId="231" xfId="0" applyFont="1" applyBorder="1" applyAlignment="1">
      <alignment wrapText="1"/>
    </xf>
    <xf numFmtId="0" fontId="286" fillId="0" borderId="231" xfId="0" applyFont="1" applyBorder="1" applyAlignment="1">
      <alignment wrapText="1"/>
    </xf>
    <xf numFmtId="0" fontId="144" fillId="72" borderId="272" xfId="0" applyFont="1" applyFill="1" applyBorder="1" applyAlignment="1">
      <alignment horizontal="center" wrapText="1"/>
    </xf>
    <xf numFmtId="0" fontId="157" fillId="0" borderId="107" xfId="5" applyFont="1"/>
    <xf numFmtId="0" fontId="172" fillId="0" borderId="107" xfId="5" applyFont="1" applyAlignment="1">
      <alignment horizontal="center"/>
    </xf>
    <xf numFmtId="0" fontId="147" fillId="0" borderId="107" xfId="5" applyFont="1" applyAlignment="1">
      <alignment horizontal="center" vertical="center" wrapText="1"/>
    </xf>
    <xf numFmtId="0" fontId="136" fillId="0" borderId="107" xfId="0" applyFont="1" applyBorder="1" applyAlignment="1">
      <alignment horizontal="right" wrapText="1"/>
    </xf>
    <xf numFmtId="0" fontId="329" fillId="0" borderId="0" xfId="0" applyFont="1"/>
    <xf numFmtId="0" fontId="90" fillId="0" borderId="107" xfId="0" applyFont="1" applyBorder="1" applyAlignment="1">
      <alignment wrapText="1"/>
    </xf>
    <xf numFmtId="0" fontId="90" fillId="0" borderId="107" xfId="0" applyFont="1" applyBorder="1" applyAlignment="1">
      <alignment horizontal="left" wrapText="1"/>
    </xf>
    <xf numFmtId="0" fontId="90" fillId="0" borderId="107" xfId="0" applyFont="1" applyBorder="1" applyAlignment="1">
      <alignment horizontal="center" wrapText="1"/>
    </xf>
    <xf numFmtId="0" fontId="275" fillId="0" borderId="107" xfId="0" applyFont="1" applyBorder="1"/>
    <xf numFmtId="0" fontId="137" fillId="0" borderId="107" xfId="5" applyFont="1" applyAlignment="1">
      <alignment horizontal="center" vertical="center"/>
    </xf>
    <xf numFmtId="0" fontId="59" fillId="0" borderId="107" xfId="0" applyFont="1" applyBorder="1" applyAlignment="1">
      <alignment horizontal="right" wrapText="1"/>
    </xf>
    <xf numFmtId="0" fontId="115" fillId="0" borderId="140" xfId="0" applyFont="1" applyBorder="1" applyAlignment="1">
      <alignment horizontal="center"/>
    </xf>
    <xf numFmtId="0" fontId="118" fillId="0" borderId="140" xfId="0" applyFont="1" applyBorder="1" applyAlignment="1">
      <alignment horizontal="center" wrapText="1"/>
    </xf>
    <xf numFmtId="0" fontId="114" fillId="0" borderId="140" xfId="0" applyFont="1" applyBorder="1" applyAlignment="1">
      <alignment horizontal="center" wrapText="1"/>
    </xf>
    <xf numFmtId="0" fontId="116" fillId="0" borderId="311" xfId="0" applyFont="1" applyBorder="1" applyAlignment="1">
      <alignment wrapText="1"/>
    </xf>
    <xf numFmtId="0" fontId="116" fillId="0" borderId="229" xfId="0" applyFont="1" applyBorder="1" applyAlignment="1">
      <alignment wrapText="1"/>
    </xf>
    <xf numFmtId="0" fontId="116" fillId="0" borderId="107" xfId="0" applyFont="1" applyBorder="1" applyAlignment="1">
      <alignment wrapText="1"/>
    </xf>
    <xf numFmtId="0" fontId="48" fillId="0" borderId="312" xfId="0" applyFont="1" applyBorder="1"/>
    <xf numFmtId="0" fontId="48" fillId="79" borderId="312" xfId="0" applyFont="1" applyFill="1" applyBorder="1"/>
    <xf numFmtId="0" fontId="47" fillId="0" borderId="0" xfId="0" applyFont="1"/>
    <xf numFmtId="0" fontId="277" fillId="0" borderId="185" xfId="1" applyFill="1" applyBorder="1" applyAlignment="1">
      <alignment horizontal="center" wrapText="1"/>
    </xf>
    <xf numFmtId="0" fontId="147" fillId="0" borderId="140" xfId="0" applyFont="1" applyBorder="1"/>
    <xf numFmtId="0" fontId="277" fillId="58" borderId="237" xfId="1" applyFill="1" applyBorder="1" applyAlignment="1">
      <alignment horizontal="center" wrapText="1"/>
    </xf>
    <xf numFmtId="0" fontId="300" fillId="62" borderId="217" xfId="0" applyFont="1" applyFill="1" applyBorder="1" applyAlignment="1">
      <alignment horizontal="center"/>
    </xf>
    <xf numFmtId="0" fontId="277" fillId="58" borderId="212" xfId="1" applyFill="1" applyBorder="1" applyAlignment="1">
      <alignment horizontal="center" wrapText="1"/>
    </xf>
    <xf numFmtId="0" fontId="300" fillId="62" borderId="183" xfId="0" applyFont="1" applyFill="1" applyBorder="1"/>
    <xf numFmtId="0" fontId="129" fillId="74" borderId="237" xfId="0" applyFont="1" applyFill="1" applyBorder="1" applyAlignment="1">
      <alignment horizontal="center" vertical="center" wrapText="1"/>
    </xf>
    <xf numFmtId="0" fontId="300" fillId="70" borderId="226" xfId="0" applyFont="1" applyFill="1" applyBorder="1" applyAlignment="1">
      <alignment horizontal="center" vertical="center"/>
    </xf>
    <xf numFmtId="0" fontId="300" fillId="65" borderId="185" xfId="0" applyFont="1" applyFill="1" applyBorder="1" applyAlignment="1">
      <alignment horizontal="center" vertical="center"/>
    </xf>
    <xf numFmtId="0" fontId="300" fillId="62" borderId="185" xfId="0" applyFont="1" applyFill="1" applyBorder="1" applyAlignment="1">
      <alignment horizontal="center" vertical="center"/>
    </xf>
    <xf numFmtId="0" fontId="0" fillId="72" borderId="223" xfId="0" applyFill="1" applyBorder="1" applyAlignment="1">
      <alignment horizontal="center" vertical="center"/>
    </xf>
    <xf numFmtId="0" fontId="0" fillId="82" borderId="107" xfId="0" applyFill="1" applyBorder="1" applyAlignment="1">
      <alignment horizontal="center" vertical="center" wrapText="1"/>
    </xf>
    <xf numFmtId="0" fontId="286" fillId="111" borderId="185" xfId="0" applyFont="1" applyFill="1" applyBorder="1" applyAlignment="1">
      <alignment horizontal="center" vertical="center" wrapText="1"/>
    </xf>
    <xf numFmtId="0" fontId="286" fillId="111" borderId="223" xfId="0" applyFont="1" applyFill="1" applyBorder="1" applyAlignment="1">
      <alignment horizontal="center" vertical="center" wrapText="1"/>
    </xf>
    <xf numFmtId="0" fontId="129" fillId="74" borderId="185" xfId="0" applyFont="1" applyFill="1" applyBorder="1" applyAlignment="1">
      <alignment horizontal="center" vertical="center" wrapText="1"/>
    </xf>
    <xf numFmtId="0" fontId="129" fillId="85" borderId="212" xfId="0" applyFont="1" applyFill="1" applyBorder="1" applyAlignment="1">
      <alignment horizontal="center" vertical="center" wrapText="1"/>
    </xf>
    <xf numFmtId="0" fontId="129" fillId="85" borderId="185" xfId="0" applyFont="1" applyFill="1" applyBorder="1" applyAlignment="1">
      <alignment horizontal="center" vertical="center" wrapText="1"/>
    </xf>
    <xf numFmtId="0" fontId="108" fillId="77" borderId="185" xfId="0" applyFont="1" applyFill="1" applyBorder="1" applyAlignment="1">
      <alignment horizontal="center" vertical="center" wrapText="1"/>
    </xf>
    <xf numFmtId="0" fontId="0" fillId="77" borderId="185" xfId="0" applyFill="1" applyBorder="1" applyAlignment="1">
      <alignment horizontal="center" vertical="center" wrapText="1"/>
    </xf>
    <xf numFmtId="0" fontId="45" fillId="77" borderId="185" xfId="0" applyFont="1" applyFill="1" applyBorder="1" applyAlignment="1">
      <alignment horizontal="center" vertical="center" wrapText="1"/>
    </xf>
    <xf numFmtId="0" fontId="45" fillId="78" borderId="185" xfId="0" applyFont="1" applyFill="1" applyBorder="1" applyAlignment="1">
      <alignment horizontal="center" vertical="center" wrapText="1"/>
    </xf>
    <xf numFmtId="0" fontId="45" fillId="82" borderId="185" xfId="0" applyFont="1" applyFill="1" applyBorder="1" applyAlignment="1">
      <alignment horizontal="center" vertical="center" wrapText="1"/>
    </xf>
    <xf numFmtId="0" fontId="46" fillId="82" borderId="185" xfId="0" applyFont="1" applyFill="1" applyBorder="1" applyAlignment="1">
      <alignment horizontal="center" vertical="center" wrapText="1"/>
    </xf>
    <xf numFmtId="0" fontId="46" fillId="165" borderId="185" xfId="0" applyFont="1" applyFill="1" applyBorder="1" applyAlignment="1">
      <alignment horizontal="center" vertical="center" wrapText="1"/>
    </xf>
    <xf numFmtId="0" fontId="177" fillId="65" borderId="140" xfId="0" applyFont="1" applyFill="1" applyBorder="1" applyAlignment="1">
      <alignment horizontal="center" vertical="center"/>
    </xf>
    <xf numFmtId="0" fontId="137" fillId="65" borderId="140" xfId="0" applyFont="1" applyFill="1" applyBorder="1" applyAlignment="1">
      <alignment horizontal="right" wrapText="1"/>
    </xf>
    <xf numFmtId="0" fontId="129" fillId="65" borderId="140" xfId="0" applyFont="1" applyFill="1" applyBorder="1" applyAlignment="1">
      <alignment horizontal="center" wrapText="1"/>
    </xf>
    <xf numFmtId="0" fontId="177" fillId="59" borderId="140" xfId="0" applyFont="1" applyFill="1" applyBorder="1" applyAlignment="1">
      <alignment horizontal="center" vertical="center"/>
    </xf>
    <xf numFmtId="0" fontId="137" fillId="59" borderId="140" xfId="0" applyFont="1" applyFill="1" applyBorder="1" applyAlignment="1">
      <alignment horizontal="right" wrapText="1"/>
    </xf>
    <xf numFmtId="0" fontId="129" fillId="59" borderId="140" xfId="0" applyFont="1" applyFill="1" applyBorder="1" applyAlignment="1">
      <alignment wrapText="1"/>
    </xf>
    <xf numFmtId="17" fontId="147" fillId="0" borderId="0" xfId="0" applyNumberFormat="1" applyFont="1"/>
    <xf numFmtId="0" fontId="45" fillId="59" borderId="91" xfId="0" applyFont="1" applyFill="1" applyBorder="1" applyAlignment="1">
      <alignment wrapText="1"/>
    </xf>
    <xf numFmtId="0" fontId="297" fillId="0" borderId="34" xfId="0" applyFont="1" applyBorder="1" applyAlignment="1">
      <alignment wrapText="1"/>
    </xf>
    <xf numFmtId="0" fontId="297" fillId="0" borderId="263" xfId="0" applyFont="1" applyBorder="1" applyAlignment="1">
      <alignment wrapText="1"/>
    </xf>
    <xf numFmtId="0" fontId="297" fillId="130" borderId="84" xfId="0" applyFont="1" applyFill="1" applyBorder="1" applyAlignment="1">
      <alignment wrapText="1"/>
    </xf>
    <xf numFmtId="0" fontId="297" fillId="0" borderId="84" xfId="0" applyFont="1" applyBorder="1" applyAlignment="1">
      <alignment horizontal="right" wrapText="1"/>
    </xf>
    <xf numFmtId="0" fontId="277" fillId="0" borderId="34" xfId="1" applyBorder="1" applyAlignment="1">
      <alignment wrapText="1"/>
    </xf>
    <xf numFmtId="0" fontId="45" fillId="0" borderId="254" xfId="0" applyFont="1" applyBorder="1" applyAlignment="1">
      <alignment wrapText="1"/>
    </xf>
    <xf numFmtId="0" fontId="45" fillId="0" borderId="84" xfId="0" applyFont="1" applyBorder="1" applyAlignment="1">
      <alignment wrapText="1"/>
    </xf>
    <xf numFmtId="0" fontId="297" fillId="0" borderId="34" xfId="0" applyFont="1" applyBorder="1" applyAlignment="1">
      <alignment horizontal="center" wrapText="1"/>
    </xf>
    <xf numFmtId="0" fontId="144" fillId="175" borderId="313" xfId="0" applyFont="1" applyFill="1" applyBorder="1" applyAlignment="1">
      <alignment horizontal="center" wrapText="1"/>
    </xf>
    <xf numFmtId="1" fontId="0" fillId="0" borderId="183" xfId="0" applyNumberFormat="1" applyBorder="1"/>
    <xf numFmtId="165" fontId="0" fillId="0" borderId="183" xfId="0" applyNumberFormat="1" applyBorder="1"/>
    <xf numFmtId="0" fontId="144" fillId="89" borderId="214" xfId="0" applyFont="1" applyFill="1" applyBorder="1" applyAlignment="1">
      <alignment horizontal="center" wrapText="1"/>
    </xf>
    <xf numFmtId="0" fontId="144" fillId="175" borderId="232" xfId="0" applyFont="1" applyFill="1" applyBorder="1" applyAlignment="1">
      <alignment horizontal="center" wrapText="1"/>
    </xf>
    <xf numFmtId="0" fontId="45" fillId="0" borderId="140" xfId="0" applyFont="1" applyBorder="1" applyAlignment="1">
      <alignment wrapText="1"/>
    </xf>
    <xf numFmtId="0" fontId="45" fillId="0" borderId="140" xfId="0" applyFont="1" applyBorder="1" applyAlignment="1">
      <alignment horizontal="right" wrapText="1"/>
    </xf>
    <xf numFmtId="0" fontId="45" fillId="65" borderId="140" xfId="0" applyFont="1" applyFill="1" applyBorder="1" applyAlignment="1">
      <alignment horizontal="right" wrapText="1"/>
    </xf>
    <xf numFmtId="0" fontId="45" fillId="59" borderId="140" xfId="0" applyFont="1" applyFill="1" applyBorder="1" applyAlignment="1">
      <alignment wrapText="1"/>
    </xf>
    <xf numFmtId="0" fontId="45" fillId="59" borderId="140" xfId="0" applyFont="1" applyFill="1" applyBorder="1" applyAlignment="1">
      <alignment horizontal="right" wrapText="1"/>
    </xf>
    <xf numFmtId="0" fontId="45" fillId="84" borderId="140" xfId="0" applyFont="1" applyFill="1" applyBorder="1" applyAlignment="1">
      <alignment horizontal="right" wrapText="1"/>
    </xf>
    <xf numFmtId="0" fontId="45" fillId="168" borderId="140" xfId="0" applyFont="1" applyFill="1" applyBorder="1" applyAlignment="1">
      <alignment horizontal="right" wrapText="1"/>
    </xf>
    <xf numFmtId="0" fontId="45" fillId="89" borderId="140" xfId="0" applyFont="1" applyFill="1" applyBorder="1" applyAlignment="1">
      <alignment wrapText="1"/>
    </xf>
    <xf numFmtId="0" fontId="45" fillId="169" borderId="140" xfId="0" applyFont="1" applyFill="1" applyBorder="1" applyAlignment="1">
      <alignment wrapText="1"/>
    </xf>
    <xf numFmtId="0" fontId="45" fillId="169" borderId="140" xfId="0" applyFont="1" applyFill="1" applyBorder="1" applyAlignment="1">
      <alignment horizontal="right" wrapText="1"/>
    </xf>
    <xf numFmtId="0" fontId="197" fillId="43" borderId="93" xfId="0" applyFont="1" applyFill="1" applyBorder="1" applyAlignment="1">
      <alignment vertical="center" wrapText="1"/>
    </xf>
    <xf numFmtId="0" fontId="45" fillId="59" borderId="107" xfId="0" applyFont="1" applyFill="1" applyBorder="1" applyAlignment="1">
      <alignment wrapText="1"/>
    </xf>
    <xf numFmtId="0" fontId="297" fillId="0" borderId="107" xfId="0" applyFont="1" applyBorder="1" applyAlignment="1">
      <alignment wrapText="1"/>
    </xf>
    <xf numFmtId="0" fontId="45" fillId="0" borderId="107" xfId="0" applyFont="1" applyBorder="1" applyAlignment="1">
      <alignment wrapText="1"/>
    </xf>
    <xf numFmtId="0" fontId="45" fillId="0" borderId="183" xfId="0" applyFont="1" applyBorder="1" applyAlignment="1">
      <alignment horizontal="right" wrapText="1"/>
    </xf>
    <xf numFmtId="0" fontId="45" fillId="0" borderId="107" xfId="0" applyFont="1" applyBorder="1" applyAlignment="1">
      <alignment horizontal="right" wrapText="1"/>
    </xf>
    <xf numFmtId="0" fontId="352" fillId="166" borderId="0" xfId="0" applyFont="1" applyFill="1" applyAlignment="1">
      <alignment vertical="center" wrapText="1"/>
    </xf>
    <xf numFmtId="0" fontId="45" fillId="0" borderId="183" xfId="0" applyFont="1" applyBorder="1" applyAlignment="1">
      <alignment wrapText="1"/>
    </xf>
    <xf numFmtId="0" fontId="246" fillId="70" borderId="181" xfId="0" applyFont="1" applyFill="1" applyBorder="1" applyAlignment="1">
      <alignment horizontal="center" vertical="center" wrapText="1"/>
    </xf>
    <xf numFmtId="0" fontId="278" fillId="0" borderId="107" xfId="0" applyFont="1" applyBorder="1"/>
    <xf numFmtId="0" fontId="354" fillId="0" borderId="140" xfId="0" applyFont="1" applyBorder="1"/>
    <xf numFmtId="0" fontId="221" fillId="0" borderId="145" xfId="5" applyFont="1" applyBorder="1" applyAlignment="1">
      <alignment horizontal="center" vertical="center"/>
    </xf>
    <xf numFmtId="17" fontId="177" fillId="0" borderId="140" xfId="0" applyNumberFormat="1" applyFont="1" applyBorder="1" applyAlignment="1">
      <alignment horizontal="center" vertical="center"/>
    </xf>
    <xf numFmtId="0" fontId="303" fillId="0" borderId="0" xfId="0" applyFont="1"/>
    <xf numFmtId="17" fontId="303" fillId="0" borderId="140" xfId="0" applyNumberFormat="1" applyFont="1" applyBorder="1"/>
    <xf numFmtId="0" fontId="221" fillId="0" borderId="107" xfId="0" applyFont="1" applyBorder="1"/>
    <xf numFmtId="0" fontId="246" fillId="3" borderId="141" xfId="0" applyFont="1" applyFill="1" applyBorder="1" applyAlignment="1">
      <alignment horizontal="center" vertical="center" wrapText="1"/>
    </xf>
    <xf numFmtId="0" fontId="246" fillId="3" borderId="158" xfId="0" applyFont="1" applyFill="1" applyBorder="1" applyAlignment="1">
      <alignment horizontal="center" vertical="center" wrapText="1"/>
    </xf>
    <xf numFmtId="0" fontId="177" fillId="0" borderId="142" xfId="0" applyFont="1" applyBorder="1"/>
    <xf numFmtId="17" fontId="339" fillId="0" borderId="140" xfId="0" applyNumberFormat="1" applyFont="1" applyBorder="1" applyAlignment="1">
      <alignment horizontal="center"/>
    </xf>
    <xf numFmtId="0" fontId="339" fillId="0" borderId="140" xfId="0" applyFont="1" applyBorder="1" applyAlignment="1">
      <alignment horizontal="center"/>
    </xf>
    <xf numFmtId="0" fontId="246" fillId="3" borderId="181" xfId="0" applyFont="1" applyFill="1" applyBorder="1" applyAlignment="1">
      <alignment horizontal="center" vertical="center" wrapText="1"/>
    </xf>
    <xf numFmtId="0" fontId="303" fillId="0" borderId="141" xfId="0" applyFont="1" applyBorder="1"/>
    <xf numFmtId="0" fontId="355" fillId="0" borderId="142" xfId="0" applyFont="1" applyBorder="1" applyAlignment="1">
      <alignment horizontal="center" vertical="center" wrapText="1"/>
    </xf>
    <xf numFmtId="0" fontId="356" fillId="18" borderId="140" xfId="1" applyFont="1" applyFill="1" applyBorder="1" applyAlignment="1">
      <alignment vertical="top" wrapText="1"/>
    </xf>
    <xf numFmtId="0" fontId="356" fillId="18" borderId="140" xfId="1" applyFont="1" applyFill="1" applyBorder="1" applyAlignment="1">
      <alignment vertical="top"/>
    </xf>
    <xf numFmtId="0" fontId="221" fillId="0" borderId="142" xfId="0" applyFont="1" applyBorder="1" applyAlignment="1">
      <alignment horizontal="center" vertical="center" wrapText="1"/>
    </xf>
    <xf numFmtId="0" fontId="246" fillId="0" borderId="141" xfId="0" applyFont="1" applyBorder="1" applyAlignment="1">
      <alignment horizontal="center" vertical="center" wrapText="1"/>
    </xf>
    <xf numFmtId="0" fontId="246" fillId="0" borderId="140" xfId="0" applyFont="1" applyBorder="1" applyAlignment="1">
      <alignment horizontal="center" vertical="center"/>
    </xf>
    <xf numFmtId="0" fontId="221" fillId="2" borderId="141" xfId="0" applyFont="1" applyFill="1" applyBorder="1" applyAlignment="1">
      <alignment horizontal="center" vertical="center"/>
    </xf>
    <xf numFmtId="0" fontId="221" fillId="15" borderId="181" xfId="0" applyFont="1" applyFill="1" applyBorder="1" applyAlignment="1">
      <alignment horizontal="center" vertical="center" wrapText="1"/>
    </xf>
    <xf numFmtId="0" fontId="221" fillId="61" borderId="181" xfId="0" applyFont="1" applyFill="1" applyBorder="1" applyAlignment="1">
      <alignment horizontal="center" vertical="center" wrapText="1"/>
    </xf>
    <xf numFmtId="0" fontId="221" fillId="123" borderId="181" xfId="0" applyFont="1" applyFill="1" applyBorder="1" applyAlignment="1">
      <alignment horizontal="center" vertical="center" wrapText="1"/>
    </xf>
    <xf numFmtId="0" fontId="302" fillId="123" borderId="181" xfId="0" applyFont="1" applyFill="1" applyBorder="1" applyAlignment="1">
      <alignment horizontal="center" vertical="center" wrapText="1"/>
    </xf>
    <xf numFmtId="0" fontId="221" fillId="63" borderId="181" xfId="0" applyFont="1" applyFill="1" applyBorder="1" applyAlignment="1">
      <alignment horizontal="center" vertical="center" wrapText="1"/>
    </xf>
    <xf numFmtId="0" fontId="221" fillId="172" borderId="181" xfId="0" applyFont="1" applyFill="1" applyBorder="1" applyAlignment="1">
      <alignment horizontal="center" vertical="center" wrapText="1"/>
    </xf>
    <xf numFmtId="0" fontId="221" fillId="172" borderId="210" xfId="0" applyFont="1" applyFill="1" applyBorder="1" applyAlignment="1">
      <alignment horizontal="center" vertical="center" wrapText="1"/>
    </xf>
    <xf numFmtId="0" fontId="302" fillId="172" borderId="223" xfId="0" applyFont="1" applyFill="1" applyBorder="1" applyAlignment="1">
      <alignment horizontal="center" vertical="center" wrapText="1"/>
    </xf>
    <xf numFmtId="0" fontId="221" fillId="173" borderId="223" xfId="0" applyFont="1" applyFill="1" applyBorder="1" applyAlignment="1">
      <alignment horizontal="center" vertical="center" wrapText="1"/>
    </xf>
    <xf numFmtId="0" fontId="221" fillId="174" borderId="223" xfId="0" applyFont="1" applyFill="1" applyBorder="1" applyAlignment="1">
      <alignment horizontal="center" vertical="center" wrapText="1"/>
    </xf>
    <xf numFmtId="0" fontId="221" fillId="0" borderId="142" xfId="0" applyFont="1" applyBorder="1"/>
    <xf numFmtId="0" fontId="246" fillId="3" borderId="142" xfId="0" applyFont="1" applyFill="1" applyBorder="1" applyAlignment="1">
      <alignment horizontal="center" vertical="center" wrapText="1"/>
    </xf>
    <xf numFmtId="0" fontId="221" fillId="0" borderId="158" xfId="0" applyFont="1" applyBorder="1" applyAlignment="1">
      <alignment horizontal="center" vertical="center" wrapText="1"/>
    </xf>
    <xf numFmtId="0" fontId="231" fillId="0" borderId="0" xfId="0" applyFont="1" applyAlignment="1">
      <alignment horizontal="center"/>
    </xf>
    <xf numFmtId="166" fontId="177" fillId="0" borderId="0" xfId="0" applyNumberFormat="1" applyFont="1"/>
    <xf numFmtId="0" fontId="288" fillId="0" borderId="141" xfId="0" applyFont="1" applyBorder="1" applyAlignment="1">
      <alignment horizontal="center" vertical="center" wrapText="1"/>
    </xf>
    <xf numFmtId="0" fontId="355" fillId="2" borderId="141" xfId="0" applyFont="1" applyFill="1" applyBorder="1" applyAlignment="1">
      <alignment horizontal="center" vertical="center"/>
    </xf>
    <xf numFmtId="0" fontId="221" fillId="0" borderId="141" xfId="0" applyFont="1" applyBorder="1"/>
    <xf numFmtId="0" fontId="358" fillId="0" borderId="141" xfId="0" applyFont="1" applyBorder="1" applyAlignment="1">
      <alignment wrapText="1"/>
    </xf>
    <xf numFmtId="0" fontId="359" fillId="2" borderId="141" xfId="0" applyFont="1" applyFill="1" applyBorder="1" applyAlignment="1">
      <alignment horizontal="center" vertical="center" wrapText="1"/>
    </xf>
    <xf numFmtId="0" fontId="355" fillId="2" borderId="141" xfId="0" applyFont="1" applyFill="1" applyBorder="1" applyAlignment="1">
      <alignment horizontal="center" vertical="center" wrapText="1"/>
    </xf>
    <xf numFmtId="0" fontId="355" fillId="25" borderId="141" xfId="0" applyFont="1" applyFill="1" applyBorder="1" applyAlignment="1">
      <alignment horizontal="center" vertical="center"/>
    </xf>
    <xf numFmtId="0" fontId="355" fillId="26" borderId="141" xfId="0" applyFont="1" applyFill="1" applyBorder="1" applyAlignment="1">
      <alignment horizontal="center" vertical="center" wrapText="1"/>
    </xf>
    <xf numFmtId="0" fontId="355" fillId="139" borderId="158" xfId="0" applyFont="1" applyFill="1" applyBorder="1" applyAlignment="1">
      <alignment horizontal="center" vertical="center" wrapText="1"/>
    </xf>
    <xf numFmtId="0" fontId="355" fillId="140" borderId="158" xfId="0" applyFont="1" applyFill="1" applyBorder="1" applyAlignment="1">
      <alignment horizontal="center" vertical="center" wrapText="1"/>
    </xf>
    <xf numFmtId="0" fontId="355" fillId="141" borderId="158" xfId="0" applyFont="1" applyFill="1" applyBorder="1" applyAlignment="1">
      <alignment horizontal="center" vertical="center" wrapText="1"/>
    </xf>
    <xf numFmtId="0" fontId="355" fillId="143" borderId="158" xfId="0" applyFont="1" applyFill="1" applyBorder="1" applyAlignment="1">
      <alignment horizontal="center" vertical="center" wrapText="1"/>
    </xf>
    <xf numFmtId="0" fontId="355" fillId="142" borderId="181" xfId="0" applyFont="1" applyFill="1" applyBorder="1" applyAlignment="1">
      <alignment horizontal="center" vertical="center" wrapText="1"/>
    </xf>
    <xf numFmtId="0" fontId="221" fillId="2" borderId="158" xfId="0" applyFont="1" applyFill="1" applyBorder="1" applyAlignment="1">
      <alignment horizontal="center" vertical="center"/>
    </xf>
    <xf numFmtId="0" fontId="355" fillId="25" borderId="141" xfId="0" applyFont="1" applyFill="1" applyBorder="1" applyAlignment="1">
      <alignment horizontal="center" vertical="center" wrapText="1"/>
    </xf>
    <xf numFmtId="0" fontId="355" fillId="26" borderId="158" xfId="0" applyFont="1" applyFill="1" applyBorder="1" applyAlignment="1">
      <alignment horizontal="center" vertical="center" wrapText="1"/>
    </xf>
    <xf numFmtId="0" fontId="355" fillId="0" borderId="122" xfId="0" applyFont="1" applyBorder="1" applyAlignment="1">
      <alignment horizontal="center" vertical="center" wrapText="1"/>
    </xf>
    <xf numFmtId="0" fontId="355" fillId="0" borderId="42" xfId="0" applyFont="1" applyBorder="1" applyAlignment="1">
      <alignment horizontal="center" vertical="center" wrapText="1"/>
    </xf>
    <xf numFmtId="0" fontId="355" fillId="0" borderId="70" xfId="0" applyFont="1" applyBorder="1" applyAlignment="1">
      <alignment horizontal="center" vertical="center" wrapText="1"/>
    </xf>
    <xf numFmtId="0" fontId="355" fillId="0" borderId="140" xfId="0" applyFont="1" applyBorder="1" applyAlignment="1">
      <alignment horizontal="center" vertical="center" wrapText="1"/>
    </xf>
    <xf numFmtId="0" fontId="221" fillId="2" borderId="54" xfId="0" applyFont="1" applyFill="1" applyBorder="1"/>
    <xf numFmtId="0" fontId="355" fillId="0" borderId="41" xfId="0" applyFont="1" applyBorder="1" applyAlignment="1">
      <alignment horizontal="center" vertical="center" wrapText="1"/>
    </xf>
    <xf numFmtId="0" fontId="355" fillId="0" borderId="19" xfId="0" applyFont="1" applyBorder="1" applyAlignment="1">
      <alignment horizontal="center" vertical="center" wrapText="1"/>
    </xf>
    <xf numFmtId="0" fontId="355" fillId="0" borderId="68" xfId="0" applyFont="1" applyBorder="1" applyAlignment="1">
      <alignment horizontal="center" vertical="center" wrapText="1"/>
    </xf>
    <xf numFmtId="0" fontId="221" fillId="0" borderId="122" xfId="0" applyFont="1" applyBorder="1"/>
    <xf numFmtId="0" fontId="221" fillId="0" borderId="41" xfId="0" applyFont="1" applyBorder="1"/>
    <xf numFmtId="0" fontId="221" fillId="0" borderId="19" xfId="0" applyFont="1" applyBorder="1"/>
    <xf numFmtId="0" fontId="221" fillId="0" borderId="40" xfId="0" applyFont="1" applyBorder="1"/>
    <xf numFmtId="0" fontId="221" fillId="0" borderId="54" xfId="0" applyFont="1" applyBorder="1"/>
    <xf numFmtId="0" fontId="221" fillId="0" borderId="17" xfId="0" applyFont="1" applyBorder="1"/>
    <xf numFmtId="0" fontId="177" fillId="0" borderId="40" xfId="0" applyFont="1" applyBorder="1"/>
    <xf numFmtId="0" fontId="221" fillId="0" borderId="140" xfId="0" applyFont="1" applyBorder="1"/>
    <xf numFmtId="17" fontId="221" fillId="0" borderId="140" xfId="0" applyNumberFormat="1" applyFont="1" applyBorder="1"/>
    <xf numFmtId="0" fontId="303" fillId="0" borderId="227" xfId="0" applyFont="1" applyBorder="1"/>
    <xf numFmtId="0" fontId="231" fillId="0" borderId="140" xfId="0" applyFont="1" applyBorder="1" applyAlignment="1">
      <alignment horizontal="center"/>
    </xf>
    <xf numFmtId="0" fontId="231" fillId="0" borderId="140" xfId="0" applyFont="1" applyBorder="1" applyAlignment="1">
      <alignment vertical="center"/>
    </xf>
    <xf numFmtId="0" fontId="302" fillId="0" borderId="140" xfId="0" applyFont="1" applyBorder="1" applyAlignment="1">
      <alignment vertical="center"/>
    </xf>
    <xf numFmtId="0" fontId="231" fillId="0" borderId="140" xfId="0" applyFont="1" applyBorder="1" applyAlignment="1">
      <alignment horizontal="left" vertical="center"/>
    </xf>
    <xf numFmtId="0" fontId="221" fillId="0" borderId="140" xfId="0" applyFont="1" applyBorder="1" applyAlignment="1">
      <alignment horizontal="left" vertical="center"/>
    </xf>
    <xf numFmtId="0" fontId="246" fillId="0" borderId="141" xfId="0" applyFont="1" applyBorder="1" applyAlignment="1">
      <alignment vertical="center" wrapText="1"/>
    </xf>
    <xf numFmtId="166" fontId="177" fillId="0" borderId="141" xfId="0" applyNumberFormat="1" applyFont="1" applyBorder="1"/>
    <xf numFmtId="0" fontId="177" fillId="0" borderId="141" xfId="0" applyFont="1" applyBorder="1"/>
    <xf numFmtId="169" fontId="177" fillId="0" borderId="141" xfId="0" applyNumberFormat="1" applyFont="1" applyBorder="1"/>
    <xf numFmtId="0" fontId="221" fillId="0" borderId="142" xfId="0" applyFont="1" applyBorder="1" applyAlignment="1">
      <alignment wrapText="1"/>
    </xf>
    <xf numFmtId="0" fontId="246" fillId="3" borderId="141" xfId="0" applyFont="1" applyFill="1" applyBorder="1" applyAlignment="1">
      <alignment vertical="center" wrapText="1"/>
    </xf>
    <xf numFmtId="0" fontId="177" fillId="2" borderId="141" xfId="0" applyFont="1" applyFill="1" applyBorder="1"/>
    <xf numFmtId="0" fontId="360" fillId="0" borderId="141" xfId="0" applyFont="1" applyBorder="1" applyAlignment="1">
      <alignment horizontal="center" vertical="center" wrapText="1"/>
    </xf>
    <xf numFmtId="0" fontId="355" fillId="2" borderId="141" xfId="0" applyFont="1" applyFill="1" applyBorder="1" applyAlignment="1">
      <alignment horizontal="center"/>
    </xf>
    <xf numFmtId="0" fontId="361" fillId="2" borderId="141" xfId="0" applyFont="1" applyFill="1" applyBorder="1" applyAlignment="1">
      <alignment horizontal="center"/>
    </xf>
    <xf numFmtId="0" fontId="355" fillId="17" borderId="141" xfId="0" applyFont="1" applyFill="1" applyBorder="1" applyAlignment="1">
      <alignment horizontal="center"/>
    </xf>
    <xf numFmtId="0" fontId="221" fillId="0" borderId="141" xfId="0" applyFont="1" applyBorder="1" applyAlignment="1">
      <alignment horizontal="center" vertical="center" wrapText="1"/>
    </xf>
    <xf numFmtId="0" fontId="355" fillId="10" borderId="141" xfId="0" applyFont="1" applyFill="1" applyBorder="1" applyAlignment="1">
      <alignment horizontal="center" wrapText="1"/>
    </xf>
    <xf numFmtId="0" fontId="361" fillId="17" borderId="141" xfId="0" applyFont="1" applyFill="1" applyBorder="1" applyAlignment="1">
      <alignment horizontal="center" wrapText="1"/>
    </xf>
    <xf numFmtId="0" fontId="355" fillId="17" borderId="141" xfId="0" applyFont="1" applyFill="1" applyBorder="1" applyAlignment="1">
      <alignment horizontal="center" wrapText="1"/>
    </xf>
    <xf numFmtId="0" fontId="355" fillId="3" borderId="141" xfId="0" applyFont="1" applyFill="1" applyBorder="1" applyAlignment="1">
      <alignment horizontal="center" wrapText="1"/>
    </xf>
    <xf numFmtId="0" fontId="177" fillId="12" borderId="141" xfId="0" applyFont="1" applyFill="1" applyBorder="1" applyAlignment="1">
      <alignment horizontal="center" vertical="center" wrapText="1"/>
    </xf>
    <xf numFmtId="0" fontId="177" fillId="21" borderId="141" xfId="0" applyFont="1" applyFill="1" applyBorder="1" applyAlignment="1">
      <alignment horizontal="center" vertical="center" wrapText="1"/>
    </xf>
    <xf numFmtId="0" fontId="221" fillId="0" borderId="42" xfId="0" applyFont="1" applyBorder="1"/>
    <xf numFmtId="0" fontId="246" fillId="0" borderId="70" xfId="0" applyFont="1" applyBorder="1" applyAlignment="1">
      <alignment horizontal="center" vertical="center" wrapText="1"/>
    </xf>
    <xf numFmtId="0" fontId="221" fillId="5" borderId="70" xfId="0" applyFont="1" applyFill="1" applyBorder="1"/>
    <xf numFmtId="0" fontId="221" fillId="0" borderId="78" xfId="0" applyFont="1" applyBorder="1" applyAlignment="1">
      <alignment horizontal="center" vertical="center" wrapText="1"/>
    </xf>
    <xf numFmtId="0" fontId="221" fillId="7" borderId="71" xfId="0" applyFont="1" applyFill="1" applyBorder="1" applyAlignment="1">
      <alignment horizontal="center" vertical="center" wrapText="1"/>
    </xf>
    <xf numFmtId="0" fontId="221" fillId="2" borderId="71" xfId="0" applyFont="1" applyFill="1" applyBorder="1" applyAlignment="1">
      <alignment horizontal="center" vertical="center"/>
    </xf>
    <xf numFmtId="0" fontId="355" fillId="15" borderId="71" xfId="0" applyFont="1" applyFill="1" applyBorder="1" applyAlignment="1">
      <alignment horizontal="center" wrapText="1"/>
    </xf>
    <xf numFmtId="0" fontId="355" fillId="15" borderId="107" xfId="0" applyFont="1" applyFill="1" applyBorder="1" applyAlignment="1">
      <alignment horizontal="center" wrapText="1"/>
    </xf>
    <xf numFmtId="0" fontId="361" fillId="15" borderId="71" xfId="0" applyFont="1" applyFill="1" applyBorder="1" applyAlignment="1">
      <alignment horizontal="center" wrapText="1"/>
    </xf>
    <xf numFmtId="0" fontId="177" fillId="15" borderId="71" xfId="0" applyFont="1" applyFill="1" applyBorder="1" applyAlignment="1">
      <alignment horizontal="center" vertical="center" wrapText="1"/>
    </xf>
    <xf numFmtId="0" fontId="177" fillId="15" borderId="107" xfId="0" applyFont="1" applyFill="1" applyBorder="1" applyAlignment="1">
      <alignment horizontal="center" vertical="center" wrapText="1"/>
    </xf>
    <xf numFmtId="0" fontId="177" fillId="15" borderId="122" xfId="0" applyFont="1" applyFill="1" applyBorder="1" applyAlignment="1">
      <alignment horizontal="center" vertical="center" wrapText="1"/>
    </xf>
    <xf numFmtId="0" fontId="177" fillId="15" borderId="42" xfId="0" applyFont="1" applyFill="1" applyBorder="1" applyAlignment="1">
      <alignment horizontal="center" vertical="center" wrapText="1"/>
    </xf>
    <xf numFmtId="17" fontId="177" fillId="0" borderId="22" xfId="0" applyNumberFormat="1" applyFont="1" applyBorder="1" applyAlignment="1">
      <alignment horizontal="center"/>
    </xf>
    <xf numFmtId="0" fontId="177" fillId="0" borderId="22" xfId="0" applyFont="1" applyBorder="1" applyAlignment="1">
      <alignment horizontal="center"/>
    </xf>
    <xf numFmtId="0" fontId="302" fillId="0" borderId="17" xfId="0" applyFont="1" applyBorder="1" applyAlignment="1">
      <alignment horizontal="center"/>
    </xf>
    <xf numFmtId="0" fontId="177" fillId="0" borderId="54" xfId="0" applyFont="1" applyBorder="1" applyAlignment="1">
      <alignment horizontal="center" vertical="center"/>
    </xf>
    <xf numFmtId="165" fontId="231" fillId="0" borderId="22" xfId="0" applyNumberFormat="1" applyFont="1" applyBorder="1"/>
    <xf numFmtId="165" fontId="177" fillId="2" borderId="1" xfId="0" applyNumberFormat="1" applyFont="1" applyFill="1" applyBorder="1"/>
    <xf numFmtId="165" fontId="177" fillId="2" borderId="22" xfId="0" applyNumberFormat="1" applyFont="1" applyFill="1" applyBorder="1"/>
    <xf numFmtId="0" fontId="177" fillId="2" borderId="1" xfId="0" applyFont="1" applyFill="1" applyBorder="1"/>
    <xf numFmtId="165" fontId="231" fillId="28" borderId="22" xfId="0" applyNumberFormat="1" applyFont="1" applyFill="1" applyBorder="1"/>
    <xf numFmtId="170" fontId="231" fillId="0" borderId="22" xfId="0" applyNumberFormat="1" applyFont="1" applyBorder="1"/>
    <xf numFmtId="170" fontId="177" fillId="0" borderId="22" xfId="0" applyNumberFormat="1" applyFont="1" applyBorder="1"/>
    <xf numFmtId="165" fontId="177" fillId="0" borderId="22" xfId="0" applyNumberFormat="1" applyFont="1" applyBorder="1"/>
    <xf numFmtId="0" fontId="177" fillId="0" borderId="0" xfId="0" applyFont="1" applyAlignment="1">
      <alignment horizontal="center"/>
    </xf>
    <xf numFmtId="0" fontId="355" fillId="0" borderId="54" xfId="0" applyFont="1" applyBorder="1" applyAlignment="1">
      <alignment horizontal="center"/>
    </xf>
    <xf numFmtId="0" fontId="355" fillId="0" borderId="22" xfId="0" applyFont="1" applyBorder="1" applyAlignment="1">
      <alignment horizontal="center"/>
    </xf>
    <xf numFmtId="0" fontId="362" fillId="0" borderId="22" xfId="0" applyFont="1" applyBorder="1" applyAlignment="1">
      <alignment horizontal="center"/>
    </xf>
    <xf numFmtId="0" fontId="361" fillId="18" borderId="22" xfId="0" applyFont="1" applyFill="1" applyBorder="1" applyAlignment="1">
      <alignment horizontal="center"/>
    </xf>
    <xf numFmtId="0" fontId="355" fillId="18" borderId="22" xfId="0" applyFont="1" applyFill="1" applyBorder="1" applyAlignment="1">
      <alignment horizontal="center"/>
    </xf>
    <xf numFmtId="0" fontId="355" fillId="2" borderId="22" xfId="0" applyFont="1" applyFill="1" applyBorder="1" applyAlignment="1">
      <alignment horizontal="center"/>
    </xf>
    <xf numFmtId="0" fontId="221" fillId="3" borderId="22" xfId="0" applyFont="1" applyFill="1" applyBorder="1" applyAlignment="1">
      <alignment horizontal="center"/>
    </xf>
    <xf numFmtId="165" fontId="361" fillId="0" borderId="22" xfId="0" applyNumberFormat="1" applyFont="1" applyBorder="1" applyAlignment="1">
      <alignment horizontal="center"/>
    </xf>
    <xf numFmtId="170" fontId="361" fillId="0" borderId="22" xfId="0" applyNumberFormat="1" applyFont="1" applyBorder="1" applyAlignment="1">
      <alignment horizontal="center"/>
    </xf>
    <xf numFmtId="0" fontId="355" fillId="15" borderId="22" xfId="0" applyFont="1" applyFill="1" applyBorder="1" applyAlignment="1">
      <alignment horizontal="center"/>
    </xf>
    <xf numFmtId="0" fontId="177" fillId="0" borderId="66" xfId="0" applyFont="1" applyBorder="1"/>
    <xf numFmtId="17" fontId="177" fillId="0" borderId="66" xfId="0" applyNumberFormat="1" applyFont="1" applyBorder="1" applyAlignment="1">
      <alignment horizontal="center"/>
    </xf>
    <xf numFmtId="0" fontId="177" fillId="0" borderId="66" xfId="0" applyFont="1" applyBorder="1" applyAlignment="1">
      <alignment horizontal="center"/>
    </xf>
    <xf numFmtId="0" fontId="363" fillId="0" borderId="66" xfId="0" applyFont="1" applyBorder="1"/>
    <xf numFmtId="0" fontId="364" fillId="0" borderId="68" xfId="0" applyFont="1" applyBorder="1" applyAlignment="1">
      <alignment horizontal="center"/>
    </xf>
    <xf numFmtId="165" fontId="355" fillId="0" borderId="66" xfId="0" applyNumberFormat="1" applyFont="1" applyBorder="1" applyAlignment="1">
      <alignment horizontal="center"/>
    </xf>
    <xf numFmtId="0" fontId="355" fillId="0" borderId="66" xfId="0" applyFont="1" applyBorder="1" applyAlignment="1">
      <alignment horizontal="center"/>
    </xf>
    <xf numFmtId="0" fontId="362" fillId="0" borderId="66" xfId="0" applyFont="1" applyBorder="1" applyAlignment="1">
      <alignment horizontal="center"/>
    </xf>
    <xf numFmtId="170" fontId="361" fillId="0" borderId="66" xfId="0" applyNumberFormat="1" applyFont="1" applyBorder="1" applyAlignment="1">
      <alignment horizontal="center"/>
    </xf>
    <xf numFmtId="170" fontId="177" fillId="0" borderId="66" xfId="0" applyNumberFormat="1" applyFont="1" applyBorder="1"/>
    <xf numFmtId="0" fontId="355" fillId="17" borderId="66" xfId="0" applyFont="1" applyFill="1" applyBorder="1" applyAlignment="1">
      <alignment horizontal="center"/>
    </xf>
    <xf numFmtId="0" fontId="355" fillId="17" borderId="121" xfId="0" applyFont="1" applyFill="1" applyBorder="1" applyAlignment="1">
      <alignment horizontal="center"/>
    </xf>
    <xf numFmtId="0" fontId="303" fillId="0" borderId="22" xfId="0" applyFont="1" applyBorder="1"/>
    <xf numFmtId="17" fontId="177" fillId="0" borderId="22" xfId="0" applyNumberFormat="1" applyFont="1" applyBorder="1"/>
    <xf numFmtId="0" fontId="355" fillId="15" borderId="1" xfId="0" applyFont="1" applyFill="1" applyBorder="1" applyAlignment="1">
      <alignment horizontal="center"/>
    </xf>
    <xf numFmtId="0" fontId="303" fillId="0" borderId="141" xfId="0" applyFont="1" applyBorder="1" applyAlignment="1">
      <alignment vertical="center" wrapText="1"/>
    </xf>
    <xf numFmtId="0" fontId="361" fillId="2" borderId="141" xfId="0" applyFont="1" applyFill="1" applyBorder="1" applyAlignment="1">
      <alignment horizontal="center" vertical="center"/>
    </xf>
    <xf numFmtId="0" fontId="355" fillId="10" borderId="141" xfId="0" applyFont="1" applyFill="1" applyBorder="1" applyAlignment="1">
      <alignment horizontal="center" vertical="center" wrapText="1"/>
    </xf>
    <xf numFmtId="0" fontId="361" fillId="17" borderId="141" xfId="0" applyFont="1" applyFill="1" applyBorder="1" applyAlignment="1">
      <alignment horizontal="center" vertical="center" wrapText="1"/>
    </xf>
    <xf numFmtId="0" fontId="361" fillId="29" borderId="141" xfId="0" applyFont="1" applyFill="1" applyBorder="1" applyAlignment="1">
      <alignment horizontal="center" vertical="center" wrapText="1"/>
    </xf>
    <xf numFmtId="0" fontId="355" fillId="29" borderId="141" xfId="0" applyFont="1" applyFill="1" applyBorder="1" applyAlignment="1">
      <alignment horizontal="center" vertical="center" wrapText="1"/>
    </xf>
    <xf numFmtId="0" fontId="365" fillId="30" borderId="141" xfId="0" applyFont="1" applyFill="1" applyBorder="1" applyAlignment="1">
      <alignment horizontal="center" vertical="center" wrapText="1"/>
    </xf>
    <xf numFmtId="0" fontId="366" fillId="22" borderId="141" xfId="0" applyFont="1" applyFill="1" applyBorder="1" applyAlignment="1">
      <alignment horizontal="center" vertical="center" wrapText="1"/>
    </xf>
    <xf numFmtId="0" fontId="177" fillId="0" borderId="71" xfId="0" applyFont="1" applyBorder="1" applyAlignment="1">
      <alignment horizontal="center" vertical="center"/>
    </xf>
    <xf numFmtId="0" fontId="177" fillId="0" borderId="78" xfId="0" applyFont="1" applyBorder="1" applyAlignment="1">
      <alignment horizontal="center" vertical="center"/>
    </xf>
    <xf numFmtId="165" fontId="231" fillId="0" borderId="120" xfId="0" applyNumberFormat="1" applyFont="1" applyBorder="1"/>
    <xf numFmtId="165" fontId="231" fillId="28" borderId="95" xfId="0" applyNumberFormat="1" applyFont="1" applyFill="1" applyBorder="1"/>
    <xf numFmtId="165" fontId="231" fillId="0" borderId="95" xfId="0" applyNumberFormat="1" applyFont="1" applyBorder="1"/>
    <xf numFmtId="165" fontId="177" fillId="0" borderId="95" xfId="0" applyNumberFormat="1" applyFont="1" applyBorder="1"/>
    <xf numFmtId="0" fontId="177" fillId="0" borderId="95" xfId="0" applyFont="1" applyBorder="1"/>
    <xf numFmtId="0" fontId="177" fillId="2" borderId="95" xfId="0" applyFont="1" applyFill="1" applyBorder="1"/>
    <xf numFmtId="0" fontId="177" fillId="0" borderId="122" xfId="0" applyFont="1" applyBorder="1"/>
    <xf numFmtId="165" fontId="177" fillId="31" borderId="22" xfId="0" applyNumberFormat="1" applyFont="1" applyFill="1" applyBorder="1"/>
    <xf numFmtId="165" fontId="367" fillId="31" borderId="22" xfId="0" applyNumberFormat="1" applyFont="1" applyFill="1" applyBorder="1"/>
    <xf numFmtId="17" fontId="303" fillId="0" borderId="0" xfId="0" applyNumberFormat="1" applyFont="1"/>
    <xf numFmtId="0" fontId="177" fillId="0" borderId="13" xfId="0" applyFont="1" applyBorder="1" applyAlignment="1">
      <alignment horizontal="center" vertical="center"/>
    </xf>
    <xf numFmtId="0" fontId="177" fillId="17" borderId="22" xfId="0" applyFont="1" applyFill="1" applyBorder="1"/>
    <xf numFmtId="0" fontId="221" fillId="17" borderId="22" xfId="0" applyFont="1" applyFill="1" applyBorder="1"/>
    <xf numFmtId="0" fontId="177" fillId="32" borderId="1" xfId="0" applyFont="1" applyFill="1" applyBorder="1"/>
    <xf numFmtId="0" fontId="355" fillId="33" borderId="22" xfId="0" applyFont="1" applyFill="1" applyBorder="1" applyAlignment="1">
      <alignment horizontal="center" vertical="center" wrapText="1"/>
    </xf>
    <xf numFmtId="0" fontId="355" fillId="33" borderId="107" xfId="0" applyFont="1" applyFill="1" applyBorder="1" applyAlignment="1">
      <alignment horizontal="center" vertical="center" wrapText="1"/>
    </xf>
    <xf numFmtId="0" fontId="246" fillId="0" borderId="32" xfId="0" applyFont="1" applyBorder="1" applyAlignment="1">
      <alignment horizontal="center" vertical="center" wrapText="1"/>
    </xf>
    <xf numFmtId="0" fontId="246" fillId="3" borderId="32" xfId="0" applyFont="1" applyFill="1" applyBorder="1" applyAlignment="1">
      <alignment horizontal="center" vertical="center" wrapText="1"/>
    </xf>
    <xf numFmtId="0" fontId="339" fillId="0" borderId="32" xfId="0" applyFont="1" applyBorder="1"/>
    <xf numFmtId="0" fontId="355" fillId="2" borderId="54" xfId="0" applyFont="1" applyFill="1" applyBorder="1" applyAlignment="1">
      <alignment horizontal="center" vertical="center"/>
    </xf>
    <xf numFmtId="0" fontId="355" fillId="2" borderId="22" xfId="0" applyFont="1" applyFill="1" applyBorder="1" applyAlignment="1">
      <alignment horizontal="center" vertical="center"/>
    </xf>
    <xf numFmtId="0" fontId="355" fillId="2" borderId="22" xfId="0" applyFont="1" applyFill="1" applyBorder="1" applyAlignment="1">
      <alignment horizontal="center" vertical="center" wrapText="1"/>
    </xf>
    <xf numFmtId="0" fontId="368" fillId="0" borderId="32" xfId="0" applyFont="1" applyBorder="1" applyAlignment="1">
      <alignment horizontal="center" vertical="center" wrapText="1"/>
    </xf>
    <xf numFmtId="0" fontId="355" fillId="10" borderId="54" xfId="0" applyFont="1" applyFill="1" applyBorder="1" applyAlignment="1">
      <alignment horizontal="center" vertical="center" wrapText="1"/>
    </xf>
    <xf numFmtId="0" fontId="355" fillId="10" borderId="22" xfId="0" applyFont="1" applyFill="1" applyBorder="1" applyAlignment="1">
      <alignment horizontal="center" vertical="center" wrapText="1"/>
    </xf>
    <xf numFmtId="0" fontId="355" fillId="32" borderId="22" xfId="0" applyFont="1" applyFill="1" applyBorder="1" applyAlignment="1">
      <alignment horizontal="center" vertical="center" wrapText="1"/>
    </xf>
    <xf numFmtId="0" fontId="369" fillId="32" borderId="22" xfId="0" applyFont="1" applyFill="1" applyBorder="1" applyAlignment="1">
      <alignment horizontal="center" vertical="center" wrapText="1"/>
    </xf>
    <xf numFmtId="0" fontId="370" fillId="32" borderId="22" xfId="0" applyFont="1" applyFill="1" applyBorder="1" applyAlignment="1">
      <alignment horizontal="center" vertical="center" wrapText="1"/>
    </xf>
    <xf numFmtId="0" fontId="371" fillId="34" borderId="22" xfId="0" applyFont="1" applyFill="1" applyBorder="1" applyAlignment="1">
      <alignment horizontal="center" vertical="center" wrapText="1"/>
    </xf>
    <xf numFmtId="0" fontId="355" fillId="34" borderId="22" xfId="0" applyFont="1" applyFill="1" applyBorder="1" applyAlignment="1">
      <alignment horizontal="center" vertical="center" wrapText="1"/>
    </xf>
    <xf numFmtId="0" fontId="370" fillId="3" borderId="22" xfId="0" applyFont="1" applyFill="1" applyBorder="1" applyAlignment="1">
      <alignment horizontal="center" vertical="center" wrapText="1"/>
    </xf>
    <xf numFmtId="0" fontId="372" fillId="3" borderId="22" xfId="0" applyFont="1" applyFill="1" applyBorder="1" applyAlignment="1">
      <alignment horizontal="center" vertical="center" wrapText="1"/>
    </xf>
    <xf numFmtId="0" fontId="355" fillId="3" borderId="22" xfId="0" applyFont="1" applyFill="1" applyBorder="1" applyAlignment="1">
      <alignment horizontal="center" vertical="center" wrapText="1"/>
    </xf>
    <xf numFmtId="0" fontId="370" fillId="0" borderId="0" xfId="0" applyFont="1" applyAlignment="1">
      <alignment wrapText="1"/>
    </xf>
    <xf numFmtId="0" fontId="231" fillId="0" borderId="22" xfId="0" applyFont="1" applyBorder="1" applyAlignment="1">
      <alignment horizontal="center"/>
    </xf>
    <xf numFmtId="0" fontId="221" fillId="0" borderId="32" xfId="0" applyFont="1" applyBorder="1" applyAlignment="1">
      <alignment horizontal="center" vertical="center" wrapText="1"/>
    </xf>
    <xf numFmtId="0" fontId="221" fillId="2" borderId="32" xfId="0" applyFont="1" applyFill="1" applyBorder="1" applyAlignment="1">
      <alignment horizontal="center" vertical="center"/>
    </xf>
    <xf numFmtId="0" fontId="355" fillId="17" borderId="22" xfId="0" applyFont="1" applyFill="1" applyBorder="1" applyAlignment="1">
      <alignment horizontal="center" vertical="center" wrapText="1"/>
    </xf>
    <xf numFmtId="0" fontId="355" fillId="20" borderId="22" xfId="0" applyFont="1" applyFill="1" applyBorder="1" applyAlignment="1">
      <alignment horizontal="center" vertical="center" wrapText="1"/>
    </xf>
    <xf numFmtId="0" fontId="355" fillId="11" borderId="22" xfId="0" applyFont="1" applyFill="1" applyBorder="1" applyAlignment="1">
      <alignment horizontal="center" vertical="center" wrapText="1"/>
    </xf>
    <xf numFmtId="0" fontId="355" fillId="26" borderId="22" xfId="0" applyFont="1" applyFill="1" applyBorder="1" applyAlignment="1">
      <alignment horizontal="center" vertical="center" wrapText="1"/>
    </xf>
    <xf numFmtId="0" fontId="339" fillId="0" borderId="107" xfId="0" applyFont="1" applyBorder="1"/>
    <xf numFmtId="0" fontId="246" fillId="0" borderId="107" xfId="0" applyFont="1" applyBorder="1" applyAlignment="1">
      <alignment horizontal="center" vertical="center" wrapText="1"/>
    </xf>
    <xf numFmtId="0" fontId="221" fillId="0" borderId="107" xfId="0" applyFont="1" applyBorder="1" applyAlignment="1">
      <alignment horizontal="center" vertical="center" wrapText="1"/>
    </xf>
    <xf numFmtId="0" fontId="221" fillId="2" borderId="107" xfId="0" applyFont="1" applyFill="1" applyBorder="1" applyAlignment="1">
      <alignment horizontal="center" vertical="center"/>
    </xf>
    <xf numFmtId="0" fontId="231" fillId="62" borderId="140" xfId="0" applyFont="1" applyFill="1" applyBorder="1" applyAlignment="1">
      <alignment horizontal="center"/>
    </xf>
    <xf numFmtId="0" fontId="177" fillId="0" borderId="42" xfId="0" applyFont="1" applyBorder="1" applyAlignment="1">
      <alignment horizontal="center" vertical="center"/>
    </xf>
    <xf numFmtId="165" fontId="361" fillId="2" borderId="22" xfId="0" applyNumberFormat="1" applyFont="1" applyFill="1" applyBorder="1" applyAlignment="1">
      <alignment horizontal="center" vertical="center"/>
    </xf>
    <xf numFmtId="165" fontId="361" fillId="0" borderId="22" xfId="0" applyNumberFormat="1" applyFont="1" applyBorder="1" applyAlignment="1">
      <alignment horizontal="center" vertical="center"/>
    </xf>
    <xf numFmtId="0" fontId="177" fillId="2" borderId="22" xfId="0" applyFont="1" applyFill="1" applyBorder="1" applyAlignment="1">
      <alignment horizontal="center"/>
    </xf>
    <xf numFmtId="0" fontId="361" fillId="2" borderId="22" xfId="0" applyFont="1" applyFill="1" applyBorder="1" applyAlignment="1">
      <alignment horizontal="center" vertical="center"/>
    </xf>
    <xf numFmtId="1" fontId="361" fillId="18" borderId="22" xfId="0" applyNumberFormat="1" applyFont="1" applyFill="1" applyBorder="1" applyAlignment="1">
      <alignment horizontal="center" vertical="center"/>
    </xf>
    <xf numFmtId="0" fontId="355" fillId="0" borderId="22" xfId="0" applyFont="1" applyBorder="1" applyAlignment="1">
      <alignment horizontal="center" vertical="center"/>
    </xf>
    <xf numFmtId="0" fontId="177" fillId="2" borderId="22" xfId="0" applyFont="1" applyFill="1" applyBorder="1" applyAlignment="1">
      <alignment horizontal="center" vertical="center"/>
    </xf>
    <xf numFmtId="2" fontId="361" fillId="3" borderId="22" xfId="0" applyNumberFormat="1" applyFont="1" applyFill="1" applyBorder="1" applyAlignment="1">
      <alignment horizontal="center" vertical="center"/>
    </xf>
    <xf numFmtId="1" fontId="361" fillId="0" borderId="22" xfId="0" applyNumberFormat="1" applyFont="1" applyBorder="1" applyAlignment="1">
      <alignment horizontal="center" vertical="center"/>
    </xf>
    <xf numFmtId="165" fontId="361" fillId="15" borderId="22" xfId="0" applyNumberFormat="1" applyFont="1" applyFill="1" applyBorder="1" applyAlignment="1">
      <alignment horizontal="center" vertical="center"/>
    </xf>
    <xf numFmtId="0" fontId="361" fillId="0" borderId="22" xfId="0" applyFont="1" applyBorder="1" applyAlignment="1">
      <alignment horizontal="center" vertical="center"/>
    </xf>
    <xf numFmtId="165" fontId="361" fillId="0" borderId="40" xfId="0" applyNumberFormat="1" applyFont="1" applyBorder="1" applyAlignment="1">
      <alignment horizontal="center" vertical="center"/>
    </xf>
    <xf numFmtId="0" fontId="305" fillId="0" borderId="140" xfId="0" applyFont="1" applyBorder="1"/>
    <xf numFmtId="0" fontId="303" fillId="0" borderId="40" xfId="0" applyFont="1" applyBorder="1"/>
    <xf numFmtId="0" fontId="177" fillId="0" borderId="40" xfId="0" applyFont="1" applyBorder="1" applyAlignment="1">
      <alignment horizontal="center" vertical="center"/>
    </xf>
    <xf numFmtId="0" fontId="231" fillId="0" borderId="41" xfId="0" applyFont="1" applyBorder="1" applyAlignment="1">
      <alignment horizontal="center"/>
    </xf>
    <xf numFmtId="165" fontId="361" fillId="0" borderId="54" xfId="0" applyNumberFormat="1" applyFont="1" applyBorder="1" applyAlignment="1">
      <alignment horizontal="center" vertical="center"/>
    </xf>
    <xf numFmtId="0" fontId="374" fillId="0" borderId="22" xfId="0" applyFont="1" applyBorder="1" applyAlignment="1">
      <alignment horizontal="center"/>
    </xf>
    <xf numFmtId="0" fontId="374" fillId="0" borderId="217" xfId="0" applyFont="1" applyBorder="1" applyAlignment="1">
      <alignment horizontal="center"/>
    </xf>
    <xf numFmtId="0" fontId="177" fillId="18" borderId="22" xfId="0" applyFont="1" applyFill="1" applyBorder="1" applyAlignment="1">
      <alignment horizontal="center"/>
    </xf>
    <xf numFmtId="165" fontId="361" fillId="18" borderId="22" xfId="0" applyNumberFormat="1" applyFont="1" applyFill="1" applyBorder="1" applyAlignment="1">
      <alignment horizontal="center" vertical="center"/>
    </xf>
    <xf numFmtId="0" fontId="361" fillId="3" borderId="22" xfId="0" applyFont="1" applyFill="1" applyBorder="1" applyAlignment="1">
      <alignment horizontal="center" vertical="center"/>
    </xf>
    <xf numFmtId="0" fontId="363" fillId="0" borderId="22" xfId="0" applyFont="1" applyBorder="1" applyAlignment="1">
      <alignment horizontal="center"/>
    </xf>
    <xf numFmtId="0" fontId="231" fillId="0" borderId="122" xfId="0" applyFont="1" applyBorder="1" applyAlignment="1">
      <alignment horizontal="center"/>
    </xf>
    <xf numFmtId="0" fontId="44" fillId="0" borderId="140" xfId="0" applyFont="1" applyBorder="1" applyAlignment="1">
      <alignment horizontal="center"/>
    </xf>
    <xf numFmtId="0" fontId="221" fillId="0" borderId="120" xfId="0" applyFont="1" applyBorder="1"/>
    <xf numFmtId="0" fontId="231" fillId="0" borderId="78" xfId="0" applyFont="1" applyBorder="1"/>
    <xf numFmtId="0" fontId="231" fillId="0" borderId="183" xfId="0" applyFont="1" applyBorder="1" applyAlignment="1">
      <alignment horizontal="center"/>
    </xf>
    <xf numFmtId="17" fontId="177" fillId="0" borderId="107" xfId="0" applyNumberFormat="1" applyFont="1" applyBorder="1" applyAlignment="1">
      <alignment horizontal="center"/>
    </xf>
    <xf numFmtId="0" fontId="303" fillId="0" borderId="183" xfId="0" applyFont="1" applyBorder="1" applyAlignment="1">
      <alignment horizontal="center"/>
    </xf>
    <xf numFmtId="0" fontId="246" fillId="3" borderId="22" xfId="0" applyFont="1" applyFill="1" applyBorder="1" applyAlignment="1">
      <alignment horizontal="center" vertical="center" wrapText="1"/>
    </xf>
    <xf numFmtId="0" fontId="303" fillId="65" borderId="71" xfId="0" applyFont="1" applyFill="1" applyBorder="1" applyAlignment="1">
      <alignment horizontal="center"/>
    </xf>
    <xf numFmtId="0" fontId="368" fillId="0" borderId="100" xfId="0" applyFont="1" applyBorder="1" applyAlignment="1">
      <alignment horizontal="center" vertical="center" wrapText="1"/>
    </xf>
    <xf numFmtId="0" fontId="355" fillId="32" borderId="54" xfId="0" applyFont="1" applyFill="1" applyBorder="1" applyAlignment="1">
      <alignment horizontal="center" vertical="center" wrapText="1"/>
    </xf>
    <xf numFmtId="0" fontId="355" fillId="25" borderId="22" xfId="0" applyFont="1" applyFill="1" applyBorder="1" applyAlignment="1">
      <alignment horizontal="center" vertical="center" wrapText="1"/>
    </xf>
    <xf numFmtId="0" fontId="372" fillId="17" borderId="22" xfId="0" applyFont="1" applyFill="1" applyBorder="1" applyAlignment="1">
      <alignment horizontal="center" vertical="center" wrapText="1"/>
    </xf>
    <xf numFmtId="0" fontId="246" fillId="0" borderId="22" xfId="0" applyFont="1" applyBorder="1" applyAlignment="1">
      <alignment horizontal="center" vertical="center" wrapText="1"/>
    </xf>
    <xf numFmtId="0" fontId="246" fillId="0" borderId="71" xfId="0" applyFont="1" applyBorder="1" applyAlignment="1">
      <alignment horizontal="center" vertical="center" wrapText="1"/>
    </xf>
    <xf numFmtId="0" fontId="246" fillId="0" borderId="66" xfId="0" applyFont="1" applyBorder="1" applyAlignment="1">
      <alignment horizontal="center" vertical="center" wrapText="1"/>
    </xf>
    <xf numFmtId="0" fontId="246" fillId="0" borderId="42" xfId="0" applyFont="1" applyBorder="1" applyAlignment="1">
      <alignment horizontal="center" vertical="center" wrapText="1"/>
    </xf>
    <xf numFmtId="0" fontId="221" fillId="0" borderId="40" xfId="0" applyFont="1" applyBorder="1" applyAlignment="1">
      <alignment horizontal="center" vertical="center" wrapText="1"/>
    </xf>
    <xf numFmtId="0" fontId="246" fillId="0" borderId="122" xfId="0" applyFont="1" applyBorder="1" applyAlignment="1">
      <alignment horizontal="center" vertical="center" wrapText="1"/>
    </xf>
    <xf numFmtId="17" fontId="177" fillId="0" borderId="97" xfId="0" applyNumberFormat="1" applyFont="1" applyBorder="1"/>
    <xf numFmtId="0" fontId="363" fillId="0" borderId="54" xfId="0" applyFont="1" applyBorder="1"/>
    <xf numFmtId="0" fontId="231" fillId="0" borderId="20" xfId="0" applyFont="1" applyBorder="1" applyAlignment="1">
      <alignment horizontal="center"/>
    </xf>
    <xf numFmtId="0" fontId="303" fillId="0" borderId="225" xfId="0" applyFont="1" applyBorder="1" applyAlignment="1">
      <alignment horizontal="center"/>
    </xf>
    <xf numFmtId="0" fontId="221" fillId="18" borderId="22" xfId="0" applyFont="1" applyFill="1" applyBorder="1"/>
    <xf numFmtId="0" fontId="177" fillId="0" borderId="11" xfId="0" applyFont="1" applyBorder="1" applyAlignment="1">
      <alignment horizontal="center"/>
    </xf>
    <xf numFmtId="0" fontId="177" fillId="73" borderId="54" xfId="0" applyFont="1" applyFill="1" applyBorder="1" applyAlignment="1">
      <alignment horizontal="center" vertical="center"/>
    </xf>
    <xf numFmtId="17" fontId="177" fillId="0" borderId="225" xfId="0" applyNumberFormat="1" applyFont="1" applyBorder="1" applyAlignment="1">
      <alignment horizontal="center"/>
    </xf>
    <xf numFmtId="0" fontId="177" fillId="36" borderId="66" xfId="0" applyFont="1" applyFill="1" applyBorder="1"/>
    <xf numFmtId="0" fontId="375" fillId="0" borderId="0" xfId="0" applyFont="1"/>
    <xf numFmtId="0" fontId="339" fillId="0" borderId="100" xfId="0" applyFont="1" applyBorder="1"/>
    <xf numFmtId="166" fontId="355" fillId="2" borderId="54" xfId="0" applyNumberFormat="1" applyFont="1" applyFill="1" applyBorder="1" applyAlignment="1">
      <alignment horizontal="center" vertical="center"/>
    </xf>
    <xf numFmtId="0" fontId="364" fillId="7" borderId="32" xfId="0" applyFont="1" applyFill="1" applyBorder="1" applyAlignment="1">
      <alignment horizontal="center" vertical="center" wrapText="1"/>
    </xf>
    <xf numFmtId="0" fontId="177" fillId="2" borderId="72" xfId="0" applyFont="1" applyFill="1" applyBorder="1"/>
    <xf numFmtId="0" fontId="355" fillId="2" borderId="73" xfId="0" applyFont="1" applyFill="1" applyBorder="1" applyAlignment="1">
      <alignment horizontal="center" vertical="center"/>
    </xf>
    <xf numFmtId="0" fontId="355" fillId="2" borderId="74" xfId="0" applyFont="1" applyFill="1" applyBorder="1" applyAlignment="1">
      <alignment horizontal="center" vertical="center"/>
    </xf>
    <xf numFmtId="0" fontId="246" fillId="2" borderId="74" xfId="0" applyFont="1" applyFill="1" applyBorder="1" applyAlignment="1">
      <alignment horizontal="center" vertical="center"/>
    </xf>
    <xf numFmtId="0" fontId="355" fillId="2" borderId="1" xfId="0" applyFont="1" applyFill="1" applyBorder="1" applyAlignment="1">
      <alignment horizontal="center" vertical="center"/>
    </xf>
    <xf numFmtId="0" fontId="246" fillId="3" borderId="40" xfId="0" applyFont="1" applyFill="1" applyBorder="1" applyAlignment="1">
      <alignment horizontal="center" vertical="center" wrapText="1"/>
    </xf>
    <xf numFmtId="0" fontId="177" fillId="0" borderId="14" xfId="0" applyFont="1" applyBorder="1" applyAlignment="1">
      <alignment wrapText="1"/>
    </xf>
    <xf numFmtId="0" fontId="246" fillId="0" borderId="17" xfId="0" applyFont="1" applyBorder="1" applyAlignment="1">
      <alignment horizontal="center" vertical="center" wrapText="1"/>
    </xf>
    <xf numFmtId="0" fontId="355" fillId="2" borderId="219" xfId="0" applyFont="1" applyFill="1" applyBorder="1" applyAlignment="1">
      <alignment horizontal="center" vertical="center"/>
    </xf>
    <xf numFmtId="0" fontId="355" fillId="2" borderId="75" xfId="0" applyFont="1" applyFill="1" applyBorder="1" applyAlignment="1">
      <alignment horizontal="center" vertical="center"/>
    </xf>
    <xf numFmtId="0" fontId="355" fillId="2" borderId="77" xfId="0" applyFont="1" applyFill="1" applyBorder="1" applyAlignment="1">
      <alignment horizontal="center" vertical="center"/>
    </xf>
    <xf numFmtId="0" fontId="221" fillId="0" borderId="70" xfId="0" applyFont="1" applyBorder="1" applyAlignment="1">
      <alignment horizontal="center" vertical="center" wrapText="1"/>
    </xf>
    <xf numFmtId="0" fontId="221" fillId="2" borderId="110" xfId="0" applyFont="1" applyFill="1" applyBorder="1" applyAlignment="1">
      <alignment horizontal="center" vertical="center"/>
    </xf>
    <xf numFmtId="0" fontId="221" fillId="7" borderId="110" xfId="0" applyFont="1" applyFill="1" applyBorder="1" applyAlignment="1">
      <alignment horizontal="center" vertical="center" wrapText="1"/>
    </xf>
    <xf numFmtId="0" fontId="355" fillId="10" borderId="219" xfId="0" applyFont="1" applyFill="1" applyBorder="1" applyAlignment="1">
      <alignment horizontal="center" vertical="center" wrapText="1"/>
    </xf>
    <xf numFmtId="0" fontId="355" fillId="10" borderId="75" xfId="0" applyFont="1" applyFill="1" applyBorder="1" applyAlignment="1">
      <alignment horizontal="center" vertical="center" wrapText="1"/>
    </xf>
    <xf numFmtId="0" fontId="355" fillId="17" borderId="76" xfId="0" applyFont="1" applyFill="1" applyBorder="1" applyAlignment="1">
      <alignment horizontal="center" vertical="center" wrapText="1"/>
    </xf>
    <xf numFmtId="0" fontId="355" fillId="17" borderId="77" xfId="0" applyFont="1" applyFill="1" applyBorder="1" applyAlignment="1">
      <alignment horizontal="center" vertical="center" wrapText="1"/>
    </xf>
    <xf numFmtId="0" fontId="355" fillId="38" borderId="76" xfId="0" applyFont="1" applyFill="1" applyBorder="1" applyAlignment="1">
      <alignment horizontal="center" vertical="center" wrapText="1"/>
    </xf>
    <xf numFmtId="0" fontId="355" fillId="38" borderId="77" xfId="0" applyFont="1" applyFill="1" applyBorder="1" applyAlignment="1">
      <alignment horizontal="center" vertical="center" wrapText="1"/>
    </xf>
    <xf numFmtId="0" fontId="355" fillId="7" borderId="79" xfId="0" applyFont="1" applyFill="1" applyBorder="1" applyAlignment="1">
      <alignment horizontal="center" vertical="center" wrapText="1"/>
    </xf>
    <xf numFmtId="0" fontId="355" fillId="37" borderId="79" xfId="0" applyFont="1" applyFill="1" applyBorder="1" applyAlignment="1">
      <alignment horizontal="center" vertical="center" wrapText="1"/>
    </xf>
    <xf numFmtId="0" fontId="355" fillId="3" borderId="1" xfId="0" applyFont="1" applyFill="1" applyBorder="1" applyAlignment="1">
      <alignment horizontal="center" vertical="center" wrapText="1"/>
    </xf>
    <xf numFmtId="0" fontId="177" fillId="0" borderId="22" xfId="0" applyFont="1" applyBorder="1" applyAlignment="1">
      <alignment wrapText="1"/>
    </xf>
    <xf numFmtId="0" fontId="361" fillId="27" borderId="22" xfId="0" applyFont="1" applyFill="1" applyBorder="1" applyAlignment="1">
      <alignment horizontal="center" vertical="center"/>
    </xf>
    <xf numFmtId="165" fontId="361" fillId="0" borderId="17" xfId="0" applyNumberFormat="1" applyFont="1" applyBorder="1" applyAlignment="1">
      <alignment horizontal="center" vertical="center"/>
    </xf>
    <xf numFmtId="0" fontId="177" fillId="0" borderId="49" xfId="0" applyFont="1" applyBorder="1" applyAlignment="1">
      <alignment horizontal="center"/>
    </xf>
    <xf numFmtId="0" fontId="177" fillId="0" borderId="17" xfId="0" applyFont="1" applyBorder="1" applyAlignment="1">
      <alignment horizontal="center"/>
    </xf>
    <xf numFmtId="0" fontId="177" fillId="16" borderId="22" xfId="0" applyFont="1" applyFill="1" applyBorder="1"/>
    <xf numFmtId="171" fontId="177" fillId="0" borderId="22" xfId="0" applyNumberFormat="1" applyFont="1" applyBorder="1"/>
    <xf numFmtId="165" fontId="362" fillId="0" borderId="22" xfId="0" applyNumberFormat="1" applyFont="1" applyBorder="1" applyAlignment="1">
      <alignment horizontal="center" vertical="center"/>
    </xf>
    <xf numFmtId="0" fontId="177" fillId="0" borderId="54" xfId="0" applyFont="1" applyBorder="1" applyAlignment="1">
      <alignment horizontal="center"/>
    </xf>
    <xf numFmtId="165" fontId="177" fillId="0" borderId="22" xfId="0" applyNumberFormat="1" applyFont="1" applyBorder="1" applyAlignment="1">
      <alignment horizontal="center"/>
    </xf>
    <xf numFmtId="0" fontId="177" fillId="0" borderId="80" xfId="0" applyFont="1" applyBorder="1" applyAlignment="1">
      <alignment horizontal="center"/>
    </xf>
    <xf numFmtId="0" fontId="177" fillId="0" borderId="98" xfId="0" applyFont="1" applyBorder="1" applyAlignment="1">
      <alignment horizontal="center"/>
    </xf>
    <xf numFmtId="165" fontId="177" fillId="0" borderId="0" xfId="0" applyNumberFormat="1" applyFont="1" applyAlignment="1">
      <alignment horizontal="right" wrapText="1"/>
    </xf>
    <xf numFmtId="165" fontId="177" fillId="0" borderId="22" xfId="0" applyNumberFormat="1" applyFont="1" applyBorder="1" applyAlignment="1">
      <alignment horizontal="right" wrapText="1"/>
    </xf>
    <xf numFmtId="165" fontId="177" fillId="0" borderId="40" xfId="0" applyNumberFormat="1" applyFont="1" applyBorder="1" applyAlignment="1">
      <alignment horizontal="right" wrapText="1"/>
    </xf>
    <xf numFmtId="165" fontId="177" fillId="0" borderId="40" xfId="0" applyNumberFormat="1" applyFont="1" applyBorder="1"/>
    <xf numFmtId="165" fontId="231" fillId="0" borderId="66" xfId="0" applyNumberFormat="1" applyFont="1" applyBorder="1" applyAlignment="1">
      <alignment horizontal="center"/>
    </xf>
    <xf numFmtId="165" fontId="231" fillId="35" borderId="81" xfId="0" applyNumberFormat="1" applyFont="1" applyFill="1" applyBorder="1" applyAlignment="1">
      <alignment horizontal="center"/>
    </xf>
    <xf numFmtId="165" fontId="177" fillId="35" borderId="22" xfId="0" applyNumberFormat="1" applyFont="1" applyFill="1" applyBorder="1" applyAlignment="1">
      <alignment horizontal="right" wrapText="1"/>
    </xf>
    <xf numFmtId="165" fontId="221" fillId="0" borderId="22" xfId="0" applyNumberFormat="1" applyFont="1" applyBorder="1" applyAlignment="1">
      <alignment horizontal="right"/>
    </xf>
    <xf numFmtId="165" fontId="221" fillId="0" borderId="54" xfId="0" applyNumberFormat="1" applyFont="1" applyBorder="1" applyAlignment="1">
      <alignment horizontal="right"/>
    </xf>
    <xf numFmtId="165" fontId="231" fillId="0" borderId="22" xfId="0" applyNumberFormat="1" applyFont="1" applyBorder="1" applyAlignment="1">
      <alignment horizontal="center"/>
    </xf>
    <xf numFmtId="0" fontId="231" fillId="35" borderId="35" xfId="0" applyFont="1" applyFill="1" applyBorder="1" applyAlignment="1">
      <alignment horizontal="center"/>
    </xf>
    <xf numFmtId="165" fontId="231" fillId="35" borderId="35" xfId="0" applyNumberFormat="1" applyFont="1" applyFill="1" applyBorder="1" applyAlignment="1">
      <alignment horizontal="center"/>
    </xf>
    <xf numFmtId="0" fontId="177" fillId="35" borderId="40" xfId="0" applyFont="1" applyFill="1" applyBorder="1" applyAlignment="1">
      <alignment horizontal="center"/>
    </xf>
    <xf numFmtId="0" fontId="177" fillId="35" borderId="22" xfId="0" applyFont="1" applyFill="1" applyBorder="1"/>
    <xf numFmtId="165" fontId="231" fillId="0" borderId="41" xfId="0" applyNumberFormat="1" applyFont="1" applyBorder="1" applyAlignment="1">
      <alignment horizontal="center"/>
    </xf>
    <xf numFmtId="0" fontId="231" fillId="35" borderId="67" xfId="0" applyFont="1" applyFill="1" applyBorder="1" applyAlignment="1">
      <alignment horizontal="center"/>
    </xf>
    <xf numFmtId="165" fontId="231" fillId="35" borderId="67" xfId="0" applyNumberFormat="1" applyFont="1" applyFill="1" applyBorder="1" applyAlignment="1">
      <alignment horizontal="center"/>
    </xf>
    <xf numFmtId="165" fontId="231" fillId="0" borderId="20" xfId="0" applyNumberFormat="1" applyFont="1" applyBorder="1" applyAlignment="1">
      <alignment horizontal="center"/>
    </xf>
    <xf numFmtId="0" fontId="361" fillId="0" borderId="40" xfId="0" applyFont="1" applyBorder="1" applyAlignment="1">
      <alignment horizontal="center" vertical="center"/>
    </xf>
    <xf numFmtId="0" fontId="177" fillId="35" borderId="40" xfId="0" applyFont="1" applyFill="1" applyBorder="1"/>
    <xf numFmtId="165" fontId="361" fillId="0" borderId="20" xfId="0" applyNumberFormat="1" applyFont="1" applyBorder="1" applyAlignment="1">
      <alignment horizontal="center"/>
    </xf>
    <xf numFmtId="0" fontId="361" fillId="0" borderId="22" xfId="0" applyFont="1" applyBorder="1" applyAlignment="1">
      <alignment horizontal="center"/>
    </xf>
    <xf numFmtId="0" fontId="355" fillId="0" borderId="40" xfId="0" applyFont="1" applyBorder="1" applyAlignment="1">
      <alignment horizontal="center"/>
    </xf>
    <xf numFmtId="0" fontId="361" fillId="0" borderId="40" xfId="0" applyFont="1" applyBorder="1" applyAlignment="1">
      <alignment horizontal="center"/>
    </xf>
    <xf numFmtId="0" fontId="355" fillId="0" borderId="0" xfId="0" applyFont="1" applyAlignment="1">
      <alignment horizontal="center"/>
    </xf>
    <xf numFmtId="0" fontId="177" fillId="0" borderId="66" xfId="0" applyFont="1" applyBorder="1" applyAlignment="1">
      <alignment horizontal="center" vertical="center"/>
    </xf>
    <xf numFmtId="0" fontId="177" fillId="0" borderId="121" xfId="0" applyFont="1" applyBorder="1" applyAlignment="1">
      <alignment horizontal="center" vertical="center"/>
    </xf>
    <xf numFmtId="0" fontId="361" fillId="18" borderId="66" xfId="0" applyFont="1" applyFill="1" applyBorder="1" applyAlignment="1">
      <alignment horizontal="center"/>
    </xf>
    <xf numFmtId="0" fontId="355" fillId="18" borderId="66" xfId="0" applyFont="1" applyFill="1" applyBorder="1" applyAlignment="1">
      <alignment horizontal="center"/>
    </xf>
    <xf numFmtId="0" fontId="355" fillId="0" borderId="97" xfId="0" applyFont="1" applyBorder="1" applyAlignment="1">
      <alignment horizontal="center"/>
    </xf>
    <xf numFmtId="0" fontId="355" fillId="0" borderId="68" xfId="0" applyFont="1" applyBorder="1" applyAlignment="1">
      <alignment horizontal="center"/>
    </xf>
    <xf numFmtId="0" fontId="303" fillId="0" borderId="97" xfId="0" applyFont="1" applyBorder="1"/>
    <xf numFmtId="0" fontId="177" fillId="0" borderId="66" xfId="0" applyFont="1" applyBorder="1" applyAlignment="1">
      <alignment wrapText="1"/>
    </xf>
    <xf numFmtId="0" fontId="177" fillId="0" borderId="40" xfId="0" applyFont="1" applyBorder="1" applyAlignment="1">
      <alignment wrapText="1"/>
    </xf>
    <xf numFmtId="0" fontId="177" fillId="0" borderId="54" xfId="0" applyFont="1" applyBorder="1" applyAlignment="1">
      <alignment wrapText="1"/>
    </xf>
    <xf numFmtId="0" fontId="177" fillId="0" borderId="140" xfId="0" applyFont="1" applyBorder="1" applyAlignment="1">
      <alignment horizontal="center" wrapText="1"/>
    </xf>
    <xf numFmtId="0" fontId="231" fillId="15" borderId="54" xfId="0" applyFont="1" applyFill="1" applyBorder="1" applyAlignment="1">
      <alignment vertical="center" wrapText="1"/>
    </xf>
    <xf numFmtId="0" fontId="177" fillId="0" borderId="54" xfId="0" applyFont="1" applyBorder="1" applyAlignment="1">
      <alignment vertical="center" wrapText="1"/>
    </xf>
    <xf numFmtId="0" fontId="221" fillId="0" borderId="107" xfId="5" applyFont="1"/>
    <xf numFmtId="0" fontId="356" fillId="18" borderId="140" xfId="1" applyFont="1" applyFill="1" applyBorder="1" applyAlignment="1">
      <alignment horizontal="center" wrapText="1"/>
    </xf>
    <xf numFmtId="0" fontId="356" fillId="0" borderId="140" xfId="1" applyFont="1" applyBorder="1" applyAlignment="1">
      <alignment horizontal="center" wrapText="1"/>
    </xf>
    <xf numFmtId="0" fontId="246" fillId="0" borderId="223" xfId="0" applyFont="1" applyBorder="1" applyAlignment="1">
      <alignment horizontal="center" vertical="center"/>
    </xf>
    <xf numFmtId="0" fontId="357" fillId="0" borderId="158" xfId="0" applyFont="1" applyBorder="1" applyAlignment="1">
      <alignment horizontal="center" vertical="center" wrapText="1"/>
    </xf>
    <xf numFmtId="0" fontId="303" fillId="121" borderId="140" xfId="0" applyFont="1" applyFill="1" applyBorder="1" applyAlignment="1">
      <alignment horizontal="center" vertical="center" wrapText="1"/>
    </xf>
    <xf numFmtId="0" fontId="376" fillId="122" borderId="140" xfId="0" applyFont="1" applyFill="1" applyBorder="1" applyAlignment="1">
      <alignment horizontal="center" vertical="center" wrapText="1"/>
    </xf>
    <xf numFmtId="0" fontId="376" fillId="122" borderId="183" xfId="0" applyFont="1" applyFill="1" applyBorder="1" applyAlignment="1">
      <alignment horizontal="center" vertical="center" wrapText="1"/>
    </xf>
    <xf numFmtId="0" fontId="376" fillId="72" borderId="183" xfId="0" applyFont="1" applyFill="1" applyBorder="1" applyAlignment="1">
      <alignment horizontal="center" vertical="center" wrapText="1"/>
    </xf>
    <xf numFmtId="0" fontId="376" fillId="62" borderId="183" xfId="0" applyFont="1" applyFill="1" applyBorder="1" applyAlignment="1">
      <alignment horizontal="center" vertical="center" wrapText="1"/>
    </xf>
    <xf numFmtId="0" fontId="177" fillId="122" borderId="140" xfId="0" applyFont="1" applyFill="1" applyBorder="1"/>
    <xf numFmtId="0" fontId="355" fillId="3" borderId="147" xfId="0" applyFont="1" applyFill="1" applyBorder="1" applyAlignment="1">
      <alignment horizontal="center" vertical="center" wrapText="1"/>
    </xf>
    <xf numFmtId="0" fontId="303" fillId="0" borderId="240" xfId="0" applyFont="1" applyBorder="1"/>
    <xf numFmtId="0" fontId="303" fillId="0" borderId="241" xfId="0" applyFont="1" applyBorder="1"/>
    <xf numFmtId="0" fontId="303" fillId="0" borderId="242" xfId="0" applyFont="1" applyBorder="1"/>
    <xf numFmtId="0" fontId="356" fillId="2" borderId="183" xfId="1" applyFont="1" applyFill="1" applyBorder="1" applyAlignment="1">
      <alignment wrapText="1"/>
    </xf>
    <xf numFmtId="0" fontId="356" fillId="2" borderId="140" xfId="1" applyFont="1" applyFill="1" applyBorder="1" applyAlignment="1">
      <alignment wrapText="1"/>
    </xf>
    <xf numFmtId="0" fontId="356" fillId="2" borderId="141" xfId="1" applyFont="1" applyFill="1" applyBorder="1" applyAlignment="1">
      <alignment wrapText="1"/>
    </xf>
    <xf numFmtId="0" fontId="356" fillId="62" borderId="140" xfId="1" applyFont="1" applyFill="1" applyBorder="1" applyAlignment="1">
      <alignment wrapText="1"/>
    </xf>
    <xf numFmtId="0" fontId="356" fillId="62" borderId="0" xfId="1" applyFont="1" applyFill="1" applyAlignment="1">
      <alignment wrapText="1"/>
    </xf>
    <xf numFmtId="0" fontId="356" fillId="0" borderId="0" xfId="1" applyFont="1" applyAlignment="1">
      <alignment wrapText="1"/>
    </xf>
    <xf numFmtId="0" fontId="356" fillId="62" borderId="107" xfId="1" applyFont="1" applyFill="1" applyBorder="1" applyAlignment="1">
      <alignment wrapText="1"/>
    </xf>
    <xf numFmtId="0" fontId="288" fillId="65" borderId="140" xfId="0" applyFont="1" applyFill="1" applyBorder="1" applyAlignment="1">
      <alignment horizontal="center"/>
    </xf>
    <xf numFmtId="0" fontId="302" fillId="86" borderId="223" xfId="0" applyFont="1" applyFill="1" applyBorder="1" applyAlignment="1">
      <alignment horizontal="center"/>
    </xf>
    <xf numFmtId="17" fontId="303" fillId="59" borderId="140" xfId="0" applyNumberFormat="1" applyFont="1" applyFill="1" applyBorder="1"/>
    <xf numFmtId="17" fontId="303" fillId="0" borderId="217" xfId="0" applyNumberFormat="1" applyFont="1" applyBorder="1"/>
    <xf numFmtId="0" fontId="288" fillId="58" borderId="223" xfId="0" applyFont="1" applyFill="1" applyBorder="1" applyAlignment="1">
      <alignment horizontal="center"/>
    </xf>
    <xf numFmtId="0" fontId="357" fillId="0" borderId="158" xfId="5" applyFont="1" applyBorder="1" applyAlignment="1">
      <alignment horizontal="center" vertical="center" wrapText="1"/>
    </xf>
    <xf numFmtId="0" fontId="302" fillId="74" borderId="223" xfId="0" applyFont="1" applyFill="1" applyBorder="1"/>
    <xf numFmtId="0" fontId="302" fillId="62" borderId="223" xfId="0" applyFont="1" applyFill="1" applyBorder="1"/>
    <xf numFmtId="0" fontId="355" fillId="3" borderId="181" xfId="0" applyFont="1" applyFill="1" applyBorder="1" applyAlignment="1">
      <alignment horizontal="center" wrapText="1"/>
    </xf>
    <xf numFmtId="0" fontId="177" fillId="94" borderId="181" xfId="0" applyFont="1" applyFill="1" applyBorder="1" applyAlignment="1">
      <alignment horizontal="center" vertical="center" wrapText="1"/>
    </xf>
    <xf numFmtId="0" fontId="177" fillId="94" borderId="140" xfId="0" applyFont="1" applyFill="1" applyBorder="1" applyAlignment="1">
      <alignment horizontal="center" vertical="center" wrapText="1"/>
    </xf>
    <xf numFmtId="0" fontId="303" fillId="94" borderId="210" xfId="0" applyFont="1" applyFill="1" applyBorder="1" applyAlignment="1">
      <alignment horizontal="center" vertical="center" wrapText="1"/>
    </xf>
    <xf numFmtId="0" fontId="303" fillId="95" borderId="140" xfId="0" applyFont="1" applyFill="1" applyBorder="1" applyAlignment="1">
      <alignment horizontal="center" wrapText="1"/>
    </xf>
    <xf numFmtId="0" fontId="288" fillId="95" borderId="140" xfId="0" applyFont="1" applyFill="1" applyBorder="1" applyAlignment="1">
      <alignment horizontal="center" wrapText="1"/>
    </xf>
    <xf numFmtId="0" fontId="355" fillId="95" borderId="140" xfId="0" applyFont="1" applyFill="1" applyBorder="1" applyAlignment="1">
      <alignment horizontal="center" wrapText="1"/>
    </xf>
    <xf numFmtId="0" fontId="361" fillId="96" borderId="140" xfId="0" applyFont="1" applyFill="1" applyBorder="1" applyAlignment="1">
      <alignment horizontal="center" wrapText="1"/>
    </xf>
    <xf numFmtId="0" fontId="355" fillId="96" borderId="140" xfId="0" applyFont="1" applyFill="1" applyBorder="1" applyAlignment="1">
      <alignment horizontal="center" wrapText="1"/>
    </xf>
    <xf numFmtId="0" fontId="355" fillId="146" borderId="140" xfId="0" applyFont="1" applyFill="1" applyBorder="1" applyAlignment="1">
      <alignment horizontal="center" wrapText="1"/>
    </xf>
    <xf numFmtId="0" fontId="221" fillId="0" borderId="140" xfId="5" applyFont="1" applyBorder="1" applyAlignment="1">
      <alignment horizontal="center" vertical="center"/>
    </xf>
    <xf numFmtId="0" fontId="302" fillId="0" borderId="140" xfId="0" applyFont="1" applyBorder="1" applyAlignment="1">
      <alignment horizontal="center"/>
    </xf>
    <xf numFmtId="0" fontId="303" fillId="65" borderId="140" xfId="0" applyFont="1" applyFill="1" applyBorder="1" applyAlignment="1">
      <alignment horizontal="center"/>
    </xf>
    <xf numFmtId="0" fontId="221" fillId="0" borderId="140" xfId="0" applyFont="1" applyBorder="1" applyAlignment="1">
      <alignment horizontal="center" vertical="center"/>
    </xf>
    <xf numFmtId="0" fontId="177" fillId="0" borderId="140" xfId="0" applyFont="1" applyBorder="1" applyAlignment="1">
      <alignment wrapText="1"/>
    </xf>
    <xf numFmtId="0" fontId="303" fillId="0" borderId="218" xfId="0" applyFont="1" applyBorder="1"/>
    <xf numFmtId="0" fontId="303" fillId="0" borderId="223" xfId="0" applyFont="1" applyBorder="1"/>
    <xf numFmtId="0" fontId="303" fillId="62" borderId="218" xfId="0" applyFont="1" applyFill="1" applyBorder="1"/>
    <xf numFmtId="0" fontId="221" fillId="0" borderId="32" xfId="0" applyFont="1" applyBorder="1" applyAlignment="1">
      <alignment horizontal="right" wrapText="1"/>
    </xf>
    <xf numFmtId="0" fontId="303" fillId="120" borderId="0" xfId="0" applyFont="1" applyFill="1"/>
    <xf numFmtId="174" fontId="303" fillId="0" borderId="218" xfId="3" applyNumberFormat="1" applyFont="1" applyBorder="1"/>
    <xf numFmtId="0" fontId="303" fillId="58" borderId="140" xfId="0" applyFont="1" applyFill="1" applyBorder="1" applyAlignment="1">
      <alignment horizontal="center"/>
    </xf>
    <xf numFmtId="0" fontId="221" fillId="0" borderId="34" xfId="0" applyFont="1" applyBorder="1" applyAlignment="1">
      <alignment horizontal="right" wrapText="1"/>
    </xf>
    <xf numFmtId="0" fontId="303" fillId="58" borderId="140" xfId="0" applyFont="1" applyFill="1" applyBorder="1"/>
    <xf numFmtId="165" fontId="303" fillId="58" borderId="140" xfId="0" applyNumberFormat="1" applyFont="1" applyFill="1" applyBorder="1"/>
    <xf numFmtId="0" fontId="303" fillId="62" borderId="140" xfId="0" applyFont="1" applyFill="1" applyBorder="1"/>
    <xf numFmtId="174" fontId="303" fillId="0" borderId="218" xfId="3" applyNumberFormat="1" applyFont="1" applyFill="1" applyBorder="1"/>
    <xf numFmtId="0" fontId="303" fillId="59" borderId="140" xfId="0" applyFont="1" applyFill="1" applyBorder="1" applyAlignment="1">
      <alignment horizontal="center"/>
    </xf>
    <xf numFmtId="0" fontId="303" fillId="0" borderId="0" xfId="0" applyFont="1" applyAlignment="1">
      <alignment wrapText="1"/>
    </xf>
    <xf numFmtId="0" fontId="303" fillId="62" borderId="140" xfId="0" applyFont="1" applyFill="1" applyBorder="1" applyAlignment="1">
      <alignment horizontal="center"/>
    </xf>
    <xf numFmtId="0" fontId="177" fillId="58" borderId="140" xfId="0" applyFont="1" applyFill="1" applyBorder="1" applyAlignment="1">
      <alignment horizontal="center" vertical="center" wrapText="1"/>
    </xf>
    <xf numFmtId="0" fontId="303" fillId="58" borderId="140" xfId="0" applyFont="1" applyFill="1" applyBorder="1" applyAlignment="1">
      <alignment horizontal="center" wrapText="1"/>
    </xf>
    <xf numFmtId="174" fontId="303" fillId="64" borderId="140" xfId="3" applyNumberFormat="1" applyFont="1" applyFill="1" applyBorder="1"/>
    <xf numFmtId="2" fontId="303" fillId="0" borderId="140" xfId="0" applyNumberFormat="1" applyFont="1" applyBorder="1"/>
    <xf numFmtId="165" fontId="221" fillId="0" borderId="140" xfId="0" applyNumberFormat="1" applyFont="1" applyBorder="1" applyAlignment="1">
      <alignment horizontal="center" wrapText="1"/>
    </xf>
    <xf numFmtId="0" fontId="177" fillId="66" borderId="140" xfId="0" applyFont="1" applyFill="1" applyBorder="1" applyAlignment="1">
      <alignment horizontal="right" wrapText="1"/>
    </xf>
    <xf numFmtId="174" fontId="303" fillId="120" borderId="140" xfId="3" applyNumberFormat="1" applyFont="1" applyFill="1" applyBorder="1"/>
    <xf numFmtId="0" fontId="221" fillId="0" borderId="140" xfId="0" applyFont="1" applyBorder="1" applyAlignment="1">
      <alignment horizontal="center" wrapText="1"/>
    </xf>
    <xf numFmtId="0" fontId="303" fillId="59" borderId="140" xfId="0" applyFont="1" applyFill="1" applyBorder="1"/>
    <xf numFmtId="0" fontId="221" fillId="59" borderId="140" xfId="0" applyFont="1" applyFill="1" applyBorder="1"/>
    <xf numFmtId="0" fontId="302" fillId="59" borderId="140" xfId="0" applyFont="1" applyFill="1" applyBorder="1" applyAlignment="1">
      <alignment horizontal="center"/>
    </xf>
    <xf numFmtId="0" fontId="177" fillId="59" borderId="140" xfId="0" applyFont="1" applyFill="1" applyBorder="1" applyAlignment="1">
      <alignment horizontal="center" vertical="center" wrapText="1"/>
    </xf>
    <xf numFmtId="0" fontId="303" fillId="59" borderId="140" xfId="0" applyFont="1" applyFill="1" applyBorder="1" applyAlignment="1">
      <alignment horizontal="center" wrapText="1"/>
    </xf>
    <xf numFmtId="174" fontId="303" fillId="59" borderId="140" xfId="3" applyNumberFormat="1" applyFont="1" applyFill="1" applyBorder="1"/>
    <xf numFmtId="0" fontId="177" fillId="138" borderId="140" xfId="0" applyFont="1" applyFill="1" applyBorder="1" applyAlignment="1">
      <alignment horizontal="center" vertical="center" wrapText="1"/>
    </xf>
    <xf numFmtId="2" fontId="303" fillId="59" borderId="140" xfId="0" applyNumberFormat="1" applyFont="1" applyFill="1" applyBorder="1"/>
    <xf numFmtId="0" fontId="303" fillId="0" borderId="140" xfId="0" quotePrefix="1" applyFont="1" applyBorder="1"/>
    <xf numFmtId="0" fontId="356" fillId="0" borderId="140" xfId="1" applyFont="1" applyBorder="1" applyAlignment="1">
      <alignment wrapText="1"/>
    </xf>
    <xf numFmtId="0" fontId="303" fillId="0" borderId="183" xfId="0" applyFont="1" applyBorder="1"/>
    <xf numFmtId="0" fontId="303" fillId="58" borderId="218" xfId="0" applyFont="1" applyFill="1" applyBorder="1"/>
    <xf numFmtId="0" fontId="221" fillId="0" borderId="218" xfId="0" applyFont="1" applyBorder="1"/>
    <xf numFmtId="17" fontId="221" fillId="0" borderId="218" xfId="5" applyNumberFormat="1" applyFont="1" applyBorder="1" applyAlignment="1">
      <alignment horizontal="center" vertical="center"/>
    </xf>
    <xf numFmtId="0" fontId="221" fillId="0" borderId="218" xfId="5" applyFont="1" applyBorder="1" applyAlignment="1">
      <alignment horizontal="center" vertical="center"/>
    </xf>
    <xf numFmtId="0" fontId="177" fillId="0" borderId="218" xfId="5" applyFont="1" applyBorder="1"/>
    <xf numFmtId="0" fontId="177" fillId="0" borderId="218" xfId="0" applyFont="1" applyBorder="1" applyAlignment="1">
      <alignment horizontal="center"/>
    </xf>
    <xf numFmtId="0" fontId="302" fillId="0" borderId="218" xfId="0" applyFont="1" applyBorder="1" applyAlignment="1">
      <alignment horizontal="center"/>
    </xf>
    <xf numFmtId="0" fontId="303" fillId="58" borderId="218" xfId="0" applyFont="1" applyFill="1" applyBorder="1" applyAlignment="1">
      <alignment horizontal="center"/>
    </xf>
    <xf numFmtId="0" fontId="303" fillId="62" borderId="218" xfId="0" applyFont="1" applyFill="1" applyBorder="1" applyAlignment="1">
      <alignment horizontal="center"/>
    </xf>
    <xf numFmtId="0" fontId="177" fillId="58" borderId="218" xfId="0" applyFont="1" applyFill="1" applyBorder="1" applyAlignment="1">
      <alignment horizontal="center" vertical="center" wrapText="1"/>
    </xf>
    <xf numFmtId="0" fontId="303" fillId="58" borderId="218" xfId="0" applyFont="1" applyFill="1" applyBorder="1" applyAlignment="1">
      <alignment horizontal="center" wrapText="1"/>
    </xf>
    <xf numFmtId="174" fontId="303" fillId="64" borderId="218" xfId="3" applyNumberFormat="1" applyFont="1" applyFill="1" applyBorder="1"/>
    <xf numFmtId="2" fontId="303" fillId="0" borderId="218" xfId="0" applyNumberFormat="1" applyFont="1" applyBorder="1"/>
    <xf numFmtId="0" fontId="288" fillId="65" borderId="189" xfId="0" applyFont="1" applyFill="1" applyBorder="1" applyAlignment="1">
      <alignment horizontal="center"/>
    </xf>
    <xf numFmtId="0" fontId="221" fillId="0" borderId="304" xfId="0" applyFont="1" applyBorder="1"/>
    <xf numFmtId="0" fontId="288" fillId="58" borderId="304" xfId="0" applyFont="1" applyFill="1" applyBorder="1" applyAlignment="1">
      <alignment horizontal="center"/>
    </xf>
    <xf numFmtId="0" fontId="302" fillId="70" borderId="304" xfId="0" applyFont="1" applyFill="1" applyBorder="1" applyAlignment="1">
      <alignment horizontal="center"/>
    </xf>
    <xf numFmtId="0" fontId="302" fillId="86" borderId="304" xfId="0" applyFont="1" applyFill="1" applyBorder="1" applyAlignment="1">
      <alignment horizontal="center"/>
    </xf>
    <xf numFmtId="0" fontId="302" fillId="74" borderId="304" xfId="0" applyFont="1" applyFill="1" applyBorder="1"/>
    <xf numFmtId="0" fontId="302" fillId="62" borderId="304" xfId="0" applyFont="1" applyFill="1" applyBorder="1"/>
    <xf numFmtId="0" fontId="246" fillId="70" borderId="304" xfId="0" applyFont="1" applyFill="1" applyBorder="1" applyAlignment="1">
      <alignment horizontal="center" vertical="center" wrapText="1"/>
    </xf>
    <xf numFmtId="0" fontId="355" fillId="92" borderId="304" xfId="0" applyFont="1" applyFill="1" applyBorder="1" applyAlignment="1">
      <alignment horizontal="center" wrapText="1"/>
    </xf>
    <xf numFmtId="0" fontId="177" fillId="92" borderId="304" xfId="0" applyFont="1" applyFill="1" applyBorder="1" applyAlignment="1">
      <alignment horizontal="center" wrapText="1"/>
    </xf>
    <xf numFmtId="0" fontId="303" fillId="75" borderId="304" xfId="0" applyFont="1" applyFill="1" applyBorder="1" applyAlignment="1">
      <alignment horizontal="center" wrapText="1"/>
    </xf>
    <xf numFmtId="0" fontId="303" fillId="82" borderId="304" xfId="0" applyFont="1" applyFill="1" applyBorder="1" applyAlignment="1">
      <alignment horizontal="center" wrapText="1"/>
    </xf>
    <xf numFmtId="0" fontId="177" fillId="82" borderId="304" xfId="0" applyFont="1" applyFill="1" applyBorder="1" applyAlignment="1">
      <alignment horizontal="center" vertical="center" wrapText="1"/>
    </xf>
    <xf numFmtId="0" fontId="303" fillId="86" borderId="304" xfId="0" applyFont="1" applyFill="1" applyBorder="1" applyAlignment="1">
      <alignment horizontal="center" wrapText="1"/>
    </xf>
    <xf numFmtId="0" fontId="303" fillId="76" borderId="304" xfId="0" applyFont="1" applyFill="1" applyBorder="1" applyAlignment="1">
      <alignment horizontal="center" vertical="center" wrapText="1"/>
    </xf>
    <xf numFmtId="0" fontId="303" fillId="76" borderId="304" xfId="0" applyFont="1" applyFill="1" applyBorder="1" applyAlignment="1">
      <alignment vertical="center" wrapText="1"/>
    </xf>
    <xf numFmtId="0" fontId="303" fillId="85" borderId="304" xfId="0" applyFont="1" applyFill="1" applyBorder="1" applyAlignment="1">
      <alignment vertical="center" wrapText="1"/>
    </xf>
    <xf numFmtId="0" fontId="303" fillId="85" borderId="304" xfId="0" applyFont="1" applyFill="1" applyBorder="1" applyAlignment="1">
      <alignment horizontal="center" vertical="center" wrapText="1"/>
    </xf>
    <xf numFmtId="0" fontId="303" fillId="0" borderId="190" xfId="0" applyFont="1" applyBorder="1"/>
    <xf numFmtId="0" fontId="303" fillId="0" borderId="246" xfId="0" applyFont="1" applyBorder="1"/>
    <xf numFmtId="0" fontId="221" fillId="0" borderId="247" xfId="0" applyFont="1" applyBorder="1"/>
    <xf numFmtId="0" fontId="288" fillId="65" borderId="247" xfId="0" applyFont="1" applyFill="1" applyBorder="1" applyAlignment="1">
      <alignment horizontal="center"/>
    </xf>
    <xf numFmtId="0" fontId="362" fillId="0" borderId="247" xfId="0" applyFont="1" applyBorder="1" applyAlignment="1">
      <alignment horizontal="center"/>
    </xf>
    <xf numFmtId="0" fontId="302" fillId="0" borderId="247" xfId="0" applyFont="1" applyBorder="1"/>
    <xf numFmtId="0" fontId="303" fillId="0" borderId="247" xfId="0" applyFont="1" applyBorder="1"/>
    <xf numFmtId="0" fontId="303" fillId="0" borderId="247" xfId="0" applyFont="1" applyBorder="1" applyAlignment="1">
      <alignment wrapText="1"/>
    </xf>
    <xf numFmtId="0" fontId="356" fillId="0" borderId="247" xfId="1" applyFont="1" applyBorder="1" applyAlignment="1">
      <alignment wrapText="1"/>
    </xf>
    <xf numFmtId="0" fontId="303" fillId="0" borderId="253" xfId="0" applyFont="1" applyBorder="1"/>
    <xf numFmtId="0" fontId="177" fillId="0" borderId="182" xfId="0" applyFont="1" applyBorder="1"/>
    <xf numFmtId="166" fontId="177" fillId="0" borderId="182" xfId="0" applyNumberFormat="1" applyFont="1" applyBorder="1"/>
    <xf numFmtId="17" fontId="303" fillId="0" borderId="182" xfId="0" applyNumberFormat="1" applyFont="1" applyBorder="1"/>
    <xf numFmtId="0" fontId="303" fillId="0" borderId="182" xfId="0" applyFont="1" applyBorder="1"/>
    <xf numFmtId="0" fontId="303" fillId="62" borderId="107" xfId="0" applyFont="1" applyFill="1" applyBorder="1"/>
    <xf numFmtId="0" fontId="377" fillId="62" borderId="141" xfId="0" applyFont="1" applyFill="1" applyBorder="1" applyAlignment="1">
      <alignment vertical="center"/>
    </xf>
    <xf numFmtId="0" fontId="303" fillId="65" borderId="141" xfId="0" applyFont="1" applyFill="1" applyBorder="1"/>
    <xf numFmtId="0" fontId="177" fillId="2" borderId="141" xfId="0" applyFont="1" applyFill="1" applyBorder="1" applyAlignment="1">
      <alignment wrapText="1"/>
    </xf>
    <xf numFmtId="0" fontId="177" fillId="0" borderId="0" xfId="0" applyFont="1" applyAlignment="1">
      <alignment wrapText="1"/>
    </xf>
    <xf numFmtId="0" fontId="246" fillId="66" borderId="141" xfId="0" applyFont="1" applyFill="1" applyBorder="1" applyAlignment="1">
      <alignment horizontal="center" vertical="center" wrapText="1"/>
    </xf>
    <xf numFmtId="0" fontId="355" fillId="2" borderId="141" xfId="0" applyFont="1" applyFill="1" applyBorder="1" applyAlignment="1">
      <alignment horizontal="center" wrapText="1"/>
    </xf>
    <xf numFmtId="0" fontId="361" fillId="2" borderId="141" xfId="0" applyFont="1" applyFill="1" applyBorder="1" applyAlignment="1">
      <alignment horizontal="center" wrapText="1"/>
    </xf>
    <xf numFmtId="0" fontId="177" fillId="10" borderId="141" xfId="0" applyFont="1" applyFill="1" applyBorder="1" applyAlignment="1">
      <alignment wrapText="1"/>
    </xf>
    <xf numFmtId="17" fontId="221" fillId="0" borderId="70" xfId="0" applyNumberFormat="1" applyFont="1" applyBorder="1" applyAlignment="1">
      <alignment horizontal="center"/>
    </xf>
    <xf numFmtId="0" fontId="177" fillId="0" borderId="71" xfId="0" applyFont="1" applyBorder="1" applyAlignment="1">
      <alignment wrapText="1"/>
    </xf>
    <xf numFmtId="0" fontId="221" fillId="0" borderId="71" xfId="0" applyFont="1" applyBorder="1" applyAlignment="1">
      <alignment horizontal="center"/>
    </xf>
    <xf numFmtId="0" fontId="177" fillId="0" borderId="71" xfId="0" applyFont="1" applyBorder="1" applyAlignment="1">
      <alignment horizontal="left" vertical="center" wrapText="1"/>
    </xf>
    <xf numFmtId="0" fontId="177" fillId="0" borderId="71" xfId="0" applyFont="1" applyBorder="1" applyAlignment="1">
      <alignment horizontal="center"/>
    </xf>
    <xf numFmtId="0" fontId="177" fillId="0" borderId="107" xfId="0" applyFont="1" applyBorder="1" applyAlignment="1">
      <alignment wrapText="1"/>
    </xf>
    <xf numFmtId="0" fontId="221" fillId="0" borderId="140" xfId="0" applyFont="1" applyBorder="1" applyAlignment="1">
      <alignment horizontal="center"/>
    </xf>
    <xf numFmtId="0" fontId="177" fillId="62" borderId="140" xfId="0" applyFont="1" applyFill="1" applyBorder="1" applyAlignment="1">
      <alignment wrapText="1"/>
    </xf>
    <xf numFmtId="0" fontId="177" fillId="0" borderId="98" xfId="0" applyFont="1" applyBorder="1" applyAlignment="1">
      <alignment wrapText="1"/>
    </xf>
    <xf numFmtId="0" fontId="177" fillId="0" borderId="183" xfId="0" applyFont="1" applyBorder="1" applyAlignment="1">
      <alignment wrapText="1"/>
    </xf>
    <xf numFmtId="0" fontId="377" fillId="0" borderId="140" xfId="0" applyFont="1" applyBorder="1"/>
    <xf numFmtId="0" fontId="305" fillId="62" borderId="140" xfId="0" applyFont="1" applyFill="1" applyBorder="1"/>
    <xf numFmtId="0" fontId="177" fillId="0" borderId="97" xfId="0" applyFont="1" applyBorder="1" applyAlignment="1">
      <alignment wrapText="1"/>
    </xf>
    <xf numFmtId="0" fontId="177" fillId="0" borderId="121" xfId="0" applyFont="1" applyBorder="1" applyAlignment="1">
      <alignment wrapText="1"/>
    </xf>
    <xf numFmtId="0" fontId="177" fillId="0" borderId="217" xfId="0" applyFont="1" applyBorder="1" applyAlignment="1">
      <alignment wrapText="1"/>
    </xf>
    <xf numFmtId="17" fontId="221" fillId="0" borderId="107" xfId="0" applyNumberFormat="1" applyFont="1" applyBorder="1" applyAlignment="1">
      <alignment horizontal="center"/>
    </xf>
    <xf numFmtId="0" fontId="231" fillId="0" borderId="107" xfId="0" applyFont="1" applyBorder="1" applyAlignment="1">
      <alignment horizontal="center"/>
    </xf>
    <xf numFmtId="0" fontId="302" fillId="0" borderId="107" xfId="0" applyFont="1" applyBorder="1" applyAlignment="1">
      <alignment horizontal="center"/>
    </xf>
    <xf numFmtId="0" fontId="221" fillId="0" borderId="107" xfId="0" applyFont="1" applyBorder="1" applyAlignment="1">
      <alignment horizontal="center" vertical="center"/>
    </xf>
    <xf numFmtId="0" fontId="177" fillId="62" borderId="107" xfId="0" applyFont="1" applyFill="1" applyBorder="1" applyAlignment="1">
      <alignment wrapText="1"/>
    </xf>
    <xf numFmtId="0" fontId="305" fillId="62" borderId="107" xfId="0" applyFont="1" applyFill="1" applyBorder="1"/>
    <xf numFmtId="0" fontId="302" fillId="0" borderId="107" xfId="0" applyFont="1" applyBorder="1"/>
    <xf numFmtId="0" fontId="177" fillId="62" borderId="183" xfId="0" applyFont="1" applyFill="1" applyBorder="1" applyAlignment="1">
      <alignment wrapText="1"/>
    </xf>
    <xf numFmtId="0" fontId="246" fillId="3" borderId="140" xfId="5" applyFont="1" applyFill="1" applyBorder="1" applyAlignment="1">
      <alignment horizontal="center" vertical="center" wrapText="1"/>
    </xf>
    <xf numFmtId="17" fontId="303" fillId="0" borderId="0" xfId="0" applyNumberFormat="1" applyFont="1" applyAlignment="1">
      <alignment horizontal="center"/>
    </xf>
    <xf numFmtId="0" fontId="303" fillId="0" borderId="140" xfId="0" applyFont="1" applyBorder="1" applyAlignment="1">
      <alignment horizontal="center" wrapText="1"/>
    </xf>
    <xf numFmtId="0" fontId="354" fillId="0" borderId="140" xfId="1" applyFont="1" applyBorder="1" applyAlignment="1">
      <alignment wrapText="1"/>
    </xf>
    <xf numFmtId="0" fontId="303" fillId="65" borderId="140" xfId="0" applyFont="1" applyFill="1" applyBorder="1" applyAlignment="1">
      <alignment wrapText="1"/>
    </xf>
    <xf numFmtId="0" fontId="246" fillId="0" borderId="140" xfId="0" applyFont="1" applyBorder="1" applyAlignment="1">
      <alignment horizontal="center" vertical="center" wrapText="1"/>
    </xf>
    <xf numFmtId="0" fontId="177" fillId="81" borderId="140" xfId="0" applyFont="1" applyFill="1" applyBorder="1"/>
    <xf numFmtId="0" fontId="303" fillId="81" borderId="140" xfId="0" applyFont="1" applyFill="1" applyBorder="1"/>
    <xf numFmtId="0" fontId="303" fillId="82" borderId="140" xfId="0" applyFont="1" applyFill="1" applyBorder="1"/>
    <xf numFmtId="16" fontId="303" fillId="82" borderId="140" xfId="0" applyNumberFormat="1" applyFont="1" applyFill="1" applyBorder="1"/>
    <xf numFmtId="0" fontId="303" fillId="75" borderId="140" xfId="0" applyFont="1" applyFill="1" applyBorder="1" applyAlignment="1">
      <alignment wrapText="1"/>
    </xf>
    <xf numFmtId="17" fontId="303" fillId="75" borderId="140" xfId="0" applyNumberFormat="1" applyFont="1" applyFill="1" applyBorder="1"/>
    <xf numFmtId="0" fontId="303" fillId="85" borderId="140" xfId="0" applyFont="1" applyFill="1" applyBorder="1"/>
    <xf numFmtId="0" fontId="303" fillId="83" borderId="140" xfId="0" applyFont="1" applyFill="1" applyBorder="1"/>
    <xf numFmtId="0" fontId="246" fillId="3" borderId="192" xfId="0" applyFont="1" applyFill="1" applyBorder="1" applyAlignment="1">
      <alignment horizontal="center" vertical="center" wrapText="1"/>
    </xf>
    <xf numFmtId="0" fontId="246" fillId="0" borderId="158" xfId="0" applyFont="1" applyBorder="1" applyAlignment="1">
      <alignment vertical="center" wrapText="1"/>
    </xf>
    <xf numFmtId="0" fontId="221" fillId="2" borderId="158" xfId="0" applyFont="1" applyFill="1" applyBorder="1" applyAlignment="1">
      <alignment horizontal="center" vertical="center" wrapText="1"/>
    </xf>
    <xf numFmtId="0" fontId="246" fillId="0" borderId="185" xfId="0" applyFont="1" applyBorder="1" applyAlignment="1">
      <alignment horizontal="center" vertical="center" wrapText="1"/>
    </xf>
    <xf numFmtId="0" fontId="303" fillId="86" borderId="185" xfId="0" applyFont="1" applyFill="1" applyBorder="1" applyAlignment="1">
      <alignment wrapText="1"/>
    </xf>
    <xf numFmtId="0" fontId="303" fillId="82" borderId="185" xfId="0" applyFont="1" applyFill="1" applyBorder="1" applyAlignment="1">
      <alignment wrapText="1"/>
    </xf>
    <xf numFmtId="0" fontId="288" fillId="82" borderId="185" xfId="0" applyFont="1" applyFill="1" applyBorder="1" applyAlignment="1">
      <alignment wrapText="1"/>
    </xf>
    <xf numFmtId="0" fontId="303" fillId="75" borderId="185" xfId="0" applyFont="1" applyFill="1" applyBorder="1" applyAlignment="1">
      <alignment wrapText="1"/>
    </xf>
    <xf numFmtId="0" fontId="303" fillId="85" borderId="185" xfId="0" applyFont="1" applyFill="1" applyBorder="1" applyAlignment="1">
      <alignment wrapText="1"/>
    </xf>
    <xf numFmtId="0" fontId="303" fillId="83" borderId="185" xfId="0" applyFont="1" applyFill="1" applyBorder="1" applyAlignment="1">
      <alignment horizontal="center" wrapText="1"/>
    </xf>
    <xf numFmtId="0" fontId="303" fillId="0" borderId="185" xfId="0" applyFont="1" applyBorder="1" applyAlignment="1">
      <alignment wrapText="1"/>
    </xf>
    <xf numFmtId="165" fontId="221" fillId="0" borderId="140" xfId="0" applyNumberFormat="1" applyFont="1" applyBorder="1"/>
    <xf numFmtId="0" fontId="221" fillId="148" borderId="140" xfId="0" applyFont="1" applyFill="1" applyBorder="1" applyAlignment="1">
      <alignment horizontal="center"/>
    </xf>
    <xf numFmtId="0" fontId="221" fillId="138" borderId="140" xfId="0" applyFont="1" applyFill="1" applyBorder="1" applyAlignment="1">
      <alignment horizontal="right" wrapText="1"/>
    </xf>
    <xf numFmtId="0" fontId="364" fillId="138" borderId="140" xfId="0" applyFont="1" applyFill="1" applyBorder="1"/>
    <xf numFmtId="1" fontId="364" fillId="138" borderId="140" xfId="0" applyNumberFormat="1" applyFont="1" applyFill="1" applyBorder="1"/>
    <xf numFmtId="0" fontId="221" fillId="138" borderId="140" xfId="0" applyFont="1" applyFill="1" applyBorder="1"/>
    <xf numFmtId="0" fontId="221" fillId="138" borderId="140" xfId="0" applyFont="1" applyFill="1" applyBorder="1" applyAlignment="1">
      <alignment horizontal="center"/>
    </xf>
    <xf numFmtId="0" fontId="378" fillId="138" borderId="140" xfId="0" applyFont="1" applyFill="1" applyBorder="1"/>
    <xf numFmtId="0" fontId="378" fillId="138" borderId="140" xfId="0" applyFont="1" applyFill="1" applyBorder="1" applyAlignment="1">
      <alignment horizontal="center"/>
    </xf>
    <xf numFmtId="0" fontId="373" fillId="0" borderId="140" xfId="0" applyFont="1" applyBorder="1" applyAlignment="1">
      <alignment horizontal="right" wrapText="1"/>
    </xf>
    <xf numFmtId="0" fontId="303" fillId="0" borderId="142" xfId="0" applyFont="1" applyBorder="1"/>
    <xf numFmtId="0" fontId="303" fillId="0" borderId="141" xfId="0" applyFont="1" applyBorder="1" applyAlignment="1">
      <alignment wrapText="1"/>
    </xf>
    <xf numFmtId="0" fontId="177" fillId="81" borderId="141" xfId="0" applyFont="1" applyFill="1" applyBorder="1"/>
    <xf numFmtId="0" fontId="303" fillId="81" borderId="141" xfId="0" applyFont="1" applyFill="1" applyBorder="1"/>
    <xf numFmtId="0" fontId="303" fillId="82" borderId="158" xfId="0" applyFont="1" applyFill="1" applyBorder="1"/>
    <xf numFmtId="16" fontId="303" fillId="82" borderId="158" xfId="0" applyNumberFormat="1" applyFont="1" applyFill="1" applyBorder="1"/>
    <xf numFmtId="0" fontId="303" fillId="64" borderId="141" xfId="0" applyFont="1" applyFill="1" applyBorder="1" applyAlignment="1">
      <alignment wrapText="1"/>
    </xf>
    <xf numFmtId="17" fontId="303" fillId="64" borderId="141" xfId="0" applyNumberFormat="1" applyFont="1" applyFill="1" applyBorder="1"/>
    <xf numFmtId="0" fontId="303" fillId="76" borderId="141" xfId="0" applyFont="1" applyFill="1" applyBorder="1"/>
    <xf numFmtId="0" fontId="303" fillId="76" borderId="142" xfId="0" applyFont="1" applyFill="1" applyBorder="1"/>
    <xf numFmtId="0" fontId="303" fillId="76" borderId="140" xfId="0" applyFont="1" applyFill="1" applyBorder="1"/>
    <xf numFmtId="0" fontId="303" fillId="81" borderId="158" xfId="0" applyFont="1" applyFill="1" applyBorder="1" applyAlignment="1">
      <alignment wrapText="1"/>
    </xf>
    <xf numFmtId="0" fontId="303" fillId="81" borderId="107" xfId="0" applyFont="1" applyFill="1" applyBorder="1" applyAlignment="1">
      <alignment wrapText="1"/>
    </xf>
    <xf numFmtId="0" fontId="303" fillId="64" borderId="193" xfId="0" applyFont="1" applyFill="1" applyBorder="1" applyAlignment="1">
      <alignment wrapText="1"/>
    </xf>
    <xf numFmtId="0" fontId="303" fillId="64" borderId="158" xfId="0" applyFont="1" applyFill="1" applyBorder="1" applyAlignment="1">
      <alignment wrapText="1"/>
    </xf>
    <xf numFmtId="0" fontId="303" fillId="76" borderId="158" xfId="0" applyFont="1" applyFill="1" applyBorder="1" applyAlignment="1">
      <alignment wrapText="1"/>
    </xf>
    <xf numFmtId="0" fontId="303" fillId="76" borderId="192" xfId="0" applyFont="1" applyFill="1" applyBorder="1" applyAlignment="1">
      <alignment wrapText="1"/>
    </xf>
    <xf numFmtId="0" fontId="303" fillId="76" borderId="185" xfId="0" applyFont="1" applyFill="1" applyBorder="1" applyAlignment="1">
      <alignment wrapText="1"/>
    </xf>
    <xf numFmtId="0" fontId="303" fillId="145" borderId="185" xfId="0" applyFont="1" applyFill="1" applyBorder="1" applyAlignment="1">
      <alignment wrapText="1"/>
    </xf>
    <xf numFmtId="0" fontId="303" fillId="83" borderId="223" xfId="0" applyFont="1" applyFill="1" applyBorder="1" applyAlignment="1">
      <alignment horizontal="center" wrapText="1"/>
    </xf>
    <xf numFmtId="17" fontId="177" fillId="0" borderId="140" xfId="0" applyNumberFormat="1" applyFont="1" applyBorder="1"/>
    <xf numFmtId="0" fontId="177" fillId="0" borderId="122" xfId="0" applyFont="1" applyBorder="1" applyAlignment="1">
      <alignment horizontal="center"/>
    </xf>
    <xf numFmtId="0" fontId="231" fillId="15" borderId="122" xfId="0" applyFont="1" applyFill="1" applyBorder="1"/>
    <xf numFmtId="0" fontId="177" fillId="0" borderId="42" xfId="0" applyFont="1" applyBorder="1"/>
    <xf numFmtId="0" fontId="354" fillId="0" borderId="140" xfId="0" applyFont="1" applyBorder="1" applyAlignment="1">
      <alignment horizontal="center"/>
    </xf>
    <xf numFmtId="0" fontId="177" fillId="0" borderId="120" xfId="0" applyFont="1" applyBorder="1"/>
    <xf numFmtId="0" fontId="221" fillId="0" borderId="140" xfId="0" applyFont="1" applyBorder="1" applyAlignment="1">
      <alignment horizontal="right"/>
    </xf>
    <xf numFmtId="0" fontId="231" fillId="15" borderId="67" xfId="0" applyFont="1" applyFill="1" applyBorder="1"/>
    <xf numFmtId="0" fontId="379" fillId="84" borderId="140" xfId="0" applyFont="1" applyFill="1" applyBorder="1" applyAlignment="1">
      <alignment horizontal="right" wrapText="1"/>
    </xf>
    <xf numFmtId="0" fontId="192" fillId="7" borderId="181" xfId="0" applyFont="1" applyFill="1" applyBorder="1" applyAlignment="1">
      <alignment horizontal="center" vertical="center" wrapText="1"/>
    </xf>
    <xf numFmtId="0" fontId="320" fillId="0" borderId="158" xfId="0" applyFont="1" applyBorder="1" applyAlignment="1">
      <alignment horizontal="center" vertical="center" wrapText="1"/>
    </xf>
    <xf numFmtId="0" fontId="381" fillId="0" borderId="158" xfId="0" applyFont="1" applyBorder="1" applyAlignment="1">
      <alignment horizontal="center" vertical="center" wrapText="1"/>
    </xf>
    <xf numFmtId="0" fontId="192" fillId="2" borderId="158" xfId="0" applyFont="1" applyFill="1" applyBorder="1" applyAlignment="1">
      <alignment horizontal="center" vertical="center"/>
    </xf>
    <xf numFmtId="14" fontId="177" fillId="0" borderId="140" xfId="0" applyNumberFormat="1" applyFont="1" applyBorder="1" applyAlignment="1">
      <alignment horizontal="center" vertical="center"/>
    </xf>
    <xf numFmtId="0" fontId="355" fillId="0" borderId="185" xfId="0" applyFont="1" applyBorder="1" applyAlignment="1">
      <alignment horizontal="center" vertical="center" wrapText="1"/>
    </xf>
    <xf numFmtId="17" fontId="221" fillId="59" borderId="140" xfId="5" applyNumberFormat="1" applyFont="1" applyFill="1" applyBorder="1" applyAlignment="1">
      <alignment horizontal="center" vertical="center"/>
    </xf>
    <xf numFmtId="0" fontId="177" fillId="59" borderId="140" xfId="5" applyFont="1" applyFill="1" applyBorder="1"/>
    <xf numFmtId="0" fontId="177" fillId="59" borderId="140" xfId="5" applyFont="1" applyFill="1" applyBorder="1" applyAlignment="1">
      <alignment horizontal="center"/>
    </xf>
    <xf numFmtId="0" fontId="177" fillId="59" borderId="140" xfId="5" applyFont="1" applyFill="1" applyBorder="1" applyAlignment="1">
      <alignment horizontal="center" vertical="center"/>
    </xf>
    <xf numFmtId="0" fontId="246" fillId="158" borderId="140" xfId="5" applyFont="1" applyFill="1" applyBorder="1" applyAlignment="1">
      <alignment horizontal="center" vertical="center" wrapText="1"/>
    </xf>
    <xf numFmtId="0" fontId="303" fillId="59" borderId="183" xfId="0" applyFont="1" applyFill="1" applyBorder="1"/>
    <xf numFmtId="0" fontId="201" fillId="59" borderId="185" xfId="0" applyFont="1" applyFill="1" applyBorder="1" applyAlignment="1">
      <alignment horizontal="center"/>
    </xf>
    <xf numFmtId="0" fontId="131" fillId="59" borderId="185" xfId="0" applyFont="1" applyFill="1" applyBorder="1" applyAlignment="1">
      <alignment horizontal="center"/>
    </xf>
    <xf numFmtId="0" fontId="137" fillId="59" borderId="185" xfId="0" applyFont="1" applyFill="1" applyBorder="1" applyAlignment="1">
      <alignment horizontal="center"/>
    </xf>
    <xf numFmtId="0" fontId="177" fillId="59" borderId="185" xfId="0" applyFont="1" applyFill="1" applyBorder="1" applyAlignment="1">
      <alignment horizontal="center"/>
    </xf>
    <xf numFmtId="0" fontId="0" fillId="59" borderId="185" xfId="0" applyFill="1" applyBorder="1" applyAlignment="1">
      <alignment horizontal="center"/>
    </xf>
    <xf numFmtId="0" fontId="278" fillId="0" borderId="140" xfId="0" applyFont="1" applyBorder="1" applyAlignment="1">
      <alignment wrapText="1"/>
    </xf>
    <xf numFmtId="14" fontId="177" fillId="0" borderId="107" xfId="0" applyNumberFormat="1" applyFont="1" applyBorder="1" applyAlignment="1">
      <alignment horizontal="center" vertical="center"/>
    </xf>
    <xf numFmtId="0" fontId="221" fillId="0" borderId="107" xfId="5" applyFont="1" applyAlignment="1">
      <alignment horizontal="center" vertical="center"/>
    </xf>
    <xf numFmtId="0" fontId="127" fillId="62" borderId="217" xfId="0" applyFont="1" applyFill="1" applyBorder="1" applyAlignment="1">
      <alignment horizontal="center"/>
    </xf>
    <xf numFmtId="0" fontId="177" fillId="62" borderId="217" xfId="0" applyFont="1" applyFill="1" applyBorder="1" applyAlignment="1">
      <alignment horizontal="center" vertical="center"/>
    </xf>
    <xf numFmtId="0" fontId="177" fillId="62" borderId="240" xfId="0" applyFont="1" applyFill="1" applyBorder="1" applyAlignment="1">
      <alignment horizontal="center" vertical="center"/>
    </xf>
    <xf numFmtId="0" fontId="177" fillId="58" borderId="217" xfId="0" applyFont="1" applyFill="1" applyBorder="1" applyAlignment="1">
      <alignment horizontal="center" vertical="center"/>
    </xf>
    <xf numFmtId="0" fontId="136" fillId="59" borderId="107" xfId="0" applyFont="1" applyFill="1" applyBorder="1" applyAlignment="1">
      <alignment wrapText="1"/>
    </xf>
    <xf numFmtId="0" fontId="277" fillId="18" borderId="140" xfId="1" applyFill="1" applyBorder="1" applyAlignment="1">
      <alignment vertical="top" wrapText="1"/>
    </xf>
    <xf numFmtId="0" fontId="145" fillId="18" borderId="140" xfId="0" applyFont="1" applyFill="1" applyBorder="1" applyAlignment="1">
      <alignment vertical="top"/>
    </xf>
    <xf numFmtId="0" fontId="147" fillId="0" borderId="140" xfId="0" applyFont="1" applyBorder="1" applyAlignment="1">
      <alignment horizontal="center" vertical="center"/>
    </xf>
    <xf numFmtId="0" fontId="201" fillId="0" borderId="140" xfId="0" applyFont="1" applyBorder="1" applyAlignment="1">
      <alignment horizontal="center"/>
    </xf>
    <xf numFmtId="0" fontId="277" fillId="0" borderId="218" xfId="1" applyBorder="1" applyAlignment="1">
      <alignment horizontal="center" wrapText="1"/>
    </xf>
    <xf numFmtId="0" fontId="221" fillId="2" borderId="22" xfId="0" applyFont="1" applyFill="1" applyBorder="1" applyAlignment="1">
      <alignment horizontal="center"/>
    </xf>
    <xf numFmtId="0" fontId="221" fillId="0" borderId="41" xfId="0" applyFont="1" applyBorder="1" applyAlignment="1">
      <alignment horizontal="center"/>
    </xf>
    <xf numFmtId="0" fontId="221" fillId="0" borderId="22" xfId="0" applyFont="1" applyBorder="1" applyAlignment="1">
      <alignment horizontal="center"/>
    </xf>
    <xf numFmtId="0" fontId="177" fillId="0" borderId="22" xfId="0" applyFont="1" applyBorder="1" applyAlignment="1">
      <alignment horizontal="center" wrapText="1"/>
    </xf>
    <xf numFmtId="0" fontId="221" fillId="0" borderId="11" xfId="0" applyFont="1" applyBorder="1" applyAlignment="1">
      <alignment horizontal="center"/>
    </xf>
    <xf numFmtId="0" fontId="316" fillId="0" borderId="218" xfId="1" applyFont="1" applyBorder="1" applyAlignment="1">
      <alignment horizontal="center" vertical="center" wrapText="1"/>
    </xf>
    <xf numFmtId="0" fontId="316" fillId="0" borderId="240" xfId="1" applyFont="1" applyBorder="1" applyAlignment="1">
      <alignment horizontal="center" vertical="center" wrapText="1"/>
    </xf>
    <xf numFmtId="0" fontId="320" fillId="0" borderId="141" xfId="0" applyFont="1" applyBorder="1" applyAlignment="1">
      <alignment horizontal="center" vertical="center"/>
    </xf>
    <xf numFmtId="0" fontId="320" fillId="0" borderId="142" xfId="0" applyFont="1" applyBorder="1" applyAlignment="1">
      <alignment horizontal="center" vertical="center"/>
    </xf>
    <xf numFmtId="0" fontId="288" fillId="0" borderId="140" xfId="0" applyFont="1" applyBorder="1" applyAlignment="1">
      <alignment horizontal="center" vertical="center" wrapText="1"/>
    </xf>
    <xf numFmtId="0" fontId="59" fillId="0" borderId="107" xfId="0" applyFont="1" applyBorder="1" applyAlignment="1">
      <alignment vertical="top" wrapText="1"/>
    </xf>
    <xf numFmtId="0" fontId="297" fillId="0" borderId="274" xfId="0" applyFont="1" applyBorder="1" applyAlignment="1">
      <alignment wrapText="1"/>
    </xf>
    <xf numFmtId="0" fontId="277" fillId="0" borderId="274" xfId="1" applyBorder="1" applyAlignment="1">
      <alignment wrapText="1"/>
    </xf>
    <xf numFmtId="0" fontId="297" fillId="0" borderId="274" xfId="0" applyFont="1" applyBorder="1" applyAlignment="1">
      <alignment horizontal="center" wrapText="1"/>
    </xf>
    <xf numFmtId="0" fontId="162" fillId="70" borderId="272" xfId="0" applyFont="1" applyFill="1" applyBorder="1" applyAlignment="1">
      <alignment horizontal="center" vertical="top" wrapText="1"/>
    </xf>
    <xf numFmtId="0" fontId="59" fillId="0" borderId="217" xfId="0" applyFont="1" applyBorder="1" applyAlignment="1">
      <alignment horizontal="right" wrapText="1"/>
    </xf>
    <xf numFmtId="0" fontId="59" fillId="0" borderId="237" xfId="0" applyFont="1" applyBorder="1" applyAlignment="1">
      <alignment horizontal="right" wrapText="1"/>
    </xf>
    <xf numFmtId="0" fontId="59" fillId="0" borderId="140" xfId="0" applyFont="1" applyBorder="1" applyAlignment="1">
      <alignment wrapText="1"/>
    </xf>
    <xf numFmtId="0" fontId="36" fillId="0" borderId="140" xfId="0" applyFont="1" applyBorder="1" applyAlignment="1">
      <alignment wrapText="1"/>
    </xf>
    <xf numFmtId="0" fontId="208" fillId="0" borderId="140" xfId="0" applyFont="1" applyBorder="1" applyAlignment="1">
      <alignment horizontal="left"/>
    </xf>
    <xf numFmtId="0" fontId="115" fillId="0" borderId="140" xfId="0" applyFont="1" applyBorder="1"/>
    <xf numFmtId="0" fontId="157" fillId="0" borderId="198" xfId="5" applyFont="1" applyBorder="1" applyAlignment="1">
      <alignment horizontal="center" vertical="center"/>
    </xf>
    <xf numFmtId="0" fontId="157" fillId="0" borderId="183" xfId="5" applyFont="1" applyBorder="1" applyAlignment="1">
      <alignment horizontal="center" vertical="center"/>
    </xf>
    <xf numFmtId="0" fontId="147" fillId="0" borderId="140" xfId="5" applyFont="1" applyBorder="1" applyAlignment="1">
      <alignment horizontal="center"/>
    </xf>
    <xf numFmtId="0" fontId="192" fillId="89" borderId="140" xfId="0" applyFont="1" applyFill="1" applyBorder="1" applyAlignment="1">
      <alignment horizontal="center" vertical="center" wrapText="1"/>
    </xf>
    <xf numFmtId="0" fontId="192" fillId="91" borderId="140" xfId="0" applyFont="1" applyFill="1" applyBorder="1" applyAlignment="1">
      <alignment horizontal="center" vertical="center" wrapText="1"/>
    </xf>
    <xf numFmtId="0" fontId="382" fillId="0" borderId="84" xfId="1" applyFont="1" applyBorder="1" applyAlignment="1">
      <alignment wrapText="1"/>
    </xf>
    <xf numFmtId="0" fontId="136" fillId="0" borderId="140" xfId="0" applyFont="1" applyBorder="1" applyAlignment="1">
      <alignment horizontal="center" wrapText="1"/>
    </xf>
    <xf numFmtId="0" fontId="35" fillId="0" borderId="140" xfId="0" applyFont="1" applyBorder="1" applyAlignment="1">
      <alignment horizontal="center" wrapText="1"/>
    </xf>
    <xf numFmtId="0" fontId="35" fillId="59" borderId="140" xfId="0" applyFont="1" applyFill="1" applyBorder="1" applyAlignment="1">
      <alignment horizontal="center" wrapText="1"/>
    </xf>
    <xf numFmtId="0" fontId="288" fillId="0" borderId="140" xfId="0" applyFont="1" applyBorder="1" applyAlignment="1">
      <alignment horizontal="center" vertical="center"/>
    </xf>
    <xf numFmtId="0" fontId="197" fillId="0" borderId="140" xfId="5" applyFont="1" applyBorder="1" applyAlignment="1">
      <alignment horizontal="center" vertical="center" wrapText="1"/>
    </xf>
    <xf numFmtId="0" fontId="277" fillId="0" borderId="140" xfId="1" applyBorder="1" applyAlignment="1">
      <alignment horizontal="center" wrapText="1"/>
    </xf>
    <xf numFmtId="0" fontId="147" fillId="3" borderId="240" xfId="5" applyFont="1" applyFill="1" applyBorder="1" applyAlignment="1">
      <alignment horizontal="center" vertical="center" wrapText="1"/>
    </xf>
    <xf numFmtId="0" fontId="136" fillId="0" borderId="218" xfId="0" applyFont="1" applyBorder="1" applyAlignment="1">
      <alignment horizontal="center" wrapText="1"/>
    </xf>
    <xf numFmtId="0" fontId="35" fillId="0" borderId="218" xfId="0" applyFont="1" applyBorder="1" applyAlignment="1">
      <alignment horizontal="center" wrapText="1"/>
    </xf>
    <xf numFmtId="0" fontId="141" fillId="0" borderId="140" xfId="5" applyFont="1" applyBorder="1" applyAlignment="1">
      <alignment horizontal="center" vertical="center"/>
    </xf>
    <xf numFmtId="0" fontId="304" fillId="0" borderId="140" xfId="0" applyFont="1" applyBorder="1" applyAlignment="1">
      <alignment horizontal="center" vertical="center"/>
    </xf>
    <xf numFmtId="0" fontId="382" fillId="0" borderId="140" xfId="1" applyFont="1" applyBorder="1" applyAlignment="1">
      <alignment horizontal="center" wrapText="1"/>
    </xf>
    <xf numFmtId="0" fontId="304" fillId="0" borderId="140" xfId="0" applyFont="1" applyBorder="1" applyAlignment="1">
      <alignment horizontal="center" vertical="center" wrapText="1"/>
    </xf>
    <xf numFmtId="0" fontId="297" fillId="0" borderId="140" xfId="0" applyFont="1" applyBorder="1" applyAlignment="1">
      <alignment horizontal="center" vertical="center" wrapText="1"/>
    </xf>
    <xf numFmtId="0" fontId="382" fillId="0" borderId="140" xfId="1" applyFont="1" applyBorder="1" applyAlignment="1">
      <alignment horizontal="center" vertical="center" wrapText="1"/>
    </xf>
    <xf numFmtId="0" fontId="382" fillId="84" borderId="140" xfId="1" applyFont="1" applyFill="1" applyBorder="1" applyAlignment="1">
      <alignment horizontal="center" vertical="center" wrapText="1"/>
    </xf>
    <xf numFmtId="0" fontId="382" fillId="0" borderId="84" xfId="1" applyFont="1" applyBorder="1" applyAlignment="1">
      <alignment horizontal="center" wrapText="1"/>
    </xf>
    <xf numFmtId="0" fontId="297" fillId="0" borderId="231" xfId="0" applyFont="1" applyBorder="1" applyAlignment="1">
      <alignment wrapText="1"/>
    </xf>
    <xf numFmtId="0" fontId="278" fillId="176" borderId="140" xfId="0" applyFont="1" applyFill="1" applyBorder="1" applyAlignment="1">
      <alignment horizontal="center" vertical="center" wrapText="1"/>
    </xf>
    <xf numFmtId="0" fontId="192" fillId="176" borderId="140" xfId="0" applyFont="1" applyFill="1" applyBorder="1" applyAlignment="1">
      <alignment horizontal="center" vertical="center" wrapText="1"/>
    </xf>
    <xf numFmtId="0" fontId="278" fillId="91" borderId="140" xfId="0" applyFont="1" applyFill="1" applyBorder="1" applyAlignment="1">
      <alignment horizontal="center" vertical="center" wrapText="1"/>
    </xf>
    <xf numFmtId="0" fontId="197" fillId="0" borderId="185" xfId="5" applyFont="1" applyBorder="1" applyAlignment="1">
      <alignment horizontal="center" vertical="center" wrapText="1"/>
    </xf>
    <xf numFmtId="0" fontId="144" fillId="72" borderId="185" xfId="0" applyFont="1" applyFill="1" applyBorder="1" applyAlignment="1">
      <alignment horizontal="center" wrapText="1"/>
    </xf>
    <xf numFmtId="0" fontId="162" fillId="84" borderId="140" xfId="0" applyFont="1" applyFill="1" applyBorder="1" applyAlignment="1">
      <alignment horizontal="center" wrapText="1"/>
    </xf>
    <xf numFmtId="0" fontId="136" fillId="62" borderId="140" xfId="0" applyFont="1" applyFill="1" applyBorder="1" applyAlignment="1">
      <alignment horizontal="center" wrapText="1"/>
    </xf>
    <xf numFmtId="0" fontId="162" fillId="126" borderId="140" xfId="0" applyFont="1" applyFill="1" applyBorder="1" applyAlignment="1">
      <alignment horizontal="center" wrapText="1"/>
    </xf>
    <xf numFmtId="0" fontId="136" fillId="90" borderId="140" xfId="0" applyFont="1" applyFill="1" applyBorder="1" applyAlignment="1">
      <alignment horizontal="center" wrapText="1"/>
    </xf>
    <xf numFmtId="0" fontId="136" fillId="178" borderId="140" xfId="0" applyFont="1" applyFill="1" applyBorder="1" applyAlignment="1">
      <alignment horizontal="center" wrapText="1"/>
    </xf>
    <xf numFmtId="0" fontId="162" fillId="178" borderId="140" xfId="0" applyFont="1" applyFill="1" applyBorder="1" applyAlignment="1">
      <alignment horizontal="center" wrapText="1"/>
    </xf>
    <xf numFmtId="0" fontId="136" fillId="84" borderId="140" xfId="0" applyFont="1" applyFill="1" applyBorder="1" applyAlignment="1">
      <alignment horizontal="center" wrapText="1"/>
    </xf>
    <xf numFmtId="0" fontId="54" fillId="0" borderId="218" xfId="0" applyFont="1" applyBorder="1" applyAlignment="1">
      <alignment horizontal="center" wrapText="1"/>
    </xf>
    <xf numFmtId="0" fontId="136" fillId="0" borderId="240" xfId="0" applyFont="1" applyBorder="1" applyAlignment="1">
      <alignment horizontal="center" wrapText="1"/>
    </xf>
    <xf numFmtId="0" fontId="384" fillId="0" borderId="0" xfId="0" applyFont="1"/>
    <xf numFmtId="0" fontId="136" fillId="89" borderId="116" xfId="0" applyFont="1" applyFill="1" applyBorder="1" applyAlignment="1">
      <alignment horizontal="center" wrapText="1"/>
    </xf>
    <xf numFmtId="0" fontId="136" fillId="89" borderId="65" xfId="0" applyFont="1" applyFill="1" applyBorder="1" applyAlignment="1">
      <alignment horizontal="center" wrapText="1"/>
    </xf>
    <xf numFmtId="0" fontId="136" fillId="90" borderId="65" xfId="0" applyFont="1" applyFill="1" applyBorder="1" applyAlignment="1">
      <alignment horizontal="center" wrapText="1"/>
    </xf>
    <xf numFmtId="0" fontId="136" fillId="90" borderId="129" xfId="0" applyFont="1" applyFill="1" applyBorder="1" applyAlignment="1">
      <alignment horizontal="center" wrapText="1"/>
    </xf>
    <xf numFmtId="0" fontId="136" fillId="124" borderId="65" xfId="0" applyFont="1" applyFill="1" applyBorder="1" applyAlignment="1">
      <alignment horizontal="center" wrapText="1"/>
    </xf>
    <xf numFmtId="0" fontId="345" fillId="166" borderId="107" xfId="0" applyFont="1" applyFill="1" applyBorder="1" applyAlignment="1">
      <alignment horizontal="left"/>
    </xf>
    <xf numFmtId="0" fontId="136" fillId="128" borderId="65" xfId="0" applyFont="1" applyFill="1" applyBorder="1" applyAlignment="1">
      <alignment horizontal="right" wrapText="1"/>
    </xf>
    <xf numFmtId="0" fontId="136" fillId="128" borderId="129" xfId="0" applyFont="1" applyFill="1" applyBorder="1" applyAlignment="1">
      <alignment horizontal="right" wrapText="1"/>
    </xf>
    <xf numFmtId="0" fontId="45" fillId="59" borderId="65" xfId="0" applyFont="1" applyFill="1" applyBorder="1" applyAlignment="1">
      <alignment wrapText="1"/>
    </xf>
    <xf numFmtId="0" fontId="45" fillId="59" borderId="129" xfId="0" applyFont="1" applyFill="1" applyBorder="1" applyAlignment="1">
      <alignment wrapText="1"/>
    </xf>
    <xf numFmtId="0" fontId="45" fillId="59" borderId="231" xfId="0" applyFont="1" applyFill="1" applyBorder="1" applyAlignment="1">
      <alignment wrapText="1"/>
    </xf>
    <xf numFmtId="0" fontId="344" fillId="166" borderId="107" xfId="0" applyFont="1" applyFill="1" applyBorder="1"/>
    <xf numFmtId="0" fontId="345" fillId="166" borderId="107" xfId="0" applyFont="1" applyFill="1" applyBorder="1"/>
    <xf numFmtId="0" fontId="56" fillId="0" borderId="107" xfId="0" applyFont="1" applyBorder="1" applyAlignment="1">
      <alignment horizontal="right" wrapText="1"/>
    </xf>
    <xf numFmtId="0" fontId="123" fillId="0" borderId="107" xfId="0" applyFont="1" applyBorder="1" applyAlignment="1">
      <alignment horizontal="center"/>
    </xf>
    <xf numFmtId="17" fontId="157" fillId="65" borderId="107" xfId="0" applyNumberFormat="1" applyFont="1" applyFill="1" applyBorder="1" applyAlignment="1">
      <alignment horizontal="center" vertical="center"/>
    </xf>
    <xf numFmtId="1" fontId="0" fillId="0" borderId="107" xfId="0" applyNumberFormat="1" applyBorder="1"/>
    <xf numFmtId="0" fontId="277" fillId="84" borderId="32" xfId="1" applyFill="1" applyBorder="1" applyAlignment="1">
      <alignment horizontal="center" vertical="center" wrapText="1"/>
    </xf>
    <xf numFmtId="0" fontId="277" fillId="0" borderId="33" xfId="1" applyBorder="1" applyAlignment="1">
      <alignment wrapText="1"/>
    </xf>
    <xf numFmtId="0" fontId="277" fillId="84" borderId="33" xfId="1" applyFill="1" applyBorder="1" applyAlignment="1">
      <alignment horizontal="center" wrapText="1"/>
    </xf>
    <xf numFmtId="0" fontId="30" fillId="0" borderId="0" xfId="0" applyFont="1"/>
    <xf numFmtId="0" fontId="30" fillId="0" borderId="33" xfId="0" applyFont="1" applyBorder="1" applyAlignment="1">
      <alignment wrapText="1"/>
    </xf>
    <xf numFmtId="0" fontId="30" fillId="84" borderId="33" xfId="0" applyFont="1" applyFill="1" applyBorder="1" applyAlignment="1">
      <alignment wrapText="1"/>
    </xf>
    <xf numFmtId="0" fontId="30" fillId="84" borderId="33" xfId="0" applyFont="1" applyFill="1" applyBorder="1" applyAlignment="1">
      <alignment vertical="center" wrapText="1"/>
    </xf>
    <xf numFmtId="0" fontId="385" fillId="0" borderId="34" xfId="0" applyFont="1" applyBorder="1" applyAlignment="1">
      <alignment wrapText="1"/>
    </xf>
    <xf numFmtId="0" fontId="385" fillId="0" borderId="84" xfId="0" applyFont="1" applyBorder="1" applyAlignment="1">
      <alignment wrapText="1"/>
    </xf>
    <xf numFmtId="0" fontId="385" fillId="0" borderId="259" xfId="0" applyFont="1" applyBorder="1" applyAlignment="1">
      <alignment horizontal="center" wrapText="1"/>
    </xf>
    <xf numFmtId="0" fontId="385" fillId="0" borderId="254" xfId="0" applyFont="1" applyBorder="1" applyAlignment="1">
      <alignment horizontal="center" wrapText="1"/>
    </xf>
    <xf numFmtId="0" fontId="386" fillId="0" borderId="84" xfId="0" applyFont="1" applyBorder="1" applyAlignment="1">
      <alignment wrapText="1"/>
    </xf>
    <xf numFmtId="0" fontId="385" fillId="0" borderId="84" xfId="0" applyFont="1" applyBorder="1" applyAlignment="1">
      <alignment horizontal="center" wrapText="1"/>
    </xf>
    <xf numFmtId="0" fontId="385" fillId="84" borderId="84" xfId="0" applyFont="1" applyFill="1" applyBorder="1" applyAlignment="1">
      <alignment horizontal="center" wrapText="1"/>
    </xf>
    <xf numFmtId="0" fontId="30" fillId="84" borderId="84" xfId="0" applyFont="1" applyFill="1" applyBorder="1" applyAlignment="1">
      <alignment wrapText="1"/>
    </xf>
    <xf numFmtId="0" fontId="286" fillId="0" borderId="34" xfId="0" applyFont="1" applyBorder="1" applyAlignment="1">
      <alignment horizontal="center" wrapText="1"/>
    </xf>
    <xf numFmtId="0" fontId="286" fillId="0" borderId="84" xfId="0" applyFont="1" applyBorder="1" applyAlignment="1">
      <alignment horizontal="center" wrapText="1"/>
    </xf>
    <xf numFmtId="0" fontId="286" fillId="0" borderId="259" xfId="0" applyFont="1" applyBorder="1" applyAlignment="1">
      <alignment horizontal="center" wrapText="1"/>
    </xf>
    <xf numFmtId="0" fontId="30" fillId="0" borderId="84" xfId="0" applyFont="1" applyBorder="1" applyAlignment="1">
      <alignment wrapText="1"/>
    </xf>
    <xf numFmtId="0" fontId="29" fillId="0" borderId="0" xfId="0" applyFont="1"/>
    <xf numFmtId="0" fontId="56" fillId="65" borderId="273" xfId="0" applyFont="1" applyFill="1" applyBorder="1" applyAlignment="1">
      <alignment vertical="center" wrapText="1"/>
    </xf>
    <xf numFmtId="0" fontId="56" fillId="0" borderId="262" xfId="0" applyFont="1" applyBorder="1" applyAlignment="1">
      <alignment wrapText="1"/>
    </xf>
    <xf numFmtId="0" fontId="137" fillId="0" borderId="97" xfId="0" applyFont="1" applyBorder="1"/>
    <xf numFmtId="0" fontId="141" fillId="0" borderId="68" xfId="0" applyFont="1" applyBorder="1" applyAlignment="1">
      <alignment horizontal="center" vertical="center" wrapText="1"/>
    </xf>
    <xf numFmtId="0" fontId="0" fillId="0" borderId="42" xfId="0" applyBorder="1"/>
    <xf numFmtId="0" fontId="156" fillId="0" borderId="42" xfId="0" applyFont="1" applyBorder="1" applyAlignment="1">
      <alignment horizontal="right"/>
    </xf>
    <xf numFmtId="0" fontId="137" fillId="0" borderId="70" xfId="0" applyFont="1" applyBorder="1"/>
    <xf numFmtId="0" fontId="177" fillId="3" borderId="66" xfId="0" applyFont="1" applyFill="1" applyBorder="1" applyAlignment="1">
      <alignment horizontal="center"/>
    </xf>
    <xf numFmtId="0" fontId="137" fillId="0" borderId="71" xfId="0" applyFont="1" applyBorder="1" applyAlignment="1">
      <alignment vertical="center"/>
    </xf>
    <xf numFmtId="0" fontId="137" fillId="62" borderId="140" xfId="5" applyFont="1" applyFill="1" applyBorder="1" applyAlignment="1">
      <alignment horizontal="center" vertical="center"/>
    </xf>
    <xf numFmtId="0" fontId="137" fillId="0" borderId="22" xfId="0" applyFont="1" applyBorder="1" applyAlignment="1">
      <alignment vertical="center"/>
    </xf>
    <xf numFmtId="0" fontId="177" fillId="3" borderId="66" xfId="0" applyFont="1" applyFill="1" applyBorder="1" applyAlignment="1">
      <alignment horizontal="center" vertical="center"/>
    </xf>
    <xf numFmtId="0" fontId="137" fillId="0" borderId="71" xfId="0" applyFont="1" applyBorder="1"/>
    <xf numFmtId="0" fontId="136" fillId="90" borderId="233" xfId="0" applyFont="1" applyFill="1" applyBorder="1" applyAlignment="1">
      <alignment horizontal="center" wrapText="1"/>
    </xf>
    <xf numFmtId="0" fontId="28" fillId="0" borderId="140" xfId="0" applyFont="1" applyBorder="1" applyAlignment="1">
      <alignment horizontal="center"/>
    </xf>
    <xf numFmtId="0" fontId="355" fillId="2" borderId="118" xfId="0" applyFont="1" applyFill="1" applyBorder="1" applyAlignment="1">
      <alignment horizontal="center" vertical="center"/>
    </xf>
    <xf numFmtId="166" fontId="177" fillId="0" borderId="107" xfId="0" applyNumberFormat="1" applyFont="1" applyBorder="1"/>
    <xf numFmtId="0" fontId="136" fillId="0" borderId="241" xfId="0" applyFont="1" applyBorder="1" applyAlignment="1">
      <alignment horizontal="center" wrapText="1"/>
    </xf>
    <xf numFmtId="0" fontId="90" fillId="0" borderId="272" xfId="0" applyFont="1" applyBorder="1" applyAlignment="1">
      <alignment wrapText="1"/>
    </xf>
    <xf numFmtId="0" fontId="54" fillId="90" borderId="314" xfId="0" applyFont="1" applyFill="1" applyBorder="1" applyAlignment="1">
      <alignment wrapText="1"/>
    </xf>
    <xf numFmtId="0" fontId="28" fillId="0" borderId="107" xfId="0" applyFont="1" applyBorder="1" applyAlignment="1">
      <alignment horizontal="center"/>
    </xf>
    <xf numFmtId="0" fontId="136" fillId="0" borderId="33" xfId="0" applyFont="1" applyBorder="1" applyAlignment="1">
      <alignment horizontal="right" wrapText="1"/>
    </xf>
    <xf numFmtId="0" fontId="136" fillId="0" borderId="32" xfId="0" applyFont="1" applyBorder="1" applyAlignment="1">
      <alignment horizontal="right" wrapText="1"/>
    </xf>
    <xf numFmtId="0" fontId="136" fillId="0" borderId="34" xfId="0" applyFont="1" applyBorder="1" applyAlignment="1">
      <alignment horizontal="right" wrapText="1"/>
    </xf>
    <xf numFmtId="0" fontId="191" fillId="0" borderId="0" xfId="0" applyFont="1" applyAlignment="1">
      <alignment wrapText="1"/>
    </xf>
    <xf numFmtId="0" fontId="192" fillId="116" borderId="140" xfId="0" applyFont="1" applyFill="1" applyBorder="1" applyAlignment="1">
      <alignment horizontal="center" vertical="center" wrapText="1"/>
    </xf>
    <xf numFmtId="0" fontId="144" fillId="116" borderId="140" xfId="0" applyFont="1" applyFill="1" applyBorder="1" applyAlignment="1">
      <alignment horizontal="center" wrapText="1"/>
    </xf>
    <xf numFmtId="0" fontId="129" fillId="179" borderId="140" xfId="0" applyFont="1" applyFill="1" applyBorder="1" applyAlignment="1">
      <alignment horizontal="center"/>
    </xf>
    <xf numFmtId="0" fontId="56" fillId="58" borderId="236" xfId="0" applyFont="1" applyFill="1" applyBorder="1" applyAlignment="1">
      <alignment wrapText="1"/>
    </xf>
    <xf numFmtId="0" fontId="147" fillId="58" borderId="140" xfId="0" applyFont="1" applyFill="1" applyBorder="1" applyAlignment="1">
      <alignment horizontal="center" vertical="center" wrapText="1"/>
    </xf>
    <xf numFmtId="0" fontId="56" fillId="58" borderId="140" xfId="0" applyFont="1" applyFill="1" applyBorder="1" applyAlignment="1">
      <alignment horizontal="right" wrapText="1"/>
    </xf>
    <xf numFmtId="0" fontId="123" fillId="58" borderId="140" xfId="0" applyFont="1" applyFill="1" applyBorder="1" applyAlignment="1">
      <alignment horizontal="center"/>
    </xf>
    <xf numFmtId="0" fontId="129" fillId="58" borderId="140" xfId="0" applyFont="1" applyFill="1" applyBorder="1" applyAlignment="1">
      <alignment horizontal="center" vertical="center"/>
    </xf>
    <xf numFmtId="0" fontId="45" fillId="58" borderId="140" xfId="0" applyFont="1" applyFill="1" applyBorder="1" applyAlignment="1">
      <alignment horizontal="right" wrapText="1"/>
    </xf>
    <xf numFmtId="0" fontId="45" fillId="58" borderId="140" xfId="0" applyFont="1" applyFill="1" applyBorder="1" applyAlignment="1">
      <alignment wrapText="1"/>
    </xf>
    <xf numFmtId="0" fontId="45" fillId="58" borderId="183" xfId="0" applyFont="1" applyFill="1" applyBorder="1" applyAlignment="1">
      <alignment horizontal="right" wrapText="1"/>
    </xf>
    <xf numFmtId="1" fontId="0" fillId="58" borderId="183" xfId="0" applyNumberFormat="1" applyFill="1" applyBorder="1"/>
    <xf numFmtId="0" fontId="300" fillId="0" borderId="208" xfId="0" applyFont="1" applyBorder="1" applyAlignment="1">
      <alignment horizontal="center" wrapText="1"/>
    </xf>
    <xf numFmtId="0" fontId="56" fillId="58" borderId="140" xfId="0" applyFont="1" applyFill="1" applyBorder="1" applyAlignment="1">
      <alignment wrapText="1"/>
    </xf>
    <xf numFmtId="0" fontId="48" fillId="88" borderId="312" xfId="0" applyFont="1" applyFill="1" applyBorder="1"/>
    <xf numFmtId="165" fontId="0" fillId="58" borderId="183" xfId="0" applyNumberFormat="1" applyFill="1" applyBorder="1"/>
    <xf numFmtId="0" fontId="156" fillId="58" borderId="185" xfId="0" applyFont="1" applyFill="1" applyBorder="1" applyAlignment="1">
      <alignment horizontal="center" vertical="center" wrapText="1"/>
    </xf>
    <xf numFmtId="0" fontId="123" fillId="0" borderId="218" xfId="0" applyFont="1" applyBorder="1" applyAlignment="1">
      <alignment horizontal="center"/>
    </xf>
    <xf numFmtId="0" fontId="129" fillId="58" borderId="218" xfId="0" applyFont="1" applyFill="1" applyBorder="1" applyAlignment="1">
      <alignment horizontal="center"/>
    </xf>
    <xf numFmtId="0" fontId="0" fillId="0" borderId="140" xfId="0" applyBorder="1" applyAlignment="1">
      <alignment wrapText="1"/>
    </xf>
    <xf numFmtId="0" fontId="157" fillId="62" borderId="140" xfId="5" applyFont="1" applyFill="1" applyBorder="1"/>
    <xf numFmtId="0" fontId="25" fillId="0" borderId="0" xfId="0" applyFont="1"/>
    <xf numFmtId="0" fontId="107" fillId="0" borderId="0" xfId="0" applyFont="1"/>
    <xf numFmtId="0" fontId="52" fillId="0" borderId="0" xfId="0" applyFont="1"/>
    <xf numFmtId="0" fontId="85" fillId="0" borderId="0" xfId="0" applyFont="1"/>
    <xf numFmtId="0" fontId="87" fillId="0" borderId="0" xfId="0" applyFont="1"/>
    <xf numFmtId="0" fontId="63" fillId="0" borderId="0" xfId="0" applyFont="1"/>
    <xf numFmtId="0" fontId="77" fillId="0" borderId="0" xfId="0" applyFont="1"/>
    <xf numFmtId="0" fontId="65" fillId="0" borderId="0" xfId="0" applyFont="1"/>
    <xf numFmtId="0" fontId="66" fillId="0" borderId="0" xfId="0" applyFont="1"/>
    <xf numFmtId="0" fontId="76" fillId="0" borderId="0" xfId="0" applyFont="1"/>
    <xf numFmtId="0" fontId="101" fillId="0" borderId="0" xfId="0" applyFont="1"/>
    <xf numFmtId="0" fontId="86" fillId="0" borderId="0" xfId="0" applyFont="1"/>
    <xf numFmtId="0" fontId="92" fillId="0" borderId="0" xfId="0" applyFont="1"/>
    <xf numFmtId="0" fontId="71" fillId="0" borderId="0" xfId="0" applyFont="1"/>
    <xf numFmtId="0" fontId="75" fillId="0" borderId="0" xfId="0" applyFont="1"/>
    <xf numFmtId="0" fontId="74" fillId="0" borderId="0" xfId="0" applyFont="1"/>
    <xf numFmtId="0" fontId="83" fillId="0" borderId="0" xfId="0" applyFont="1"/>
    <xf numFmtId="0" fontId="64" fillId="0" borderId="0" xfId="0" applyFont="1"/>
    <xf numFmtId="0" fontId="98" fillId="0" borderId="0" xfId="0" applyFont="1"/>
    <xf numFmtId="0" fontId="96" fillId="0" borderId="0" xfId="0" applyFont="1"/>
    <xf numFmtId="0" fontId="72" fillId="0" borderId="0" xfId="0" applyFont="1"/>
    <xf numFmtId="0" fontId="89" fillId="0" borderId="0" xfId="0" applyFont="1"/>
    <xf numFmtId="0" fontId="91" fillId="0" borderId="0" xfId="0" applyFont="1"/>
    <xf numFmtId="0" fontId="102" fillId="0" borderId="0" xfId="0" applyFont="1"/>
    <xf numFmtId="0" fontId="56" fillId="0" borderId="0" xfId="0" applyFont="1"/>
    <xf numFmtId="0" fontId="58" fillId="0" borderId="0" xfId="0" applyFont="1"/>
    <xf numFmtId="0" fontId="61" fillId="0" borderId="0" xfId="0" applyFont="1"/>
    <xf numFmtId="0" fontId="49" fillId="0" borderId="0" xfId="0" applyFont="1"/>
    <xf numFmtId="0" fontId="51" fillId="0" borderId="0" xfId="0" applyFont="1"/>
    <xf numFmtId="0" fontId="73" fillId="0" borderId="0" xfId="0" applyFont="1"/>
    <xf numFmtId="0" fontId="90" fillId="0" borderId="0" xfId="0" applyFont="1"/>
    <xf numFmtId="0" fontId="62" fillId="0" borderId="0" xfId="0" applyFont="1"/>
    <xf numFmtId="0" fontId="39" fillId="0" borderId="0" xfId="0" applyFont="1"/>
    <xf numFmtId="0" fontId="33" fillId="0" borderId="0" xfId="0" applyFont="1"/>
    <xf numFmtId="0" fontId="81" fillId="0" borderId="0" xfId="0" applyFont="1"/>
    <xf numFmtId="0" fontId="31" fillId="0" borderId="0" xfId="0" applyFont="1"/>
    <xf numFmtId="0" fontId="284" fillId="0" borderId="0" xfId="0" applyFont="1"/>
    <xf numFmtId="0" fontId="84" fillId="0" borderId="0" xfId="0" applyFont="1"/>
    <xf numFmtId="0" fontId="48" fillId="0" borderId="0" xfId="0" applyFont="1"/>
    <xf numFmtId="0" fontId="43" fillId="0" borderId="0" xfId="0" applyFont="1"/>
    <xf numFmtId="0" fontId="57" fillId="0" borderId="0" xfId="0" applyFont="1"/>
    <xf numFmtId="0" fontId="54" fillId="0" borderId="0" xfId="0" applyFont="1"/>
    <xf numFmtId="0" fontId="88" fillId="0" borderId="0" xfId="0" applyFont="1"/>
    <xf numFmtId="0" fontId="55" fillId="0" borderId="0" xfId="0" applyFont="1"/>
    <xf numFmtId="0" fontId="42" fillId="0" borderId="0" xfId="0" applyFont="1"/>
    <xf numFmtId="0" fontId="38" fillId="0" borderId="0" xfId="0" applyFont="1"/>
    <xf numFmtId="0" fontId="70" fillId="0" borderId="0" xfId="0" applyFont="1"/>
    <xf numFmtId="0" fontId="79" fillId="0" borderId="0" xfId="0" applyFont="1"/>
    <xf numFmtId="0" fontId="26" fillId="0" borderId="0" xfId="0" applyFont="1"/>
    <xf numFmtId="0" fontId="80" fillId="0" borderId="0" xfId="0" applyFont="1"/>
    <xf numFmtId="0" fontId="82" fillId="0" borderId="0" xfId="0" applyFont="1"/>
    <xf numFmtId="0" fontId="60" fillId="0" borderId="0" xfId="0" applyFont="1"/>
    <xf numFmtId="0" fontId="93" fillId="0" borderId="0" xfId="0" applyFont="1"/>
    <xf numFmtId="0" fontId="103" fillId="0" borderId="0" xfId="0" applyFont="1"/>
    <xf numFmtId="0" fontId="78" fillId="0" borderId="0" xfId="0" applyFont="1"/>
    <xf numFmtId="0" fontId="50" fillId="0" borderId="0" xfId="0" applyFont="1"/>
    <xf numFmtId="0" fontId="67" fillId="0" borderId="0" xfId="0" applyFont="1" applyAlignment="1">
      <alignment horizontal="left" vertical="center" wrapText="1"/>
    </xf>
    <xf numFmtId="0" fontId="104" fillId="0" borderId="0" xfId="0" applyFont="1"/>
    <xf numFmtId="0" fontId="41" fillId="0" borderId="0" xfId="0" applyFont="1"/>
    <xf numFmtId="0" fontId="32" fillId="0" borderId="0" xfId="0" applyFont="1"/>
    <xf numFmtId="0" fontId="37" fillId="0" borderId="0" xfId="0" applyFont="1"/>
    <xf numFmtId="0" fontId="68" fillId="0" borderId="0" xfId="0" applyFont="1"/>
    <xf numFmtId="0" fontId="97" fillId="0" borderId="0" xfId="0" applyFont="1"/>
    <xf numFmtId="0" fontId="34" fillId="0" borderId="0" xfId="0" applyFont="1"/>
    <xf numFmtId="0" fontId="40" fillId="0" borderId="0" xfId="0" applyFont="1"/>
    <xf numFmtId="0" fontId="53" fillId="0" borderId="0" xfId="0" applyFont="1"/>
    <xf numFmtId="0" fontId="25" fillId="0" borderId="0" xfId="1" applyNumberFormat="1" applyFont="1" applyAlignment="1"/>
    <xf numFmtId="3" fontId="25" fillId="0" borderId="0" xfId="0" applyNumberFormat="1" applyFont="1"/>
    <xf numFmtId="14" fontId="25" fillId="0" borderId="0" xfId="0" applyNumberFormat="1" applyFont="1"/>
    <xf numFmtId="9" fontId="25" fillId="0" borderId="0" xfId="2" applyFont="1" applyAlignment="1"/>
    <xf numFmtId="0" fontId="24" fillId="0" borderId="0" xfId="0" applyFont="1"/>
    <xf numFmtId="0" fontId="384" fillId="62" borderId="107" xfId="5" applyFont="1" applyFill="1"/>
    <xf numFmtId="0" fontId="324" fillId="62" borderId="107" xfId="5" applyFill="1"/>
    <xf numFmtId="0" fontId="137" fillId="62" borderId="1" xfId="0" applyFont="1" applyFill="1" applyBorder="1"/>
    <xf numFmtId="0" fontId="193" fillId="3" borderId="140" xfId="0" applyFont="1" applyFill="1" applyBorder="1" applyAlignment="1">
      <alignment horizontal="center" wrapText="1"/>
    </xf>
    <xf numFmtId="0" fontId="286" fillId="75" borderId="185" xfId="0" applyFont="1" applyFill="1" applyBorder="1" applyAlignment="1">
      <alignment horizontal="center" vertical="center" wrapText="1"/>
    </xf>
    <xf numFmtId="0" fontId="23" fillId="111" borderId="140" xfId="0" applyFont="1" applyFill="1" applyBorder="1" applyAlignment="1">
      <alignment horizontal="center" vertical="center" wrapText="1"/>
    </xf>
    <xf numFmtId="14" fontId="137" fillId="0" borderId="140" xfId="0" applyNumberFormat="1" applyFont="1" applyBorder="1" applyAlignment="1">
      <alignment horizontal="center" vertical="center"/>
    </xf>
    <xf numFmtId="14" fontId="137" fillId="0" borderId="145" xfId="0" applyNumberFormat="1" applyFont="1" applyBorder="1" applyAlignment="1">
      <alignment horizontal="center" vertical="center"/>
    </xf>
    <xf numFmtId="0" fontId="0" fillId="0" borderId="145" xfId="0" applyBorder="1"/>
    <xf numFmtId="0" fontId="303" fillId="80" borderId="140" xfId="0" applyFont="1" applyFill="1" applyBorder="1" applyAlignment="1">
      <alignment horizontal="center" vertical="center"/>
    </xf>
    <xf numFmtId="0" fontId="69" fillId="0" borderId="183" xfId="0" applyFont="1" applyBorder="1"/>
    <xf numFmtId="0" fontId="22" fillId="0" borderId="0" xfId="0" applyFont="1"/>
    <xf numFmtId="0" fontId="21" fillId="0" borderId="0" xfId="0" applyFont="1"/>
    <xf numFmtId="0" fontId="277" fillId="18" borderId="218" xfId="1" applyFill="1" applyBorder="1" applyAlignment="1">
      <alignment horizontal="center" vertical="center" wrapText="1"/>
    </xf>
    <xf numFmtId="0" fontId="277" fillId="0" borderId="208" xfId="1" applyBorder="1" applyAlignment="1">
      <alignment horizontal="center" vertical="center" wrapText="1"/>
    </xf>
    <xf numFmtId="0" fontId="136" fillId="72" borderId="140" xfId="0" applyFont="1" applyFill="1" applyBorder="1" applyAlignment="1">
      <alignment horizontal="right" wrapText="1"/>
    </xf>
    <xf numFmtId="0" fontId="54" fillId="72" borderId="140" xfId="0" applyFont="1" applyFill="1" applyBorder="1" applyAlignment="1">
      <alignment horizontal="right" wrapText="1"/>
    </xf>
    <xf numFmtId="0" fontId="0" fillId="72" borderId="140" xfId="0" applyFill="1" applyBorder="1" applyAlignment="1">
      <alignment horizontal="left"/>
    </xf>
    <xf numFmtId="0" fontId="20" fillId="0" borderId="0" xfId="0" applyFont="1"/>
    <xf numFmtId="0" fontId="19" fillId="0" borderId="0" xfId="0" applyFont="1"/>
    <xf numFmtId="14" fontId="0" fillId="0" borderId="0" xfId="0" applyNumberFormat="1"/>
    <xf numFmtId="17" fontId="18" fillId="0" borderId="107" xfId="0" applyNumberFormat="1" applyFont="1" applyBorder="1" applyAlignment="1">
      <alignment wrapText="1"/>
    </xf>
    <xf numFmtId="0" fontId="18" fillId="0" borderId="0" xfId="0" applyFont="1"/>
    <xf numFmtId="0" fontId="157" fillId="0" borderId="140" xfId="0" applyFont="1" applyBorder="1" applyAlignment="1">
      <alignment horizontal="left" vertical="center" wrapText="1"/>
    </xf>
    <xf numFmtId="0" fontId="17" fillId="0" borderId="0" xfId="0" applyFont="1"/>
    <xf numFmtId="0" fontId="16" fillId="0" borderId="0" xfId="0" applyFont="1"/>
    <xf numFmtId="0" fontId="15" fillId="0" borderId="0" xfId="0" applyFont="1"/>
    <xf numFmtId="0" fontId="201" fillId="59" borderId="140" xfId="0" applyFont="1" applyFill="1" applyBorder="1" applyAlignment="1">
      <alignment horizontal="center"/>
    </xf>
    <xf numFmtId="0" fontId="193" fillId="59" borderId="140" xfId="0" applyFont="1" applyFill="1" applyBorder="1" applyAlignment="1">
      <alignment horizontal="center" wrapText="1"/>
    </xf>
    <xf numFmtId="0" fontId="0" fillId="59" borderId="140" xfId="0" applyFill="1" applyBorder="1" applyAlignment="1">
      <alignment horizontal="center"/>
    </xf>
    <xf numFmtId="0" fontId="157" fillId="59" borderId="140" xfId="0" applyFont="1" applyFill="1" applyBorder="1" applyAlignment="1">
      <alignment horizontal="center"/>
    </xf>
    <xf numFmtId="0" fontId="137" fillId="59" borderId="140" xfId="0" applyFont="1" applyFill="1" applyBorder="1" applyAlignment="1">
      <alignment horizontal="center"/>
    </xf>
    <xf numFmtId="0" fontId="0" fillId="59" borderId="140" xfId="0" applyFill="1" applyBorder="1" applyAlignment="1">
      <alignment horizontal="center" vertical="center"/>
    </xf>
    <xf numFmtId="0" fontId="388" fillId="59" borderId="185" xfId="0" applyFont="1" applyFill="1" applyBorder="1" applyAlignment="1">
      <alignment horizontal="center"/>
    </xf>
    <xf numFmtId="0" fontId="193" fillId="158" borderId="140" xfId="0" applyFont="1" applyFill="1" applyBorder="1" applyAlignment="1">
      <alignment horizontal="center" wrapText="1"/>
    </xf>
    <xf numFmtId="0" fontId="162" fillId="2" borderId="158" xfId="0" applyFont="1" applyFill="1" applyBorder="1" applyAlignment="1">
      <alignment horizontal="center" vertical="center"/>
    </xf>
    <xf numFmtId="0" fontId="294" fillId="59" borderId="140" xfId="0" applyFont="1" applyFill="1" applyBorder="1" applyAlignment="1">
      <alignment horizontal="center"/>
    </xf>
    <xf numFmtId="0" fontId="294" fillId="59" borderId="140" xfId="0" applyFont="1" applyFill="1" applyBorder="1"/>
    <xf numFmtId="0" fontId="14" fillId="0" borderId="0" xfId="0" applyFont="1"/>
    <xf numFmtId="0" fontId="25" fillId="0" borderId="0" xfId="0" applyFont="1" applyAlignment="1">
      <alignment horizontal="right"/>
    </xf>
    <xf numFmtId="0" fontId="14" fillId="75" borderId="185" xfId="0" applyFont="1" applyFill="1" applyBorder="1" applyAlignment="1">
      <alignment horizontal="center" vertical="center" wrapText="1"/>
    </xf>
    <xf numFmtId="0" fontId="14" fillId="111" borderId="185" xfId="0" applyFont="1" applyFill="1" applyBorder="1" applyAlignment="1">
      <alignment horizontal="center" vertical="center" wrapText="1"/>
    </xf>
    <xf numFmtId="0" fontId="172" fillId="0" borderId="154" xfId="5" applyFont="1" applyBorder="1"/>
    <xf numFmtId="17" fontId="139" fillId="122" borderId="143" xfId="0" applyNumberFormat="1" applyFont="1" applyFill="1" applyBorder="1"/>
    <xf numFmtId="17" fontId="139" fillId="122" borderId="145" xfId="0" applyNumberFormat="1" applyFont="1" applyFill="1" applyBorder="1"/>
    <xf numFmtId="17" fontId="139" fillId="121" borderId="145" xfId="0" applyNumberFormat="1" applyFont="1" applyFill="1" applyBorder="1"/>
    <xf numFmtId="17" fontId="139" fillId="70" borderId="145" xfId="0" applyNumberFormat="1" applyFont="1" applyFill="1" applyBorder="1"/>
    <xf numFmtId="17" fontId="139" fillId="74" borderId="145" xfId="0" applyNumberFormat="1" applyFont="1" applyFill="1" applyBorder="1"/>
    <xf numFmtId="17" fontId="139" fillId="166" borderId="145" xfId="0" applyNumberFormat="1" applyFont="1" applyFill="1" applyBorder="1"/>
    <xf numFmtId="17" fontId="139" fillId="166" borderId="159" xfId="0" applyNumberFormat="1" applyFont="1" applyFill="1" applyBorder="1"/>
    <xf numFmtId="0" fontId="277" fillId="0" borderId="150" xfId="1" applyBorder="1" applyAlignment="1">
      <alignment horizontal="center" vertical="center" wrapText="1"/>
    </xf>
    <xf numFmtId="0" fontId="0" fillId="0" borderId="160" xfId="0" applyBorder="1"/>
    <xf numFmtId="0" fontId="147" fillId="0" borderId="150" xfId="0" applyFont="1" applyBorder="1" applyAlignment="1">
      <alignment horizontal="center" vertical="center"/>
    </xf>
    <xf numFmtId="0" fontId="147" fillId="0" borderId="160" xfId="0" applyFont="1" applyBorder="1" applyAlignment="1">
      <alignment horizontal="center" vertical="center"/>
    </xf>
    <xf numFmtId="0" fontId="177" fillId="0" borderId="154" xfId="5" applyFont="1" applyBorder="1" applyAlignment="1">
      <alignment horizontal="center" vertical="center"/>
    </xf>
    <xf numFmtId="0" fontId="0" fillId="0" borderId="154" xfId="0" applyBorder="1"/>
    <xf numFmtId="0" fontId="197" fillId="0" borderId="200" xfId="0" applyFont="1" applyBorder="1" applyAlignment="1">
      <alignment horizontal="center" vertical="center" wrapText="1"/>
    </xf>
    <xf numFmtId="0" fontId="14" fillId="0" borderId="154" xfId="0" applyFont="1" applyBorder="1" applyAlignment="1">
      <alignment horizontal="center"/>
    </xf>
    <xf numFmtId="0" fontId="14" fillId="0" borderId="161" xfId="0" applyFont="1" applyBorder="1" applyAlignment="1">
      <alignment horizontal="center"/>
    </xf>
    <xf numFmtId="0" fontId="14" fillId="0" borderId="154" xfId="5" applyFont="1" applyBorder="1" applyAlignment="1">
      <alignment horizontal="center" vertical="center"/>
    </xf>
    <xf numFmtId="0" fontId="193" fillId="0" borderId="141" xfId="0" applyFont="1" applyBorder="1" applyAlignment="1">
      <alignment horizontal="center" vertical="center" wrapText="1"/>
    </xf>
    <xf numFmtId="0" fontId="374" fillId="62" borderId="140" xfId="0" applyFont="1" applyFill="1" applyBorder="1" applyAlignment="1">
      <alignment horizontal="center" vertical="center"/>
    </xf>
    <xf numFmtId="0" fontId="374" fillId="0" borderId="140" xfId="0" applyFont="1" applyBorder="1" applyAlignment="1">
      <alignment horizontal="center" vertical="center"/>
    </xf>
    <xf numFmtId="0" fontId="390" fillId="86" borderId="154" xfId="0" applyFont="1" applyFill="1" applyBorder="1" applyAlignment="1">
      <alignment horizontal="center" vertical="center" wrapText="1"/>
    </xf>
    <xf numFmtId="0" fontId="393" fillId="86" borderId="152" xfId="0" applyFont="1" applyFill="1" applyBorder="1" applyAlignment="1">
      <alignment horizontal="center" vertical="center" wrapText="1"/>
    </xf>
    <xf numFmtId="0" fontId="393" fillId="86" borderId="154" xfId="0" applyFont="1" applyFill="1" applyBorder="1" applyAlignment="1">
      <alignment horizontal="center" vertical="center" wrapText="1"/>
    </xf>
    <xf numFmtId="0" fontId="347" fillId="121" borderId="154" xfId="0" applyFont="1" applyFill="1" applyBorder="1" applyAlignment="1">
      <alignment horizontal="center" vertical="center" wrapText="1"/>
    </xf>
    <xf numFmtId="0" fontId="393" fillId="177" borderId="154" xfId="0" applyFont="1" applyFill="1" applyBorder="1" applyAlignment="1">
      <alignment horizontal="center" vertical="center" wrapText="1"/>
    </xf>
    <xf numFmtId="0" fontId="393" fillId="121" borderId="154" xfId="0" applyFont="1" applyFill="1" applyBorder="1" applyAlignment="1">
      <alignment horizontal="center" vertical="center" wrapText="1"/>
    </xf>
    <xf numFmtId="0" fontId="393" fillId="176" borderId="154" xfId="0" applyFont="1" applyFill="1" applyBorder="1" applyAlignment="1">
      <alignment horizontal="center" vertical="center" wrapText="1"/>
    </xf>
    <xf numFmtId="0" fontId="393" fillId="74" borderId="154" xfId="0" applyFont="1" applyFill="1" applyBorder="1" applyAlignment="1">
      <alignment horizontal="center" vertical="center" wrapText="1"/>
    </xf>
    <xf numFmtId="0" fontId="393" fillId="85" borderId="154" xfId="0" applyFont="1" applyFill="1" applyBorder="1" applyAlignment="1">
      <alignment horizontal="center" vertical="center" wrapText="1"/>
    </xf>
    <xf numFmtId="0" fontId="393" fillId="85" borderId="161" xfId="0" applyFont="1" applyFill="1" applyBorder="1" applyAlignment="1">
      <alignment horizontal="center" vertical="center" wrapText="1"/>
    </xf>
    <xf numFmtId="17" fontId="145" fillId="75" borderId="143" xfId="0" applyNumberFormat="1" applyFont="1" applyFill="1" applyBorder="1" applyAlignment="1">
      <alignment vertical="top"/>
    </xf>
    <xf numFmtId="17" fontId="145" fillId="75" borderId="145" xfId="0" applyNumberFormat="1" applyFont="1" applyFill="1" applyBorder="1" applyAlignment="1">
      <alignment vertical="top"/>
    </xf>
    <xf numFmtId="17" fontId="145" fillId="74" borderId="145" xfId="0" applyNumberFormat="1" applyFont="1" applyFill="1" applyBorder="1" applyAlignment="1">
      <alignment vertical="top"/>
    </xf>
    <xf numFmtId="17" fontId="295" fillId="74" borderId="145" xfId="0" applyNumberFormat="1" applyFont="1" applyFill="1" applyBorder="1"/>
    <xf numFmtId="17" fontId="295" fillId="111" borderId="145" xfId="0" applyNumberFormat="1" applyFont="1" applyFill="1" applyBorder="1"/>
    <xf numFmtId="17" fontId="295" fillId="64" borderId="145" xfId="0" applyNumberFormat="1" applyFont="1" applyFill="1" applyBorder="1"/>
    <xf numFmtId="17" fontId="295" fillId="181" borderId="145" xfId="0" applyNumberFormat="1" applyFont="1" applyFill="1" applyBorder="1"/>
    <xf numFmtId="0" fontId="390" fillId="100" borderId="152" xfId="0" applyFont="1" applyFill="1" applyBorder="1" applyAlignment="1">
      <alignment horizontal="center" vertical="center" wrapText="1"/>
    </xf>
    <xf numFmtId="0" fontId="390" fillId="75" borderId="201" xfId="0" applyFont="1" applyFill="1" applyBorder="1" applyAlignment="1">
      <alignment horizontal="center" vertical="center" wrapText="1"/>
    </xf>
    <xf numFmtId="0" fontId="391" fillId="75" borderId="154" xfId="0" applyFont="1" applyFill="1" applyBorder="1" applyAlignment="1">
      <alignment horizontal="center" vertical="center" wrapText="1"/>
    </xf>
    <xf numFmtId="0" fontId="391" fillId="101" borderId="154" xfId="0" applyFont="1" applyFill="1" applyBorder="1" applyAlignment="1">
      <alignment horizontal="center" vertical="center" wrapText="1"/>
    </xf>
    <xf numFmtId="0" fontId="390" fillId="102" borderId="154" xfId="0" applyFont="1" applyFill="1" applyBorder="1" applyAlignment="1">
      <alignment horizontal="center" vertical="center" wrapText="1"/>
    </xf>
    <xf numFmtId="0" fontId="391" fillId="103" borderId="154" xfId="0" applyFont="1" applyFill="1" applyBorder="1" applyAlignment="1">
      <alignment horizontal="center" vertical="center" wrapText="1"/>
    </xf>
    <xf numFmtId="0" fontId="391" fillId="74" borderId="154" xfId="0" applyFont="1" applyFill="1" applyBorder="1" applyAlignment="1">
      <alignment horizontal="center" vertical="center" wrapText="1"/>
    </xf>
    <xf numFmtId="0" fontId="390" fillId="86" borderId="179" xfId="0" applyFont="1" applyFill="1" applyBorder="1" applyAlignment="1">
      <alignment horizontal="center" vertical="center" wrapText="1"/>
    </xf>
    <xf numFmtId="0" fontId="390" fillId="99" borderId="154" xfId="0" applyFont="1" applyFill="1" applyBorder="1" applyAlignment="1">
      <alignment horizontal="center" vertical="center" wrapText="1"/>
    </xf>
    <xf numFmtId="0" fontId="391" fillId="0" borderId="154" xfId="0" applyFont="1" applyBorder="1" applyAlignment="1">
      <alignment horizontal="center" vertical="center" wrapText="1"/>
    </xf>
    <xf numFmtId="0" fontId="316" fillId="18" borderId="194" xfId="1" applyFont="1" applyFill="1" applyBorder="1" applyAlignment="1">
      <alignment vertical="top"/>
    </xf>
    <xf numFmtId="0" fontId="320" fillId="18" borderId="179" xfId="0" applyFont="1" applyFill="1" applyBorder="1" applyAlignment="1">
      <alignment vertical="top"/>
    </xf>
    <xf numFmtId="0" fontId="147" fillId="0" borderId="107" xfId="0" applyFont="1" applyBorder="1" applyAlignment="1">
      <alignment horizontal="center" vertical="center" wrapText="1"/>
    </xf>
    <xf numFmtId="0" fontId="327" fillId="128" borderId="232" xfId="0" applyFont="1" applyFill="1" applyBorder="1" applyAlignment="1">
      <alignment horizontal="center" wrapText="1"/>
    </xf>
    <xf numFmtId="0" fontId="297" fillId="72" borderId="239" xfId="0" applyFont="1" applyFill="1" applyBorder="1" applyAlignment="1">
      <alignment horizontal="center" wrapText="1"/>
    </xf>
    <xf numFmtId="0" fontId="297" fillId="72" borderId="232" xfId="0" applyFont="1" applyFill="1" applyBorder="1" applyAlignment="1">
      <alignment horizontal="center" wrapText="1"/>
    </xf>
    <xf numFmtId="0" fontId="286" fillId="59" borderId="232" xfId="0" applyFont="1" applyFill="1" applyBorder="1" applyAlignment="1">
      <alignment horizontal="center" wrapText="1"/>
    </xf>
    <xf numFmtId="0" fontId="30" fillId="59" borderId="232" xfId="0" applyFont="1" applyFill="1" applyBorder="1" applyAlignment="1">
      <alignment horizontal="center" wrapText="1"/>
    </xf>
    <xf numFmtId="0" fontId="30" fillId="84" borderId="232" xfId="0" applyFont="1" applyFill="1" applyBorder="1" applyAlignment="1">
      <alignment wrapText="1"/>
    </xf>
    <xf numFmtId="0" fontId="352" fillId="166" borderId="107" xfId="0" applyFont="1" applyFill="1" applyBorder="1" applyAlignment="1">
      <alignment vertical="center" wrapText="1"/>
    </xf>
    <xf numFmtId="0" fontId="129" fillId="91" borderId="218" xfId="0" applyFont="1" applyFill="1" applyBorder="1" applyAlignment="1">
      <alignment horizontal="center" vertical="center"/>
    </xf>
    <xf numFmtId="0" fontId="129" fillId="0" borderId="218" xfId="0" applyFont="1" applyBorder="1" applyAlignment="1">
      <alignment horizontal="center"/>
    </xf>
    <xf numFmtId="17" fontId="157" fillId="65" borderId="218" xfId="0" applyNumberFormat="1" applyFont="1" applyFill="1" applyBorder="1" applyAlignment="1">
      <alignment horizontal="center" vertical="center"/>
    </xf>
    <xf numFmtId="0" fontId="27" fillId="0" borderId="140" xfId="0" applyFont="1" applyBorder="1"/>
    <xf numFmtId="0" fontId="144" fillId="58" borderId="140" xfId="0" applyFont="1" applyFill="1" applyBorder="1" applyAlignment="1">
      <alignment horizontal="center" wrapText="1"/>
    </xf>
    <xf numFmtId="0" fontId="304" fillId="58" borderId="140" xfId="0" applyFont="1" applyFill="1" applyBorder="1" applyAlignment="1">
      <alignment horizontal="center" wrapText="1"/>
    </xf>
    <xf numFmtId="0" fontId="327" fillId="58" borderId="140" xfId="0" applyFont="1" applyFill="1" applyBorder="1" applyAlignment="1">
      <alignment horizontal="center" wrapText="1"/>
    </xf>
    <xf numFmtId="0" fontId="297" fillId="58" borderId="140" xfId="0" applyFont="1" applyFill="1" applyBorder="1" applyAlignment="1">
      <alignment horizontal="center" wrapText="1"/>
    </xf>
    <xf numFmtId="0" fontId="286" fillId="58" borderId="140" xfId="0" applyFont="1" applyFill="1" applyBorder="1" applyAlignment="1">
      <alignment horizontal="center" wrapText="1"/>
    </xf>
    <xf numFmtId="0" fontId="30" fillId="58" borderId="140" xfId="0" applyFont="1" applyFill="1" applyBorder="1" applyAlignment="1">
      <alignment horizontal="center" wrapText="1"/>
    </xf>
    <xf numFmtId="0" fontId="30" fillId="84" borderId="140" xfId="0" applyFont="1" applyFill="1" applyBorder="1" applyAlignment="1">
      <alignment wrapText="1"/>
    </xf>
    <xf numFmtId="0" fontId="352" fillId="166" borderId="140" xfId="0" applyFont="1" applyFill="1" applyBorder="1" applyAlignment="1">
      <alignment vertical="center" wrapText="1"/>
    </xf>
    <xf numFmtId="0" fontId="144" fillId="175" borderId="140" xfId="0" applyFont="1" applyFill="1" applyBorder="1" applyAlignment="1">
      <alignment horizontal="center" wrapText="1"/>
    </xf>
    <xf numFmtId="0" fontId="27" fillId="79" borderId="140" xfId="0" applyFont="1" applyFill="1" applyBorder="1"/>
    <xf numFmtId="1" fontId="0" fillId="0" borderId="140" xfId="0" applyNumberFormat="1" applyBorder="1"/>
    <xf numFmtId="0" fontId="315" fillId="0" borderId="140" xfId="0" applyFont="1" applyBorder="1"/>
    <xf numFmtId="17" fontId="315" fillId="0" borderId="140" xfId="0" applyNumberFormat="1" applyFont="1" applyBorder="1"/>
    <xf numFmtId="0" fontId="315" fillId="0" borderId="140" xfId="5" applyFont="1" applyBorder="1" applyAlignment="1">
      <alignment horizontal="center" vertical="center"/>
    </xf>
    <xf numFmtId="0" fontId="315" fillId="0" borderId="140" xfId="0" applyFont="1" applyBorder="1" applyAlignment="1">
      <alignment wrapText="1"/>
    </xf>
    <xf numFmtId="0" fontId="315" fillId="0" borderId="140" xfId="0" applyFont="1" applyBorder="1" applyAlignment="1">
      <alignment horizontal="center"/>
    </xf>
    <xf numFmtId="0" fontId="315" fillId="91" borderId="140" xfId="0" applyFont="1" applyFill="1" applyBorder="1" applyAlignment="1">
      <alignment horizontal="center"/>
    </xf>
    <xf numFmtId="0" fontId="315" fillId="118" borderId="140" xfId="0" applyFont="1" applyFill="1" applyBorder="1" applyAlignment="1">
      <alignment horizontal="center"/>
    </xf>
    <xf numFmtId="0" fontId="315" fillId="59" borderId="140" xfId="0" applyFont="1" applyFill="1" applyBorder="1"/>
    <xf numFmtId="17" fontId="315" fillId="59" borderId="140" xfId="0" applyNumberFormat="1" applyFont="1" applyFill="1" applyBorder="1"/>
    <xf numFmtId="0" fontId="315" fillId="59" borderId="140" xfId="5" applyFont="1" applyFill="1" applyBorder="1" applyAlignment="1">
      <alignment horizontal="center" vertical="center"/>
    </xf>
    <xf numFmtId="0" fontId="315" fillId="59" borderId="140" xfId="0" applyFont="1" applyFill="1" applyBorder="1" applyAlignment="1">
      <alignment horizontal="center"/>
    </xf>
    <xf numFmtId="0" fontId="137" fillId="59" borderId="140" xfId="0" applyFont="1" applyFill="1" applyBorder="1"/>
    <xf numFmtId="0" fontId="137" fillId="59" borderId="217" xfId="0" applyFont="1" applyFill="1" applyBorder="1"/>
    <xf numFmtId="0" fontId="177" fillId="59" borderId="217" xfId="0" applyFont="1" applyFill="1" applyBorder="1" applyAlignment="1">
      <alignment horizontal="center" vertical="center"/>
    </xf>
    <xf numFmtId="0" fontId="161" fillId="59" borderId="140" xfId="0" applyFont="1" applyFill="1" applyBorder="1"/>
    <xf numFmtId="165" fontId="177" fillId="59" borderId="140" xfId="0" applyNumberFormat="1" applyFont="1" applyFill="1" applyBorder="1" applyAlignment="1">
      <alignment horizontal="center" vertical="center"/>
    </xf>
    <xf numFmtId="0" fontId="315" fillId="59" borderId="140" xfId="0" applyFont="1" applyFill="1" applyBorder="1" applyAlignment="1">
      <alignment wrapText="1"/>
    </xf>
    <xf numFmtId="0" fontId="127" fillId="59" borderId="217" xfId="0" applyFont="1" applyFill="1" applyBorder="1" applyAlignment="1">
      <alignment horizontal="center"/>
    </xf>
    <xf numFmtId="0" fontId="127" fillId="59" borderId="140" xfId="0" applyFont="1" applyFill="1" applyBorder="1" applyAlignment="1">
      <alignment horizontal="center"/>
    </xf>
    <xf numFmtId="165" fontId="137" fillId="59" borderId="140" xfId="0" applyNumberFormat="1" applyFont="1" applyFill="1" applyBorder="1" applyAlignment="1">
      <alignment horizontal="left" vertical="center"/>
    </xf>
    <xf numFmtId="0" fontId="158" fillId="0" borderId="140" xfId="0" applyFont="1" applyBorder="1"/>
    <xf numFmtId="0" fontId="137" fillId="59" borderId="185" xfId="0" applyFont="1" applyFill="1" applyBorder="1" applyAlignment="1">
      <alignment horizontal="center" vertical="center"/>
    </xf>
    <xf numFmtId="0" fontId="136" fillId="59" borderId="185" xfId="0" applyFont="1" applyFill="1" applyBorder="1"/>
    <xf numFmtId="0" fontId="177" fillId="59" borderId="185" xfId="0" applyFont="1" applyFill="1" applyBorder="1" applyAlignment="1">
      <alignment horizontal="center" vertical="center"/>
    </xf>
    <xf numFmtId="0" fontId="177" fillId="59" borderId="237" xfId="0" applyFont="1" applyFill="1" applyBorder="1" applyAlignment="1">
      <alignment horizontal="center" vertical="center"/>
    </xf>
    <xf numFmtId="0" fontId="127" fillId="59" borderId="140" xfId="0" applyFont="1" applyFill="1" applyBorder="1"/>
    <xf numFmtId="0" fontId="127" fillId="0" borderId="22" xfId="0" applyFont="1" applyBorder="1" applyAlignment="1">
      <alignment wrapText="1"/>
    </xf>
    <xf numFmtId="0" fontId="394" fillId="59" borderId="140" xfId="0" applyFont="1" applyFill="1" applyBorder="1" applyAlignment="1">
      <alignment horizontal="center"/>
    </xf>
    <xf numFmtId="14" fontId="177" fillId="65" borderId="140" xfId="0" applyNumberFormat="1" applyFont="1" applyFill="1" applyBorder="1" applyAlignment="1">
      <alignment horizontal="center" vertical="center"/>
    </xf>
    <xf numFmtId="0" fontId="221" fillId="65" borderId="140" xfId="5" applyFont="1" applyFill="1" applyBorder="1" applyAlignment="1">
      <alignment horizontal="center" vertical="center"/>
    </xf>
    <xf numFmtId="0" fontId="177" fillId="65" borderId="140" xfId="0" applyFont="1" applyFill="1" applyBorder="1" applyAlignment="1">
      <alignment horizontal="center"/>
    </xf>
    <xf numFmtId="0" fontId="355" fillId="65" borderId="140" xfId="0" applyFont="1" applyFill="1" applyBorder="1" applyAlignment="1">
      <alignment horizontal="center" vertical="center" wrapText="1"/>
    </xf>
    <xf numFmtId="0" fontId="355" fillId="65" borderId="218" xfId="0" applyFont="1" applyFill="1" applyBorder="1" applyAlignment="1">
      <alignment horizontal="center" vertical="center" wrapText="1"/>
    </xf>
    <xf numFmtId="14" fontId="177" fillId="59" borderId="140" xfId="0" applyNumberFormat="1" applyFont="1" applyFill="1" applyBorder="1" applyAlignment="1">
      <alignment horizontal="center" vertical="center"/>
    </xf>
    <xf numFmtId="0" fontId="221" fillId="59" borderId="140" xfId="5" applyFont="1" applyFill="1" applyBorder="1" applyAlignment="1">
      <alignment horizontal="center" vertical="center"/>
    </xf>
    <xf numFmtId="0" fontId="355" fillId="59" borderId="140" xfId="0" applyFont="1" applyFill="1" applyBorder="1" applyAlignment="1">
      <alignment horizontal="center" vertical="center" wrapText="1"/>
    </xf>
    <xf numFmtId="0" fontId="355" fillId="59" borderId="185" xfId="0" applyFont="1" applyFill="1" applyBorder="1" applyAlignment="1">
      <alignment horizontal="center" vertical="center" wrapText="1"/>
    </xf>
    <xf numFmtId="0" fontId="320" fillId="3" borderId="181" xfId="0" applyFont="1" applyFill="1" applyBorder="1" applyAlignment="1">
      <alignment horizontal="center" vertical="center" wrapText="1"/>
    </xf>
    <xf numFmtId="0" fontId="374" fillId="65" borderId="140" xfId="0" applyFont="1" applyFill="1" applyBorder="1" applyAlignment="1">
      <alignment horizontal="center" vertical="center"/>
    </xf>
    <xf numFmtId="0" fontId="380" fillId="65" borderId="140" xfId="0" applyFont="1" applyFill="1" applyBorder="1" applyAlignment="1">
      <alignment horizontal="center" vertical="center"/>
    </xf>
    <xf numFmtId="0" fontId="374" fillId="65" borderId="223" xfId="0" applyFont="1" applyFill="1" applyBorder="1" applyAlignment="1">
      <alignment horizontal="center" vertical="center"/>
    </xf>
    <xf numFmtId="0" fontId="374" fillId="65" borderId="107" xfId="0" applyFont="1" applyFill="1" applyBorder="1" applyAlignment="1">
      <alignment horizontal="center" vertical="center"/>
    </xf>
    <xf numFmtId="0" fontId="374" fillId="65" borderId="242" xfId="0" applyFont="1" applyFill="1" applyBorder="1" applyAlignment="1">
      <alignment horizontal="center" vertical="center"/>
    </xf>
    <xf numFmtId="0" fontId="374" fillId="59" borderId="140" xfId="0" applyFont="1" applyFill="1" applyBorder="1" applyAlignment="1">
      <alignment horizontal="center" vertical="center"/>
    </xf>
    <xf numFmtId="0" fontId="374" fillId="0" borderId="185" xfId="0" applyFont="1" applyBorder="1" applyAlignment="1">
      <alignment horizontal="center" vertical="center"/>
    </xf>
    <xf numFmtId="0" fontId="374" fillId="59" borderId="185" xfId="0" applyFont="1" applyFill="1" applyBorder="1" applyAlignment="1">
      <alignment horizontal="center" vertical="center"/>
    </xf>
    <xf numFmtId="0" fontId="374" fillId="65" borderId="185" xfId="0" applyFont="1" applyFill="1" applyBorder="1" applyAlignment="1">
      <alignment horizontal="center" vertical="center"/>
    </xf>
    <xf numFmtId="0" fontId="136" fillId="0" borderId="107" xfId="0" applyFont="1" applyBorder="1" applyAlignment="1">
      <alignment wrapText="1"/>
    </xf>
    <xf numFmtId="0" fontId="172" fillId="0" borderId="107" xfId="5" applyFont="1"/>
    <xf numFmtId="0" fontId="192" fillId="2" borderId="158" xfId="5" applyFont="1" applyFill="1" applyBorder="1" applyAlignment="1">
      <alignment horizontal="center" vertical="center"/>
    </xf>
    <xf numFmtId="0" fontId="147" fillId="3" borderId="201" xfId="5" applyFont="1" applyFill="1" applyBorder="1" applyAlignment="1">
      <alignment horizontal="center" vertical="center" wrapText="1"/>
    </xf>
    <xf numFmtId="0" fontId="13" fillId="0" borderId="0" xfId="0" applyFont="1"/>
    <xf numFmtId="0" fontId="13" fillId="74" borderId="140" xfId="0" applyFont="1" applyFill="1" applyBorder="1"/>
    <xf numFmtId="14" fontId="13" fillId="74" borderId="140" xfId="5" applyNumberFormat="1" applyFont="1" applyFill="1" applyBorder="1" applyAlignment="1">
      <alignment horizontal="center" vertical="center"/>
    </xf>
    <xf numFmtId="0" fontId="13" fillId="74" borderId="140" xfId="5" applyFont="1" applyFill="1" applyBorder="1" applyAlignment="1">
      <alignment horizontal="center" vertical="center"/>
    </xf>
    <xf numFmtId="0" fontId="13" fillId="74" borderId="140" xfId="0" applyFont="1" applyFill="1" applyBorder="1" applyAlignment="1">
      <alignment horizontal="center" vertical="center"/>
    </xf>
    <xf numFmtId="0" fontId="300" fillId="74" borderId="140" xfId="0" applyFont="1" applyFill="1" applyBorder="1" applyAlignment="1">
      <alignment horizontal="center"/>
    </xf>
    <xf numFmtId="0" fontId="281" fillId="74" borderId="140" xfId="0" applyFont="1" applyFill="1" applyBorder="1" applyAlignment="1">
      <alignment horizontal="center" vertical="center"/>
    </xf>
    <xf numFmtId="0" fontId="13" fillId="74" borderId="140" xfId="0" applyFont="1" applyFill="1" applyBorder="1" applyAlignment="1">
      <alignment horizontal="center"/>
    </xf>
    <xf numFmtId="0" fontId="281" fillId="74" borderId="140" xfId="0" applyFont="1" applyFill="1" applyBorder="1" applyAlignment="1">
      <alignment horizontal="center"/>
    </xf>
    <xf numFmtId="0" fontId="13" fillId="0" borderId="140" xfId="0" applyFont="1" applyBorder="1" applyAlignment="1">
      <alignment horizontal="center"/>
    </xf>
    <xf numFmtId="0" fontId="13" fillId="0" borderId="140" xfId="0" applyFont="1" applyBorder="1"/>
    <xf numFmtId="14" fontId="13" fillId="0" borderId="140" xfId="5" applyNumberFormat="1" applyFont="1" applyBorder="1" applyAlignment="1">
      <alignment horizontal="center" vertical="center"/>
    </xf>
    <xf numFmtId="0" fontId="13" fillId="0" borderId="140" xfId="5" applyFont="1" applyBorder="1" applyAlignment="1">
      <alignment horizontal="center" vertical="center"/>
    </xf>
    <xf numFmtId="0" fontId="13" fillId="0" borderId="140" xfId="0" applyFont="1" applyBorder="1" applyAlignment="1">
      <alignment horizontal="center" vertical="center"/>
    </xf>
    <xf numFmtId="0" fontId="300" fillId="65" borderId="140" xfId="0" applyFont="1" applyFill="1" applyBorder="1" applyAlignment="1">
      <alignment horizontal="center"/>
    </xf>
    <xf numFmtId="0" fontId="281" fillId="0" borderId="140" xfId="0" applyFont="1" applyBorder="1" applyAlignment="1">
      <alignment horizontal="center" vertical="center"/>
    </xf>
    <xf numFmtId="0" fontId="13" fillId="74" borderId="140" xfId="5" applyFont="1" applyFill="1" applyBorder="1"/>
    <xf numFmtId="0" fontId="13" fillId="74" borderId="140" xfId="0" applyFont="1" applyFill="1" applyBorder="1" applyAlignment="1">
      <alignment horizontal="center" vertical="center" wrapText="1"/>
    </xf>
    <xf numFmtId="0" fontId="281" fillId="74" borderId="140" xfId="0" applyFont="1" applyFill="1" applyBorder="1"/>
    <xf numFmtId="0" fontId="13" fillId="0" borderId="140" xfId="5" applyFont="1" applyBorder="1"/>
    <xf numFmtId="0" fontId="13" fillId="0" borderId="140" xfId="0" applyFont="1" applyBorder="1" applyAlignment="1">
      <alignment horizontal="center" vertical="center" wrapText="1"/>
    </xf>
    <xf numFmtId="0" fontId="13" fillId="65" borderId="140" xfId="0" applyFont="1" applyFill="1" applyBorder="1" applyAlignment="1">
      <alignment horizontal="center"/>
    </xf>
    <xf numFmtId="0" fontId="396" fillId="18" borderId="42" xfId="0" applyFont="1" applyFill="1" applyBorder="1" applyAlignment="1">
      <alignment horizontal="left"/>
    </xf>
    <xf numFmtId="0" fontId="396" fillId="18" borderId="42" xfId="0" applyFont="1" applyFill="1" applyBorder="1"/>
    <xf numFmtId="17" fontId="396" fillId="15" borderId="42" xfId="0" applyNumberFormat="1" applyFont="1" applyFill="1" applyBorder="1"/>
    <xf numFmtId="0" fontId="396" fillId="0" borderId="42" xfId="0" applyFont="1" applyBorder="1" applyAlignment="1">
      <alignment horizontal="center"/>
    </xf>
    <xf numFmtId="0" fontId="396" fillId="0" borderId="22" xfId="0" applyFont="1" applyBorder="1" applyAlignment="1">
      <alignment horizontal="center" vertical="center"/>
    </xf>
    <xf numFmtId="0" fontId="396" fillId="15" borderId="42" xfId="0" applyFont="1" applyFill="1" applyBorder="1" applyAlignment="1">
      <alignment horizontal="center"/>
    </xf>
    <xf numFmtId="1" fontId="396" fillId="0" borderId="42" xfId="0" applyNumberFormat="1" applyFont="1" applyBorder="1" applyAlignment="1">
      <alignment horizontal="right"/>
    </xf>
    <xf numFmtId="1" fontId="396" fillId="0" borderId="122" xfId="0" applyNumberFormat="1" applyFont="1" applyBorder="1" applyAlignment="1">
      <alignment horizontal="right"/>
    </xf>
    <xf numFmtId="165" fontId="396" fillId="0" borderId="42" xfId="0" applyNumberFormat="1" applyFont="1" applyBorder="1" applyAlignment="1">
      <alignment horizontal="center"/>
    </xf>
    <xf numFmtId="165" fontId="396" fillId="0" borderId="122" xfId="0" applyNumberFormat="1" applyFont="1" applyBorder="1" applyAlignment="1">
      <alignment horizontal="center"/>
    </xf>
    <xf numFmtId="0" fontId="396" fillId="0" borderId="122" xfId="0" applyFont="1" applyBorder="1" applyAlignment="1">
      <alignment horizontal="center"/>
    </xf>
    <xf numFmtId="1" fontId="396" fillId="18" borderId="42" xfId="0" applyNumberFormat="1" applyFont="1" applyFill="1" applyBorder="1" applyAlignment="1">
      <alignment horizontal="center" vertical="center"/>
    </xf>
    <xf numFmtId="1" fontId="396" fillId="18" borderId="120" xfId="0" applyNumberFormat="1" applyFont="1" applyFill="1" applyBorder="1" applyAlignment="1">
      <alignment horizontal="center" vertical="center"/>
    </xf>
    <xf numFmtId="1" fontId="396" fillId="18" borderId="188" xfId="0" applyNumberFormat="1" applyFont="1" applyFill="1" applyBorder="1" applyAlignment="1">
      <alignment horizontal="center" vertical="center"/>
    </xf>
    <xf numFmtId="1" fontId="396" fillId="18" borderId="122" xfId="0" applyNumberFormat="1" applyFont="1" applyFill="1" applyBorder="1" applyAlignment="1">
      <alignment horizontal="center" vertical="center"/>
    </xf>
    <xf numFmtId="165" fontId="396" fillId="0" borderId="42" xfId="0" applyNumberFormat="1" applyFont="1" applyBorder="1"/>
    <xf numFmtId="0" fontId="396" fillId="0" borderId="0" xfId="0" applyFont="1"/>
    <xf numFmtId="0" fontId="396" fillId="18" borderId="22" xfId="0" applyFont="1" applyFill="1" applyBorder="1" applyAlignment="1">
      <alignment horizontal="left"/>
    </xf>
    <xf numFmtId="0" fontId="396" fillId="18" borderId="22" xfId="0" applyFont="1" applyFill="1" applyBorder="1"/>
    <xf numFmtId="17" fontId="396" fillId="15" borderId="22" xfId="0" applyNumberFormat="1" applyFont="1" applyFill="1" applyBorder="1"/>
    <xf numFmtId="0" fontId="396" fillId="0" borderId="22" xfId="0" applyFont="1" applyBorder="1" applyAlignment="1">
      <alignment horizontal="center"/>
    </xf>
    <xf numFmtId="0" fontId="396" fillId="15" borderId="22" xfId="0" applyFont="1" applyFill="1" applyBorder="1" applyAlignment="1">
      <alignment horizontal="center"/>
    </xf>
    <xf numFmtId="1" fontId="396" fillId="0" borderId="22" xfId="0" applyNumberFormat="1" applyFont="1" applyBorder="1" applyAlignment="1">
      <alignment horizontal="right"/>
    </xf>
    <xf numFmtId="1" fontId="396" fillId="0" borderId="41" xfId="0" applyNumberFormat="1" applyFont="1" applyBorder="1" applyAlignment="1">
      <alignment horizontal="right"/>
    </xf>
    <xf numFmtId="1" fontId="396" fillId="0" borderId="20" xfId="0" applyNumberFormat="1" applyFont="1" applyBorder="1" applyAlignment="1">
      <alignment horizontal="right"/>
    </xf>
    <xf numFmtId="1" fontId="396" fillId="0" borderId="41" xfId="0" applyNumberFormat="1" applyFont="1" applyBorder="1" applyAlignment="1">
      <alignment horizontal="center"/>
    </xf>
    <xf numFmtId="165" fontId="396" fillId="0" borderId="20" xfId="0" applyNumberFormat="1" applyFont="1" applyBorder="1" applyAlignment="1">
      <alignment horizontal="center"/>
    </xf>
    <xf numFmtId="1" fontId="396" fillId="0" borderId="20" xfId="0" applyNumberFormat="1" applyFont="1" applyBorder="1" applyAlignment="1">
      <alignment horizontal="center"/>
    </xf>
    <xf numFmtId="165" fontId="396" fillId="0" borderId="41" xfId="0" applyNumberFormat="1" applyFont="1" applyBorder="1" applyAlignment="1">
      <alignment horizontal="center"/>
    </xf>
    <xf numFmtId="0" fontId="396" fillId="0" borderId="20" xfId="0" applyFont="1" applyBorder="1" applyAlignment="1">
      <alignment horizontal="center"/>
    </xf>
    <xf numFmtId="1" fontId="396" fillId="35" borderId="22" xfId="0" applyNumberFormat="1" applyFont="1" applyFill="1" applyBorder="1" applyAlignment="1">
      <alignment horizontal="center" vertical="center"/>
    </xf>
    <xf numFmtId="1" fontId="396" fillId="35" borderId="40" xfId="0" applyNumberFormat="1" applyFont="1" applyFill="1" applyBorder="1" applyAlignment="1">
      <alignment horizontal="center" vertical="center"/>
    </xf>
    <xf numFmtId="1" fontId="396" fillId="18" borderId="55" xfId="0" applyNumberFormat="1" applyFont="1" applyFill="1" applyBorder="1" applyAlignment="1">
      <alignment horizontal="center" vertical="center"/>
    </xf>
    <xf numFmtId="1" fontId="396" fillId="18" borderId="35" xfId="0" applyNumberFormat="1" applyFont="1" applyFill="1" applyBorder="1" applyAlignment="1">
      <alignment horizontal="center" vertical="center"/>
    </xf>
    <xf numFmtId="1" fontId="396" fillId="18" borderId="40" xfId="0" applyNumberFormat="1" applyFont="1" applyFill="1" applyBorder="1" applyAlignment="1">
      <alignment horizontal="center" vertical="center"/>
    </xf>
    <xf numFmtId="1" fontId="396" fillId="35" borderId="35" xfId="0" applyNumberFormat="1" applyFont="1" applyFill="1" applyBorder="1" applyAlignment="1">
      <alignment horizontal="center" vertical="center"/>
    </xf>
    <xf numFmtId="1" fontId="396" fillId="18" borderId="22" xfId="0" applyNumberFormat="1" applyFont="1" applyFill="1" applyBorder="1" applyAlignment="1">
      <alignment horizontal="center" vertical="center"/>
    </xf>
    <xf numFmtId="165" fontId="396" fillId="0" borderId="22" xfId="0" applyNumberFormat="1" applyFont="1" applyBorder="1"/>
    <xf numFmtId="2" fontId="396" fillId="0" borderId="22" xfId="0" applyNumberFormat="1" applyFont="1" applyBorder="1" applyAlignment="1">
      <alignment horizontal="right"/>
    </xf>
    <xf numFmtId="2" fontId="396" fillId="0" borderId="42" xfId="0" applyNumberFormat="1" applyFont="1" applyBorder="1" applyAlignment="1">
      <alignment horizontal="right"/>
    </xf>
    <xf numFmtId="165" fontId="396" fillId="0" borderId="20" xfId="0" applyNumberFormat="1" applyFont="1" applyBorder="1" applyAlignment="1">
      <alignment horizontal="right"/>
    </xf>
    <xf numFmtId="165" fontId="396" fillId="0" borderId="13" xfId="0" applyNumberFormat="1" applyFont="1" applyBorder="1" applyAlignment="1">
      <alignment horizontal="center"/>
    </xf>
    <xf numFmtId="2" fontId="396" fillId="0" borderId="41" xfId="0" applyNumberFormat="1" applyFont="1" applyBorder="1" applyAlignment="1">
      <alignment horizontal="center"/>
    </xf>
    <xf numFmtId="1" fontId="396" fillId="0" borderId="13" xfId="0" applyNumberFormat="1" applyFont="1" applyBorder="1" applyAlignment="1">
      <alignment horizontal="center"/>
    </xf>
    <xf numFmtId="0" fontId="396" fillId="0" borderId="41" xfId="0" applyFont="1" applyBorder="1" applyAlignment="1">
      <alignment horizontal="center"/>
    </xf>
    <xf numFmtId="1" fontId="396" fillId="18" borderId="22" xfId="0" applyNumberFormat="1" applyFont="1" applyFill="1" applyBorder="1" applyAlignment="1">
      <alignment horizontal="right"/>
    </xf>
    <xf numFmtId="2" fontId="396" fillId="18" borderId="22" xfId="0" applyNumberFormat="1" applyFont="1" applyFill="1" applyBorder="1" applyAlignment="1">
      <alignment horizontal="center" vertical="center"/>
    </xf>
    <xf numFmtId="2" fontId="396" fillId="18" borderId="40" xfId="0" applyNumberFormat="1" applyFont="1" applyFill="1" applyBorder="1" applyAlignment="1">
      <alignment horizontal="center" vertical="center"/>
    </xf>
    <xf numFmtId="165" fontId="396" fillId="18" borderId="55" xfId="0" applyNumberFormat="1" applyFont="1" applyFill="1" applyBorder="1" applyAlignment="1">
      <alignment horizontal="right"/>
    </xf>
    <xf numFmtId="165" fontId="396" fillId="18" borderId="35" xfId="0" applyNumberFormat="1" applyFont="1" applyFill="1" applyBorder="1" applyAlignment="1">
      <alignment horizontal="right"/>
    </xf>
    <xf numFmtId="0" fontId="397" fillId="18" borderId="40" xfId="0" applyFont="1" applyFill="1" applyBorder="1" applyAlignment="1">
      <alignment horizontal="center" vertical="center" wrapText="1"/>
    </xf>
    <xf numFmtId="1" fontId="396" fillId="18" borderId="55" xfId="0" applyNumberFormat="1" applyFont="1" applyFill="1" applyBorder="1" applyAlignment="1">
      <alignment horizontal="right"/>
    </xf>
    <xf numFmtId="0" fontId="397" fillId="18" borderId="55" xfId="0" applyFont="1" applyFill="1" applyBorder="1" applyAlignment="1">
      <alignment horizontal="center" vertical="center" wrapText="1"/>
    </xf>
    <xf numFmtId="0" fontId="397" fillId="18" borderId="35" xfId="0" applyFont="1" applyFill="1" applyBorder="1" applyAlignment="1">
      <alignment horizontal="center" vertical="center" wrapText="1"/>
    </xf>
    <xf numFmtId="165" fontId="396" fillId="18" borderId="40" xfId="0" applyNumberFormat="1" applyFont="1" applyFill="1" applyBorder="1" applyAlignment="1">
      <alignment horizontal="center"/>
    </xf>
    <xf numFmtId="0" fontId="397" fillId="18" borderId="40" xfId="0" applyFont="1" applyFill="1" applyBorder="1" applyAlignment="1">
      <alignment horizontal="center" wrapText="1"/>
    </xf>
    <xf numFmtId="0" fontId="397" fillId="18" borderId="55" xfId="0" applyFont="1" applyFill="1" applyBorder="1" applyAlignment="1">
      <alignment horizontal="center" wrapText="1"/>
    </xf>
    <xf numFmtId="0" fontId="396" fillId="0" borderId="0" xfId="0" applyFont="1" applyAlignment="1">
      <alignment horizontal="right"/>
    </xf>
    <xf numFmtId="0" fontId="396" fillId="0" borderId="22" xfId="0" applyFont="1" applyBorder="1" applyAlignment="1">
      <alignment horizontal="right"/>
    </xf>
    <xf numFmtId="165" fontId="396" fillId="0" borderId="54" xfId="0" applyNumberFormat="1" applyFont="1" applyBorder="1" applyAlignment="1">
      <alignment horizontal="center"/>
    </xf>
    <xf numFmtId="0" fontId="396" fillId="42" borderId="1" xfId="0" applyFont="1" applyFill="1" applyBorder="1"/>
    <xf numFmtId="0" fontId="396" fillId="0" borderId="56" xfId="0" applyFont="1" applyBorder="1" applyAlignment="1">
      <alignment horizontal="center"/>
    </xf>
    <xf numFmtId="2" fontId="396" fillId="18" borderId="35" xfId="0" applyNumberFormat="1" applyFont="1" applyFill="1" applyBorder="1" applyAlignment="1">
      <alignment horizontal="center" vertical="center"/>
    </xf>
    <xf numFmtId="165" fontId="396" fillId="0" borderId="41" xfId="0" applyNumberFormat="1" applyFont="1" applyBorder="1" applyAlignment="1">
      <alignment horizontal="right"/>
    </xf>
    <xf numFmtId="2" fontId="396" fillId="0" borderId="20" xfId="0" applyNumberFormat="1" applyFont="1" applyBorder="1" applyAlignment="1">
      <alignment horizontal="right"/>
    </xf>
    <xf numFmtId="165" fontId="396" fillId="0" borderId="56" xfId="0" applyNumberFormat="1" applyFont="1" applyBorder="1" applyAlignment="1">
      <alignment horizontal="center"/>
    </xf>
    <xf numFmtId="0" fontId="396" fillId="0" borderId="54" xfId="0" applyFont="1" applyBorder="1" applyAlignment="1">
      <alignment horizontal="center"/>
    </xf>
    <xf numFmtId="165" fontId="396" fillId="0" borderId="22" xfId="0" applyNumberFormat="1" applyFont="1" applyBorder="1" applyAlignment="1">
      <alignment horizontal="center"/>
    </xf>
    <xf numFmtId="2" fontId="396" fillId="0" borderId="54" xfId="0" applyNumberFormat="1" applyFont="1" applyBorder="1" applyAlignment="1">
      <alignment horizontal="center"/>
    </xf>
    <xf numFmtId="1" fontId="396" fillId="0" borderId="11" xfId="0" applyNumberFormat="1" applyFont="1" applyBorder="1" applyAlignment="1">
      <alignment horizontal="center"/>
    </xf>
    <xf numFmtId="2" fontId="396" fillId="0" borderId="13" xfId="0" applyNumberFormat="1" applyFont="1" applyBorder="1" applyAlignment="1">
      <alignment horizontal="center"/>
    </xf>
    <xf numFmtId="0" fontId="396" fillId="0" borderId="11" xfId="0" applyFont="1" applyBorder="1" applyAlignment="1">
      <alignment horizontal="center"/>
    </xf>
    <xf numFmtId="2" fontId="396" fillId="0" borderId="20" xfId="0" applyNumberFormat="1" applyFont="1" applyBorder="1" applyAlignment="1">
      <alignment horizontal="center"/>
    </xf>
    <xf numFmtId="165" fontId="396" fillId="0" borderId="66" xfId="0" applyNumberFormat="1" applyFont="1" applyBorder="1" applyAlignment="1">
      <alignment horizontal="center"/>
    </xf>
    <xf numFmtId="1" fontId="396" fillId="0" borderId="56" xfId="0" applyNumberFormat="1" applyFont="1" applyBorder="1" applyAlignment="1">
      <alignment horizontal="center"/>
    </xf>
    <xf numFmtId="2" fontId="396" fillId="0" borderId="56" xfId="0" applyNumberFormat="1" applyFont="1" applyBorder="1" applyAlignment="1">
      <alignment horizontal="center"/>
    </xf>
    <xf numFmtId="2" fontId="396" fillId="0" borderId="22" xfId="0" applyNumberFormat="1" applyFont="1" applyBorder="1" applyAlignment="1">
      <alignment horizontal="center"/>
    </xf>
    <xf numFmtId="1" fontId="396" fillId="0" borderId="54" xfId="0" applyNumberFormat="1" applyFont="1" applyBorder="1" applyAlignment="1">
      <alignment horizontal="center"/>
    </xf>
    <xf numFmtId="165" fontId="396" fillId="18" borderId="22" xfId="0" applyNumberFormat="1" applyFont="1" applyFill="1" applyBorder="1" applyAlignment="1">
      <alignment horizontal="right"/>
    </xf>
    <xf numFmtId="165" fontId="396" fillId="18" borderId="22" xfId="0" applyNumberFormat="1" applyFont="1" applyFill="1" applyBorder="1" applyAlignment="1">
      <alignment horizontal="center" vertical="center"/>
    </xf>
    <xf numFmtId="165" fontId="396" fillId="18" borderId="40" xfId="0" applyNumberFormat="1" applyFont="1" applyFill="1" applyBorder="1" applyAlignment="1">
      <alignment horizontal="center" vertical="center"/>
    </xf>
    <xf numFmtId="1" fontId="396" fillId="18" borderId="35" xfId="0" applyNumberFormat="1" applyFont="1" applyFill="1" applyBorder="1" applyAlignment="1">
      <alignment horizontal="right"/>
    </xf>
    <xf numFmtId="165" fontId="397" fillId="18" borderId="35" xfId="0" applyNumberFormat="1" applyFont="1" applyFill="1" applyBorder="1" applyAlignment="1">
      <alignment horizontal="center" vertical="center" wrapText="1"/>
    </xf>
    <xf numFmtId="165" fontId="397" fillId="18" borderId="40" xfId="0" applyNumberFormat="1" applyFont="1" applyFill="1" applyBorder="1" applyAlignment="1">
      <alignment horizontal="center" wrapText="1"/>
    </xf>
    <xf numFmtId="165" fontId="397" fillId="18" borderId="55" xfId="0" applyNumberFormat="1" applyFont="1" applyFill="1" applyBorder="1" applyAlignment="1">
      <alignment horizontal="center" vertical="center" wrapText="1"/>
    </xf>
    <xf numFmtId="165" fontId="396" fillId="18" borderId="35" xfId="0" applyNumberFormat="1" applyFont="1" applyFill="1" applyBorder="1" applyAlignment="1">
      <alignment horizontal="center" vertical="center"/>
    </xf>
    <xf numFmtId="165" fontId="397" fillId="18" borderId="55" xfId="0" applyNumberFormat="1" applyFont="1" applyFill="1" applyBorder="1" applyAlignment="1">
      <alignment horizontal="center" wrapText="1"/>
    </xf>
    <xf numFmtId="165" fontId="396" fillId="0" borderId="22" xfId="0" applyNumberFormat="1" applyFont="1" applyBorder="1" applyAlignment="1">
      <alignment horizontal="right"/>
    </xf>
    <xf numFmtId="1" fontId="396" fillId="0" borderId="66" xfId="0" applyNumberFormat="1" applyFont="1" applyBorder="1" applyAlignment="1">
      <alignment horizontal="center"/>
    </xf>
    <xf numFmtId="0" fontId="397" fillId="35" borderId="35" xfId="0" applyFont="1" applyFill="1" applyBorder="1" applyAlignment="1">
      <alignment horizontal="center" vertical="center" wrapText="1"/>
    </xf>
    <xf numFmtId="2" fontId="396" fillId="35" borderId="22" xfId="0" applyNumberFormat="1" applyFont="1" applyFill="1" applyBorder="1" applyAlignment="1">
      <alignment horizontal="center" vertical="center"/>
    </xf>
    <xf numFmtId="2" fontId="396" fillId="35" borderId="35" xfId="0" applyNumberFormat="1" applyFont="1" applyFill="1" applyBorder="1" applyAlignment="1">
      <alignment horizontal="center" vertical="center"/>
    </xf>
    <xf numFmtId="2" fontId="396" fillId="0" borderId="41" xfId="0" applyNumberFormat="1" applyFont="1" applyBorder="1" applyAlignment="1">
      <alignment horizontal="right"/>
    </xf>
    <xf numFmtId="1" fontId="396" fillId="0" borderId="22" xfId="0" applyNumberFormat="1" applyFont="1" applyBorder="1" applyAlignment="1">
      <alignment horizontal="center"/>
    </xf>
    <xf numFmtId="0" fontId="396" fillId="0" borderId="42" xfId="0" applyFont="1" applyBorder="1" applyAlignment="1">
      <alignment horizontal="right"/>
    </xf>
    <xf numFmtId="0" fontId="396" fillId="0" borderId="41" xfId="0" applyFont="1" applyBorder="1" applyAlignment="1">
      <alignment horizontal="right"/>
    </xf>
    <xf numFmtId="0" fontId="396" fillId="0" borderId="20" xfId="0" applyFont="1" applyBorder="1" applyAlignment="1">
      <alignment horizontal="right"/>
    </xf>
    <xf numFmtId="165" fontId="396" fillId="18" borderId="40" xfId="0" applyNumberFormat="1" applyFont="1" applyFill="1" applyBorder="1" applyAlignment="1">
      <alignment horizontal="right"/>
    </xf>
    <xf numFmtId="0" fontId="396" fillId="18" borderId="35" xfId="0" applyFont="1" applyFill="1" applyBorder="1"/>
    <xf numFmtId="0" fontId="396" fillId="0" borderId="22" xfId="0" applyFont="1" applyBorder="1"/>
    <xf numFmtId="0" fontId="396" fillId="0" borderId="13" xfId="0" applyFont="1" applyBorder="1" applyAlignment="1">
      <alignment horizontal="center"/>
    </xf>
    <xf numFmtId="165" fontId="396" fillId="36" borderId="42" xfId="0" applyNumberFormat="1" applyFont="1" applyFill="1" applyBorder="1" applyAlignment="1">
      <alignment horizontal="center"/>
    </xf>
    <xf numFmtId="165" fontId="396" fillId="36" borderId="67" xfId="0" applyNumberFormat="1" applyFont="1" applyFill="1" applyBorder="1" applyAlignment="1">
      <alignment horizontal="center"/>
    </xf>
    <xf numFmtId="1" fontId="396" fillId="36" borderId="67" xfId="0" applyNumberFormat="1" applyFont="1" applyFill="1" applyBorder="1" applyAlignment="1">
      <alignment horizontal="center"/>
    </xf>
    <xf numFmtId="165" fontId="396" fillId="6" borderId="22" xfId="0" applyNumberFormat="1" applyFont="1" applyFill="1" applyBorder="1" applyAlignment="1">
      <alignment horizontal="center"/>
    </xf>
    <xf numFmtId="165" fontId="396" fillId="22" borderId="22" xfId="0" applyNumberFormat="1" applyFont="1" applyFill="1" applyBorder="1" applyAlignment="1">
      <alignment horizontal="center"/>
    </xf>
    <xf numFmtId="165" fontId="396" fillId="6" borderId="40" xfId="0" applyNumberFormat="1" applyFont="1" applyFill="1" applyBorder="1" applyAlignment="1">
      <alignment horizontal="center"/>
    </xf>
    <xf numFmtId="0" fontId="396" fillId="18" borderId="40" xfId="0" applyFont="1" applyFill="1" applyBorder="1"/>
    <xf numFmtId="0" fontId="396" fillId="18" borderId="55" xfId="0" applyFont="1" applyFill="1" applyBorder="1"/>
    <xf numFmtId="165" fontId="396" fillId="0" borderId="11" xfId="0" applyNumberFormat="1" applyFont="1" applyBorder="1" applyAlignment="1">
      <alignment horizontal="center"/>
    </xf>
    <xf numFmtId="0" fontId="396" fillId="35" borderId="22" xfId="0" applyFont="1" applyFill="1" applyBorder="1"/>
    <xf numFmtId="0" fontId="396" fillId="48" borderId="22" xfId="0" applyFont="1" applyFill="1" applyBorder="1"/>
    <xf numFmtId="0" fontId="396" fillId="35" borderId="40" xfId="0" applyFont="1" applyFill="1" applyBorder="1"/>
    <xf numFmtId="0" fontId="396" fillId="35" borderId="35" xfId="0" applyFont="1" applyFill="1" applyBorder="1"/>
    <xf numFmtId="0" fontId="396" fillId="0" borderId="66" xfId="0" applyFont="1" applyBorder="1" applyAlignment="1">
      <alignment horizontal="center"/>
    </xf>
    <xf numFmtId="17" fontId="396" fillId="15" borderId="66" xfId="0" applyNumberFormat="1" applyFont="1" applyFill="1" applyBorder="1"/>
    <xf numFmtId="0" fontId="396" fillId="18" borderId="28" xfId="0" applyFont="1" applyFill="1" applyBorder="1"/>
    <xf numFmtId="0" fontId="396" fillId="15" borderId="66" xfId="0" applyFont="1" applyFill="1" applyBorder="1" applyAlignment="1">
      <alignment horizontal="center"/>
    </xf>
    <xf numFmtId="0" fontId="396" fillId="18" borderId="66" xfId="0" applyFont="1" applyFill="1" applyBorder="1" applyAlignment="1">
      <alignment horizontal="left"/>
    </xf>
    <xf numFmtId="0" fontId="396" fillId="0" borderId="66" xfId="0" applyFont="1" applyBorder="1" applyAlignment="1">
      <alignment horizontal="right"/>
    </xf>
    <xf numFmtId="0" fontId="396" fillId="0" borderId="71" xfId="0" applyFont="1" applyBorder="1" applyAlignment="1">
      <alignment horizontal="right"/>
    </xf>
    <xf numFmtId="0" fontId="396" fillId="0" borderId="71" xfId="0" applyFont="1" applyBorder="1" applyAlignment="1">
      <alignment horizontal="center"/>
    </xf>
    <xf numFmtId="0" fontId="396" fillId="0" borderId="78" xfId="0" applyFont="1" applyBorder="1" applyAlignment="1">
      <alignment horizontal="center"/>
    </xf>
    <xf numFmtId="0" fontId="396" fillId="21" borderId="184" xfId="0" applyFont="1" applyFill="1" applyBorder="1" applyAlignment="1">
      <alignment horizontal="center"/>
    </xf>
    <xf numFmtId="165" fontId="396" fillId="0" borderId="71" xfId="0" applyNumberFormat="1" applyFont="1" applyBorder="1" applyAlignment="1">
      <alignment horizontal="center"/>
    </xf>
    <xf numFmtId="165" fontId="396" fillId="0" borderId="121" xfId="0" applyNumberFormat="1" applyFont="1" applyBorder="1" applyAlignment="1">
      <alignment horizontal="center"/>
    </xf>
    <xf numFmtId="0" fontId="396" fillId="0" borderId="121" xfId="0" applyFont="1" applyBorder="1" applyAlignment="1">
      <alignment horizontal="center"/>
    </xf>
    <xf numFmtId="0" fontId="396" fillId="18" borderId="184" xfId="0" applyFont="1" applyFill="1" applyBorder="1"/>
    <xf numFmtId="0" fontId="396" fillId="18" borderId="121" xfId="0" applyFont="1" applyFill="1" applyBorder="1"/>
    <xf numFmtId="0" fontId="396" fillId="18" borderId="66" xfId="0" applyFont="1" applyFill="1" applyBorder="1"/>
    <xf numFmtId="0" fontId="396" fillId="18" borderId="68" xfId="0" applyFont="1" applyFill="1" applyBorder="1"/>
    <xf numFmtId="0" fontId="396" fillId="0" borderId="66" xfId="0" applyFont="1" applyBorder="1"/>
    <xf numFmtId="1" fontId="396" fillId="0" borderId="66" xfId="0" applyNumberFormat="1" applyFont="1" applyBorder="1" applyAlignment="1">
      <alignment horizontal="right"/>
    </xf>
    <xf numFmtId="0" fontId="396" fillId="25" borderId="66" xfId="0" applyFont="1" applyFill="1" applyBorder="1" applyAlignment="1">
      <alignment horizontal="left"/>
    </xf>
    <xf numFmtId="0" fontId="396" fillId="25" borderId="66" xfId="0" applyFont="1" applyFill="1" applyBorder="1"/>
    <xf numFmtId="17" fontId="396" fillId="25" borderId="66" xfId="0" applyNumberFormat="1" applyFont="1" applyFill="1" applyBorder="1"/>
    <xf numFmtId="0" fontId="396" fillId="25" borderId="121" xfId="0" applyFont="1" applyFill="1" applyBorder="1" applyAlignment="1">
      <alignment horizontal="center"/>
    </xf>
    <xf numFmtId="0" fontId="396" fillId="25" borderId="140" xfId="0" applyFont="1" applyFill="1" applyBorder="1" applyAlignment="1">
      <alignment horizontal="center"/>
    </xf>
    <xf numFmtId="0" fontId="396" fillId="25" borderId="185" xfId="0" applyFont="1" applyFill="1" applyBorder="1" applyAlignment="1">
      <alignment horizontal="left"/>
    </xf>
    <xf numFmtId="0" fontId="396" fillId="25" borderId="185" xfId="0" applyFont="1" applyFill="1" applyBorder="1" applyAlignment="1">
      <alignment horizontal="right"/>
    </xf>
    <xf numFmtId="0" fontId="396" fillId="25" borderId="107" xfId="0" applyFont="1" applyFill="1" applyBorder="1" applyAlignment="1">
      <alignment horizontal="right"/>
    </xf>
    <xf numFmtId="0" fontId="396" fillId="25" borderId="78" xfId="0" applyFont="1" applyFill="1" applyBorder="1" applyAlignment="1">
      <alignment horizontal="right"/>
    </xf>
    <xf numFmtId="0" fontId="396" fillId="0" borderId="78" xfId="0" applyFont="1" applyBorder="1" applyAlignment="1">
      <alignment horizontal="right"/>
    </xf>
    <xf numFmtId="0" fontId="396" fillId="0" borderId="107" xfId="0" applyFont="1" applyBorder="1" applyAlignment="1">
      <alignment horizontal="right"/>
    </xf>
    <xf numFmtId="0" fontId="396" fillId="0" borderId="185" xfId="0" applyFont="1" applyBorder="1" applyAlignment="1">
      <alignment horizontal="center"/>
    </xf>
    <xf numFmtId="0" fontId="396" fillId="21" borderId="186" xfId="0" applyFont="1" applyFill="1" applyBorder="1" applyAlignment="1">
      <alignment horizontal="center"/>
    </xf>
    <xf numFmtId="165" fontId="396" fillId="21" borderId="121" xfId="0" applyNumberFormat="1" applyFont="1" applyFill="1" applyBorder="1" applyAlignment="1">
      <alignment horizontal="center"/>
    </xf>
    <xf numFmtId="0" fontId="396" fillId="21" borderId="66" xfId="0" applyFont="1" applyFill="1" applyBorder="1" applyAlignment="1">
      <alignment horizontal="center"/>
    </xf>
    <xf numFmtId="0" fontId="396" fillId="21" borderId="68" xfId="0" applyFont="1" applyFill="1" applyBorder="1" applyAlignment="1">
      <alignment horizontal="center"/>
    </xf>
    <xf numFmtId="165" fontId="396" fillId="0" borderId="185" xfId="0" applyNumberFormat="1" applyFont="1" applyBorder="1" applyAlignment="1">
      <alignment horizontal="center"/>
    </xf>
    <xf numFmtId="165" fontId="396" fillId="42" borderId="107" xfId="0" applyNumberFormat="1" applyFont="1" applyFill="1" applyBorder="1" applyAlignment="1">
      <alignment horizontal="center"/>
    </xf>
    <xf numFmtId="0" fontId="396" fillId="42" borderId="107" xfId="0" applyFont="1" applyFill="1" applyBorder="1" applyAlignment="1">
      <alignment horizontal="center"/>
    </xf>
    <xf numFmtId="0" fontId="396" fillId="18" borderId="185" xfId="0" applyFont="1" applyFill="1" applyBorder="1"/>
    <xf numFmtId="0" fontId="396" fillId="0" borderId="185" xfId="0" applyFont="1" applyBorder="1"/>
    <xf numFmtId="0" fontId="396" fillId="0" borderId="218" xfId="0" applyFont="1" applyBorder="1" applyAlignment="1">
      <alignment horizontal="center"/>
    </xf>
    <xf numFmtId="0" fontId="396" fillId="58" borderId="218" xfId="0" applyFont="1" applyFill="1" applyBorder="1" applyAlignment="1">
      <alignment horizontal="center"/>
    </xf>
    <xf numFmtId="165" fontId="398" fillId="0" borderId="218" xfId="0" applyNumberFormat="1" applyFont="1" applyBorder="1" applyAlignment="1">
      <alignment horizontal="center"/>
    </xf>
    <xf numFmtId="0" fontId="396" fillId="0" borderId="255" xfId="0" applyFont="1" applyBorder="1" applyAlignment="1">
      <alignment horizontal="center"/>
    </xf>
    <xf numFmtId="1" fontId="396" fillId="0" borderId="140" xfId="5" applyNumberFormat="1" applyFont="1" applyBorder="1" applyAlignment="1">
      <alignment horizontal="center" vertical="center"/>
    </xf>
    <xf numFmtId="0" fontId="396" fillId="138" borderId="218" xfId="5" applyFont="1" applyFill="1" applyBorder="1" applyAlignment="1">
      <alignment horizontal="center" vertical="center"/>
    </xf>
    <xf numFmtId="0" fontId="396" fillId="0" borderId="140" xfId="5" applyFont="1" applyBorder="1" applyAlignment="1">
      <alignment horizontal="center" vertical="center"/>
    </xf>
    <xf numFmtId="0" fontId="396" fillId="0" borderId="140" xfId="0" applyFont="1" applyBorder="1" applyAlignment="1">
      <alignment horizontal="center"/>
    </xf>
    <xf numFmtId="0" fontId="396" fillId="58" borderId="140" xfId="0" applyFont="1" applyFill="1" applyBorder="1" applyAlignment="1">
      <alignment horizontal="center"/>
    </xf>
    <xf numFmtId="0" fontId="398" fillId="0" borderId="140" xfId="0" applyFont="1" applyBorder="1" applyAlignment="1">
      <alignment horizontal="center" vertical="center"/>
    </xf>
    <xf numFmtId="0" fontId="396" fillId="0" borderId="160" xfId="0" applyFont="1" applyBorder="1" applyAlignment="1">
      <alignment horizontal="center"/>
    </xf>
    <xf numFmtId="0" fontId="396" fillId="0" borderId="270" xfId="5" applyFont="1" applyBorder="1" applyAlignment="1">
      <alignment horizontal="center" vertical="center"/>
    </xf>
    <xf numFmtId="0" fontId="396" fillId="0" borderId="218" xfId="0" applyFont="1" applyBorder="1" applyAlignment="1">
      <alignment horizontal="center" vertical="center"/>
    </xf>
    <xf numFmtId="0" fontId="399" fillId="3" borderId="255" xfId="0" applyFont="1" applyFill="1" applyBorder="1" applyAlignment="1">
      <alignment horizontal="center" vertical="center" wrapText="1"/>
    </xf>
    <xf numFmtId="0" fontId="396" fillId="0" borderId="140" xfId="0" applyFont="1" applyBorder="1" applyAlignment="1">
      <alignment horizontal="center" vertical="center"/>
    </xf>
    <xf numFmtId="0" fontId="399" fillId="3" borderId="160" xfId="0" applyFont="1" applyFill="1" applyBorder="1" applyAlignment="1">
      <alignment horizontal="center" vertical="center" wrapText="1"/>
    </xf>
    <xf numFmtId="0" fontId="396" fillId="0" borderId="150" xfId="5" applyFont="1" applyBorder="1" applyAlignment="1">
      <alignment horizontal="center" vertical="center"/>
    </xf>
    <xf numFmtId="14" fontId="396" fillId="0" borderId="140" xfId="5" applyNumberFormat="1" applyFont="1" applyBorder="1" applyAlignment="1">
      <alignment horizontal="center" vertical="center"/>
    </xf>
    <xf numFmtId="0" fontId="400" fillId="138" borderId="150" xfId="5" applyFont="1" applyFill="1" applyBorder="1" applyAlignment="1">
      <alignment horizontal="center" vertical="center"/>
    </xf>
    <xf numFmtId="14" fontId="400" fillId="138" borderId="218" xfId="5" applyNumberFormat="1" applyFont="1" applyFill="1" applyBorder="1" applyAlignment="1">
      <alignment horizontal="center" vertical="center"/>
    </xf>
    <xf numFmtId="0" fontId="400" fillId="138" borderId="218" xfId="5" applyFont="1" applyFill="1" applyBorder="1" applyAlignment="1">
      <alignment horizontal="center" vertical="center"/>
    </xf>
    <xf numFmtId="0" fontId="400" fillId="138" borderId="218" xfId="0" applyFont="1" applyFill="1" applyBorder="1" applyAlignment="1">
      <alignment horizontal="center"/>
    </xf>
    <xf numFmtId="0" fontId="400" fillId="138" borderId="218" xfId="0" applyFont="1" applyFill="1" applyBorder="1" applyAlignment="1">
      <alignment horizontal="center" vertical="center"/>
    </xf>
    <xf numFmtId="0" fontId="401" fillId="182" borderId="255" xfId="0" applyFont="1" applyFill="1" applyBorder="1" applyAlignment="1">
      <alignment horizontal="center" vertical="center" wrapText="1"/>
    </xf>
    <xf numFmtId="0" fontId="400" fillId="138" borderId="255" xfId="0" applyFont="1" applyFill="1" applyBorder="1" applyAlignment="1">
      <alignment horizontal="center"/>
    </xf>
    <xf numFmtId="14" fontId="137" fillId="65" borderId="145" xfId="0" applyNumberFormat="1" applyFont="1" applyFill="1" applyBorder="1" applyAlignment="1">
      <alignment horizontal="center" vertical="center"/>
    </xf>
    <xf numFmtId="0" fontId="136" fillId="65" borderId="145" xfId="5" applyFont="1" applyFill="1" applyBorder="1" applyAlignment="1">
      <alignment horizontal="center" vertical="center"/>
    </xf>
    <xf numFmtId="14" fontId="139" fillId="65" borderId="140" xfId="0" applyNumberFormat="1" applyFont="1" applyFill="1" applyBorder="1" applyAlignment="1">
      <alignment horizontal="center" vertical="center"/>
    </xf>
    <xf numFmtId="0" fontId="139" fillId="65" borderId="140" xfId="5" applyFont="1" applyFill="1" applyBorder="1" applyAlignment="1">
      <alignment horizontal="center" vertical="center"/>
    </xf>
    <xf numFmtId="0" fontId="294" fillId="65" borderId="140" xfId="0" applyFont="1" applyFill="1" applyBorder="1" applyAlignment="1">
      <alignment horizontal="center"/>
    </xf>
    <xf numFmtId="0" fontId="294" fillId="65" borderId="140" xfId="0" applyFont="1" applyFill="1" applyBorder="1" applyAlignment="1">
      <alignment horizontal="center" vertical="center"/>
    </xf>
    <xf numFmtId="14" fontId="137" fillId="65" borderId="140" xfId="0" applyNumberFormat="1" applyFont="1" applyFill="1" applyBorder="1" applyAlignment="1">
      <alignment horizontal="center" vertical="center"/>
    </xf>
    <xf numFmtId="0" fontId="129" fillId="65" borderId="140" xfId="0" applyFont="1" applyFill="1" applyBorder="1" applyAlignment="1">
      <alignment horizontal="center"/>
    </xf>
    <xf numFmtId="0" fontId="129" fillId="65" borderId="140" xfId="0" applyFont="1" applyFill="1" applyBorder="1" applyAlignment="1">
      <alignment horizontal="center" vertical="center"/>
    </xf>
    <xf numFmtId="14" fontId="137" fillId="0" borderId="154" xfId="0" applyNumberFormat="1" applyFont="1" applyBorder="1" applyAlignment="1">
      <alignment horizontal="center" vertical="center"/>
    </xf>
    <xf numFmtId="0" fontId="137" fillId="65" borderId="143" xfId="0" applyFont="1" applyFill="1" applyBorder="1" applyAlignment="1">
      <alignment horizontal="center" vertical="center"/>
    </xf>
    <xf numFmtId="0" fontId="13" fillId="65" borderId="145" xfId="0" applyFont="1" applyFill="1" applyBorder="1" applyAlignment="1">
      <alignment horizontal="center"/>
    </xf>
    <xf numFmtId="0" fontId="13" fillId="65" borderId="145" xfId="0" applyFont="1" applyFill="1" applyBorder="1" applyAlignment="1">
      <alignment horizontal="center" vertical="center"/>
    </xf>
    <xf numFmtId="0" fontId="137" fillId="65" borderId="145" xfId="0" applyFont="1" applyFill="1" applyBorder="1" applyAlignment="1">
      <alignment horizontal="center" vertical="center"/>
    </xf>
    <xf numFmtId="17" fontId="137" fillId="65" borderId="145" xfId="0" applyNumberFormat="1" applyFont="1" applyFill="1" applyBorder="1" applyAlignment="1">
      <alignment horizontal="center" vertical="center"/>
    </xf>
    <xf numFmtId="0" fontId="196" fillId="3" borderId="145" xfId="0" applyFont="1" applyFill="1" applyBorder="1" applyAlignment="1">
      <alignment horizontal="center" vertical="center" wrapText="1"/>
    </xf>
    <xf numFmtId="0" fontId="396" fillId="65" borderId="145" xfId="0" applyFont="1" applyFill="1" applyBorder="1" applyAlignment="1">
      <alignment horizontal="center" vertical="center"/>
    </xf>
    <xf numFmtId="0" fontId="139" fillId="65" borderId="150" xfId="0" applyFont="1" applyFill="1" applyBorder="1" applyAlignment="1">
      <alignment horizontal="center" vertical="center"/>
    </xf>
    <xf numFmtId="0" fontId="139" fillId="65" borderId="140" xfId="0" applyFont="1" applyFill="1" applyBorder="1" applyAlignment="1">
      <alignment horizontal="center" vertical="center"/>
    </xf>
    <xf numFmtId="17" fontId="139" fillId="65" borderId="140" xfId="0" applyNumberFormat="1" applyFont="1" applyFill="1" applyBorder="1" applyAlignment="1">
      <alignment horizontal="center" vertical="center"/>
    </xf>
    <xf numFmtId="0" fontId="295" fillId="3" borderId="140" xfId="0" applyFont="1" applyFill="1" applyBorder="1" applyAlignment="1">
      <alignment horizontal="center" vertical="center" wrapText="1"/>
    </xf>
    <xf numFmtId="0" fontId="398" fillId="65" borderId="140" xfId="0" applyFont="1" applyFill="1" applyBorder="1" applyAlignment="1">
      <alignment horizontal="center" vertical="center"/>
    </xf>
    <xf numFmtId="0" fontId="402" fillId="65" borderId="140" xfId="0" applyFont="1" applyFill="1" applyBorder="1" applyAlignment="1">
      <alignment horizontal="center" vertical="center"/>
    </xf>
    <xf numFmtId="0" fontId="137" fillId="0" borderId="150" xfId="0" applyFont="1" applyBorder="1" applyAlignment="1">
      <alignment horizontal="center" vertical="center"/>
    </xf>
    <xf numFmtId="0" fontId="13" fillId="58" borderId="140" xfId="0" applyFont="1" applyFill="1" applyBorder="1" applyAlignment="1">
      <alignment horizontal="center"/>
    </xf>
    <xf numFmtId="0" fontId="13" fillId="62" borderId="140" xfId="0" applyFont="1" applyFill="1" applyBorder="1" applyAlignment="1">
      <alignment horizontal="center" vertical="center"/>
    </xf>
    <xf numFmtId="17" fontId="137" fillId="0" borderId="140" xfId="0" applyNumberFormat="1" applyFont="1" applyBorder="1" applyAlignment="1">
      <alignment horizontal="center" vertical="center"/>
    </xf>
    <xf numFmtId="0" fontId="196" fillId="3" borderId="140" xfId="0" applyFont="1" applyFill="1" applyBorder="1" applyAlignment="1">
      <alignment horizontal="center" vertical="center" wrapText="1"/>
    </xf>
    <xf numFmtId="0" fontId="137" fillId="65" borderId="150" xfId="0" applyFont="1" applyFill="1" applyBorder="1" applyAlignment="1">
      <alignment horizontal="center" vertical="center"/>
    </xf>
    <xf numFmtId="0" fontId="13" fillId="65" borderId="140" xfId="0" applyFont="1" applyFill="1" applyBorder="1" applyAlignment="1">
      <alignment horizontal="center" vertical="center"/>
    </xf>
    <xf numFmtId="0" fontId="137" fillId="65" borderId="140" xfId="0" applyFont="1" applyFill="1" applyBorder="1" applyAlignment="1">
      <alignment horizontal="center" vertical="center"/>
    </xf>
    <xf numFmtId="17" fontId="137" fillId="65" borderId="140" xfId="0" applyNumberFormat="1" applyFont="1" applyFill="1" applyBorder="1" applyAlignment="1">
      <alignment horizontal="center" vertical="center"/>
    </xf>
    <xf numFmtId="0" fontId="13" fillId="0" borderId="154" xfId="0" applyFont="1" applyBorder="1" applyAlignment="1">
      <alignment horizontal="center"/>
    </xf>
    <xf numFmtId="0" fontId="13" fillId="0" borderId="154" xfId="0" applyFont="1" applyBorder="1" applyAlignment="1">
      <alignment horizontal="center" vertical="center"/>
    </xf>
    <xf numFmtId="17" fontId="137" fillId="0" borderId="154" xfId="0" applyNumberFormat="1" applyFont="1" applyBorder="1" applyAlignment="1">
      <alignment horizontal="center" vertical="center"/>
    </xf>
    <xf numFmtId="0" fontId="196" fillId="0" borderId="154" xfId="0" applyFont="1" applyBorder="1" applyAlignment="1">
      <alignment horizontal="center" vertical="center" wrapText="1"/>
    </xf>
    <xf numFmtId="0" fontId="396" fillId="65" borderId="145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306" fillId="0" borderId="107" xfId="0" applyFont="1" applyBorder="1" applyAlignment="1">
      <alignment horizontal="center"/>
    </xf>
    <xf numFmtId="0" fontId="402" fillId="65" borderId="140" xfId="0" applyFont="1" applyFill="1" applyBorder="1" applyAlignment="1">
      <alignment horizontal="center"/>
    </xf>
    <xf numFmtId="0" fontId="294" fillId="0" borderId="0" xfId="0" applyFont="1" applyAlignment="1">
      <alignment horizontal="center"/>
    </xf>
    <xf numFmtId="0" fontId="396" fillId="0" borderId="145" xfId="0" applyFont="1" applyBorder="1" applyAlignment="1">
      <alignment horizontal="center"/>
    </xf>
    <xf numFmtId="0" fontId="396" fillId="65" borderId="140" xfId="0" applyFont="1" applyFill="1" applyBorder="1" applyAlignment="1">
      <alignment horizontal="center"/>
    </xf>
    <xf numFmtId="0" fontId="396" fillId="0" borderId="154" xfId="0" applyFont="1" applyBorder="1" applyAlignment="1">
      <alignment horizontal="center"/>
    </xf>
    <xf numFmtId="165" fontId="398" fillId="0" borderId="154" xfId="0" applyNumberFormat="1" applyFont="1" applyBorder="1" applyAlignment="1">
      <alignment horizontal="center"/>
    </xf>
    <xf numFmtId="0" fontId="399" fillId="65" borderId="140" xfId="0" applyFont="1" applyFill="1" applyBorder="1" applyAlignment="1">
      <alignment horizontal="center" vertical="center"/>
    </xf>
    <xf numFmtId="0" fontId="399" fillId="0" borderId="154" xfId="0" applyFont="1" applyBorder="1" applyAlignment="1">
      <alignment horizontal="center" vertical="center"/>
    </xf>
    <xf numFmtId="0" fontId="399" fillId="62" borderId="140" xfId="0" applyFont="1" applyFill="1" applyBorder="1" applyAlignment="1">
      <alignment horizontal="center" vertical="center"/>
    </xf>
    <xf numFmtId="0" fontId="399" fillId="62" borderId="140" xfId="0" applyFont="1" applyFill="1" applyBorder="1" applyAlignment="1">
      <alignment horizontal="center"/>
    </xf>
    <xf numFmtId="0" fontId="355" fillId="0" borderId="158" xfId="0" applyFont="1" applyBorder="1" applyAlignment="1">
      <alignment horizontal="center" vertical="center" wrapText="1"/>
    </xf>
    <xf numFmtId="0" fontId="384" fillId="0" borderId="185" xfId="0" applyFont="1" applyBorder="1" applyAlignment="1">
      <alignment wrapText="1"/>
    </xf>
    <xf numFmtId="0" fontId="177" fillId="0" borderId="143" xfId="0" applyFont="1" applyBorder="1" applyAlignment="1">
      <alignment horizontal="center" vertical="center"/>
    </xf>
    <xf numFmtId="17" fontId="177" fillId="0" borderId="145" xfId="0" applyNumberFormat="1" applyFont="1" applyBorder="1" applyAlignment="1">
      <alignment horizontal="center" vertical="center"/>
    </xf>
    <xf numFmtId="0" fontId="354" fillId="0" borderId="145" xfId="0" applyFont="1" applyBorder="1"/>
    <xf numFmtId="0" fontId="177" fillId="0" borderId="145" xfId="0" applyFont="1" applyBorder="1" applyAlignment="1">
      <alignment horizontal="center" vertical="center"/>
    </xf>
    <xf numFmtId="0" fontId="355" fillId="0" borderId="145" xfId="0" applyFont="1" applyBorder="1" applyAlignment="1">
      <alignment horizontal="center" vertical="center" wrapText="1"/>
    </xf>
    <xf numFmtId="0" fontId="303" fillId="0" borderId="145" xfId="0" applyFont="1" applyBorder="1" applyAlignment="1">
      <alignment horizontal="center"/>
    </xf>
    <xf numFmtId="0" fontId="303" fillId="0" borderId="145" xfId="0" applyFont="1" applyBorder="1"/>
    <xf numFmtId="0" fontId="0" fillId="0" borderId="159" xfId="0" applyBorder="1"/>
    <xf numFmtId="0" fontId="177" fillId="0" borderId="150" xfId="0" applyFont="1" applyBorder="1" applyAlignment="1">
      <alignment horizontal="center" vertical="center"/>
    </xf>
    <xf numFmtId="0" fontId="177" fillId="0" borderId="152" xfId="0" applyFont="1" applyBorder="1" applyAlignment="1">
      <alignment horizontal="center" vertical="center"/>
    </xf>
    <xf numFmtId="17" fontId="303" fillId="0" borderId="154" xfId="0" applyNumberFormat="1" applyFont="1" applyBorder="1"/>
    <xf numFmtId="0" fontId="221" fillId="0" borderId="154" xfId="5" applyFont="1" applyBorder="1" applyAlignment="1">
      <alignment horizontal="center" vertical="center"/>
    </xf>
    <xf numFmtId="0" fontId="303" fillId="0" borderId="154" xfId="0" applyFont="1" applyBorder="1" applyAlignment="1">
      <alignment horizontal="center" vertical="center"/>
    </xf>
    <xf numFmtId="0" fontId="177" fillId="0" borderId="154" xfId="0" applyFont="1" applyBorder="1" applyAlignment="1">
      <alignment horizontal="center" vertical="center"/>
    </xf>
    <xf numFmtId="0" fontId="177" fillId="122" borderId="154" xfId="0" applyFont="1" applyFill="1" applyBorder="1" applyAlignment="1">
      <alignment horizontal="center" vertical="center"/>
    </xf>
    <xf numFmtId="0" fontId="355" fillId="3" borderId="154" xfId="0" applyFont="1" applyFill="1" applyBorder="1" applyAlignment="1">
      <alignment horizontal="center" vertical="center" wrapText="1"/>
    </xf>
    <xf numFmtId="165" fontId="303" fillId="0" borderId="154" xfId="0" applyNumberFormat="1" applyFont="1" applyBorder="1" applyAlignment="1">
      <alignment horizontal="center" vertical="center"/>
    </xf>
    <xf numFmtId="0" fontId="303" fillId="0" borderId="154" xfId="0" applyFont="1" applyBorder="1" applyAlignment="1">
      <alignment horizontal="center"/>
    </xf>
    <xf numFmtId="0" fontId="303" fillId="148" borderId="154" xfId="0" applyFont="1" applyFill="1" applyBorder="1" applyAlignment="1">
      <alignment horizontal="center"/>
    </xf>
    <xf numFmtId="0" fontId="303" fillId="0" borderId="154" xfId="0" applyFont="1" applyBorder="1"/>
    <xf numFmtId="0" fontId="0" fillId="0" borderId="161" xfId="0" applyBorder="1"/>
    <xf numFmtId="165" fontId="137" fillId="59" borderId="140" xfId="0" applyNumberFormat="1" applyFont="1" applyFill="1" applyBorder="1" applyAlignment="1">
      <alignment horizontal="center" vertical="center"/>
    </xf>
    <xf numFmtId="0" fontId="0" fillId="59" borderId="140" xfId="0" applyFill="1" applyBorder="1" applyAlignment="1">
      <alignment horizontal="center" wrapText="1"/>
    </xf>
    <xf numFmtId="0" fontId="137" fillId="59" borderId="140" xfId="0" applyFont="1" applyFill="1" applyBorder="1" applyAlignment="1">
      <alignment horizontal="center" wrapText="1"/>
    </xf>
    <xf numFmtId="17" fontId="129" fillId="59" borderId="140" xfId="0" applyNumberFormat="1" applyFont="1" applyFill="1" applyBorder="1" applyAlignment="1">
      <alignment horizontal="center" vertical="center"/>
    </xf>
    <xf numFmtId="0" fontId="162" fillId="59" borderId="140" xfId="0" applyFont="1" applyFill="1" applyBorder="1" applyAlignment="1">
      <alignment horizontal="center" wrapText="1"/>
    </xf>
    <xf numFmtId="17" fontId="0" fillId="59" borderId="218" xfId="0" applyNumberFormat="1" applyFill="1" applyBorder="1" applyAlignment="1">
      <alignment horizontal="center"/>
    </xf>
    <xf numFmtId="0" fontId="0" fillId="59" borderId="218" xfId="0" applyFill="1" applyBorder="1"/>
    <xf numFmtId="17" fontId="157" fillId="59" borderId="223" xfId="0" applyNumberFormat="1" applyFont="1" applyFill="1" applyBorder="1" applyAlignment="1">
      <alignment horizontal="center" vertical="center"/>
    </xf>
    <xf numFmtId="17" fontId="0" fillId="65" borderId="140" xfId="0" applyNumberFormat="1" applyFill="1" applyBorder="1" applyAlignment="1">
      <alignment horizontal="center"/>
    </xf>
    <xf numFmtId="0" fontId="136" fillId="65" borderId="140" xfId="5" applyFont="1" applyFill="1" applyBorder="1" applyAlignment="1">
      <alignment horizontal="center" vertical="center"/>
    </xf>
    <xf numFmtId="0" fontId="0" fillId="65" borderId="140" xfId="0" applyFill="1" applyBorder="1"/>
    <xf numFmtId="0" fontId="136" fillId="65" borderId="140" xfId="0" applyFont="1" applyFill="1" applyBorder="1"/>
    <xf numFmtId="1" fontId="177" fillId="65" borderId="140" xfId="0" applyNumberFormat="1" applyFont="1" applyFill="1" applyBorder="1" applyAlignment="1">
      <alignment horizontal="right" vertical="center"/>
    </xf>
    <xf numFmtId="0" fontId="137" fillId="65" borderId="140" xfId="0" applyFont="1" applyFill="1" applyBorder="1" applyAlignment="1">
      <alignment horizontal="center" wrapText="1"/>
    </xf>
    <xf numFmtId="0" fontId="162" fillId="65" borderId="107" xfId="0" applyFont="1" applyFill="1" applyBorder="1" applyAlignment="1">
      <alignment horizontal="center"/>
    </xf>
    <xf numFmtId="0" fontId="0" fillId="65" borderId="185" xfId="0" applyFill="1" applyBorder="1"/>
    <xf numFmtId="17" fontId="0" fillId="65" borderId="185" xfId="0" applyNumberFormat="1" applyFill="1" applyBorder="1" applyAlignment="1">
      <alignment horizontal="center"/>
    </xf>
    <xf numFmtId="0" fontId="129" fillId="65" borderId="185" xfId="0" applyFont="1" applyFill="1" applyBorder="1" applyAlignment="1">
      <alignment horizontal="center" vertical="center"/>
    </xf>
    <xf numFmtId="17" fontId="129" fillId="65" borderId="140" xfId="0" applyNumberFormat="1" applyFont="1" applyFill="1" applyBorder="1" applyAlignment="1">
      <alignment horizontal="center" vertical="center"/>
    </xf>
    <xf numFmtId="17" fontId="129" fillId="65" borderId="218" xfId="0" applyNumberFormat="1" applyFont="1" applyFill="1" applyBorder="1" applyAlignment="1">
      <alignment horizontal="center" vertical="center"/>
    </xf>
    <xf numFmtId="0" fontId="129" fillId="65" borderId="218" xfId="0" applyFont="1" applyFill="1" applyBorder="1" applyAlignment="1">
      <alignment horizontal="center" vertical="center"/>
    </xf>
    <xf numFmtId="165" fontId="137" fillId="65" borderId="140" xfId="0" applyNumberFormat="1" applyFont="1" applyFill="1" applyBorder="1" applyAlignment="1">
      <alignment horizontal="center" vertical="center"/>
    </xf>
    <xf numFmtId="0" fontId="162" fillId="65" borderId="140" xfId="0" applyFont="1" applyFill="1" applyBorder="1"/>
    <xf numFmtId="0" fontId="0" fillId="65" borderId="140" xfId="0" applyFill="1" applyBorder="1" applyAlignment="1">
      <alignment horizontal="center" wrapText="1"/>
    </xf>
    <xf numFmtId="0" fontId="162" fillId="65" borderId="140" xfId="0" applyFont="1" applyFill="1" applyBorder="1" applyAlignment="1">
      <alignment horizontal="center"/>
    </xf>
    <xf numFmtId="0" fontId="355" fillId="65" borderId="185" xfId="0" applyFont="1" applyFill="1" applyBorder="1" applyAlignment="1">
      <alignment horizontal="center" vertical="center" wrapText="1"/>
    </xf>
    <xf numFmtId="0" fontId="396" fillId="0" borderId="248" xfId="0" applyFont="1" applyBorder="1"/>
    <xf numFmtId="0" fontId="396" fillId="0" borderId="216" xfId="0" applyFont="1" applyBorder="1"/>
    <xf numFmtId="0" fontId="396" fillId="0" borderId="249" xfId="0" applyFont="1" applyBorder="1"/>
    <xf numFmtId="17" fontId="315" fillId="0" borderId="218" xfId="0" applyNumberFormat="1" applyFont="1" applyBorder="1" applyAlignment="1">
      <alignment horizontal="center" vertical="center"/>
    </xf>
    <xf numFmtId="17" fontId="403" fillId="138" borderId="218" xfId="0" applyNumberFormat="1" applyFont="1" applyFill="1" applyBorder="1" applyAlignment="1">
      <alignment horizontal="center" vertical="center"/>
    </xf>
    <xf numFmtId="17" fontId="315" fillId="0" borderId="140" xfId="0" applyNumberFormat="1" applyFont="1" applyBorder="1" applyAlignment="1">
      <alignment horizontal="center" vertical="center"/>
    </xf>
    <xf numFmtId="17" fontId="172" fillId="65" borderId="140" xfId="0" applyNumberFormat="1" applyFont="1" applyFill="1" applyBorder="1" applyAlignment="1">
      <alignment horizontal="center" vertical="center"/>
    </xf>
    <xf numFmtId="0" fontId="396" fillId="0" borderId="216" xfId="0" applyFont="1" applyBorder="1" applyAlignment="1">
      <alignment horizontal="center" vertical="center"/>
    </xf>
    <xf numFmtId="0" fontId="191" fillId="0" borderId="212" xfId="0" applyFont="1" applyBorder="1" applyAlignment="1">
      <alignment horizontal="center" vertical="center"/>
    </xf>
    <xf numFmtId="0" fontId="191" fillId="0" borderId="185" xfId="0" applyFont="1" applyBorder="1" applyAlignment="1">
      <alignment horizontal="center" vertical="center"/>
    </xf>
    <xf numFmtId="0" fontId="303" fillId="0" borderId="0" xfId="0" applyFont="1" applyAlignment="1">
      <alignment horizontal="center" vertical="center"/>
    </xf>
    <xf numFmtId="0" fontId="396" fillId="0" borderId="242" xfId="0" applyFont="1" applyBorder="1" applyAlignment="1">
      <alignment horizontal="center"/>
    </xf>
    <xf numFmtId="0" fontId="400" fillId="138" borderId="242" xfId="0" applyFont="1" applyFill="1" applyBorder="1" applyAlignment="1">
      <alignment horizontal="center"/>
    </xf>
    <xf numFmtId="0" fontId="398" fillId="0" borderId="183" xfId="0" applyFont="1" applyBorder="1" applyAlignment="1">
      <alignment horizontal="center" vertical="center"/>
    </xf>
    <xf numFmtId="0" fontId="396" fillId="0" borderId="183" xfId="0" applyFont="1" applyBorder="1" applyAlignment="1">
      <alignment horizontal="center"/>
    </xf>
    <xf numFmtId="0" fontId="374" fillId="62" borderId="183" xfId="0" applyFont="1" applyFill="1" applyBorder="1" applyAlignment="1">
      <alignment horizontal="center" vertical="center"/>
    </xf>
    <xf numFmtId="0" fontId="396" fillId="0" borderId="143" xfId="5" applyFont="1" applyBorder="1" applyAlignment="1">
      <alignment horizontal="center" vertical="center"/>
    </xf>
    <xf numFmtId="14" fontId="396" fillId="0" borderId="145" xfId="5" applyNumberFormat="1" applyFont="1" applyBorder="1" applyAlignment="1">
      <alignment horizontal="center" vertical="center"/>
    </xf>
    <xf numFmtId="0" fontId="396" fillId="58" borderId="145" xfId="0" applyFont="1" applyFill="1" applyBorder="1" applyAlignment="1">
      <alignment horizontal="center"/>
    </xf>
    <xf numFmtId="0" fontId="396" fillId="0" borderId="145" xfId="0" applyFont="1" applyBorder="1" applyAlignment="1">
      <alignment horizontal="center" vertical="center"/>
    </xf>
    <xf numFmtId="17" fontId="315" fillId="0" borderId="145" xfId="0" applyNumberFormat="1" applyFont="1" applyBorder="1" applyAlignment="1">
      <alignment horizontal="center" vertical="center"/>
    </xf>
    <xf numFmtId="0" fontId="399" fillId="3" borderId="159" xfId="0" applyFont="1" applyFill="1" applyBorder="1" applyAlignment="1">
      <alignment horizontal="center" vertical="center" wrapText="1"/>
    </xf>
    <xf numFmtId="0" fontId="355" fillId="65" borderId="315" xfId="0" applyFont="1" applyFill="1" applyBorder="1" applyAlignment="1">
      <alignment horizontal="center" vertical="center" wrapText="1"/>
    </xf>
    <xf numFmtId="0" fontId="221" fillId="65" borderId="140" xfId="0" applyFont="1" applyFill="1" applyBorder="1" applyAlignment="1">
      <alignment horizontal="center" vertical="center"/>
    </xf>
    <xf numFmtId="0" fontId="354" fillId="65" borderId="140" xfId="0" applyFont="1" applyFill="1" applyBorder="1" applyAlignment="1">
      <alignment horizontal="center" vertical="center"/>
    </xf>
    <xf numFmtId="0" fontId="177" fillId="65" borderId="140" xfId="5" applyFont="1" applyFill="1" applyBorder="1" applyAlignment="1">
      <alignment horizontal="center" vertical="center"/>
    </xf>
    <xf numFmtId="0" fontId="302" fillId="65" borderId="140" xfId="0" applyFont="1" applyFill="1" applyBorder="1" applyAlignment="1">
      <alignment horizontal="center" vertical="center"/>
    </xf>
    <xf numFmtId="165" fontId="374" fillId="0" borderId="140" xfId="0" applyNumberFormat="1" applyFont="1" applyBorder="1" applyAlignment="1">
      <alignment horizontal="center" vertical="center"/>
    </xf>
    <xf numFmtId="0" fontId="380" fillId="0" borderId="140" xfId="0" applyFont="1" applyBorder="1" applyAlignment="1">
      <alignment horizontal="center" vertical="center"/>
    </xf>
    <xf numFmtId="0" fontId="302" fillId="0" borderId="140" xfId="0" applyFont="1" applyBorder="1" applyAlignment="1">
      <alignment horizontal="center" vertical="center"/>
    </xf>
    <xf numFmtId="0" fontId="305" fillId="65" borderId="140" xfId="0" applyFont="1" applyFill="1" applyBorder="1" applyAlignment="1">
      <alignment horizontal="center" vertical="center"/>
    </xf>
    <xf numFmtId="0" fontId="303" fillId="65" borderId="140" xfId="0" applyFont="1" applyFill="1" applyBorder="1" applyAlignment="1">
      <alignment horizontal="center" vertical="center"/>
    </xf>
    <xf numFmtId="0" fontId="302" fillId="65" borderId="218" xfId="0" applyFont="1" applyFill="1" applyBorder="1" applyAlignment="1">
      <alignment horizontal="center" vertical="center"/>
    </xf>
    <xf numFmtId="0" fontId="374" fillId="65" borderId="218" xfId="0" applyFont="1" applyFill="1" applyBorder="1" applyAlignment="1">
      <alignment horizontal="center" vertical="center"/>
    </xf>
    <xf numFmtId="0" fontId="374" fillId="0" borderId="218" xfId="0" applyFont="1" applyBorder="1" applyAlignment="1">
      <alignment horizontal="center" vertical="center"/>
    </xf>
    <xf numFmtId="0" fontId="221" fillId="59" borderId="140" xfId="0" applyFont="1" applyFill="1" applyBorder="1" applyAlignment="1">
      <alignment horizontal="center" vertical="center"/>
    </xf>
    <xf numFmtId="0" fontId="354" fillId="59" borderId="140" xfId="0" applyFont="1" applyFill="1" applyBorder="1" applyAlignment="1">
      <alignment horizontal="center" vertical="center"/>
    </xf>
    <xf numFmtId="0" fontId="302" fillId="59" borderId="140" xfId="0" applyFont="1" applyFill="1" applyBorder="1" applyAlignment="1">
      <alignment horizontal="center" vertical="center"/>
    </xf>
    <xf numFmtId="165" fontId="374" fillId="59" borderId="140" xfId="0" applyNumberFormat="1" applyFont="1" applyFill="1" applyBorder="1" applyAlignment="1">
      <alignment horizontal="center" vertical="center"/>
    </xf>
    <xf numFmtId="0" fontId="302" fillId="65" borderId="183" xfId="0" applyFont="1" applyFill="1" applyBorder="1" applyAlignment="1">
      <alignment horizontal="center" vertical="center"/>
    </xf>
    <xf numFmtId="165" fontId="374" fillId="65" borderId="140" xfId="0" applyNumberFormat="1" applyFont="1" applyFill="1" applyBorder="1" applyAlignment="1">
      <alignment horizontal="center" vertical="center"/>
    </xf>
    <xf numFmtId="0" fontId="303" fillId="59" borderId="140" xfId="0" applyFont="1" applyFill="1" applyBorder="1" applyAlignment="1">
      <alignment horizontal="center" vertical="center"/>
    </xf>
    <xf numFmtId="0" fontId="302" fillId="59" borderId="183" xfId="0" applyFont="1" applyFill="1" applyBorder="1" applyAlignment="1">
      <alignment horizontal="center" vertical="center"/>
    </xf>
    <xf numFmtId="0" fontId="392" fillId="59" borderId="140" xfId="0" applyFont="1" applyFill="1" applyBorder="1" applyAlignment="1">
      <alignment horizontal="center" vertical="center"/>
    </xf>
    <xf numFmtId="0" fontId="302" fillId="0" borderId="183" xfId="0" applyFont="1" applyBorder="1" applyAlignment="1">
      <alignment horizontal="center" vertical="center"/>
    </xf>
    <xf numFmtId="0" fontId="302" fillId="59" borderId="212" xfId="0" applyFont="1" applyFill="1" applyBorder="1" applyAlignment="1">
      <alignment horizontal="center" vertical="center"/>
    </xf>
    <xf numFmtId="0" fontId="302" fillId="59" borderId="185" xfId="0" applyFont="1" applyFill="1" applyBorder="1" applyAlignment="1">
      <alignment horizontal="center" vertical="center"/>
    </xf>
    <xf numFmtId="0" fontId="392" fillId="59" borderId="185" xfId="0" applyFont="1" applyFill="1" applyBorder="1" applyAlignment="1">
      <alignment horizontal="center" vertical="center"/>
    </xf>
    <xf numFmtId="165" fontId="374" fillId="59" borderId="185" xfId="0" applyNumberFormat="1" applyFont="1" applyFill="1" applyBorder="1" applyAlignment="1">
      <alignment horizontal="center" vertical="center"/>
    </xf>
    <xf numFmtId="0" fontId="392" fillId="65" borderId="185" xfId="0" applyFont="1" applyFill="1" applyBorder="1" applyAlignment="1">
      <alignment horizontal="center" vertical="center"/>
    </xf>
    <xf numFmtId="165" fontId="374" fillId="65" borderId="185" xfId="0" applyNumberFormat="1" applyFont="1" applyFill="1" applyBorder="1" applyAlignment="1">
      <alignment horizontal="center" vertical="center"/>
    </xf>
    <xf numFmtId="0" fontId="302" fillId="0" borderId="212" xfId="0" applyFont="1" applyBorder="1" applyAlignment="1">
      <alignment horizontal="center" vertical="center"/>
    </xf>
    <xf numFmtId="0" fontId="302" fillId="0" borderId="185" xfId="0" applyFont="1" applyBorder="1" applyAlignment="1">
      <alignment horizontal="center" vertical="center"/>
    </xf>
    <xf numFmtId="0" fontId="392" fillId="65" borderId="140" xfId="0" applyFont="1" applyFill="1" applyBorder="1" applyAlignment="1">
      <alignment horizontal="center" vertical="center"/>
    </xf>
    <xf numFmtId="0" fontId="13" fillId="0" borderId="228" xfId="5" applyFont="1" applyBorder="1"/>
    <xf numFmtId="0" fontId="324" fillId="0" borderId="145" xfId="5" applyBorder="1" applyAlignment="1">
      <alignment horizontal="center" vertical="center"/>
    </xf>
    <xf numFmtId="0" fontId="324" fillId="0" borderId="140" xfId="5" applyBorder="1" applyAlignment="1">
      <alignment horizontal="center" vertical="center"/>
    </xf>
    <xf numFmtId="165" fontId="136" fillId="0" borderId="196" xfId="0" applyNumberFormat="1" applyFont="1" applyBorder="1" applyAlignment="1">
      <alignment horizontal="center" vertical="center"/>
    </xf>
    <xf numFmtId="0" fontId="136" fillId="0" borderId="145" xfId="0" applyFont="1" applyBorder="1" applyAlignment="1">
      <alignment horizontal="center" vertical="center"/>
    </xf>
    <xf numFmtId="0" fontId="136" fillId="62" borderId="145" xfId="0" applyFont="1" applyFill="1" applyBorder="1" applyAlignment="1">
      <alignment horizontal="center" vertical="center"/>
    </xf>
    <xf numFmtId="0" fontId="0" fillId="0" borderId="145" xfId="0" applyBorder="1" applyAlignment="1">
      <alignment horizontal="center" vertical="center"/>
    </xf>
    <xf numFmtId="0" fontId="136" fillId="0" borderId="159" xfId="0" applyFont="1" applyBorder="1" applyAlignment="1">
      <alignment horizontal="center" vertical="center"/>
    </xf>
    <xf numFmtId="165" fontId="136" fillId="0" borderId="217" xfId="0" applyNumberFormat="1" applyFont="1" applyBorder="1" applyAlignment="1">
      <alignment horizontal="center" vertical="center"/>
    </xf>
    <xf numFmtId="0" fontId="136" fillId="62" borderId="140" xfId="0" applyFont="1" applyFill="1" applyBorder="1" applyAlignment="1">
      <alignment horizontal="center" vertical="center"/>
    </xf>
    <xf numFmtId="0" fontId="136" fillId="0" borderId="160" xfId="0" applyFont="1" applyBorder="1" applyAlignment="1">
      <alignment horizontal="center" vertical="center"/>
    </xf>
    <xf numFmtId="165" fontId="136" fillId="62" borderId="217" xfId="0" applyNumberFormat="1" applyFont="1" applyFill="1" applyBorder="1" applyAlignment="1">
      <alignment horizontal="center" vertical="center"/>
    </xf>
    <xf numFmtId="0" fontId="306" fillId="62" borderId="140" xfId="0" applyFont="1" applyFill="1" applyBorder="1" applyAlignment="1">
      <alignment horizontal="center" vertical="center"/>
    </xf>
    <xf numFmtId="0" fontId="324" fillId="0" borderId="154" xfId="5" applyBorder="1" applyAlignment="1">
      <alignment horizontal="center" vertical="center"/>
    </xf>
    <xf numFmtId="0" fontId="136" fillId="0" borderId="154" xfId="0" applyFont="1" applyBorder="1" applyAlignment="1">
      <alignment horizontal="center" vertical="center"/>
    </xf>
    <xf numFmtId="0" fontId="136" fillId="0" borderId="201" xfId="0" applyFont="1" applyBorder="1" applyAlignment="1">
      <alignment horizontal="center" vertical="center"/>
    </xf>
    <xf numFmtId="0" fontId="0" fillId="0" borderId="154" xfId="0" applyBorder="1" applyAlignment="1">
      <alignment horizontal="center" vertical="center"/>
    </xf>
    <xf numFmtId="0" fontId="136" fillId="0" borderId="161" xfId="0" applyFont="1" applyBorder="1" applyAlignment="1">
      <alignment horizontal="center" vertical="center"/>
    </xf>
    <xf numFmtId="0" fontId="137" fillId="0" borderId="193" xfId="5" applyFont="1" applyBorder="1"/>
    <xf numFmtId="0" fontId="193" fillId="0" borderId="183" xfId="5" applyFont="1" applyBorder="1" applyAlignment="1">
      <alignment horizontal="center" vertical="center" wrapText="1"/>
    </xf>
    <xf numFmtId="0" fontId="193" fillId="0" borderId="179" xfId="5" applyFont="1" applyBorder="1" applyAlignment="1">
      <alignment horizontal="center" vertical="center" wrapText="1"/>
    </xf>
    <xf numFmtId="17" fontId="157" fillId="65" borderId="258" xfId="0" applyNumberFormat="1" applyFont="1" applyFill="1" applyBorder="1" applyAlignment="1">
      <alignment horizontal="center" vertical="center"/>
    </xf>
    <xf numFmtId="0" fontId="355" fillId="0" borderId="258" xfId="0" applyFont="1" applyBorder="1" applyAlignment="1">
      <alignment horizontal="center" vertical="center" wrapText="1"/>
    </xf>
    <xf numFmtId="0" fontId="177" fillId="0" borderId="198" xfId="0" applyFont="1" applyBorder="1" applyAlignment="1">
      <alignment horizontal="center" vertical="center"/>
    </xf>
    <xf numFmtId="0" fontId="177" fillId="0" borderId="183" xfId="0" applyFont="1" applyBorder="1" applyAlignment="1">
      <alignment horizontal="center" vertical="center"/>
    </xf>
    <xf numFmtId="0" fontId="324" fillId="0" borderId="183" xfId="5" applyBorder="1"/>
    <xf numFmtId="0" fontId="324" fillId="0" borderId="202" xfId="5" applyBorder="1"/>
    <xf numFmtId="0" fontId="324" fillId="0" borderId="248" xfId="5" applyBorder="1"/>
    <xf numFmtId="0" fontId="13" fillId="0" borderId="145" xfId="0" applyFont="1" applyBorder="1"/>
    <xf numFmtId="0" fontId="137" fillId="0" borderId="145" xfId="0" applyFont="1" applyBorder="1" applyAlignment="1">
      <alignment horizontal="center"/>
    </xf>
    <xf numFmtId="0" fontId="191" fillId="0" borderId="198" xfId="0" applyFont="1" applyBorder="1" applyAlignment="1">
      <alignment horizontal="center"/>
    </xf>
    <xf numFmtId="0" fontId="191" fillId="0" borderId="145" xfId="0" applyFont="1" applyBorder="1" applyAlignment="1">
      <alignment horizontal="center"/>
    </xf>
    <xf numFmtId="0" fontId="191" fillId="0" borderId="183" xfId="0" applyFont="1" applyBorder="1" applyAlignment="1">
      <alignment horizontal="center"/>
    </xf>
    <xf numFmtId="0" fontId="13" fillId="0" borderId="154" xfId="0" applyFont="1" applyBorder="1"/>
    <xf numFmtId="0" fontId="137" fillId="0" borderId="154" xfId="0" applyFont="1" applyBorder="1" applyAlignment="1">
      <alignment horizontal="center"/>
    </xf>
    <xf numFmtId="0" fontId="137" fillId="0" borderId="154" xfId="5" applyFont="1" applyBorder="1"/>
    <xf numFmtId="0" fontId="191" fillId="0" borderId="202" xfId="0" applyFont="1" applyBorder="1" applyAlignment="1">
      <alignment horizontal="center"/>
    </xf>
    <xf numFmtId="0" fontId="191" fillId="0" borderId="154" xfId="0" applyFont="1" applyBorder="1" applyAlignment="1">
      <alignment horizontal="center"/>
    </xf>
    <xf numFmtId="0" fontId="396" fillId="0" borderId="159" xfId="0" applyFont="1" applyBorder="1" applyAlignment="1">
      <alignment horizontal="center" vertical="center"/>
    </xf>
    <xf numFmtId="0" fontId="396" fillId="0" borderId="160" xfId="0" applyFont="1" applyBorder="1" applyAlignment="1">
      <alignment horizontal="center" vertical="center"/>
    </xf>
    <xf numFmtId="0" fontId="396" fillId="0" borderId="154" xfId="0" applyFont="1" applyBorder="1" applyAlignment="1">
      <alignment horizontal="center" vertical="center"/>
    </xf>
    <xf numFmtId="0" fontId="396" fillId="0" borderId="161" xfId="0" applyFont="1" applyBorder="1" applyAlignment="1">
      <alignment horizontal="center" vertical="center"/>
    </xf>
    <xf numFmtId="0" fontId="137" fillId="0" borderId="147" xfId="5" applyFont="1" applyBorder="1"/>
    <xf numFmtId="0" fontId="193" fillId="0" borderId="225" xfId="5" applyFont="1" applyBorder="1" applyAlignment="1">
      <alignment horizontal="center" vertical="center" wrapText="1"/>
    </xf>
    <xf numFmtId="0" fontId="156" fillId="122" borderId="223" xfId="0" applyFont="1" applyFill="1" applyBorder="1" applyAlignment="1">
      <alignment horizontal="center" vertical="center" wrapText="1"/>
    </xf>
    <xf numFmtId="0" fontId="156" fillId="176" borderId="223" xfId="0" applyFont="1" applyFill="1" applyBorder="1" applyAlignment="1">
      <alignment horizontal="center" vertical="center" wrapText="1"/>
    </xf>
    <xf numFmtId="0" fontId="156" fillId="165" borderId="223" xfId="0" applyFont="1" applyFill="1" applyBorder="1" applyAlignment="1">
      <alignment horizontal="center" vertical="center" wrapText="1"/>
    </xf>
    <xf numFmtId="0" fontId="156" fillId="62" borderId="223" xfId="0" applyFont="1" applyFill="1" applyBorder="1" applyAlignment="1">
      <alignment horizontal="center" vertical="center" wrapText="1"/>
    </xf>
    <xf numFmtId="0" fontId="156" fillId="65" borderId="223" xfId="0" applyFont="1" applyFill="1" applyBorder="1" applyAlignment="1">
      <alignment horizontal="center" vertical="center" wrapText="1"/>
    </xf>
    <xf numFmtId="0" fontId="156" fillId="91" borderId="223" xfId="0" applyFont="1" applyFill="1" applyBorder="1" applyAlignment="1">
      <alignment horizontal="center" vertical="center" wrapText="1"/>
    </xf>
    <xf numFmtId="17" fontId="136" fillId="0" borderId="143" xfId="0" applyNumberFormat="1" applyFont="1" applyBorder="1"/>
    <xf numFmtId="17" fontId="136" fillId="0" borderId="145" xfId="0" applyNumberFormat="1" applyFont="1" applyBorder="1"/>
    <xf numFmtId="0" fontId="278" fillId="0" borderId="150" xfId="0" applyFont="1" applyBorder="1" applyAlignment="1">
      <alignment wrapText="1"/>
    </xf>
    <xf numFmtId="0" fontId="278" fillId="0" borderId="160" xfId="0" applyFont="1" applyBorder="1"/>
    <xf numFmtId="0" fontId="320" fillId="0" borderId="189" xfId="0" applyFont="1" applyBorder="1" applyAlignment="1">
      <alignment horizontal="center" vertical="center"/>
    </xf>
    <xf numFmtId="0" fontId="320" fillId="0" borderId="304" xfId="0" applyFont="1" applyBorder="1" applyAlignment="1">
      <alignment horizontal="center" vertical="center"/>
    </xf>
    <xf numFmtId="0" fontId="320" fillId="0" borderId="190" xfId="0" applyFont="1" applyBorder="1" applyAlignment="1">
      <alignment horizontal="center" vertical="center"/>
    </xf>
    <xf numFmtId="0" fontId="278" fillId="0" borderId="140" xfId="0" applyFont="1" applyBorder="1" applyAlignment="1">
      <alignment vertical="center" wrapText="1"/>
    </xf>
    <xf numFmtId="0" fontId="192" fillId="0" borderId="140" xfId="0" applyFont="1" applyBorder="1" applyAlignment="1">
      <alignment vertical="center" wrapText="1"/>
    </xf>
    <xf numFmtId="0" fontId="316" fillId="0" borderId="140" xfId="1" applyFont="1" applyBorder="1" applyAlignment="1">
      <alignment vertical="center" wrapText="1"/>
    </xf>
    <xf numFmtId="0" fontId="277" fillId="0" borderId="140" xfId="1" applyBorder="1" applyAlignment="1">
      <alignment vertical="center" wrapText="1"/>
    </xf>
    <xf numFmtId="0" fontId="278" fillId="0" borderId="0" xfId="0" applyFont="1" applyAlignment="1">
      <alignment vertical="center"/>
    </xf>
    <xf numFmtId="0" fontId="321" fillId="0" borderId="142" xfId="0" applyFont="1" applyBorder="1"/>
    <xf numFmtId="0" fontId="267" fillId="0" borderId="181" xfId="0" applyFont="1" applyBorder="1" applyAlignment="1">
      <alignment horizontal="center" vertical="center" wrapText="1"/>
    </xf>
    <xf numFmtId="0" fontId="145" fillId="91" borderId="223" xfId="0" applyFont="1" applyFill="1" applyBorder="1" applyAlignment="1">
      <alignment horizontal="center" vertical="center" wrapText="1"/>
    </xf>
    <xf numFmtId="0" fontId="145" fillId="122" borderId="223" xfId="0" applyFont="1" applyFill="1" applyBorder="1" applyAlignment="1">
      <alignment horizontal="center" vertical="center" wrapText="1"/>
    </xf>
    <xf numFmtId="0" fontId="145" fillId="121" borderId="223" xfId="0" applyFont="1" applyFill="1" applyBorder="1" applyAlignment="1">
      <alignment horizontal="center" vertical="center" wrapText="1"/>
    </xf>
    <xf numFmtId="0" fontId="145" fillId="80" borderId="223" xfId="0" applyFont="1" applyFill="1" applyBorder="1" applyAlignment="1">
      <alignment horizontal="center" vertical="center" wrapText="1"/>
    </xf>
    <xf numFmtId="0" fontId="145" fillId="176" borderId="223" xfId="0" applyFont="1" applyFill="1" applyBorder="1" applyAlignment="1">
      <alignment horizontal="center" vertical="center" wrapText="1"/>
    </xf>
    <xf numFmtId="0" fontId="145" fillId="165" borderId="223" xfId="0" applyFont="1" applyFill="1" applyBorder="1" applyAlignment="1">
      <alignment horizontal="center" vertical="center" wrapText="1"/>
    </xf>
    <xf numFmtId="0" fontId="145" fillId="62" borderId="223" xfId="0" applyFont="1" applyFill="1" applyBorder="1" applyAlignment="1">
      <alignment horizontal="center" vertical="center" wrapText="1"/>
    </xf>
    <xf numFmtId="0" fontId="145" fillId="65" borderId="223" xfId="0" applyFont="1" applyFill="1" applyBorder="1" applyAlignment="1">
      <alignment horizontal="center" vertical="center" wrapText="1"/>
    </xf>
    <xf numFmtId="0" fontId="389" fillId="91" borderId="223" xfId="0" applyFont="1" applyFill="1" applyBorder="1" applyAlignment="1">
      <alignment horizontal="center" vertical="center" wrapText="1"/>
    </xf>
    <xf numFmtId="0" fontId="137" fillId="0" borderId="143" xfId="0" applyFont="1" applyBorder="1"/>
    <xf numFmtId="0" fontId="267" fillId="0" borderId="150" xfId="0" applyFont="1" applyBorder="1" applyAlignment="1">
      <alignment horizontal="center" vertical="center" wrapText="1"/>
    </xf>
    <xf numFmtId="0" fontId="278" fillId="0" borderId="160" xfId="0" applyFont="1" applyBorder="1" applyAlignment="1">
      <alignment vertical="center" wrapText="1"/>
    </xf>
    <xf numFmtId="0" fontId="267" fillId="0" borderId="152" xfId="0" applyFont="1" applyBorder="1" applyAlignment="1">
      <alignment horizontal="center" vertical="center" wrapText="1"/>
    </xf>
    <xf numFmtId="0" fontId="320" fillId="0" borderId="154" xfId="0" applyFont="1" applyBorder="1" applyAlignment="1">
      <alignment horizontal="center" vertical="center"/>
    </xf>
    <xf numFmtId="0" fontId="320" fillId="0" borderId="161" xfId="0" applyFont="1" applyBorder="1" applyAlignment="1">
      <alignment horizontal="center" vertical="center"/>
    </xf>
    <xf numFmtId="17" fontId="136" fillId="0" borderId="145" xfId="0" applyNumberFormat="1" applyFont="1" applyBorder="1" applyAlignment="1">
      <alignment vertical="top"/>
    </xf>
    <xf numFmtId="17" fontId="13" fillId="0" borderId="145" xfId="0" applyNumberFormat="1" applyFont="1" applyBorder="1"/>
    <xf numFmtId="17" fontId="136" fillId="0" borderId="159" xfId="0" applyNumberFormat="1" applyFont="1" applyBorder="1"/>
    <xf numFmtId="0" fontId="340" fillId="62" borderId="223" xfId="0" applyFont="1" applyFill="1" applyBorder="1" applyAlignment="1">
      <alignment horizontal="center" vertical="center" wrapText="1"/>
    </xf>
    <xf numFmtId="0" fontId="156" fillId="0" borderId="185" xfId="0" applyFont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" fontId="25" fillId="0" borderId="0" xfId="0" applyNumberFormat="1" applyFont="1" applyAlignment="1">
      <alignment horizontal="right"/>
    </xf>
    <xf numFmtId="0" fontId="112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25" fillId="0" borderId="0" xfId="0" applyFont="1" applyAlignment="1">
      <alignment horizontal="right" vertical="center"/>
    </xf>
    <xf numFmtId="1" fontId="25" fillId="0" borderId="0" xfId="0" applyNumberFormat="1" applyFont="1" applyAlignment="1">
      <alignment horizontal="right" vertical="center"/>
    </xf>
    <xf numFmtId="0" fontId="157" fillId="65" borderId="140" xfId="0" applyFont="1" applyFill="1" applyBorder="1" applyAlignment="1">
      <alignment horizontal="center"/>
    </xf>
    <xf numFmtId="0" fontId="137" fillId="65" borderId="140" xfId="0" applyFont="1" applyFill="1" applyBorder="1" applyAlignment="1">
      <alignment horizontal="center"/>
    </xf>
    <xf numFmtId="0" fontId="314" fillId="0" borderId="218" xfId="0" applyFont="1" applyBorder="1" applyAlignment="1">
      <alignment horizontal="center"/>
    </xf>
    <xf numFmtId="0" fontId="172" fillId="65" borderId="140" xfId="0" applyFont="1" applyFill="1" applyBorder="1" applyAlignment="1">
      <alignment horizontal="center" vertical="center"/>
    </xf>
    <xf numFmtId="0" fontId="278" fillId="65" borderId="140" xfId="0" applyFont="1" applyFill="1" applyBorder="1" applyAlignment="1">
      <alignment horizontal="center" vertical="center"/>
    </xf>
    <xf numFmtId="0" fontId="172" fillId="65" borderId="218" xfId="0" applyFont="1" applyFill="1" applyBorder="1" applyAlignment="1">
      <alignment horizontal="center" vertical="center"/>
    </xf>
    <xf numFmtId="0" fontId="172" fillId="59" borderId="140" xfId="0" applyFont="1" applyFill="1" applyBorder="1" applyAlignment="1">
      <alignment horizontal="center" vertical="center"/>
    </xf>
    <xf numFmtId="0" fontId="314" fillId="59" borderId="140" xfId="0" applyFont="1" applyFill="1" applyBorder="1" applyAlignment="1">
      <alignment horizontal="center" vertical="center"/>
    </xf>
    <xf numFmtId="0" fontId="278" fillId="0" borderId="140" xfId="0" applyFont="1" applyBorder="1" applyAlignment="1">
      <alignment horizontal="center" vertical="center"/>
    </xf>
    <xf numFmtId="0" fontId="172" fillId="59" borderId="185" xfId="0" applyFont="1" applyFill="1" applyBorder="1" applyAlignment="1">
      <alignment horizontal="center" vertical="center"/>
    </xf>
    <xf numFmtId="0" fontId="278" fillId="59" borderId="140" xfId="0" applyFont="1" applyFill="1" applyBorder="1" applyAlignment="1">
      <alignment horizontal="center" vertical="center"/>
    </xf>
    <xf numFmtId="0" fontId="192" fillId="59" borderId="140" xfId="5" applyFont="1" applyFill="1" applyBorder="1" applyAlignment="1">
      <alignment horizontal="center" vertical="center"/>
    </xf>
    <xf numFmtId="0" fontId="172" fillId="59" borderId="140" xfId="5" applyFont="1" applyFill="1" applyBorder="1" applyAlignment="1">
      <alignment horizontal="center" vertical="center"/>
    </xf>
    <xf numFmtId="0" fontId="192" fillId="0" borderId="140" xfId="5" applyFont="1" applyBorder="1" applyAlignment="1">
      <alignment horizontal="center" vertical="center"/>
    </xf>
    <xf numFmtId="0" fontId="172" fillId="0" borderId="140" xfId="5" applyFont="1" applyBorder="1" applyAlignment="1">
      <alignment horizontal="center" vertical="center"/>
    </xf>
    <xf numFmtId="14" fontId="172" fillId="0" borderId="140" xfId="0" applyNumberFormat="1" applyFont="1" applyBorder="1" applyAlignment="1">
      <alignment horizontal="center" vertical="center"/>
    </xf>
    <xf numFmtId="14" fontId="172" fillId="65" borderId="140" xfId="0" applyNumberFormat="1" applyFont="1" applyFill="1" applyBorder="1" applyAlignment="1">
      <alignment horizontal="center" vertical="center"/>
    </xf>
    <xf numFmtId="0" fontId="192" fillId="65" borderId="140" xfId="5" applyFont="1" applyFill="1" applyBorder="1" applyAlignment="1">
      <alignment horizontal="center" vertical="center"/>
    </xf>
    <xf numFmtId="14" fontId="172" fillId="59" borderId="140" xfId="0" applyNumberFormat="1" applyFont="1" applyFill="1" applyBorder="1" applyAlignment="1">
      <alignment horizontal="center" vertical="center"/>
    </xf>
    <xf numFmtId="0" fontId="278" fillId="144" borderId="140" xfId="0" applyFont="1" applyFill="1" applyBorder="1" applyAlignment="1">
      <alignment horizontal="center" vertical="center"/>
    </xf>
    <xf numFmtId="0" fontId="193" fillId="3" borderId="218" xfId="0" applyFont="1" applyFill="1" applyBorder="1" applyAlignment="1">
      <alignment horizontal="center" wrapText="1"/>
    </xf>
    <xf numFmtId="0" fontId="315" fillId="2" borderId="141" xfId="0" applyFont="1" applyFill="1" applyBorder="1" applyAlignment="1">
      <alignment horizontal="center" vertical="center"/>
    </xf>
    <xf numFmtId="0" fontId="347" fillId="0" borderId="142" xfId="0" applyFont="1" applyBorder="1" applyAlignment="1">
      <alignment horizontal="center" vertical="center" wrapText="1"/>
    </xf>
    <xf numFmtId="0" fontId="315" fillId="121" borderId="154" xfId="0" applyFont="1" applyFill="1" applyBorder="1" applyAlignment="1">
      <alignment horizontal="center" vertical="center" wrapText="1"/>
    </xf>
    <xf numFmtId="0" fontId="349" fillId="122" borderId="154" xfId="0" applyFont="1" applyFill="1" applyBorder="1" applyAlignment="1">
      <alignment horizontal="center" vertical="center" wrapText="1"/>
    </xf>
    <xf numFmtId="0" fontId="349" fillId="122" borderId="202" xfId="0" applyFont="1" applyFill="1" applyBorder="1" applyAlignment="1">
      <alignment horizontal="center" vertical="center" wrapText="1"/>
    </xf>
    <xf numFmtId="0" fontId="349" fillId="72" borderId="202" xfId="0" applyFont="1" applyFill="1" applyBorder="1" applyAlignment="1">
      <alignment horizontal="center" vertical="center" wrapText="1"/>
    </xf>
    <xf numFmtId="0" fontId="349" fillId="70" borderId="202" xfId="0" applyFont="1" applyFill="1" applyBorder="1" applyAlignment="1">
      <alignment horizontal="center" vertical="center" wrapText="1"/>
    </xf>
    <xf numFmtId="0" fontId="315" fillId="171" borderId="154" xfId="0" applyFont="1" applyFill="1" applyBorder="1" applyAlignment="1">
      <alignment horizontal="center" vertical="center" wrapText="1"/>
    </xf>
    <xf numFmtId="0" fontId="315" fillId="165" borderId="154" xfId="0" applyFont="1" applyFill="1" applyBorder="1" applyAlignment="1">
      <alignment horizontal="center" vertical="center" wrapText="1"/>
    </xf>
    <xf numFmtId="0" fontId="315" fillId="0" borderId="154" xfId="0" applyFont="1" applyBorder="1" applyAlignment="1">
      <alignment horizontal="center" vertical="center" wrapText="1"/>
    </xf>
    <xf numFmtId="0" fontId="315" fillId="0" borderId="161" xfId="0" applyFont="1" applyBorder="1" applyAlignment="1">
      <alignment horizontal="center" vertical="center" wrapText="1"/>
    </xf>
    <xf numFmtId="0" fontId="278" fillId="0" borderId="218" xfId="0" applyFont="1" applyBorder="1" applyAlignment="1">
      <alignment horizontal="center"/>
    </xf>
    <xf numFmtId="175" fontId="278" fillId="0" borderId="218" xfId="0" applyNumberFormat="1" applyFont="1" applyBorder="1" applyAlignment="1">
      <alignment horizontal="center"/>
    </xf>
    <xf numFmtId="0" fontId="278" fillId="0" borderId="218" xfId="5" applyFont="1" applyBorder="1" applyAlignment="1">
      <alignment horizontal="center"/>
    </xf>
    <xf numFmtId="0" fontId="278" fillId="0" borderId="240" xfId="0" applyFont="1" applyBorder="1" applyAlignment="1">
      <alignment horizontal="center"/>
    </xf>
    <xf numFmtId="0" fontId="278" fillId="0" borderId="140" xfId="5" applyFont="1" applyBorder="1" applyAlignment="1">
      <alignment horizontal="center" vertical="center"/>
    </xf>
    <xf numFmtId="0" fontId="12" fillId="0" borderId="0" xfId="0" applyFont="1"/>
    <xf numFmtId="0" fontId="11" fillId="0" borderId="0" xfId="0" applyFont="1"/>
    <xf numFmtId="0" fontId="10" fillId="0" borderId="0" xfId="0" applyFont="1"/>
    <xf numFmtId="0" fontId="27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13" fillId="0" borderId="0" xfId="0" applyFont="1" applyAlignment="1">
      <alignment wrapText="1"/>
    </xf>
    <xf numFmtId="0" fontId="404" fillId="59" borderId="140" xfId="0" applyFont="1" applyFill="1" applyBorder="1" applyAlignment="1">
      <alignment horizontal="center" vertical="center"/>
    </xf>
    <xf numFmtId="0" fontId="9" fillId="0" borderId="0" xfId="0" applyFont="1"/>
    <xf numFmtId="0" fontId="405" fillId="62" borderId="140" xfId="0" applyFont="1" applyFill="1" applyBorder="1" applyAlignment="1">
      <alignment horizontal="center"/>
    </xf>
    <xf numFmtId="0" fontId="405" fillId="62" borderId="140" xfId="0" applyFont="1" applyFill="1" applyBorder="1" applyAlignment="1">
      <alignment horizontal="center" vertical="center"/>
    </xf>
    <xf numFmtId="0" fontId="176" fillId="15" borderId="140" xfId="5" applyFont="1" applyFill="1" applyBorder="1" applyAlignment="1">
      <alignment horizontal="center" vertical="center" wrapText="1"/>
    </xf>
    <xf numFmtId="0" fontId="8" fillId="0" borderId="0" xfId="0" applyFont="1"/>
    <xf numFmtId="0" fontId="277" fillId="0" borderId="91" xfId="1" applyBorder="1" applyAlignment="1">
      <alignment wrapText="1"/>
    </xf>
    <xf numFmtId="0" fontId="156" fillId="0" borderId="34" xfId="0" applyFont="1" applyBorder="1" applyAlignment="1">
      <alignment wrapText="1"/>
    </xf>
    <xf numFmtId="0" fontId="156" fillId="0" borderId="84" xfId="0" applyFont="1" applyBorder="1" applyAlignment="1">
      <alignment wrapText="1"/>
    </xf>
    <xf numFmtId="17" fontId="156" fillId="0" borderId="84" xfId="0" applyNumberFormat="1" applyFont="1" applyBorder="1" applyAlignment="1">
      <alignment horizontal="right" wrapText="1"/>
    </xf>
    <xf numFmtId="0" fontId="304" fillId="0" borderId="34" xfId="0" applyFont="1" applyBorder="1" applyAlignment="1">
      <alignment horizontal="center" wrapText="1"/>
    </xf>
    <xf numFmtId="0" fontId="7" fillId="0" borderId="84" xfId="0" applyFont="1" applyBorder="1" applyAlignment="1">
      <alignment wrapText="1"/>
    </xf>
    <xf numFmtId="0" fontId="162" fillId="116" borderId="140" xfId="0" applyFont="1" applyFill="1" applyBorder="1" applyAlignment="1">
      <alignment horizontal="center" vertical="center" wrapText="1"/>
    </xf>
    <xf numFmtId="0" fontId="147" fillId="0" borderId="140" xfId="5" applyFont="1" applyBorder="1" applyAlignment="1">
      <alignment horizontal="center" vertical="center" wrapText="1"/>
    </xf>
    <xf numFmtId="0" fontId="147" fillId="118" borderId="140" xfId="5" applyFont="1" applyFill="1" applyBorder="1" applyAlignment="1">
      <alignment horizontal="center"/>
    </xf>
    <xf numFmtId="0" fontId="157" fillId="118" borderId="140" xfId="5" applyFont="1" applyFill="1" applyBorder="1" applyAlignment="1">
      <alignment horizontal="center" vertical="center"/>
    </xf>
    <xf numFmtId="17" fontId="136" fillId="118" borderId="140" xfId="5" applyNumberFormat="1" applyFont="1" applyFill="1" applyBorder="1" applyAlignment="1">
      <alignment horizontal="center" vertical="center"/>
    </xf>
    <xf numFmtId="0" fontId="50" fillId="118" borderId="140" xfId="0" applyFont="1" applyFill="1" applyBorder="1" applyAlignment="1">
      <alignment horizontal="center"/>
    </xf>
    <xf numFmtId="0" fontId="157" fillId="118" borderId="140" xfId="5" applyFont="1" applyFill="1" applyBorder="1"/>
    <xf numFmtId="0" fontId="172" fillId="118" borderId="140" xfId="5" applyFont="1" applyFill="1" applyBorder="1" applyAlignment="1">
      <alignment horizontal="center"/>
    </xf>
    <xf numFmtId="0" fontId="177" fillId="118" borderId="140" xfId="5" applyFont="1" applyFill="1" applyBorder="1"/>
    <xf numFmtId="0" fontId="147" fillId="118" borderId="140" xfId="5" applyFont="1" applyFill="1" applyBorder="1" applyAlignment="1">
      <alignment horizontal="center" vertical="center" wrapText="1"/>
    </xf>
    <xf numFmtId="0" fontId="136" fillId="118" borderId="140" xfId="0" applyFont="1" applyFill="1" applyBorder="1" applyAlignment="1">
      <alignment horizontal="right" wrapText="1"/>
    </xf>
    <xf numFmtId="0" fontId="54" fillId="118" borderId="140" xfId="0" applyFont="1" applyFill="1" applyBorder="1" applyAlignment="1">
      <alignment horizontal="right" wrapText="1"/>
    </xf>
    <xf numFmtId="0" fontId="0" fillId="118" borderId="140" xfId="0" applyFill="1" applyBorder="1" applyAlignment="1">
      <alignment horizontal="left"/>
    </xf>
    <xf numFmtId="0" fontId="147" fillId="183" borderId="140" xfId="5" applyFont="1" applyFill="1" applyBorder="1" applyAlignment="1">
      <alignment horizontal="center" vertical="center" wrapText="1"/>
    </xf>
    <xf numFmtId="0" fontId="54" fillId="0" borderId="140" xfId="0" applyFont="1" applyBorder="1" applyAlignment="1">
      <alignment wrapText="1"/>
    </xf>
    <xf numFmtId="0" fontId="6" fillId="0" borderId="0" xfId="0" applyFont="1"/>
    <xf numFmtId="0" fontId="5" fillId="0" borderId="0" xfId="0" applyFont="1"/>
    <xf numFmtId="0" fontId="136" fillId="0" borderId="317" xfId="0" applyFont="1" applyBorder="1" applyAlignment="1">
      <alignment horizontal="center"/>
    </xf>
    <xf numFmtId="0" fontId="278" fillId="59" borderId="218" xfId="0" applyFont="1" applyFill="1" applyBorder="1" applyAlignment="1">
      <alignment horizontal="center"/>
    </xf>
    <xf numFmtId="175" fontId="278" fillId="59" borderId="218" xfId="0" applyNumberFormat="1" applyFont="1" applyFill="1" applyBorder="1" applyAlignment="1">
      <alignment horizontal="center"/>
    </xf>
    <xf numFmtId="0" fontId="278" fillId="59" borderId="218" xfId="5" applyFont="1" applyFill="1" applyBorder="1" applyAlignment="1">
      <alignment horizontal="center"/>
    </xf>
    <xf numFmtId="0" fontId="314" fillId="59" borderId="218" xfId="0" applyFont="1" applyFill="1" applyBorder="1" applyAlignment="1">
      <alignment horizontal="center"/>
    </xf>
    <xf numFmtId="0" fontId="278" fillId="59" borderId="240" xfId="0" applyFont="1" applyFill="1" applyBorder="1" applyAlignment="1">
      <alignment horizontal="center"/>
    </xf>
    <xf numFmtId="0" fontId="278" fillId="59" borderId="140" xfId="0" applyFont="1" applyFill="1" applyBorder="1" applyAlignment="1">
      <alignment horizontal="center"/>
    </xf>
    <xf numFmtId="0" fontId="233" fillId="124" borderId="34" xfId="0" applyFont="1" applyFill="1" applyBorder="1" applyAlignment="1">
      <alignment horizontal="center" vertical="center" wrapText="1"/>
    </xf>
    <xf numFmtId="0" fontId="233" fillId="124" borderId="84" xfId="0" applyFont="1" applyFill="1" applyBorder="1" applyAlignment="1">
      <alignment horizontal="center" vertical="center" wrapText="1"/>
    </xf>
    <xf numFmtId="0" fontId="233" fillId="59" borderId="84" xfId="0" applyFont="1" applyFill="1" applyBorder="1" applyAlignment="1">
      <alignment horizontal="center" vertical="center" wrapText="1"/>
    </xf>
    <xf numFmtId="17" fontId="324" fillId="85" borderId="107" xfId="5" applyNumberFormat="1" applyFill="1"/>
    <xf numFmtId="0" fontId="136" fillId="65" borderId="0" xfId="0" applyFont="1" applyFill="1" applyAlignment="1">
      <alignment horizontal="center"/>
    </xf>
    <xf numFmtId="0" fontId="172" fillId="65" borderId="223" xfId="0" applyFont="1" applyFill="1" applyBorder="1" applyAlignment="1">
      <alignment horizontal="center" vertical="center"/>
    </xf>
    <xf numFmtId="14" fontId="172" fillId="65" borderId="223" xfId="0" applyNumberFormat="1" applyFont="1" applyFill="1" applyBorder="1" applyAlignment="1">
      <alignment horizontal="center" vertical="center"/>
    </xf>
    <xf numFmtId="0" fontId="192" fillId="65" borderId="223" xfId="5" applyFont="1" applyFill="1" applyBorder="1" applyAlignment="1">
      <alignment horizontal="center" vertical="center"/>
    </xf>
    <xf numFmtId="0" fontId="314" fillId="65" borderId="223" xfId="0" applyFont="1" applyFill="1" applyBorder="1" applyAlignment="1">
      <alignment horizontal="center" vertical="center"/>
    </xf>
    <xf numFmtId="0" fontId="157" fillId="65" borderId="218" xfId="0" applyFont="1" applyFill="1" applyBorder="1" applyAlignment="1">
      <alignment horizontal="center"/>
    </xf>
    <xf numFmtId="0" fontId="177" fillId="65" borderId="218" xfId="0" applyFont="1" applyFill="1" applyBorder="1" applyAlignment="1">
      <alignment horizontal="center"/>
    </xf>
    <xf numFmtId="0" fontId="191" fillId="65" borderId="218" xfId="0" applyFont="1" applyFill="1" applyBorder="1" applyAlignment="1">
      <alignment horizontal="center"/>
    </xf>
    <xf numFmtId="0" fontId="137" fillId="65" borderId="218" xfId="0" applyFont="1" applyFill="1" applyBorder="1" applyAlignment="1">
      <alignment horizontal="center"/>
    </xf>
    <xf numFmtId="0" fontId="0" fillId="65" borderId="218" xfId="0" applyFill="1" applyBorder="1" applyAlignment="1">
      <alignment horizontal="center"/>
    </xf>
    <xf numFmtId="175" fontId="278" fillId="0" borderId="140" xfId="0" applyNumberFormat="1" applyFont="1" applyBorder="1" applyAlignment="1">
      <alignment horizontal="center"/>
    </xf>
    <xf numFmtId="0" fontId="147" fillId="3" borderId="145" xfId="5" applyFont="1" applyFill="1" applyBorder="1" applyAlignment="1">
      <alignment horizontal="center" vertical="center" wrapText="1"/>
    </xf>
    <xf numFmtId="0" fontId="147" fillId="3" borderId="154" xfId="5" applyFont="1" applyFill="1" applyBorder="1" applyAlignment="1">
      <alignment horizontal="center" vertical="center" wrapText="1"/>
    </xf>
    <xf numFmtId="0" fontId="136" fillId="0" borderId="154" xfId="5" applyFont="1" applyBorder="1"/>
    <xf numFmtId="0" fontId="137" fillId="0" borderId="161" xfId="5" applyFont="1" applyBorder="1"/>
    <xf numFmtId="17" fontId="0" fillId="0" borderId="0" xfId="0" applyNumberFormat="1" applyAlignment="1">
      <alignment horizontal="center"/>
    </xf>
    <xf numFmtId="17" fontId="5" fillId="0" borderId="0" xfId="0" applyNumberFormat="1" applyFont="1" applyAlignment="1">
      <alignment horizontal="center"/>
    </xf>
    <xf numFmtId="0" fontId="310" fillId="3" borderId="217" xfId="0" applyFont="1" applyFill="1" applyBorder="1" applyAlignment="1">
      <alignment horizontal="center" wrapText="1"/>
    </xf>
    <xf numFmtId="0" fontId="151" fillId="0" borderId="140" xfId="5" applyFont="1" applyBorder="1" applyAlignment="1">
      <alignment horizontal="center" vertical="center" wrapText="1"/>
    </xf>
    <xf numFmtId="0" fontId="310" fillId="3" borderId="240" xfId="0" applyFont="1" applyFill="1" applyBorder="1" applyAlignment="1">
      <alignment horizontal="center" wrapText="1"/>
    </xf>
    <xf numFmtId="0" fontId="267" fillId="0" borderId="141" xfId="0" applyFont="1" applyBorder="1" applyAlignment="1">
      <alignment horizontal="center" vertical="center" wrapText="1"/>
    </xf>
    <xf numFmtId="0" fontId="4" fillId="111" borderId="140" xfId="0" applyFont="1" applyFill="1" applyBorder="1" applyAlignment="1">
      <alignment horizontal="center" vertical="center" wrapText="1"/>
    </xf>
    <xf numFmtId="17" fontId="295" fillId="181" borderId="196" xfId="0" applyNumberFormat="1" applyFont="1" applyFill="1" applyBorder="1"/>
    <xf numFmtId="0" fontId="316" fillId="0" borderId="217" xfId="1" applyFont="1" applyBorder="1" applyAlignment="1">
      <alignment wrapText="1"/>
    </xf>
    <xf numFmtId="0" fontId="300" fillId="0" borderId="217" xfId="0" applyFont="1" applyBorder="1" applyAlignment="1">
      <alignment horizontal="center" vertical="center"/>
    </xf>
    <xf numFmtId="0" fontId="390" fillId="91" borderId="201" xfId="0" applyFont="1" applyFill="1" applyBorder="1" applyAlignment="1">
      <alignment horizontal="center" vertical="center" wrapText="1"/>
    </xf>
    <xf numFmtId="1" fontId="398" fillId="65" borderId="196" xfId="0" applyNumberFormat="1" applyFont="1" applyFill="1" applyBorder="1" applyAlignment="1">
      <alignment horizontal="center"/>
    </xf>
    <xf numFmtId="165" fontId="398" fillId="65" borderId="217" xfId="0" applyNumberFormat="1" applyFont="1" applyFill="1" applyBorder="1" applyAlignment="1">
      <alignment horizontal="center"/>
    </xf>
    <xf numFmtId="165" fontId="398" fillId="0" borderId="217" xfId="0" applyNumberFormat="1" applyFont="1" applyBorder="1" applyAlignment="1">
      <alignment horizontal="center"/>
    </xf>
    <xf numFmtId="0" fontId="396" fillId="0" borderId="201" xfId="0" applyFont="1" applyBorder="1" applyAlignment="1">
      <alignment horizontal="center"/>
    </xf>
    <xf numFmtId="0" fontId="294" fillId="0" borderId="140" xfId="0" applyFont="1" applyBorder="1" applyAlignment="1">
      <alignment horizontal="center"/>
    </xf>
    <xf numFmtId="0" fontId="347" fillId="3" borderId="192" xfId="0" applyFont="1" applyFill="1" applyBorder="1" applyAlignment="1">
      <alignment horizontal="center" vertical="center" wrapText="1"/>
    </xf>
    <xf numFmtId="0" fontId="321" fillId="0" borderId="141" xfId="5" applyFont="1" applyBorder="1"/>
    <xf numFmtId="0" fontId="172" fillId="0" borderId="145" xfId="5" applyFont="1" applyBorder="1" applyAlignment="1">
      <alignment horizontal="center" vertical="center"/>
    </xf>
    <xf numFmtId="0" fontId="172" fillId="0" borderId="154" xfId="5" applyFont="1" applyBorder="1" applyAlignment="1">
      <alignment horizontal="center" vertical="center"/>
    </xf>
    <xf numFmtId="0" fontId="321" fillId="0" borderId="142" xfId="5" applyFont="1" applyBorder="1"/>
    <xf numFmtId="17" fontId="172" fillId="65" borderId="218" xfId="0" applyNumberFormat="1" applyFont="1" applyFill="1" applyBorder="1" applyAlignment="1">
      <alignment horizontal="center"/>
    </xf>
    <xf numFmtId="17" fontId="172" fillId="0" borderId="140" xfId="0" applyNumberFormat="1" applyFont="1" applyBorder="1" applyAlignment="1">
      <alignment horizontal="center"/>
    </xf>
    <xf numFmtId="17" fontId="172" fillId="65" borderId="140" xfId="0" applyNumberFormat="1" applyFont="1" applyFill="1" applyBorder="1" applyAlignment="1">
      <alignment horizontal="center"/>
    </xf>
    <xf numFmtId="17" fontId="172" fillId="59" borderId="140" xfId="0" applyNumberFormat="1" applyFont="1" applyFill="1" applyBorder="1" applyAlignment="1">
      <alignment horizontal="center"/>
    </xf>
    <xf numFmtId="17" fontId="172" fillId="59" borderId="185" xfId="0" applyNumberFormat="1" applyFont="1" applyFill="1" applyBorder="1" applyAlignment="1">
      <alignment horizontal="center"/>
    </xf>
    <xf numFmtId="17" fontId="172" fillId="0" borderId="145" xfId="0" applyNumberFormat="1" applyFont="1" applyBorder="1" applyAlignment="1">
      <alignment horizontal="center" vertical="center"/>
    </xf>
    <xf numFmtId="17" fontId="172" fillId="0" borderId="140" xfId="0" applyNumberFormat="1" applyFont="1" applyBorder="1" applyAlignment="1">
      <alignment horizontal="center" vertical="center"/>
    </xf>
    <xf numFmtId="17" fontId="172" fillId="0" borderId="154" xfId="0" applyNumberFormat="1" applyFont="1" applyBorder="1" applyAlignment="1">
      <alignment horizontal="center" vertical="center"/>
    </xf>
    <xf numFmtId="17" fontId="172" fillId="0" borderId="107" xfId="0" applyNumberFormat="1" applyFont="1" applyBorder="1" applyAlignment="1">
      <alignment horizontal="center" vertical="center"/>
    </xf>
    <xf numFmtId="0" fontId="179" fillId="0" borderId="0" xfId="0" applyFont="1" applyAlignment="1">
      <alignment horizontal="center"/>
    </xf>
    <xf numFmtId="0" fontId="172" fillId="0" borderId="54" xfId="0" applyFont="1" applyBorder="1" applyAlignment="1">
      <alignment horizontal="center" vertical="center"/>
    </xf>
    <xf numFmtId="0" fontId="172" fillId="0" borderId="66" xfId="0" applyFont="1" applyBorder="1"/>
    <xf numFmtId="0" fontId="172" fillId="0" borderId="78" xfId="0" applyFont="1" applyBorder="1" applyAlignment="1">
      <alignment horizontal="center" vertical="center"/>
    </xf>
    <xf numFmtId="0" fontId="321" fillId="0" borderId="32" xfId="0" applyFont="1" applyBorder="1"/>
    <xf numFmtId="0" fontId="172" fillId="0" borderId="42" xfId="0" applyFont="1" applyBorder="1" applyAlignment="1">
      <alignment horizontal="center" vertical="center"/>
    </xf>
    <xf numFmtId="0" fontId="172" fillId="0" borderId="22" xfId="0" applyFont="1" applyBorder="1" applyAlignment="1">
      <alignment horizontal="center" vertical="center"/>
    </xf>
    <xf numFmtId="0" fontId="172" fillId="0" borderId="40" xfId="0" applyFont="1" applyBorder="1" applyAlignment="1">
      <alignment horizontal="center" vertical="center"/>
    </xf>
    <xf numFmtId="0" fontId="172" fillId="0" borderId="0" xfId="0" applyFont="1" applyAlignment="1">
      <alignment horizontal="center" vertical="center"/>
    </xf>
    <xf numFmtId="0" fontId="179" fillId="0" borderId="122" xfId="0" applyFont="1" applyBorder="1" applyAlignment="1">
      <alignment horizontal="center"/>
    </xf>
    <xf numFmtId="0" fontId="179" fillId="0" borderId="22" xfId="0" applyFont="1" applyBorder="1" applyAlignment="1">
      <alignment horizontal="center"/>
    </xf>
    <xf numFmtId="0" fontId="172" fillId="0" borderId="22" xfId="0" applyFont="1" applyBorder="1" applyAlignment="1">
      <alignment wrapText="1"/>
    </xf>
    <xf numFmtId="0" fontId="172" fillId="0" borderId="121" xfId="0" applyFont="1" applyBorder="1" applyAlignment="1">
      <alignment horizontal="center" vertical="center"/>
    </xf>
    <xf numFmtId="0" fontId="172" fillId="0" borderId="107" xfId="5" applyFont="1" applyAlignment="1">
      <alignment horizontal="center" vertical="center"/>
    </xf>
    <xf numFmtId="0" fontId="172" fillId="0" borderId="71" xfId="0" applyFont="1" applyBorder="1" applyAlignment="1">
      <alignment horizontal="center"/>
    </xf>
    <xf numFmtId="0" fontId="172" fillId="118" borderId="140" xfId="5" applyFont="1" applyFill="1" applyBorder="1" applyAlignment="1">
      <alignment horizontal="center" vertical="center"/>
    </xf>
    <xf numFmtId="0" fontId="406" fillId="0" borderId="140" xfId="5" applyFont="1" applyBorder="1" applyAlignment="1">
      <alignment horizontal="center" vertical="center"/>
    </xf>
    <xf numFmtId="0" fontId="172" fillId="85" borderId="140" xfId="5" applyFont="1" applyFill="1" applyBorder="1" applyAlignment="1">
      <alignment horizontal="center" vertical="center"/>
    </xf>
    <xf numFmtId="0" fontId="406" fillId="0" borderId="107" xfId="5" applyFont="1" applyAlignment="1">
      <alignment horizontal="center" vertical="center"/>
    </xf>
    <xf numFmtId="0" fontId="172" fillId="2" borderId="158" xfId="5" applyFont="1" applyFill="1" applyBorder="1" applyAlignment="1">
      <alignment horizontal="center" vertical="center"/>
    </xf>
    <xf numFmtId="0" fontId="172" fillId="2" borderId="192" xfId="5" applyFont="1" applyFill="1" applyBorder="1" applyAlignment="1">
      <alignment horizontal="center" vertical="center"/>
    </xf>
    <xf numFmtId="0" fontId="172" fillId="2" borderId="141" xfId="0" applyFont="1" applyFill="1" applyBorder="1" applyAlignment="1">
      <alignment horizontal="center" vertical="center"/>
    </xf>
    <xf numFmtId="17" fontId="172" fillId="59" borderId="218" xfId="0" applyNumberFormat="1" applyFont="1" applyFill="1" applyBorder="1" applyAlignment="1">
      <alignment horizontal="center"/>
    </xf>
    <xf numFmtId="0" fontId="172" fillId="0" borderId="218" xfId="0" applyFont="1" applyBorder="1"/>
    <xf numFmtId="0" fontId="172" fillId="2" borderId="158" xfId="0" applyFont="1" applyFill="1" applyBorder="1" applyAlignment="1">
      <alignment horizontal="center" vertical="center"/>
    </xf>
    <xf numFmtId="0" fontId="172" fillId="0" borderId="141" xfId="0" applyFont="1" applyBorder="1" applyAlignment="1">
      <alignment horizontal="center" wrapText="1"/>
    </xf>
    <xf numFmtId="0" fontId="172" fillId="2" borderId="71" xfId="0" applyFont="1" applyFill="1" applyBorder="1" applyAlignment="1">
      <alignment horizontal="center" vertical="center"/>
    </xf>
    <xf numFmtId="0" fontId="172" fillId="2" borderId="32" xfId="0" applyFont="1" applyFill="1" applyBorder="1" applyAlignment="1">
      <alignment horizontal="center" vertical="center"/>
    </xf>
    <xf numFmtId="0" fontId="172" fillId="2" borderId="107" xfId="0" applyFont="1" applyFill="1" applyBorder="1" applyAlignment="1">
      <alignment horizontal="center" vertical="center"/>
    </xf>
    <xf numFmtId="0" fontId="172" fillId="0" borderId="40" xfId="0" applyFont="1" applyBorder="1"/>
    <xf numFmtId="0" fontId="172" fillId="2" borderId="110" xfId="0" applyFont="1" applyFill="1" applyBorder="1" applyAlignment="1">
      <alignment horizontal="center" vertical="center"/>
    </xf>
    <xf numFmtId="0" fontId="172" fillId="0" borderId="241" xfId="0" applyFont="1" applyBorder="1"/>
    <xf numFmtId="0" fontId="179" fillId="0" borderId="140" xfId="0" applyFont="1" applyBorder="1"/>
    <xf numFmtId="0" fontId="172" fillId="2" borderId="181" xfId="0" applyFont="1" applyFill="1" applyBorder="1" applyAlignment="1">
      <alignment horizontal="center" vertical="center"/>
    </xf>
    <xf numFmtId="0" fontId="172" fillId="65" borderId="140" xfId="0" applyFont="1" applyFill="1" applyBorder="1" applyAlignment="1">
      <alignment horizontal="center"/>
    </xf>
    <xf numFmtId="0" fontId="179" fillId="59" borderId="140" xfId="0" applyFont="1" applyFill="1" applyBorder="1" applyAlignment="1">
      <alignment horizontal="center" wrapText="1"/>
    </xf>
    <xf numFmtId="0" fontId="179" fillId="0" borderId="247" xfId="0" applyFont="1" applyBorder="1"/>
    <xf numFmtId="0" fontId="172" fillId="2" borderId="304" xfId="0" applyFont="1" applyFill="1" applyBorder="1" applyAlignment="1">
      <alignment horizontal="center" vertical="center"/>
    </xf>
    <xf numFmtId="0" fontId="179" fillId="65" borderId="218" xfId="0" applyFont="1" applyFill="1" applyBorder="1" applyAlignment="1">
      <alignment horizontal="center" wrapText="1"/>
    </xf>
    <xf numFmtId="0" fontId="179" fillId="65" borderId="140" xfId="0" applyFont="1" applyFill="1" applyBorder="1" applyAlignment="1">
      <alignment horizontal="center" wrapText="1"/>
    </xf>
    <xf numFmtId="0" fontId="172" fillId="0" borderId="141" xfId="0" applyFont="1" applyBorder="1" applyAlignment="1">
      <alignment horizontal="center" vertical="center" wrapText="1"/>
    </xf>
    <xf numFmtId="0" fontId="172" fillId="165" borderId="308" xfId="0" applyFont="1" applyFill="1" applyBorder="1"/>
    <xf numFmtId="0" fontId="172" fillId="165" borderId="310" xfId="0" applyFont="1" applyFill="1" applyBorder="1"/>
    <xf numFmtId="0" fontId="172" fillId="0" borderId="142" xfId="0" applyFont="1" applyBorder="1" applyAlignment="1">
      <alignment horizontal="center" wrapText="1"/>
    </xf>
    <xf numFmtId="0" fontId="172" fillId="2" borderId="192" xfId="0" applyFont="1" applyFill="1" applyBorder="1" applyAlignment="1">
      <alignment horizontal="center" vertical="center" wrapText="1"/>
    </xf>
    <xf numFmtId="0" fontId="172" fillId="62" borderId="0" xfId="0" applyFont="1" applyFill="1"/>
    <xf numFmtId="0" fontId="172" fillId="134" borderId="0" xfId="0" applyFont="1" applyFill="1"/>
    <xf numFmtId="0" fontId="172" fillId="0" borderId="91" xfId="0" applyFont="1" applyBorder="1" applyAlignment="1">
      <alignment wrapText="1"/>
    </xf>
    <xf numFmtId="0" fontId="267" fillId="62" borderId="232" xfId="0" applyFont="1" applyFill="1" applyBorder="1" applyAlignment="1">
      <alignment horizontal="center" vertical="center" wrapText="1"/>
    </xf>
    <xf numFmtId="0" fontId="172" fillId="0" borderId="107" xfId="0" applyFont="1" applyBorder="1" applyAlignment="1">
      <alignment wrapText="1"/>
    </xf>
    <xf numFmtId="0" fontId="172" fillId="0" borderId="311" xfId="0" applyFont="1" applyBorder="1" applyAlignment="1">
      <alignment wrapText="1"/>
    </xf>
    <xf numFmtId="0" fontId="172" fillId="0" borderId="293" xfId="0" applyFont="1" applyBorder="1" applyAlignment="1">
      <alignment wrapText="1"/>
    </xf>
    <xf numFmtId="0" fontId="267" fillId="62" borderId="263" xfId="0" applyFont="1" applyFill="1" applyBorder="1" applyAlignment="1">
      <alignment horizontal="center" vertical="center" wrapText="1"/>
    </xf>
    <xf numFmtId="0" fontId="172" fillId="0" borderId="263" xfId="0" applyFont="1" applyBorder="1" applyAlignment="1">
      <alignment wrapText="1"/>
    </xf>
    <xf numFmtId="0" fontId="172" fillId="0" borderId="84" xfId="0" applyFont="1" applyBorder="1" applyAlignment="1">
      <alignment wrapText="1"/>
    </xf>
    <xf numFmtId="0" fontId="172" fillId="0" borderId="107" xfId="0" applyFont="1" applyBorder="1" applyAlignment="1">
      <alignment horizontal="left"/>
    </xf>
    <xf numFmtId="0" fontId="267" fillId="62" borderId="291" xfId="0" applyFont="1" applyFill="1" applyBorder="1" applyAlignment="1">
      <alignment horizontal="center" wrapText="1"/>
    </xf>
    <xf numFmtId="0" fontId="321" fillId="161" borderId="140" xfId="0" applyFont="1" applyFill="1" applyBorder="1" applyAlignment="1">
      <alignment wrapText="1"/>
    </xf>
    <xf numFmtId="0" fontId="277" fillId="0" borderId="218" xfId="1" applyBorder="1" applyAlignment="1">
      <alignment wrapText="1"/>
    </xf>
    <xf numFmtId="17" fontId="324" fillId="85" borderId="246" xfId="5" applyNumberFormat="1" applyFill="1" applyBorder="1"/>
    <xf numFmtId="17" fontId="324" fillId="85" borderId="247" xfId="5" applyNumberFormat="1" applyFill="1" applyBorder="1"/>
    <xf numFmtId="17" fontId="324" fillId="85" borderId="253" xfId="5" applyNumberFormat="1" applyFill="1" applyBorder="1"/>
    <xf numFmtId="0" fontId="277" fillId="0" borderId="270" xfId="1" applyBorder="1" applyAlignment="1">
      <alignment wrapText="1"/>
    </xf>
    <xf numFmtId="0" fontId="277" fillId="0" borderId="255" xfId="1" applyBorder="1" applyAlignment="1">
      <alignment wrapText="1"/>
    </xf>
    <xf numFmtId="0" fontId="177" fillId="0" borderId="150" xfId="5" applyFont="1" applyBorder="1" applyAlignment="1">
      <alignment horizontal="center" vertical="center" wrapText="1"/>
    </xf>
    <xf numFmtId="0" fontId="151" fillId="0" borderId="150" xfId="5" applyFont="1" applyBorder="1" applyAlignment="1">
      <alignment horizontal="center" vertical="center" wrapText="1"/>
    </xf>
    <xf numFmtId="0" fontId="151" fillId="0" borderId="160" xfId="5" applyFont="1" applyBorder="1" applyAlignment="1">
      <alignment horizontal="center" vertical="center" wrapText="1"/>
    </xf>
    <xf numFmtId="0" fontId="395" fillId="0" borderId="150" xfId="0" applyFont="1" applyBorder="1" applyAlignment="1">
      <alignment horizontal="center" vertical="center"/>
    </xf>
    <xf numFmtId="0" fontId="278" fillId="0" borderId="160" xfId="0" applyFont="1" applyBorder="1" applyAlignment="1">
      <alignment horizontal="center" vertical="center"/>
    </xf>
    <xf numFmtId="0" fontId="278" fillId="0" borderId="160" xfId="5" applyFont="1" applyBorder="1" applyAlignment="1">
      <alignment horizontal="center" vertical="center"/>
    </xf>
    <xf numFmtId="0" fontId="278" fillId="0" borderId="150" xfId="0" applyFont="1" applyBorder="1" applyAlignment="1">
      <alignment horizontal="center" vertical="center"/>
    </xf>
    <xf numFmtId="0" fontId="278" fillId="0" borderId="152" xfId="0" applyFont="1" applyBorder="1" applyAlignment="1">
      <alignment horizontal="center" vertical="center"/>
    </xf>
    <xf numFmtId="0" fontId="278" fillId="0" borderId="154" xfId="0" applyFont="1" applyBorder="1" applyAlignment="1">
      <alignment horizontal="center" vertical="center"/>
    </xf>
    <xf numFmtId="0" fontId="278" fillId="0" borderId="161" xfId="0" applyFont="1" applyBorder="1" applyAlignment="1">
      <alignment horizontal="center" vertical="center"/>
    </xf>
    <xf numFmtId="0" fontId="306" fillId="59" borderId="140" xfId="0" applyFont="1" applyFill="1" applyBorder="1" applyAlignment="1">
      <alignment horizontal="center"/>
    </xf>
    <xf numFmtId="0" fontId="321" fillId="59" borderId="140" xfId="0" applyFont="1" applyFill="1" applyBorder="1" applyAlignment="1">
      <alignment horizontal="center" vertical="center"/>
    </xf>
    <xf numFmtId="14" fontId="321" fillId="59" borderId="140" xfId="0" applyNumberFormat="1" applyFont="1" applyFill="1" applyBorder="1" applyAlignment="1">
      <alignment horizontal="center" vertical="center"/>
    </xf>
    <xf numFmtId="0" fontId="407" fillId="59" borderId="140" xfId="5" applyFont="1" applyFill="1" applyBorder="1" applyAlignment="1">
      <alignment horizontal="center" vertical="center"/>
    </xf>
    <xf numFmtId="0" fontId="321" fillId="59" borderId="218" xfId="0" applyFont="1" applyFill="1" applyBorder="1" applyAlignment="1">
      <alignment horizontal="center" vertical="center"/>
    </xf>
    <xf numFmtId="0" fontId="296" fillId="59" borderId="140" xfId="0" applyFont="1" applyFill="1" applyBorder="1" applyAlignment="1">
      <alignment horizontal="center"/>
    </xf>
    <xf numFmtId="17" fontId="321" fillId="59" borderId="140" xfId="0" applyNumberFormat="1" applyFont="1" applyFill="1" applyBorder="1" applyAlignment="1">
      <alignment horizontal="center"/>
    </xf>
    <xf numFmtId="0" fontId="408" fillId="138" borderId="218" xfId="5" applyFont="1" applyFill="1" applyBorder="1" applyAlignment="1">
      <alignment horizontal="center" vertical="center"/>
    </xf>
    <xf numFmtId="0" fontId="13" fillId="0" borderId="107" xfId="0" applyFont="1" applyBorder="1" applyAlignment="1">
      <alignment horizontal="center"/>
    </xf>
    <xf numFmtId="0" fontId="147" fillId="0" borderId="107" xfId="0" applyFont="1" applyBorder="1" applyAlignment="1">
      <alignment horizontal="center" vertical="center"/>
    </xf>
    <xf numFmtId="0" fontId="393" fillId="0" borderId="107" xfId="0" applyFont="1" applyBorder="1" applyAlignment="1">
      <alignment horizontal="center" vertical="center" wrapText="1"/>
    </xf>
    <xf numFmtId="0" fontId="294" fillId="0" borderId="107" xfId="0" applyFont="1" applyBorder="1" applyAlignment="1">
      <alignment horizontal="center"/>
    </xf>
    <xf numFmtId="17" fontId="0" fillId="184" borderId="140" xfId="0" applyNumberFormat="1" applyFill="1" applyBorder="1"/>
    <xf numFmtId="17" fontId="0" fillId="179" borderId="140" xfId="0" applyNumberFormat="1" applyFill="1" applyBorder="1"/>
    <xf numFmtId="0" fontId="191" fillId="0" borderId="202" xfId="0" applyFont="1" applyBorder="1" applyAlignment="1">
      <alignment horizontal="center" vertical="center"/>
    </xf>
    <xf numFmtId="0" fontId="191" fillId="0" borderId="154" xfId="0" applyFont="1" applyBorder="1" applyAlignment="1">
      <alignment horizontal="center" vertical="center"/>
    </xf>
    <xf numFmtId="0" fontId="355" fillId="65" borderId="161" xfId="0" applyFont="1" applyFill="1" applyBorder="1" applyAlignment="1">
      <alignment horizontal="center" vertical="center" wrapText="1"/>
    </xf>
    <xf numFmtId="0" fontId="3" fillId="0" borderId="202" xfId="5" applyFont="1" applyBorder="1" applyAlignment="1">
      <alignment horizontal="center" vertical="center"/>
    </xf>
    <xf numFmtId="17" fontId="0" fillId="157" borderId="140" xfId="0" applyNumberFormat="1" applyFill="1" applyBorder="1"/>
    <xf numFmtId="0" fontId="246" fillId="0" borderId="140" xfId="5" applyFont="1" applyBorder="1" applyAlignment="1">
      <alignment horizontal="center" vertical="center" wrapText="1"/>
    </xf>
    <xf numFmtId="17" fontId="0" fillId="0" borderId="246" xfId="0" applyNumberFormat="1" applyBorder="1"/>
    <xf numFmtId="17" fontId="0" fillId="0" borderId="247" xfId="0" applyNumberFormat="1" applyBorder="1"/>
    <xf numFmtId="17" fontId="0" fillId="0" borderId="253" xfId="0" applyNumberFormat="1" applyBorder="1"/>
    <xf numFmtId="17" fontId="0" fillId="111" borderId="247" xfId="0" applyNumberFormat="1" applyFill="1" applyBorder="1"/>
    <xf numFmtId="17" fontId="0" fillId="111" borderId="253" xfId="0" applyNumberFormat="1" applyFill="1" applyBorder="1"/>
    <xf numFmtId="17" fontId="0" fillId="111" borderId="246" xfId="0" applyNumberFormat="1" applyFill="1" applyBorder="1"/>
    <xf numFmtId="17" fontId="0" fillId="184" borderId="247" xfId="0" applyNumberFormat="1" applyFill="1" applyBorder="1"/>
    <xf numFmtId="17" fontId="0" fillId="184" borderId="253" xfId="0" applyNumberFormat="1" applyFill="1" applyBorder="1"/>
    <xf numFmtId="17" fontId="0" fillId="184" borderId="246" xfId="0" applyNumberFormat="1" applyFill="1" applyBorder="1"/>
    <xf numFmtId="17" fontId="0" fillId="157" borderId="183" xfId="0" applyNumberFormat="1" applyFill="1" applyBorder="1"/>
    <xf numFmtId="17" fontId="0" fillId="157" borderId="247" xfId="0" applyNumberFormat="1" applyFill="1" applyBorder="1"/>
    <xf numFmtId="17" fontId="0" fillId="157" borderId="253" xfId="0" applyNumberFormat="1" applyFill="1" applyBorder="1"/>
    <xf numFmtId="0" fontId="396" fillId="80" borderId="140" xfId="5" applyFont="1" applyFill="1" applyBorder="1" applyAlignment="1">
      <alignment horizontal="center" vertical="center"/>
    </xf>
    <xf numFmtId="0" fontId="374" fillId="80" borderId="140" xfId="0" applyFont="1" applyFill="1" applyBorder="1" applyAlignment="1">
      <alignment horizontal="center" vertical="center"/>
    </xf>
    <xf numFmtId="0" fontId="0" fillId="0" borderId="21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118" fillId="62" borderId="218" xfId="0" applyFont="1" applyFill="1" applyBorder="1" applyAlignment="1">
      <alignment horizontal="center"/>
    </xf>
    <xf numFmtId="0" fontId="0" fillId="62" borderId="218" xfId="0" applyFill="1" applyBorder="1" applyAlignment="1">
      <alignment horizontal="right"/>
    </xf>
    <xf numFmtId="0" fontId="2" fillId="0" borderId="0" xfId="0" applyFont="1"/>
    <xf numFmtId="0" fontId="373" fillId="65" borderId="140" xfId="0" applyFont="1" applyFill="1" applyBorder="1" applyAlignment="1">
      <alignment horizontal="center" vertical="center"/>
    </xf>
    <xf numFmtId="0" fontId="339" fillId="65" borderId="140" xfId="0" applyFont="1" applyFill="1" applyBorder="1" applyAlignment="1">
      <alignment horizontal="center" vertical="center"/>
    </xf>
    <xf numFmtId="14" fontId="339" fillId="65" borderId="140" xfId="0" applyNumberFormat="1" applyFont="1" applyFill="1" applyBorder="1" applyAlignment="1">
      <alignment horizontal="center" vertical="center"/>
    </xf>
    <xf numFmtId="0" fontId="373" fillId="65" borderId="140" xfId="5" applyFont="1" applyFill="1" applyBorder="1" applyAlignment="1">
      <alignment horizontal="center" vertical="center"/>
    </xf>
    <xf numFmtId="0" fontId="339" fillId="65" borderId="140" xfId="5" applyFont="1" applyFill="1" applyBorder="1" applyAlignment="1">
      <alignment horizontal="center" vertical="center"/>
    </xf>
    <xf numFmtId="17" fontId="296" fillId="65" borderId="140" xfId="0" applyNumberFormat="1" applyFont="1" applyFill="1" applyBorder="1" applyAlignment="1">
      <alignment horizontal="center" vertical="center"/>
    </xf>
    <xf numFmtId="0" fontId="368" fillId="65" borderId="140" xfId="0" applyFont="1" applyFill="1" applyBorder="1" applyAlignment="1">
      <alignment horizontal="center" vertical="center" wrapText="1"/>
    </xf>
    <xf numFmtId="0" fontId="409" fillId="65" borderId="140" xfId="0" applyFont="1" applyFill="1" applyBorder="1" applyAlignment="1">
      <alignment horizontal="center" vertical="center"/>
    </xf>
    <xf numFmtId="0" fontId="410" fillId="70" borderId="232" xfId="0" applyFont="1" applyFill="1" applyBorder="1" applyAlignment="1">
      <alignment horizontal="center" vertical="center" wrapText="1"/>
    </xf>
    <xf numFmtId="0" fontId="129" fillId="0" borderId="217" xfId="0" applyFont="1" applyBorder="1" applyAlignment="1">
      <alignment horizontal="center"/>
    </xf>
    <xf numFmtId="0" fontId="45" fillId="0" borderId="185" xfId="0" applyFont="1" applyBorder="1" applyAlignment="1">
      <alignment horizontal="right" wrapText="1"/>
    </xf>
    <xf numFmtId="0" fontId="45" fillId="89" borderId="185" xfId="0" applyFont="1" applyFill="1" applyBorder="1" applyAlignment="1">
      <alignment wrapText="1"/>
    </xf>
    <xf numFmtId="0" fontId="45" fillId="0" borderId="218" xfId="0" applyFont="1" applyBorder="1" applyAlignment="1">
      <alignment horizontal="right" wrapText="1"/>
    </xf>
    <xf numFmtId="0" fontId="45" fillId="89" borderId="218" xfId="0" applyFont="1" applyFill="1" applyBorder="1" applyAlignment="1">
      <alignment wrapText="1"/>
    </xf>
    <xf numFmtId="0" fontId="1" fillId="0" borderId="140" xfId="0" applyFont="1" applyBorder="1" applyAlignment="1">
      <alignment horizontal="right" wrapText="1"/>
    </xf>
    <xf numFmtId="0" fontId="129" fillId="58" borderId="217" xfId="0" applyFont="1" applyFill="1" applyBorder="1" applyAlignment="1">
      <alignment horizontal="center"/>
    </xf>
    <xf numFmtId="0" fontId="45" fillId="0" borderId="223" xfId="0" applyFont="1" applyBorder="1" applyAlignment="1">
      <alignment horizontal="right" wrapText="1"/>
    </xf>
    <xf numFmtId="0" fontId="45" fillId="89" borderId="223" xfId="0" applyFont="1" applyFill="1" applyBorder="1" applyAlignment="1">
      <alignment wrapText="1"/>
    </xf>
    <xf numFmtId="0" fontId="136" fillId="0" borderId="107" xfId="0" applyFont="1" applyBorder="1" applyAlignment="1">
      <alignment vertical="center" wrapText="1"/>
    </xf>
    <xf numFmtId="0" fontId="157" fillId="0" borderId="162" xfId="0" applyFont="1" applyBorder="1" applyAlignment="1">
      <alignment horizontal="center"/>
    </xf>
    <xf numFmtId="0" fontId="316" fillId="0" borderId="208" xfId="1" applyFont="1" applyBorder="1" applyAlignment="1">
      <alignment horizontal="center" vertical="center" wrapText="1"/>
    </xf>
    <xf numFmtId="0" fontId="320" fillId="0" borderId="158" xfId="0" applyFont="1" applyBorder="1" applyAlignment="1">
      <alignment horizontal="center" vertical="center"/>
    </xf>
    <xf numFmtId="0" fontId="310" fillId="0" borderId="208" xfId="0" applyFont="1" applyBorder="1" applyAlignment="1">
      <alignment horizontal="center" vertical="center"/>
    </xf>
    <xf numFmtId="0" fontId="310" fillId="0" borderId="208" xfId="0" applyFont="1" applyBorder="1" applyAlignment="1">
      <alignment horizontal="center" vertical="center" wrapText="1"/>
    </xf>
    <xf numFmtId="0" fontId="139" fillId="0" borderId="158" xfId="5" applyFont="1" applyBorder="1" applyAlignment="1">
      <alignment horizontal="center"/>
    </xf>
    <xf numFmtId="0" fontId="139" fillId="0" borderId="182" xfId="5" applyFont="1" applyBorder="1" applyAlignment="1">
      <alignment horizontal="center"/>
    </xf>
    <xf numFmtId="0" fontId="145" fillId="8" borderId="142" xfId="5" applyFont="1" applyFill="1" applyBorder="1" applyAlignment="1">
      <alignment horizontal="center" vertical="top"/>
    </xf>
    <xf numFmtId="0" fontId="145" fillId="8" borderId="199" xfId="5" applyFont="1" applyFill="1" applyBorder="1" applyAlignment="1">
      <alignment horizontal="center" vertical="top"/>
    </xf>
    <xf numFmtId="0" fontId="145" fillId="8" borderId="200" xfId="5" applyFont="1" applyFill="1" applyBorder="1" applyAlignment="1">
      <alignment horizontal="center" vertical="top"/>
    </xf>
    <xf numFmtId="0" fontId="145" fillId="14" borderId="141" xfId="5" applyFont="1" applyFill="1" applyBorder="1" applyAlignment="1">
      <alignment horizontal="center"/>
    </xf>
    <xf numFmtId="0" fontId="139" fillId="0" borderId="141" xfId="5" applyFont="1" applyBorder="1"/>
    <xf numFmtId="0" fontId="145" fillId="2" borderId="141" xfId="5" applyFont="1" applyFill="1" applyBorder="1" applyAlignment="1">
      <alignment horizontal="center"/>
    </xf>
    <xf numFmtId="0" fontId="145" fillId="10" borderId="141" xfId="5" applyFont="1" applyFill="1" applyBorder="1" applyAlignment="1">
      <alignment horizontal="center"/>
    </xf>
    <xf numFmtId="0" fontId="145" fillId="13" borderId="141" xfId="5" applyFont="1" applyFill="1" applyBorder="1" applyAlignment="1">
      <alignment horizontal="center"/>
    </xf>
    <xf numFmtId="0" fontId="145" fillId="11" borderId="141" xfId="5" applyFont="1" applyFill="1" applyBorder="1" applyAlignment="1">
      <alignment horizontal="center"/>
    </xf>
    <xf numFmtId="0" fontId="145" fillId="12" borderId="141" xfId="5" applyFont="1" applyFill="1" applyBorder="1" applyAlignment="1">
      <alignment horizontal="center"/>
    </xf>
    <xf numFmtId="0" fontId="145" fillId="8" borderId="141" xfId="5" applyFont="1" applyFill="1" applyBorder="1" applyAlignment="1">
      <alignment horizontal="center" vertical="top"/>
    </xf>
    <xf numFmtId="0" fontId="145" fillId="9" borderId="141" xfId="5" applyFont="1" applyFill="1" applyBorder="1" applyAlignment="1">
      <alignment horizontal="center" vertical="top"/>
    </xf>
    <xf numFmtId="0" fontId="141" fillId="0" borderId="141" xfId="5" applyFont="1" applyBorder="1" applyAlignment="1">
      <alignment horizontal="center" vertical="center" wrapText="1"/>
    </xf>
    <xf numFmtId="0" fontId="139" fillId="0" borderId="158" xfId="5" applyFont="1" applyBorder="1"/>
    <xf numFmtId="0" fontId="142" fillId="5" borderId="141" xfId="5" applyFont="1" applyFill="1" applyBorder="1" applyAlignment="1">
      <alignment horizontal="center" vertical="center" wrapText="1"/>
    </xf>
    <xf numFmtId="0" fontId="143" fillId="2" borderId="141" xfId="5" applyFont="1" applyFill="1" applyBorder="1" applyAlignment="1">
      <alignment horizontal="center" wrapText="1"/>
    </xf>
    <xf numFmtId="0" fontId="291" fillId="0" borderId="141" xfId="5" applyFont="1" applyBorder="1"/>
    <xf numFmtId="0" fontId="292" fillId="0" borderId="141" xfId="5" applyFont="1" applyBorder="1"/>
    <xf numFmtId="0" fontId="141" fillId="0" borderId="158" xfId="5" applyFont="1" applyBorder="1" applyAlignment="1">
      <alignment horizontal="center" vertical="center" wrapText="1"/>
    </xf>
    <xf numFmtId="0" fontId="141" fillId="0" borderId="181" xfId="5" applyFont="1" applyBorder="1" applyAlignment="1">
      <alignment horizontal="center" vertical="center" wrapText="1"/>
    </xf>
    <xf numFmtId="0" fontId="142" fillId="5" borderId="158" xfId="5" applyFont="1" applyFill="1" applyBorder="1" applyAlignment="1">
      <alignment horizontal="center" vertical="center" wrapText="1"/>
    </xf>
    <xf numFmtId="0" fontId="142" fillId="5" borderId="181" xfId="5" applyFont="1" applyFill="1" applyBorder="1" applyAlignment="1">
      <alignment horizontal="center" vertical="center" wrapText="1"/>
    </xf>
    <xf numFmtId="0" fontId="142" fillId="6" borderId="158" xfId="5" applyFont="1" applyFill="1" applyBorder="1" applyAlignment="1">
      <alignment horizontal="center" vertical="center" wrapText="1"/>
    </xf>
    <xf numFmtId="0" fontId="142" fillId="6" borderId="181" xfId="5" applyFont="1" applyFill="1" applyBorder="1" applyAlignment="1">
      <alignment horizontal="center" vertical="center" wrapText="1"/>
    </xf>
    <xf numFmtId="0" fontId="142" fillId="6" borderId="182" xfId="5" applyFont="1" applyFill="1" applyBorder="1" applyAlignment="1">
      <alignment horizontal="center" vertical="center" wrapText="1"/>
    </xf>
    <xf numFmtId="0" fontId="143" fillId="7" borderId="158" xfId="5" applyFont="1" applyFill="1" applyBorder="1" applyAlignment="1">
      <alignment horizontal="center" vertical="center" wrapText="1"/>
    </xf>
    <xf numFmtId="0" fontId="143" fillId="7" borderId="181" xfId="5" applyFont="1" applyFill="1" applyBorder="1" applyAlignment="1">
      <alignment horizontal="center" vertical="center" wrapText="1"/>
    </xf>
    <xf numFmtId="0" fontId="142" fillId="6" borderId="141" xfId="5" applyFont="1" applyFill="1" applyBorder="1" applyAlignment="1">
      <alignment horizontal="center" vertical="center" wrapText="1"/>
    </xf>
    <xf numFmtId="0" fontId="143" fillId="7" borderId="141" xfId="5" applyFont="1" applyFill="1" applyBorder="1" applyAlignment="1">
      <alignment horizontal="center" vertical="center" wrapText="1"/>
    </xf>
    <xf numFmtId="0" fontId="142" fillId="5" borderId="141" xfId="0" applyFont="1" applyFill="1" applyBorder="1" applyAlignment="1">
      <alignment horizontal="center" vertical="center" wrapText="1"/>
    </xf>
    <xf numFmtId="0" fontId="139" fillId="0" borderId="141" xfId="0" applyFont="1" applyBorder="1"/>
    <xf numFmtId="0" fontId="139" fillId="0" borderId="158" xfId="0" applyFont="1" applyBorder="1"/>
    <xf numFmtId="0" fontId="144" fillId="2" borderId="141" xfId="0" applyFont="1" applyFill="1" applyBorder="1" applyAlignment="1">
      <alignment horizontal="center" wrapText="1"/>
    </xf>
    <xf numFmtId="0" fontId="0" fillId="0" borderId="141" xfId="0" applyBorder="1"/>
    <xf numFmtId="0" fontId="157" fillId="0" borderId="141" xfId="0" applyFont="1" applyBorder="1" applyAlignment="1">
      <alignment horizontal="center" vertical="center" wrapText="1"/>
    </xf>
    <xf numFmtId="0" fontId="145" fillId="8" borderId="141" xfId="0" applyFont="1" applyFill="1" applyBorder="1" applyAlignment="1">
      <alignment horizontal="center" vertical="top"/>
    </xf>
    <xf numFmtId="0" fontId="145" fillId="9" borderId="141" xfId="0" applyFont="1" applyFill="1" applyBorder="1" applyAlignment="1">
      <alignment horizontal="center" vertical="top"/>
    </xf>
    <xf numFmtId="0" fontId="145" fillId="2" borderId="141" xfId="0" applyFont="1" applyFill="1" applyBorder="1" applyAlignment="1">
      <alignment horizontal="center"/>
    </xf>
    <xf numFmtId="0" fontId="145" fillId="180" borderId="142" xfId="5" applyFont="1" applyFill="1" applyBorder="1" applyAlignment="1">
      <alignment horizontal="center" vertical="center"/>
    </xf>
    <xf numFmtId="0" fontId="145" fillId="180" borderId="199" xfId="5" applyFont="1" applyFill="1" applyBorder="1" applyAlignment="1">
      <alignment horizontal="center" vertical="center"/>
    </xf>
    <xf numFmtId="0" fontId="145" fillId="180" borderId="200" xfId="5" applyFont="1" applyFill="1" applyBorder="1" applyAlignment="1">
      <alignment horizontal="center" vertical="center"/>
    </xf>
    <xf numFmtId="0" fontId="141" fillId="0" borderId="141" xfId="0" applyFont="1" applyBorder="1" applyAlignment="1">
      <alignment horizontal="center" vertical="center" wrapText="1"/>
    </xf>
    <xf numFmtId="0" fontId="145" fillId="10" borderId="141" xfId="0" applyFont="1" applyFill="1" applyBorder="1" applyAlignment="1">
      <alignment horizontal="center"/>
    </xf>
    <xf numFmtId="0" fontId="145" fillId="11" borderId="142" xfId="0" applyFont="1" applyFill="1" applyBorder="1" applyAlignment="1">
      <alignment horizontal="center"/>
    </xf>
    <xf numFmtId="0" fontId="145" fillId="11" borderId="199" xfId="0" applyFont="1" applyFill="1" applyBorder="1" applyAlignment="1">
      <alignment horizontal="center"/>
    </xf>
    <xf numFmtId="0" fontId="145" fillId="11" borderId="200" xfId="0" applyFont="1" applyFill="1" applyBorder="1" applyAlignment="1">
      <alignment horizontal="center"/>
    </xf>
    <xf numFmtId="0" fontId="145" fillId="12" borderId="141" xfId="0" applyFont="1" applyFill="1" applyBorder="1" applyAlignment="1">
      <alignment horizontal="center"/>
    </xf>
    <xf numFmtId="0" fontId="145" fillId="13" borderId="141" xfId="0" applyFont="1" applyFill="1" applyBorder="1" applyAlignment="1">
      <alignment horizontal="center"/>
    </xf>
    <xf numFmtId="0" fontId="141" fillId="0" borderId="158" xfId="0" applyFont="1" applyBorder="1" applyAlignment="1">
      <alignment horizontal="center" vertical="center" wrapText="1"/>
    </xf>
    <xf numFmtId="0" fontId="142" fillId="6" borderId="141" xfId="0" applyFont="1" applyFill="1" applyBorder="1" applyAlignment="1">
      <alignment horizontal="center" vertical="center" wrapText="1"/>
    </xf>
    <xf numFmtId="0" fontId="143" fillId="7" borderId="141" xfId="0" applyFont="1" applyFill="1" applyBorder="1" applyAlignment="1">
      <alignment horizontal="center" vertical="center" wrapText="1"/>
    </xf>
    <xf numFmtId="0" fontId="146" fillId="8" borderId="141" xfId="0" applyFont="1" applyFill="1" applyBorder="1"/>
    <xf numFmtId="0" fontId="145" fillId="11" borderId="141" xfId="0" applyFont="1" applyFill="1" applyBorder="1" applyAlignment="1">
      <alignment horizontal="center"/>
    </xf>
    <xf numFmtId="0" fontId="143" fillId="2" borderId="141" xfId="0" applyFont="1" applyFill="1" applyBorder="1" applyAlignment="1">
      <alignment horizontal="center" wrapText="1"/>
    </xf>
    <xf numFmtId="0" fontId="291" fillId="0" borderId="141" xfId="0" applyFont="1" applyBorder="1"/>
    <xf numFmtId="0" fontId="292" fillId="0" borderId="141" xfId="0" applyFont="1" applyBorder="1"/>
    <xf numFmtId="0" fontId="139" fillId="0" borderId="158" xfId="0" applyFont="1" applyBorder="1" applyAlignment="1">
      <alignment horizontal="center"/>
    </xf>
    <xf numFmtId="0" fontId="139" fillId="0" borderId="182" xfId="0" applyFont="1" applyBorder="1" applyAlignment="1">
      <alignment horizontal="center"/>
    </xf>
    <xf numFmtId="0" fontId="139" fillId="18" borderId="158" xfId="0" applyFont="1" applyFill="1" applyBorder="1" applyAlignment="1">
      <alignment horizontal="center" wrapText="1"/>
    </xf>
    <xf numFmtId="0" fontId="139" fillId="18" borderId="182" xfId="0" applyFont="1" applyFill="1" applyBorder="1" applyAlignment="1">
      <alignment horizontal="center" wrapText="1"/>
    </xf>
    <xf numFmtId="0" fontId="145" fillId="14" borderId="141" xfId="0" applyFont="1" applyFill="1" applyBorder="1" applyAlignment="1">
      <alignment horizontal="center"/>
    </xf>
    <xf numFmtId="0" fontId="137" fillId="3" borderId="2" xfId="0" applyFont="1" applyFill="1" applyBorder="1"/>
    <xf numFmtId="0" fontId="139" fillId="0" borderId="3" xfId="0" applyFont="1" applyBorder="1"/>
    <xf numFmtId="0" fontId="139" fillId="0" borderId="4" xfId="0" applyFont="1" applyBorder="1"/>
    <xf numFmtId="0" fontId="139" fillId="0" borderId="141" xfId="0" applyFont="1" applyBorder="1" applyAlignment="1">
      <alignment horizontal="center"/>
    </xf>
    <xf numFmtId="0" fontId="196" fillId="138" borderId="0" xfId="0" applyFont="1" applyFill="1"/>
    <xf numFmtId="0" fontId="145" fillId="12" borderId="142" xfId="0" applyFont="1" applyFill="1" applyBorder="1" applyAlignment="1">
      <alignment horizontal="center"/>
    </xf>
    <xf numFmtId="0" fontId="145" fillId="12" borderId="199" xfId="0" applyFont="1" applyFill="1" applyBorder="1" applyAlignment="1">
      <alignment horizontal="center"/>
    </xf>
    <xf numFmtId="0" fontId="192" fillId="0" borderId="228" xfId="0" applyFont="1" applyBorder="1" applyAlignment="1">
      <alignment horizontal="center" vertical="center" wrapText="1"/>
    </xf>
    <xf numFmtId="0" fontId="192" fillId="0" borderId="224" xfId="0" applyFont="1" applyBorder="1" applyAlignment="1">
      <alignment horizontal="center" vertical="center" wrapText="1"/>
    </xf>
    <xf numFmtId="0" fontId="351" fillId="0" borderId="107" xfId="0" applyFont="1" applyBorder="1" applyAlignment="1">
      <alignment horizontal="center" vertical="center"/>
    </xf>
    <xf numFmtId="0" fontId="350" fillId="0" borderId="107" xfId="0" applyFont="1" applyBorder="1" applyAlignment="1">
      <alignment horizontal="center" vertical="center"/>
    </xf>
    <xf numFmtId="0" fontId="267" fillId="0" borderId="316" xfId="0" applyFont="1" applyBorder="1" applyAlignment="1">
      <alignment horizontal="center" vertical="center" wrapText="1"/>
    </xf>
    <xf numFmtId="0" fontId="267" fillId="0" borderId="182" xfId="0" applyFont="1" applyBorder="1" applyAlignment="1">
      <alignment horizontal="center" vertical="center" wrapText="1"/>
    </xf>
    <xf numFmtId="0" fontId="90" fillId="0" borderId="275" xfId="0" applyFont="1" applyBorder="1" applyAlignment="1">
      <alignment vertical="center" wrapText="1"/>
    </xf>
    <xf numFmtId="0" fontId="90" fillId="0" borderId="264" xfId="0" applyFont="1" applyBorder="1" applyAlignment="1">
      <alignment vertical="center" wrapText="1"/>
    </xf>
    <xf numFmtId="0" fontId="90" fillId="0" borderId="277" xfId="0" applyFont="1" applyBorder="1" applyAlignment="1">
      <alignment vertical="center" wrapText="1"/>
    </xf>
    <xf numFmtId="0" fontId="147" fillId="62" borderId="192" xfId="0" applyFont="1" applyFill="1" applyBorder="1" applyAlignment="1">
      <alignment horizontal="center" wrapText="1"/>
    </xf>
    <xf numFmtId="0" fontId="147" fillId="62" borderId="147" xfId="0" applyFont="1" applyFill="1" applyBorder="1" applyAlignment="1">
      <alignment horizontal="center" wrapText="1"/>
    </xf>
    <xf numFmtId="0" fontId="147" fillId="62" borderId="193" xfId="0" applyFont="1" applyFill="1" applyBorder="1" applyAlignment="1">
      <alignment horizontal="center" wrapText="1"/>
    </xf>
    <xf numFmtId="0" fontId="147" fillId="62" borderId="194" xfId="0" applyFont="1" applyFill="1" applyBorder="1" applyAlignment="1">
      <alignment horizontal="center" wrapText="1"/>
    </xf>
    <xf numFmtId="0" fontId="147" fillId="62" borderId="179" xfId="0" applyFont="1" applyFill="1" applyBorder="1" applyAlignment="1">
      <alignment horizontal="center" wrapText="1"/>
    </xf>
    <xf numFmtId="0" fontId="147" fillId="62" borderId="224" xfId="0" applyFont="1" applyFill="1" applyBorder="1" applyAlignment="1">
      <alignment horizontal="center" wrapText="1"/>
    </xf>
    <xf numFmtId="0" fontId="383" fillId="91" borderId="107" xfId="0" applyFont="1" applyFill="1" applyBorder="1" applyAlignment="1">
      <alignment horizontal="center" vertical="center"/>
    </xf>
    <xf numFmtId="0" fontId="142" fillId="5" borderId="182" xfId="5" applyFont="1" applyFill="1" applyBorder="1" applyAlignment="1">
      <alignment horizontal="center" vertical="center" wrapText="1"/>
    </xf>
    <xf numFmtId="0" fontId="147" fillId="70" borderId="248" xfId="0" applyFont="1" applyFill="1" applyBorder="1" applyAlignment="1">
      <alignment horizontal="center" wrapText="1"/>
    </xf>
    <xf numFmtId="0" fontId="147" fillId="70" borderId="216" xfId="0" applyFont="1" applyFill="1" applyBorder="1" applyAlignment="1">
      <alignment horizontal="center" wrapText="1"/>
    </xf>
    <xf numFmtId="0" fontId="147" fillId="70" borderId="249" xfId="0" applyFont="1" applyFill="1" applyBorder="1" applyAlignment="1">
      <alignment horizontal="center" wrapText="1"/>
    </xf>
    <xf numFmtId="0" fontId="221" fillId="2" borderId="32" xfId="0" applyFont="1" applyFill="1" applyBorder="1" applyAlignment="1">
      <alignment horizontal="center" wrapText="1"/>
    </xf>
    <xf numFmtId="0" fontId="339" fillId="0" borderId="32" xfId="0" applyFont="1" applyBorder="1"/>
    <xf numFmtId="0" fontId="142" fillId="5" borderId="66" xfId="0" applyFont="1" applyFill="1" applyBorder="1" applyAlignment="1">
      <alignment horizontal="center" vertical="center" wrapText="1"/>
    </xf>
    <xf numFmtId="0" fontId="139" fillId="0" borderId="11" xfId="0" applyFont="1" applyBorder="1"/>
    <xf numFmtId="0" fontId="139" fillId="0" borderId="71" xfId="0" applyFont="1" applyBorder="1"/>
    <xf numFmtId="0" fontId="321" fillId="0" borderId="158" xfId="0" applyFont="1" applyBorder="1" applyAlignment="1">
      <alignment horizontal="center"/>
    </xf>
    <xf numFmtId="0" fontId="321" fillId="0" borderId="182" xfId="0" applyFont="1" applyBorder="1" applyAlignment="1">
      <alignment horizontal="center"/>
    </xf>
    <xf numFmtId="0" fontId="141" fillId="0" borderId="66" xfId="0" applyFont="1" applyBorder="1" applyAlignment="1">
      <alignment horizontal="center" vertical="center" wrapText="1"/>
    </xf>
    <xf numFmtId="0" fontId="139" fillId="0" borderId="41" xfId="0" applyFont="1" applyBorder="1"/>
    <xf numFmtId="0" fontId="221" fillId="2" borderId="141" xfId="0" applyFont="1" applyFill="1" applyBorder="1" applyAlignment="1">
      <alignment horizontal="center" wrapText="1"/>
    </xf>
    <xf numFmtId="0" fontId="221" fillId="7" borderId="141" xfId="0" applyFont="1" applyFill="1" applyBorder="1" applyAlignment="1">
      <alignment horizontal="center" vertical="center" wrapText="1"/>
    </xf>
    <xf numFmtId="0" fontId="221" fillId="7" borderId="158" xfId="0" applyFont="1" applyFill="1" applyBorder="1" applyAlignment="1">
      <alignment horizontal="center" vertical="center" wrapText="1"/>
    </xf>
    <xf numFmtId="0" fontId="221" fillId="7" borderId="181" xfId="0" applyFont="1" applyFill="1" applyBorder="1" applyAlignment="1">
      <alignment horizontal="center" vertical="center" wrapText="1"/>
    </xf>
    <xf numFmtId="0" fontId="246" fillId="5" borderId="141" xfId="0" applyFont="1" applyFill="1" applyBorder="1" applyAlignment="1">
      <alignment horizontal="center" vertical="center" wrapText="1"/>
    </xf>
    <xf numFmtId="0" fontId="246" fillId="5" borderId="158" xfId="0" applyFont="1" applyFill="1" applyBorder="1" applyAlignment="1">
      <alignment horizontal="center" vertical="center" wrapText="1"/>
    </xf>
    <xf numFmtId="0" fontId="142" fillId="6" borderId="248" xfId="0" applyFont="1" applyFill="1" applyBorder="1" applyAlignment="1">
      <alignment horizontal="center" vertical="center"/>
    </xf>
    <xf numFmtId="0" fontId="142" fillId="6" borderId="249" xfId="0" applyFont="1" applyFill="1" applyBorder="1" applyAlignment="1">
      <alignment horizontal="center" vertical="center"/>
    </xf>
    <xf numFmtId="0" fontId="246" fillId="6" borderId="141" xfId="0" applyFont="1" applyFill="1" applyBorder="1" applyAlignment="1">
      <alignment horizontal="center" vertical="center" wrapText="1"/>
    </xf>
    <xf numFmtId="0" fontId="221" fillId="2" borderId="141" xfId="0" applyFont="1" applyFill="1" applyBorder="1" applyAlignment="1">
      <alignment horizontal="center" vertical="center" wrapText="1"/>
    </xf>
    <xf numFmtId="0" fontId="59" fillId="65" borderId="248" xfId="0" applyFont="1" applyFill="1" applyBorder="1" applyAlignment="1">
      <alignment horizontal="center" wrapText="1"/>
    </xf>
    <xf numFmtId="0" fontId="59" fillId="65" borderId="216" xfId="0" applyFont="1" applyFill="1" applyBorder="1" applyAlignment="1">
      <alignment horizontal="center" wrapText="1"/>
    </xf>
    <xf numFmtId="0" fontId="59" fillId="65" borderId="249" xfId="0" applyFont="1" applyFill="1" applyBorder="1" applyAlignment="1">
      <alignment horizontal="center" wrapText="1"/>
    </xf>
    <xf numFmtId="0" fontId="246" fillId="5" borderId="66" xfId="0" applyFont="1" applyFill="1" applyBorder="1" applyAlignment="1">
      <alignment horizontal="center" vertical="center" wrapText="1"/>
    </xf>
    <xf numFmtId="0" fontId="246" fillId="5" borderId="71" xfId="0" applyFont="1" applyFill="1" applyBorder="1" applyAlignment="1">
      <alignment horizontal="center" vertical="center" wrapText="1"/>
    </xf>
    <xf numFmtId="0" fontId="308" fillId="0" borderId="72" xfId="0" applyFont="1" applyBorder="1" applyAlignment="1">
      <alignment horizontal="center" wrapText="1"/>
    </xf>
    <xf numFmtId="0" fontId="308" fillId="0" borderId="119" xfId="0" applyFont="1" applyBorder="1" applyAlignment="1">
      <alignment horizontal="center" wrapText="1"/>
    </xf>
    <xf numFmtId="0" fontId="321" fillId="0" borderId="192" xfId="5" applyFont="1" applyBorder="1" applyAlignment="1">
      <alignment horizontal="center"/>
    </xf>
    <xf numFmtId="0" fontId="321" fillId="0" borderId="194" xfId="5" applyFont="1" applyBorder="1" applyAlignment="1">
      <alignment horizontal="center"/>
    </xf>
    <xf numFmtId="0" fontId="147" fillId="0" borderId="96" xfId="0" applyFont="1" applyBorder="1" applyAlignment="1">
      <alignment horizontal="center" wrapText="1"/>
    </xf>
    <xf numFmtId="0" fontId="147" fillId="0" borderId="128" xfId="0" applyFont="1" applyBorder="1" applyAlignment="1">
      <alignment horizontal="center" wrapText="1"/>
    </xf>
    <xf numFmtId="0" fontId="308" fillId="0" borderId="281" xfId="0" applyFont="1" applyBorder="1" applyAlignment="1">
      <alignment horizontal="center" wrapText="1"/>
    </xf>
    <xf numFmtId="0" fontId="308" fillId="0" borderId="282" xfId="0" applyFont="1" applyBorder="1" applyAlignment="1">
      <alignment horizontal="center" wrapText="1"/>
    </xf>
    <xf numFmtId="0" fontId="221" fillId="7" borderId="32" xfId="0" applyFont="1" applyFill="1" applyBorder="1" applyAlignment="1">
      <alignment horizontal="center" vertical="center" wrapText="1"/>
    </xf>
    <xf numFmtId="0" fontId="303" fillId="0" borderId="32" xfId="0" applyFont="1" applyBorder="1"/>
    <xf numFmtId="0" fontId="221" fillId="2" borderId="192" xfId="0" applyFont="1" applyFill="1" applyBorder="1" applyAlignment="1">
      <alignment horizontal="center" wrapText="1"/>
    </xf>
    <xf numFmtId="0" fontId="221" fillId="2" borderId="147" xfId="0" applyFont="1" applyFill="1" applyBorder="1" applyAlignment="1">
      <alignment horizontal="center" wrapText="1"/>
    </xf>
    <xf numFmtId="0" fontId="221" fillId="2" borderId="193" xfId="0" applyFont="1" applyFill="1" applyBorder="1" applyAlignment="1">
      <alignment horizontal="center" wrapText="1"/>
    </xf>
    <xf numFmtId="0" fontId="221" fillId="2" borderId="210" xfId="0" applyFont="1" applyFill="1" applyBorder="1" applyAlignment="1">
      <alignment horizontal="center" wrapText="1"/>
    </xf>
    <xf numFmtId="0" fontId="221" fillId="2" borderId="107" xfId="0" applyFont="1" applyFill="1" applyBorder="1" applyAlignment="1">
      <alignment horizontal="center" wrapText="1"/>
    </xf>
    <xf numFmtId="0" fontId="221" fillId="2" borderId="228" xfId="0" applyFont="1" applyFill="1" applyBorder="1" applyAlignment="1">
      <alignment horizontal="center" wrapText="1"/>
    </xf>
    <xf numFmtId="0" fontId="221" fillId="2" borderId="194" xfId="0" applyFont="1" applyFill="1" applyBorder="1" applyAlignment="1">
      <alignment horizontal="center" wrapText="1"/>
    </xf>
    <xf numFmtId="0" fontId="221" fillId="2" borderId="179" xfId="0" applyFont="1" applyFill="1" applyBorder="1" applyAlignment="1">
      <alignment horizontal="center" wrapText="1"/>
    </xf>
    <xf numFmtId="0" fontId="221" fillId="2" borderId="224" xfId="0" applyFont="1" applyFill="1" applyBorder="1" applyAlignment="1">
      <alignment horizontal="center" wrapText="1"/>
    </xf>
    <xf numFmtId="0" fontId="339" fillId="0" borderId="110" xfId="0" applyFont="1" applyBorder="1"/>
    <xf numFmtId="0" fontId="141" fillId="0" borderId="110" xfId="0" applyFont="1" applyBorder="1" applyAlignment="1">
      <alignment horizontal="center" vertical="center" wrapText="1"/>
    </xf>
    <xf numFmtId="0" fontId="141" fillId="0" borderId="93" xfId="0" applyFont="1" applyBorder="1" applyAlignment="1">
      <alignment horizontal="center" vertical="center" wrapText="1"/>
    </xf>
    <xf numFmtId="0" fontId="246" fillId="0" borderId="66" xfId="0" applyFont="1" applyBorder="1" applyAlignment="1">
      <alignment horizontal="center" vertical="center" wrapText="1"/>
    </xf>
    <xf numFmtId="0" fontId="246" fillId="0" borderId="71" xfId="0" applyFont="1" applyBorder="1" applyAlignment="1">
      <alignment horizontal="center" vertical="center" wrapText="1"/>
    </xf>
    <xf numFmtId="0" fontId="246" fillId="6" borderId="68" xfId="0" applyFont="1" applyFill="1" applyBorder="1" applyAlignment="1">
      <alignment horizontal="center" vertical="center" wrapText="1"/>
    </xf>
    <xf numFmtId="0" fontId="339" fillId="0" borderId="70" xfId="0" applyFont="1" applyBorder="1"/>
    <xf numFmtId="0" fontId="246" fillId="3" borderId="66" xfId="0" applyFont="1" applyFill="1" applyBorder="1" applyAlignment="1">
      <alignment horizontal="center" vertical="center" wrapText="1"/>
    </xf>
    <xf numFmtId="0" fontId="246" fillId="3" borderId="71" xfId="0" applyFont="1" applyFill="1" applyBorder="1" applyAlignment="1">
      <alignment horizontal="center" vertical="center" wrapText="1"/>
    </xf>
    <xf numFmtId="0" fontId="355" fillId="2" borderId="158" xfId="0" applyFont="1" applyFill="1" applyBorder="1" applyAlignment="1">
      <alignment horizontal="center" vertical="center" textRotation="255"/>
    </xf>
    <xf numFmtId="0" fontId="355" fillId="2" borderId="181" xfId="0" applyFont="1" applyFill="1" applyBorder="1" applyAlignment="1">
      <alignment horizontal="center" vertical="center" textRotation="255"/>
    </xf>
    <xf numFmtId="0" fontId="355" fillId="2" borderId="182" xfId="0" applyFont="1" applyFill="1" applyBorder="1" applyAlignment="1">
      <alignment horizontal="center" vertical="center" textRotation="255"/>
    </xf>
    <xf numFmtId="0" fontId="288" fillId="0" borderId="140" xfId="0" applyFont="1" applyBorder="1" applyAlignment="1">
      <alignment horizontal="center" vertical="center" wrapText="1"/>
    </xf>
    <xf numFmtId="0" fontId="288" fillId="0" borderId="141" xfId="0" applyFont="1" applyBorder="1" applyAlignment="1">
      <alignment horizontal="center" vertical="center" wrapText="1"/>
    </xf>
    <xf numFmtId="0" fontId="142" fillId="6" borderId="68" xfId="0" applyFont="1" applyFill="1" applyBorder="1" applyAlignment="1">
      <alignment horizontal="center" vertical="center" wrapText="1"/>
    </xf>
    <xf numFmtId="0" fontId="139" fillId="0" borderId="70" xfId="0" applyFont="1" applyBorder="1"/>
    <xf numFmtId="0" fontId="139" fillId="0" borderId="120" xfId="0" applyFont="1" applyBorder="1"/>
    <xf numFmtId="0" fontId="246" fillId="6" borderId="32" xfId="0" applyFont="1" applyFill="1" applyBorder="1" applyAlignment="1">
      <alignment horizontal="center" vertical="center" wrapText="1"/>
    </xf>
    <xf numFmtId="0" fontId="144" fillId="2" borderId="32" xfId="0" applyFont="1" applyFill="1" applyBorder="1" applyAlignment="1">
      <alignment horizontal="center" wrapText="1"/>
    </xf>
    <xf numFmtId="0" fontId="139" fillId="0" borderId="32" xfId="0" applyFont="1" applyBorder="1"/>
    <xf numFmtId="0" fontId="0" fillId="0" borderId="32" xfId="0" applyBorder="1"/>
    <xf numFmtId="0" fontId="246" fillId="5" borderId="32" xfId="0" applyFont="1" applyFill="1" applyBorder="1" applyAlignment="1">
      <alignment horizontal="center" vertical="center" wrapText="1"/>
    </xf>
    <xf numFmtId="0" fontId="339" fillId="0" borderId="141" xfId="0" applyFont="1" applyBorder="1"/>
    <xf numFmtId="0" fontId="303" fillId="0" borderId="141" xfId="0" applyFont="1" applyBorder="1"/>
    <xf numFmtId="0" fontId="246" fillId="0" borderId="32" xfId="0" applyFont="1" applyBorder="1" applyAlignment="1">
      <alignment horizontal="center" vertical="center" wrapText="1"/>
    </xf>
    <xf numFmtId="0" fontId="143" fillId="7" borderId="32" xfId="0" applyFont="1" applyFill="1" applyBorder="1" applyAlignment="1">
      <alignment horizontal="center" vertical="center" wrapText="1"/>
    </xf>
    <xf numFmtId="0" fontId="246" fillId="0" borderId="141" xfId="0" applyFont="1" applyBorder="1" applyAlignment="1">
      <alignment horizontal="center" vertical="center" wrapText="1"/>
    </xf>
    <xf numFmtId="0" fontId="246" fillId="0" borderId="158" xfId="0" applyFont="1" applyBorder="1" applyAlignment="1">
      <alignment horizontal="center" vertical="center" wrapText="1"/>
    </xf>
    <xf numFmtId="0" fontId="246" fillId="5" borderId="181" xfId="0" applyFont="1" applyFill="1" applyBorder="1" applyAlignment="1">
      <alignment horizontal="center" vertical="center" wrapText="1"/>
    </xf>
    <xf numFmtId="0" fontId="362" fillId="70" borderId="237" xfId="0" applyFont="1" applyFill="1" applyBorder="1" applyAlignment="1">
      <alignment horizontal="center"/>
    </xf>
    <xf numFmtId="0" fontId="362" fillId="70" borderId="226" xfId="0" applyFont="1" applyFill="1" applyBorder="1" applyAlignment="1">
      <alignment horizontal="center"/>
    </xf>
    <xf numFmtId="0" fontId="362" fillId="70" borderId="185" xfId="0" applyFont="1" applyFill="1" applyBorder="1" applyAlignment="1">
      <alignment horizontal="center"/>
    </xf>
    <xf numFmtId="0" fontId="362" fillId="70" borderId="223" xfId="0" applyFont="1" applyFill="1" applyBorder="1" applyAlignment="1">
      <alignment horizontal="center"/>
    </xf>
    <xf numFmtId="0" fontId="362" fillId="70" borderId="185" xfId="0" applyFont="1" applyFill="1" applyBorder="1" applyAlignment="1">
      <alignment horizontal="center" wrapText="1"/>
    </xf>
    <xf numFmtId="0" fontId="362" fillId="70" borderId="223" xfId="0" applyFont="1" applyFill="1" applyBorder="1" applyAlignment="1">
      <alignment horizontal="center" wrapText="1"/>
    </xf>
    <xf numFmtId="0" fontId="335" fillId="165" borderId="308" xfId="0" applyFont="1" applyFill="1" applyBorder="1" applyAlignment="1">
      <alignment horizontal="left"/>
    </xf>
    <xf numFmtId="0" fontId="335" fillId="165" borderId="310" xfId="0" applyFont="1" applyFill="1" applyBorder="1" applyAlignment="1">
      <alignment horizontal="left"/>
    </xf>
    <xf numFmtId="0" fontId="136" fillId="128" borderId="116" xfId="0" applyFont="1" applyFill="1" applyBorder="1" applyAlignment="1">
      <alignment horizontal="center" wrapText="1"/>
    </xf>
    <xf numFmtId="0" fontId="136" fillId="128" borderId="65" xfId="0" applyFont="1" applyFill="1" applyBorder="1" applyAlignment="1">
      <alignment horizontal="center" wrapText="1"/>
    </xf>
    <xf numFmtId="0" fontId="136" fillId="128" borderId="129" xfId="0" applyFont="1" applyFill="1" applyBorder="1" applyAlignment="1">
      <alignment horizontal="center" wrapText="1"/>
    </xf>
    <xf numFmtId="0" fontId="246" fillId="70" borderId="110" xfId="0" applyFont="1" applyFill="1" applyBorder="1" applyAlignment="1">
      <alignment horizontal="center" vertical="center" wrapText="1"/>
    </xf>
    <xf numFmtId="0" fontId="246" fillId="70" borderId="93" xfId="0" applyFont="1" applyFill="1" applyBorder="1" applyAlignment="1">
      <alignment horizontal="center" vertical="center" wrapText="1"/>
    </xf>
    <xf numFmtId="0" fontId="246" fillId="70" borderId="94" xfId="0" applyFont="1" applyFill="1" applyBorder="1" applyAlignment="1">
      <alignment horizontal="center" vertical="center" wrapText="1"/>
    </xf>
    <xf numFmtId="0" fontId="142" fillId="87" borderId="110" xfId="0" applyFont="1" applyFill="1" applyBorder="1" applyAlignment="1">
      <alignment horizontal="center" vertical="center" wrapText="1"/>
    </xf>
    <xf numFmtId="0" fontId="142" fillId="87" borderId="93" xfId="0" applyFont="1" applyFill="1" applyBorder="1" applyAlignment="1">
      <alignment horizontal="center" vertical="center" wrapText="1"/>
    </xf>
    <xf numFmtId="0" fontId="142" fillId="87" borderId="94" xfId="0" applyFont="1" applyFill="1" applyBorder="1" applyAlignment="1">
      <alignment horizontal="center" vertical="center" wrapText="1"/>
    </xf>
    <xf numFmtId="0" fontId="142" fillId="72" borderId="110" xfId="0" applyFont="1" applyFill="1" applyBorder="1" applyAlignment="1">
      <alignment horizontal="center" vertical="center" wrapText="1"/>
    </xf>
    <xf numFmtId="0" fontId="142" fillId="72" borderId="93" xfId="0" applyFont="1" applyFill="1" applyBorder="1" applyAlignment="1">
      <alignment horizontal="center" vertical="center" wrapText="1"/>
    </xf>
    <xf numFmtId="0" fontId="307" fillId="62" borderId="96" xfId="0" applyFont="1" applyFill="1" applyBorder="1" applyAlignment="1">
      <alignment horizontal="center" vertical="center" wrapText="1"/>
    </xf>
    <xf numFmtId="0" fontId="307" fillId="62" borderId="61" xfId="0" applyFont="1" applyFill="1" applyBorder="1" applyAlignment="1">
      <alignment horizontal="center" vertical="center" wrapText="1"/>
    </xf>
    <xf numFmtId="0" fontId="307" fillId="62" borderId="128" xfId="0" applyFont="1" applyFill="1" applyBorder="1" applyAlignment="1">
      <alignment horizontal="center" vertical="center" wrapText="1"/>
    </xf>
    <xf numFmtId="0" fontId="307" fillId="62" borderId="115" xfId="0" applyFont="1" applyFill="1" applyBorder="1" applyAlignment="1">
      <alignment horizontal="center" vertical="center" wrapText="1"/>
    </xf>
    <xf numFmtId="0" fontId="307" fillId="62" borderId="107" xfId="0" applyFont="1" applyFill="1" applyBorder="1" applyAlignment="1">
      <alignment horizontal="center" vertical="center" wrapText="1"/>
    </xf>
    <xf numFmtId="0" fontId="307" fillId="62" borderId="139" xfId="0" applyFont="1" applyFill="1" applyBorder="1" applyAlignment="1">
      <alignment horizontal="center" vertical="center" wrapText="1"/>
    </xf>
    <xf numFmtId="0" fontId="307" fillId="62" borderId="116" xfId="0" applyFont="1" applyFill="1" applyBorder="1" applyAlignment="1">
      <alignment horizontal="center" vertical="center" wrapText="1"/>
    </xf>
    <xf numFmtId="0" fontId="307" fillId="62" borderId="65" xfId="0" applyFont="1" applyFill="1" applyBorder="1" applyAlignment="1">
      <alignment horizontal="center" vertical="center" wrapText="1"/>
    </xf>
    <xf numFmtId="0" fontId="307" fillId="62" borderId="129" xfId="0" applyFont="1" applyFill="1" applyBorder="1" applyAlignment="1">
      <alignment horizontal="center" vertical="center" wrapText="1"/>
    </xf>
    <xf numFmtId="0" fontId="308" fillId="0" borderId="62" xfId="0" applyFont="1" applyBorder="1" applyAlignment="1">
      <alignment horizontal="center" vertical="center" wrapText="1"/>
    </xf>
    <xf numFmtId="0" fontId="308" fillId="0" borderId="100" xfId="0" applyFont="1" applyBorder="1" applyAlignment="1">
      <alignment horizontal="center" vertical="center" wrapText="1"/>
    </xf>
    <xf numFmtId="0" fontId="145" fillId="70" borderId="110" xfId="0" applyFont="1" applyFill="1" applyBorder="1" applyAlignment="1">
      <alignment horizontal="center" vertical="center" wrapText="1"/>
    </xf>
    <xf numFmtId="0" fontId="145" fillId="70" borderId="93" xfId="0" applyFont="1" applyFill="1" applyBorder="1" applyAlignment="1">
      <alignment horizontal="center" vertical="center" wrapText="1"/>
    </xf>
    <xf numFmtId="0" fontId="145" fillId="70" borderId="295" xfId="0" applyFont="1" applyFill="1" applyBorder="1" applyAlignment="1">
      <alignment horizontal="center" vertical="center" wrapText="1"/>
    </xf>
    <xf numFmtId="0" fontId="136" fillId="90" borderId="116" xfId="0" applyFont="1" applyFill="1" applyBorder="1" applyAlignment="1">
      <alignment horizontal="center" wrapText="1"/>
    </xf>
    <xf numFmtId="0" fontId="136" fillId="90" borderId="65" xfId="0" applyFont="1" applyFill="1" applyBorder="1" applyAlignment="1">
      <alignment horizontal="center" wrapText="1"/>
    </xf>
    <xf numFmtId="0" fontId="136" fillId="90" borderId="129" xfId="0" applyFont="1" applyFill="1" applyBorder="1" applyAlignment="1">
      <alignment horizontal="center" wrapText="1"/>
    </xf>
    <xf numFmtId="0" fontId="136" fillId="124" borderId="116" xfId="0" applyFont="1" applyFill="1" applyBorder="1" applyAlignment="1">
      <alignment horizontal="center" wrapText="1"/>
    </xf>
    <xf numFmtId="0" fontId="136" fillId="124" borderId="65" xfId="0" applyFont="1" applyFill="1" applyBorder="1" applyAlignment="1">
      <alignment horizontal="center" wrapText="1"/>
    </xf>
    <xf numFmtId="0" fontId="136" fillId="124" borderId="129" xfId="0" applyFont="1" applyFill="1" applyBorder="1" applyAlignment="1">
      <alignment horizontal="center" wrapText="1"/>
    </xf>
    <xf numFmtId="0" fontId="136" fillId="89" borderId="116" xfId="0" applyFont="1" applyFill="1" applyBorder="1" applyAlignment="1">
      <alignment horizontal="center" wrapText="1"/>
    </xf>
    <xf numFmtId="0" fontId="136" fillId="89" borderId="65" xfId="0" applyFont="1" applyFill="1" applyBorder="1" applyAlignment="1">
      <alignment horizontal="center" wrapText="1"/>
    </xf>
    <xf numFmtId="0" fontId="136" fillId="89" borderId="129" xfId="0" applyFont="1" applyFill="1" applyBorder="1" applyAlignment="1">
      <alignment horizontal="center" wrapText="1"/>
    </xf>
    <xf numFmtId="0" fontId="136" fillId="72" borderId="62" xfId="0" applyFont="1" applyFill="1" applyBorder="1" applyAlignment="1">
      <alignment horizontal="center" wrapText="1"/>
    </xf>
    <xf numFmtId="0" fontId="136" fillId="72" borderId="233" xfId="0" applyFont="1" applyFill="1" applyBorder="1" applyAlignment="1">
      <alignment horizontal="center" wrapText="1"/>
    </xf>
    <xf numFmtId="0" fontId="136" fillId="72" borderId="128" xfId="0" applyFont="1" applyFill="1" applyBorder="1" applyAlignment="1">
      <alignment horizontal="center" wrapText="1"/>
    </xf>
    <xf numFmtId="0" fontId="136" fillId="90" borderId="62" xfId="0" applyFont="1" applyFill="1" applyBorder="1" applyAlignment="1">
      <alignment horizontal="center" wrapText="1"/>
    </xf>
    <xf numFmtId="0" fontId="136" fillId="90" borderId="233" xfId="0" applyFont="1" applyFill="1" applyBorder="1" applyAlignment="1">
      <alignment horizontal="center" wrapText="1"/>
    </xf>
    <xf numFmtId="0" fontId="136" fillId="90" borderId="100" xfId="0" applyFont="1" applyFill="1" applyBorder="1" applyAlignment="1">
      <alignment horizontal="center" wrapText="1"/>
    </xf>
    <xf numFmtId="0" fontId="136" fillId="124" borderId="62" xfId="0" applyFont="1" applyFill="1" applyBorder="1" applyAlignment="1">
      <alignment horizontal="center" wrapText="1"/>
    </xf>
    <xf numFmtId="0" fontId="136" fillId="124" borderId="233" xfId="0" applyFont="1" applyFill="1" applyBorder="1" applyAlignment="1">
      <alignment horizontal="center" wrapText="1"/>
    </xf>
    <xf numFmtId="0" fontId="136" fillId="124" borderId="100" xfId="0" applyFont="1" applyFill="1" applyBorder="1" applyAlignment="1">
      <alignment horizontal="center" wrapText="1"/>
    </xf>
    <xf numFmtId="0" fontId="136" fillId="89" borderId="62" xfId="0" applyFont="1" applyFill="1" applyBorder="1" applyAlignment="1">
      <alignment horizontal="center" wrapText="1"/>
    </xf>
    <xf numFmtId="0" fontId="136" fillId="89" borderId="233" xfId="0" applyFont="1" applyFill="1" applyBorder="1" applyAlignment="1">
      <alignment horizontal="center" wrapText="1"/>
    </xf>
    <xf numFmtId="0" fontId="136" fillId="89" borderId="100" xfId="0" applyFont="1" applyFill="1" applyBorder="1" applyAlignment="1">
      <alignment horizontal="center" wrapText="1"/>
    </xf>
    <xf numFmtId="0" fontId="246" fillId="160" borderId="217" xfId="0" applyFont="1" applyFill="1" applyBorder="1" applyAlignment="1">
      <alignment horizontal="center" vertical="top"/>
    </xf>
    <xf numFmtId="0" fontId="246" fillId="160" borderId="225" xfId="0" applyFont="1" applyFill="1" applyBorder="1" applyAlignment="1">
      <alignment horizontal="center" vertical="top"/>
    </xf>
    <xf numFmtId="0" fontId="246" fillId="160" borderId="183" xfId="0" applyFont="1" applyFill="1" applyBorder="1" applyAlignment="1">
      <alignment horizontal="center" vertical="top"/>
    </xf>
    <xf numFmtId="0" fontId="246" fillId="0" borderId="181" xfId="0" applyFont="1" applyBorder="1" applyAlignment="1">
      <alignment horizontal="center" vertical="center" wrapText="1"/>
    </xf>
    <xf numFmtId="0" fontId="246" fillId="0" borderId="243" xfId="0" applyFont="1" applyBorder="1" applyAlignment="1">
      <alignment horizontal="center" vertical="center" wrapText="1"/>
    </xf>
    <xf numFmtId="0" fontId="246" fillId="5" borderId="158" xfId="5" applyFont="1" applyFill="1" applyBorder="1" applyAlignment="1">
      <alignment horizontal="center" vertical="center" wrapText="1"/>
    </xf>
    <xf numFmtId="0" fontId="246" fillId="5" borderId="181" xfId="5" applyFont="1" applyFill="1" applyBorder="1" applyAlignment="1">
      <alignment horizontal="center" vertical="center" wrapText="1"/>
    </xf>
    <xf numFmtId="0" fontId="246" fillId="5" borderId="182" xfId="5" applyFont="1" applyFill="1" applyBorder="1" applyAlignment="1">
      <alignment horizontal="center" vertical="center" wrapText="1"/>
    </xf>
    <xf numFmtId="0" fontId="246" fillId="5" borderId="243" xfId="0" applyFont="1" applyFill="1" applyBorder="1" applyAlignment="1">
      <alignment horizontal="center" vertical="center" wrapText="1"/>
    </xf>
    <xf numFmtId="0" fontId="246" fillId="6" borderId="158" xfId="0" applyFont="1" applyFill="1" applyBorder="1" applyAlignment="1">
      <alignment horizontal="center" vertical="center" wrapText="1"/>
    </xf>
    <xf numFmtId="0" fontId="246" fillId="6" borderId="181" xfId="0" applyFont="1" applyFill="1" applyBorder="1" applyAlignment="1">
      <alignment horizontal="center" vertical="center" wrapText="1"/>
    </xf>
    <xf numFmtId="0" fontId="246" fillId="6" borderId="182" xfId="0" applyFont="1" applyFill="1" applyBorder="1" applyAlignment="1">
      <alignment horizontal="center" vertical="center" wrapText="1"/>
    </xf>
    <xf numFmtId="0" fontId="221" fillId="7" borderId="243" xfId="0" applyFont="1" applyFill="1" applyBorder="1" applyAlignment="1">
      <alignment horizontal="center" vertical="center" wrapText="1"/>
    </xf>
    <xf numFmtId="0" fontId="246" fillId="8" borderId="217" xfId="0" applyFont="1" applyFill="1" applyBorder="1" applyAlignment="1">
      <alignment horizontal="center" vertical="top"/>
    </xf>
    <xf numFmtId="0" fontId="246" fillId="8" borderId="225" xfId="0" applyFont="1" applyFill="1" applyBorder="1" applyAlignment="1">
      <alignment horizontal="center" vertical="top"/>
    </xf>
    <xf numFmtId="0" fontId="246" fillId="8" borderId="183" xfId="0" applyFont="1" applyFill="1" applyBorder="1" applyAlignment="1">
      <alignment horizontal="center" vertical="top"/>
    </xf>
    <xf numFmtId="0" fontId="246" fillId="137" borderId="217" xfId="0" applyFont="1" applyFill="1" applyBorder="1" applyAlignment="1">
      <alignment horizontal="center" vertical="top"/>
    </xf>
    <xf numFmtId="0" fontId="246" fillId="137" borderId="225" xfId="0" applyFont="1" applyFill="1" applyBorder="1" applyAlignment="1">
      <alignment horizontal="center" vertical="top"/>
    </xf>
    <xf numFmtId="0" fontId="246" fillId="137" borderId="183" xfId="0" applyFont="1" applyFill="1" applyBorder="1" applyAlignment="1">
      <alignment horizontal="center" vertical="top"/>
    </xf>
    <xf numFmtId="0" fontId="246" fillId="119" borderId="217" xfId="0" applyFont="1" applyFill="1" applyBorder="1" applyAlignment="1">
      <alignment horizontal="center" vertical="top"/>
    </xf>
    <xf numFmtId="0" fontId="246" fillId="119" borderId="225" xfId="0" applyFont="1" applyFill="1" applyBorder="1" applyAlignment="1">
      <alignment horizontal="center" vertical="top"/>
    </xf>
    <xf numFmtId="0" fontId="246" fillId="119" borderId="183" xfId="0" applyFont="1" applyFill="1" applyBorder="1" applyAlignment="1">
      <alignment horizontal="center" vertical="top"/>
    </xf>
    <xf numFmtId="0" fontId="136" fillId="89" borderId="118" xfId="0" applyFont="1" applyFill="1" applyBorder="1" applyAlignment="1">
      <alignment horizontal="center" wrapText="1"/>
    </xf>
    <xf numFmtId="0" fontId="136" fillId="89" borderId="72" xfId="0" applyFont="1" applyFill="1" applyBorder="1" applyAlignment="1">
      <alignment horizontal="center" wrapText="1"/>
    </xf>
    <xf numFmtId="0" fontId="136" fillId="89" borderId="219" xfId="0" applyFont="1" applyFill="1" applyBorder="1" applyAlignment="1">
      <alignment horizontal="center" wrapText="1"/>
    </xf>
    <xf numFmtId="0" fontId="141" fillId="0" borderId="181" xfId="0" applyFont="1" applyBorder="1" applyAlignment="1">
      <alignment horizontal="center" vertical="center" wrapText="1"/>
    </xf>
    <xf numFmtId="0" fontId="141" fillId="0" borderId="182" xfId="0" applyFont="1" applyBorder="1" applyAlignment="1">
      <alignment horizontal="center" vertical="center" wrapText="1"/>
    </xf>
    <xf numFmtId="0" fontId="246" fillId="70" borderId="296" xfId="0" applyFont="1" applyFill="1" applyBorder="1" applyAlignment="1">
      <alignment horizontal="center" vertical="center" wrapText="1"/>
    </xf>
    <xf numFmtId="0" fontId="246" fillId="70" borderId="273" xfId="0" applyFont="1" applyFill="1" applyBorder="1" applyAlignment="1">
      <alignment horizontal="center" vertical="center" wrapText="1"/>
    </xf>
    <xf numFmtId="0" fontId="246" fillId="70" borderId="262" xfId="0" applyFont="1" applyFill="1" applyBorder="1" applyAlignment="1">
      <alignment horizontal="center" vertical="center" wrapText="1"/>
    </xf>
    <xf numFmtId="0" fontId="142" fillId="87" borderId="276" xfId="0" applyFont="1" applyFill="1" applyBorder="1" applyAlignment="1">
      <alignment horizontal="center" vertical="center" wrapText="1"/>
    </xf>
    <xf numFmtId="0" fontId="142" fillId="87" borderId="297" xfId="0" applyFont="1" applyFill="1" applyBorder="1" applyAlignment="1">
      <alignment horizontal="center" vertical="center" wrapText="1"/>
    </xf>
    <xf numFmtId="0" fontId="142" fillId="87" borderId="298" xfId="0" applyFont="1" applyFill="1" applyBorder="1" applyAlignment="1">
      <alignment horizontal="center" vertical="center" wrapText="1"/>
    </xf>
    <xf numFmtId="0" fontId="142" fillId="72" borderId="256" xfId="0" applyFont="1" applyFill="1" applyBorder="1" applyAlignment="1">
      <alignment horizontal="center" vertical="center" wrapText="1"/>
    </xf>
    <xf numFmtId="0" fontId="142" fillId="72" borderId="273" xfId="0" applyFont="1" applyFill="1" applyBorder="1" applyAlignment="1">
      <alignment horizontal="center" vertical="center" wrapText="1"/>
    </xf>
    <xf numFmtId="0" fontId="142" fillId="72" borderId="262" xfId="0" applyFont="1" applyFill="1" applyBorder="1" applyAlignment="1">
      <alignment horizontal="center" vertical="center" wrapText="1"/>
    </xf>
    <xf numFmtId="0" fontId="307" fillId="62" borderId="75" xfId="0" applyFont="1" applyFill="1" applyBorder="1" applyAlignment="1">
      <alignment horizontal="center" vertical="center" wrapText="1"/>
    </xf>
    <xf numFmtId="0" fontId="307" fillId="62" borderId="219" xfId="0" applyFont="1" applyFill="1" applyBorder="1" applyAlignment="1">
      <alignment horizontal="center" vertical="center" wrapText="1"/>
    </xf>
    <xf numFmtId="0" fontId="307" fillId="62" borderId="256" xfId="0" applyFont="1" applyFill="1" applyBorder="1" applyAlignment="1">
      <alignment horizontal="center" vertical="center" wrapText="1"/>
    </xf>
    <xf numFmtId="0" fontId="307" fillId="62" borderId="79" xfId="0" applyFont="1" applyFill="1" applyBorder="1" applyAlignment="1">
      <alignment horizontal="center" vertical="center" wrapText="1"/>
    </xf>
    <xf numFmtId="0" fontId="307" fillId="62" borderId="273" xfId="0" applyFont="1" applyFill="1" applyBorder="1" applyAlignment="1">
      <alignment horizontal="center" vertical="center" wrapText="1"/>
    </xf>
    <xf numFmtId="0" fontId="307" fillId="62" borderId="265" xfId="0" applyFont="1" applyFill="1" applyBorder="1" applyAlignment="1">
      <alignment horizontal="center" vertical="center" wrapText="1"/>
    </xf>
    <xf numFmtId="0" fontId="307" fillId="62" borderId="261" xfId="0" applyFont="1" applyFill="1" applyBorder="1" applyAlignment="1">
      <alignment horizontal="center" vertical="center" wrapText="1"/>
    </xf>
    <xf numFmtId="0" fontId="307" fillId="62" borderId="262" xfId="0" applyFont="1" applyFill="1" applyBorder="1" applyAlignment="1">
      <alignment horizontal="center" vertical="center" wrapText="1"/>
    </xf>
    <xf numFmtId="0" fontId="308" fillId="0" borderId="118" xfId="0" applyFont="1" applyBorder="1" applyAlignment="1">
      <alignment horizontal="center" vertical="center" wrapText="1"/>
    </xf>
    <xf numFmtId="0" fontId="308" fillId="0" borderId="119" xfId="0" applyFont="1" applyBorder="1" applyAlignment="1">
      <alignment horizontal="center" vertical="center" wrapText="1"/>
    </xf>
    <xf numFmtId="0" fontId="147" fillId="0" borderId="158" xfId="0" applyFont="1" applyBorder="1" applyAlignment="1">
      <alignment horizontal="center" vertical="center" wrapText="1"/>
    </xf>
    <xf numFmtId="0" fontId="147" fillId="0" borderId="181" xfId="0" applyFont="1" applyBorder="1" applyAlignment="1">
      <alignment horizontal="center" vertical="center" wrapText="1"/>
    </xf>
    <xf numFmtId="0" fontId="147" fillId="0" borderId="182" xfId="0" applyFont="1" applyBorder="1" applyAlignment="1">
      <alignment horizontal="center" vertical="center" wrapText="1"/>
    </xf>
    <xf numFmtId="0" fontId="147" fillId="0" borderId="193" xfId="0" applyFont="1" applyBorder="1" applyAlignment="1">
      <alignment horizontal="center" vertical="center" wrapText="1"/>
    </xf>
    <xf numFmtId="0" fontId="147" fillId="0" borderId="224" xfId="0" applyFont="1" applyBorder="1" applyAlignment="1">
      <alignment horizontal="center" vertical="center" wrapText="1"/>
    </xf>
    <xf numFmtId="0" fontId="145" fillId="70" borderId="158" xfId="0" applyFont="1" applyFill="1" applyBorder="1" applyAlignment="1">
      <alignment horizontal="center" vertical="center" wrapText="1"/>
    </xf>
    <xf numFmtId="0" fontId="145" fillId="70" borderId="181" xfId="0" applyFont="1" applyFill="1" applyBorder="1" applyAlignment="1">
      <alignment horizontal="center" vertical="center" wrapText="1"/>
    </xf>
    <xf numFmtId="0" fontId="145" fillId="70" borderId="182" xfId="0" applyFont="1" applyFill="1" applyBorder="1" applyAlignment="1">
      <alignment horizontal="center" vertical="center" wrapText="1"/>
    </xf>
    <xf numFmtId="0" fontId="147" fillId="89" borderId="118" xfId="0" applyFont="1" applyFill="1" applyBorder="1" applyAlignment="1">
      <alignment horizontal="center" wrapText="1"/>
    </xf>
    <xf numFmtId="0" fontId="147" fillId="89" borderId="119" xfId="0" applyFont="1" applyFill="1" applyBorder="1" applyAlignment="1">
      <alignment horizontal="center" wrapText="1"/>
    </xf>
    <xf numFmtId="0" fontId="147" fillId="89" borderId="72" xfId="0" applyFont="1" applyFill="1" applyBorder="1" applyAlignment="1">
      <alignment horizontal="center" wrapText="1"/>
    </xf>
    <xf numFmtId="0" fontId="147" fillId="62" borderId="118" xfId="0" applyFont="1" applyFill="1" applyBorder="1" applyAlignment="1">
      <alignment horizontal="center" wrapText="1"/>
    </xf>
    <xf numFmtId="0" fontId="147" fillId="62" borderId="72" xfId="0" applyFont="1" applyFill="1" applyBorder="1" applyAlignment="1">
      <alignment horizontal="center" wrapText="1"/>
    </xf>
    <xf numFmtId="0" fontId="147" fillId="62" borderId="119" xfId="0" applyFont="1" applyFill="1" applyBorder="1" applyAlignment="1">
      <alignment horizontal="center" wrapText="1"/>
    </xf>
    <xf numFmtId="0" fontId="342" fillId="62" borderId="107" xfId="0" applyFont="1" applyFill="1" applyBorder="1" applyAlignment="1">
      <alignment horizontal="center" wrapText="1"/>
    </xf>
    <xf numFmtId="0" fontId="342" fillId="62" borderId="302" xfId="0" applyFont="1" applyFill="1" applyBorder="1" applyAlignment="1">
      <alignment horizontal="center" wrapText="1"/>
    </xf>
    <xf numFmtId="0" fontId="141" fillId="0" borderId="76" xfId="0" applyFont="1" applyBorder="1" applyAlignment="1">
      <alignment horizontal="center" vertical="center" wrapText="1"/>
    </xf>
    <xf numFmtId="0" fontId="141" fillId="0" borderId="264" xfId="0" applyFont="1" applyBorder="1" applyAlignment="1">
      <alignment horizontal="center" vertical="center" wrapText="1"/>
    </xf>
    <xf numFmtId="0" fontId="141" fillId="0" borderId="234" xfId="0" applyFont="1" applyBorder="1" applyAlignment="1">
      <alignment horizontal="center" vertical="center" wrapText="1"/>
    </xf>
    <xf numFmtId="0" fontId="145" fillId="70" borderId="76" xfId="0" applyFont="1" applyFill="1" applyBorder="1" applyAlignment="1">
      <alignment horizontal="center" vertical="center" wrapText="1"/>
    </xf>
    <xf numFmtId="0" fontId="145" fillId="70" borderId="264" xfId="0" applyFont="1" applyFill="1" applyBorder="1" applyAlignment="1">
      <alignment horizontal="center" vertical="center" wrapText="1"/>
    </xf>
    <xf numFmtId="0" fontId="145" fillId="70" borderId="234" xfId="0" applyFont="1" applyFill="1" applyBorder="1" applyAlignment="1">
      <alignment horizontal="center" vertical="center" wrapText="1"/>
    </xf>
    <xf numFmtId="0" fontId="246" fillId="70" borderId="76" xfId="0" applyFont="1" applyFill="1" applyBorder="1" applyAlignment="1">
      <alignment horizontal="center" vertical="center" wrapText="1"/>
    </xf>
    <xf numFmtId="0" fontId="246" fillId="70" borderId="264" xfId="0" applyFont="1" applyFill="1" applyBorder="1" applyAlignment="1">
      <alignment horizontal="center" vertical="center" wrapText="1"/>
    </xf>
    <xf numFmtId="0" fontId="246" fillId="70" borderId="234" xfId="0" applyFont="1" applyFill="1" applyBorder="1" applyAlignment="1">
      <alignment horizontal="center" vertical="center" wrapText="1"/>
    </xf>
    <xf numFmtId="0" fontId="142" fillId="87" borderId="76" xfId="0" applyFont="1" applyFill="1" applyBorder="1" applyAlignment="1">
      <alignment horizontal="center" vertical="center" wrapText="1"/>
    </xf>
    <xf numFmtId="0" fontId="142" fillId="87" borderId="264" xfId="0" applyFont="1" applyFill="1" applyBorder="1" applyAlignment="1">
      <alignment horizontal="center" vertical="center" wrapText="1"/>
    </xf>
    <xf numFmtId="0" fontId="142" fillId="87" borderId="234" xfId="0" applyFont="1" applyFill="1" applyBorder="1" applyAlignment="1">
      <alignment horizontal="center" vertical="center" wrapText="1"/>
    </xf>
    <xf numFmtId="0" fontId="142" fillId="72" borderId="76" xfId="0" applyFont="1" applyFill="1" applyBorder="1" applyAlignment="1">
      <alignment horizontal="center" vertical="center" wrapText="1"/>
    </xf>
    <xf numFmtId="0" fontId="142" fillId="72" borderId="264" xfId="0" applyFont="1" applyFill="1" applyBorder="1" applyAlignment="1">
      <alignment horizontal="center" vertical="center" wrapText="1"/>
    </xf>
    <xf numFmtId="0" fontId="142" fillId="72" borderId="234" xfId="0" applyFont="1" applyFill="1" applyBorder="1" applyAlignment="1">
      <alignment horizontal="center" vertical="center" wrapText="1"/>
    </xf>
    <xf numFmtId="0" fontId="321" fillId="0" borderId="141" xfId="0" applyFont="1" applyBorder="1" applyAlignment="1">
      <alignment horizontal="center" vertical="center"/>
    </xf>
    <xf numFmtId="0" fontId="278" fillId="0" borderId="141" xfId="0" applyFont="1" applyBorder="1" applyAlignment="1">
      <alignment horizontal="center" vertical="center"/>
    </xf>
    <xf numFmtId="0" fontId="142" fillId="5" borderId="158" xfId="0" applyFont="1" applyFill="1" applyBorder="1" applyAlignment="1">
      <alignment horizontal="center" vertical="center" wrapText="1"/>
    </xf>
    <xf numFmtId="0" fontId="142" fillId="5" borderId="181" xfId="0" applyFont="1" applyFill="1" applyBorder="1" applyAlignment="1">
      <alignment horizontal="center" vertical="center" wrapText="1"/>
    </xf>
    <xf numFmtId="0" fontId="142" fillId="5" borderId="182" xfId="0" applyFont="1" applyFill="1" applyBorder="1" applyAlignment="1">
      <alignment horizontal="center" vertical="center" wrapText="1"/>
    </xf>
    <xf numFmtId="0" fontId="142" fillId="6" borderId="158" xfId="0" applyFont="1" applyFill="1" applyBorder="1" applyAlignment="1">
      <alignment horizontal="center" vertical="center" wrapText="1"/>
    </xf>
    <xf numFmtId="0" fontId="142" fillId="6" borderId="182" xfId="0" applyFont="1" applyFill="1" applyBorder="1" applyAlignment="1">
      <alignment horizontal="center" vertical="center" wrapText="1"/>
    </xf>
    <xf numFmtId="0" fontId="143" fillId="7" borderId="158" xfId="0" applyFont="1" applyFill="1" applyBorder="1" applyAlignment="1">
      <alignment horizontal="center" vertical="center" wrapText="1"/>
    </xf>
    <xf numFmtId="0" fontId="143" fillId="7" borderId="181" xfId="0" applyFont="1" applyFill="1" applyBorder="1" applyAlignment="1">
      <alignment horizontal="center" vertical="center" wrapText="1"/>
    </xf>
    <xf numFmtId="0" fontId="143" fillId="7" borderId="182" xfId="0" applyFont="1" applyFill="1" applyBorder="1" applyAlignment="1">
      <alignment horizontal="center" vertical="center" wrapText="1"/>
    </xf>
    <xf numFmtId="0" fontId="0" fillId="65" borderId="71" xfId="0" applyFill="1" applyBorder="1" applyAlignment="1">
      <alignment horizontal="center"/>
    </xf>
    <xf numFmtId="0" fontId="0" fillId="65" borderId="42" xfId="0" applyFill="1" applyBorder="1" applyAlignment="1">
      <alignment horizontal="center"/>
    </xf>
    <xf numFmtId="0" fontId="321" fillId="0" borderId="158" xfId="5" applyFont="1" applyBorder="1" applyAlignment="1">
      <alignment horizontal="center"/>
    </xf>
    <xf numFmtId="0" fontId="321" fillId="0" borderId="182" xfId="5" applyFont="1" applyBorder="1" applyAlignment="1">
      <alignment horizontal="center"/>
    </xf>
    <xf numFmtId="0" fontId="147" fillId="3" borderId="158" xfId="5" applyFont="1" applyFill="1" applyBorder="1" applyAlignment="1">
      <alignment horizontal="center" vertical="center" wrapText="1"/>
    </xf>
    <xf numFmtId="0" fontId="147" fillId="3" borderId="182" xfId="5" applyFont="1" applyFill="1" applyBorder="1" applyAlignment="1">
      <alignment horizontal="center" vertical="center" wrapText="1"/>
    </xf>
    <xf numFmtId="0" fontId="45" fillId="59" borderId="62" xfId="0" applyFont="1" applyFill="1" applyBorder="1" applyAlignment="1">
      <alignment wrapText="1"/>
    </xf>
    <xf numFmtId="0" fontId="45" fillId="59" borderId="233" xfId="0" applyFont="1" applyFill="1" applyBorder="1" applyAlignment="1">
      <alignment wrapText="1"/>
    </xf>
    <xf numFmtId="0" fontId="45" fillId="59" borderId="100" xfId="0" applyFont="1" applyFill="1" applyBorder="1" applyAlignment="1">
      <alignment wrapText="1"/>
    </xf>
    <xf numFmtId="0" fontId="145" fillId="70" borderId="94" xfId="0" applyFont="1" applyFill="1" applyBorder="1" applyAlignment="1">
      <alignment horizontal="center" vertical="center" wrapText="1"/>
    </xf>
    <xf numFmtId="0" fontId="136" fillId="128" borderId="62" xfId="0" applyFont="1" applyFill="1" applyBorder="1" applyAlignment="1">
      <alignment horizontal="right" wrapText="1"/>
    </xf>
    <xf numFmtId="0" fontId="136" fillId="128" borderId="233" xfId="0" applyFont="1" applyFill="1" applyBorder="1" applyAlignment="1">
      <alignment horizontal="right" wrapText="1"/>
    </xf>
    <xf numFmtId="0" fontId="136" fillId="128" borderId="100" xfId="0" applyFont="1" applyFill="1" applyBorder="1" applyAlignment="1">
      <alignment horizontal="right" wrapText="1"/>
    </xf>
    <xf numFmtId="0" fontId="136" fillId="59" borderId="107" xfId="0" applyFont="1" applyFill="1" applyBorder="1" applyAlignment="1">
      <alignment horizontal="center" wrapText="1"/>
    </xf>
    <xf numFmtId="0" fontId="137" fillId="2" borderId="2" xfId="0" applyFont="1" applyFill="1" applyBorder="1" applyAlignment="1">
      <alignment horizontal="center" vertical="center"/>
    </xf>
    <xf numFmtId="0" fontId="144" fillId="2" borderId="68" xfId="0" applyFont="1" applyFill="1" applyBorder="1" applyAlignment="1">
      <alignment horizontal="center" wrapText="1"/>
    </xf>
    <xf numFmtId="0" fontId="144" fillId="2" borderId="97" xfId="0" applyFont="1" applyFill="1" applyBorder="1" applyAlignment="1">
      <alignment horizontal="center" wrapText="1"/>
    </xf>
    <xf numFmtId="0" fontId="144" fillId="2" borderId="267" xfId="0" applyFont="1" applyFill="1" applyBorder="1" applyAlignment="1">
      <alignment horizontal="center" wrapText="1"/>
    </xf>
    <xf numFmtId="0" fontId="144" fillId="2" borderId="120" xfId="0" applyFont="1" applyFill="1" applyBorder="1" applyAlignment="1">
      <alignment horizontal="center" wrapText="1"/>
    </xf>
    <xf numFmtId="0" fontId="144" fillId="2" borderId="95" xfId="0" applyFont="1" applyFill="1" applyBorder="1" applyAlignment="1">
      <alignment horizontal="center" wrapText="1"/>
    </xf>
    <xf numFmtId="0" fontId="144" fillId="2" borderId="268" xfId="0" applyFont="1" applyFill="1" applyBorder="1" applyAlignment="1">
      <alignment horizontal="center" wrapText="1"/>
    </xf>
    <xf numFmtId="0" fontId="157" fillId="0" borderId="158" xfId="0" applyFont="1" applyBorder="1" applyAlignment="1">
      <alignment horizontal="center" vertical="center" wrapText="1"/>
    </xf>
    <xf numFmtId="0" fontId="157" fillId="0" borderId="182" xfId="0" applyFont="1" applyBorder="1" applyAlignment="1">
      <alignment horizontal="center" vertical="center" wrapText="1"/>
    </xf>
    <xf numFmtId="0" fontId="144" fillId="2" borderId="192" xfId="0" applyFont="1" applyFill="1" applyBorder="1" applyAlignment="1">
      <alignment horizontal="center" wrapText="1"/>
    </xf>
    <xf numFmtId="0" fontId="144" fillId="2" borderId="147" xfId="0" applyFont="1" applyFill="1" applyBorder="1" applyAlignment="1">
      <alignment horizontal="center" wrapText="1"/>
    </xf>
    <xf numFmtId="0" fontId="144" fillId="2" borderId="193" xfId="0" applyFont="1" applyFill="1" applyBorder="1" applyAlignment="1">
      <alignment horizontal="center" wrapText="1"/>
    </xf>
    <xf numFmtId="0" fontId="144" fillId="2" borderId="210" xfId="0" applyFont="1" applyFill="1" applyBorder="1" applyAlignment="1">
      <alignment horizontal="center" wrapText="1"/>
    </xf>
    <xf numFmtId="0" fontId="144" fillId="2" borderId="107" xfId="0" applyFont="1" applyFill="1" applyBorder="1" applyAlignment="1">
      <alignment horizontal="center" wrapText="1"/>
    </xf>
    <xf numFmtId="0" fontId="144" fillId="2" borderId="228" xfId="0" applyFont="1" applyFill="1" applyBorder="1" applyAlignment="1">
      <alignment horizontal="center" wrapText="1"/>
    </xf>
    <xf numFmtId="0" fontId="144" fillId="2" borderId="194" xfId="0" applyFont="1" applyFill="1" applyBorder="1" applyAlignment="1">
      <alignment horizontal="center" wrapText="1"/>
    </xf>
    <xf numFmtId="0" fontId="144" fillId="2" borderId="179" xfId="0" applyFont="1" applyFill="1" applyBorder="1" applyAlignment="1">
      <alignment horizontal="center" wrapText="1"/>
    </xf>
    <xf numFmtId="0" fontId="144" fillId="2" borderId="224" xfId="0" applyFont="1" applyFill="1" applyBorder="1" applyAlignment="1">
      <alignment horizontal="center" wrapText="1"/>
    </xf>
    <xf numFmtId="0" fontId="246" fillId="70" borderId="158" xfId="0" applyFont="1" applyFill="1" applyBorder="1" applyAlignment="1">
      <alignment horizontal="center" vertical="center" wrapText="1"/>
    </xf>
    <xf numFmtId="0" fontId="246" fillId="70" borderId="181" xfId="0" applyFont="1" applyFill="1" applyBorder="1" applyAlignment="1">
      <alignment horizontal="center" vertical="center" wrapText="1"/>
    </xf>
    <xf numFmtId="0" fontId="246" fillId="70" borderId="182" xfId="0" applyFont="1" applyFill="1" applyBorder="1" applyAlignment="1">
      <alignment horizontal="center" vertical="center" wrapText="1"/>
    </xf>
    <xf numFmtId="0" fontId="144" fillId="2" borderId="22" xfId="0" applyFont="1" applyFill="1" applyBorder="1" applyAlignment="1">
      <alignment horizontal="center" wrapText="1"/>
    </xf>
    <xf numFmtId="0" fontId="156" fillId="2" borderId="192" xfId="0" applyFont="1" applyFill="1" applyBorder="1" applyAlignment="1">
      <alignment horizontal="center" wrapText="1"/>
    </xf>
    <xf numFmtId="0" fontId="156" fillId="2" borderId="147" xfId="0" applyFont="1" applyFill="1" applyBorder="1" applyAlignment="1">
      <alignment horizontal="center" wrapText="1"/>
    </xf>
    <xf numFmtId="0" fontId="156" fillId="2" borderId="193" xfId="0" applyFont="1" applyFill="1" applyBorder="1" applyAlignment="1">
      <alignment horizontal="center" wrapText="1"/>
    </xf>
    <xf numFmtId="0" fontId="156" fillId="2" borderId="210" xfId="0" applyFont="1" applyFill="1" applyBorder="1" applyAlignment="1">
      <alignment horizontal="center" wrapText="1"/>
    </xf>
    <xf numFmtId="0" fontId="156" fillId="2" borderId="107" xfId="0" applyFont="1" applyFill="1" applyBorder="1" applyAlignment="1">
      <alignment horizontal="center" wrapText="1"/>
    </xf>
    <xf numFmtId="0" fontId="156" fillId="2" borderId="228" xfId="0" applyFont="1" applyFill="1" applyBorder="1" applyAlignment="1">
      <alignment horizontal="center" wrapText="1"/>
    </xf>
    <xf numFmtId="0" fontId="156" fillId="2" borderId="194" xfId="0" applyFont="1" applyFill="1" applyBorder="1" applyAlignment="1">
      <alignment horizontal="center" wrapText="1"/>
    </xf>
    <xf numFmtId="0" fontId="156" fillId="2" borderId="179" xfId="0" applyFont="1" applyFill="1" applyBorder="1" applyAlignment="1">
      <alignment horizontal="center" wrapText="1"/>
    </xf>
    <xf numFmtId="0" fontId="156" fillId="2" borderId="224" xfId="0" applyFont="1" applyFill="1" applyBorder="1" applyAlignment="1">
      <alignment horizontal="center" wrapText="1"/>
    </xf>
    <xf numFmtId="0" fontId="142" fillId="6" borderId="181" xfId="0" applyFont="1" applyFill="1" applyBorder="1" applyAlignment="1">
      <alignment horizontal="center" vertical="center" wrapText="1"/>
    </xf>
    <xf numFmtId="0" fontId="156" fillId="7" borderId="158" xfId="0" applyFont="1" applyFill="1" applyBorder="1" applyAlignment="1">
      <alignment horizontal="center" vertical="center" wrapText="1"/>
    </xf>
    <xf numFmtId="0" fontId="156" fillId="7" borderId="181" xfId="0" applyFont="1" applyFill="1" applyBorder="1" applyAlignment="1">
      <alignment horizontal="center" vertical="center" wrapText="1"/>
    </xf>
    <xf numFmtId="0" fontId="337" fillId="166" borderId="187" xfId="0" applyFont="1" applyFill="1" applyBorder="1" applyAlignment="1">
      <alignment horizontal="left" vertical="center" wrapText="1"/>
    </xf>
    <xf numFmtId="0" fontId="338" fillId="166" borderId="187" xfId="0" applyFont="1" applyFill="1" applyBorder="1" applyAlignment="1">
      <alignment horizontal="left" vertical="center" wrapText="1"/>
    </xf>
    <xf numFmtId="0" fontId="338" fillId="166" borderId="241" xfId="0" applyFont="1" applyFill="1" applyBorder="1" applyAlignment="1">
      <alignment horizontal="left" vertical="center" wrapText="1"/>
    </xf>
    <xf numFmtId="0" fontId="192" fillId="7" borderId="158" xfId="5" applyFont="1" applyFill="1" applyBorder="1" applyAlignment="1">
      <alignment horizontal="center" vertical="center" wrapText="1"/>
    </xf>
    <xf numFmtId="0" fontId="192" fillId="7" borderId="181" xfId="5" applyFont="1" applyFill="1" applyBorder="1" applyAlignment="1">
      <alignment horizontal="center" vertical="center" wrapText="1"/>
    </xf>
    <xf numFmtId="0" fontId="141" fillId="0" borderId="78" xfId="0" applyFont="1" applyBorder="1" applyAlignment="1">
      <alignment horizontal="center" vertical="center" wrapText="1"/>
    </xf>
    <xf numFmtId="0" fontId="141" fillId="0" borderId="122" xfId="0" applyFont="1" applyBorder="1" applyAlignment="1">
      <alignment horizontal="center" vertical="center" wrapText="1"/>
    </xf>
    <xf numFmtId="0" fontId="136" fillId="0" borderId="30" xfId="0" applyFont="1" applyBorder="1" applyAlignment="1">
      <alignment horizontal="center"/>
    </xf>
    <xf numFmtId="0" fontId="139" fillId="0" borderId="30" xfId="0" applyFont="1" applyBorder="1"/>
    <xf numFmtId="0" fontId="142" fillId="6" borderId="22" xfId="0" applyFont="1" applyFill="1" applyBorder="1" applyAlignment="1">
      <alignment horizontal="center" vertical="center" wrapText="1"/>
    </xf>
    <xf numFmtId="0" fontId="141" fillId="0" borderId="193" xfId="0" applyFont="1" applyBorder="1" applyAlignment="1">
      <alignment horizontal="center" vertical="center" wrapText="1"/>
    </xf>
    <xf numFmtId="0" fontId="141" fillId="0" borderId="228" xfId="0" applyFont="1" applyBorder="1" applyAlignment="1">
      <alignment horizontal="center" vertical="center" wrapText="1"/>
    </xf>
    <xf numFmtId="0" fontId="139" fillId="0" borderId="192" xfId="0" applyFont="1" applyBorder="1" applyAlignment="1">
      <alignment horizontal="center"/>
    </xf>
    <xf numFmtId="0" fontId="139" fillId="0" borderId="194" xfId="0" applyFont="1" applyBorder="1" applyAlignment="1">
      <alignment horizontal="center"/>
    </xf>
    <xf numFmtId="0" fontId="143" fillId="2" borderId="192" xfId="0" applyFont="1" applyFill="1" applyBorder="1" applyAlignment="1">
      <alignment horizontal="center" wrapText="1"/>
    </xf>
    <xf numFmtId="0" fontId="143" fillId="2" borderId="147" xfId="0" applyFont="1" applyFill="1" applyBorder="1" applyAlignment="1">
      <alignment horizontal="center" wrapText="1"/>
    </xf>
    <xf numFmtId="0" fontId="143" fillId="2" borderId="193" xfId="0" applyFont="1" applyFill="1" applyBorder="1" applyAlignment="1">
      <alignment horizontal="center" wrapText="1"/>
    </xf>
    <xf numFmtId="0" fontId="143" fillId="2" borderId="210" xfId="0" applyFont="1" applyFill="1" applyBorder="1" applyAlignment="1">
      <alignment horizontal="center" wrapText="1"/>
    </xf>
    <xf numFmtId="0" fontId="143" fillId="2" borderId="107" xfId="0" applyFont="1" applyFill="1" applyBorder="1" applyAlignment="1">
      <alignment horizontal="center" wrapText="1"/>
    </xf>
    <xf numFmtId="0" fontId="143" fillId="2" borderId="228" xfId="0" applyFont="1" applyFill="1" applyBorder="1" applyAlignment="1">
      <alignment horizontal="center" wrapText="1"/>
    </xf>
    <xf numFmtId="0" fontId="143" fillId="2" borderId="194" xfId="0" applyFont="1" applyFill="1" applyBorder="1" applyAlignment="1">
      <alignment horizontal="center" wrapText="1"/>
    </xf>
    <xf numFmtId="0" fontId="143" fillId="2" borderId="179" xfId="0" applyFont="1" applyFill="1" applyBorder="1" applyAlignment="1">
      <alignment horizontal="center" wrapText="1"/>
    </xf>
    <xf numFmtId="0" fontId="143" fillId="2" borderId="224" xfId="0" applyFont="1" applyFill="1" applyBorder="1" applyAlignment="1">
      <alignment horizontal="center" wrapText="1"/>
    </xf>
    <xf numFmtId="0" fontId="143" fillId="7" borderId="22" xfId="0" applyFont="1" applyFill="1" applyBorder="1" applyAlignment="1">
      <alignment horizontal="center" vertical="center" wrapText="1"/>
    </xf>
    <xf numFmtId="0" fontId="142" fillId="5" borderId="22" xfId="0" applyFont="1" applyFill="1" applyBorder="1" applyAlignment="1">
      <alignment horizontal="center" vertical="center" wrapText="1"/>
    </xf>
    <xf numFmtId="0" fontId="143" fillId="7" borderId="66" xfId="0" applyFont="1" applyFill="1" applyBorder="1" applyAlignment="1">
      <alignment horizontal="center" vertical="center" wrapText="1"/>
    </xf>
    <xf numFmtId="0" fontId="143" fillId="7" borderId="71" xfId="0" applyFont="1" applyFill="1" applyBorder="1" applyAlignment="1">
      <alignment horizontal="center" vertical="center" wrapText="1"/>
    </xf>
    <xf numFmtId="0" fontId="143" fillId="7" borderId="42" xfId="0" applyFont="1" applyFill="1" applyBorder="1" applyAlignment="1">
      <alignment horizontal="center" vertical="center" wrapText="1"/>
    </xf>
    <xf numFmtId="0" fontId="156" fillId="72" borderId="158" xfId="0" applyFont="1" applyFill="1" applyBorder="1" applyAlignment="1">
      <alignment horizontal="center" vertical="center" wrapText="1"/>
    </xf>
    <xf numFmtId="0" fontId="156" fillId="72" borderId="181" xfId="0" applyFont="1" applyFill="1" applyBorder="1" applyAlignment="1">
      <alignment horizontal="center" vertical="center" wrapText="1"/>
    </xf>
    <xf numFmtId="0" fontId="156" fillId="72" borderId="182" xfId="0" applyFont="1" applyFill="1" applyBorder="1" applyAlignment="1">
      <alignment horizontal="center" vertical="center" wrapText="1"/>
    </xf>
    <xf numFmtId="0" fontId="141" fillId="0" borderId="71" xfId="0" applyFont="1" applyBorder="1" applyAlignment="1">
      <alignment horizontal="center" vertical="center" wrapText="1"/>
    </xf>
    <xf numFmtId="0" fontId="141" fillId="0" borderId="42" xfId="0" applyFont="1" applyBorder="1" applyAlignment="1">
      <alignment horizontal="center" vertical="center" wrapText="1"/>
    </xf>
    <xf numFmtId="0" fontId="142" fillId="5" borderId="71" xfId="0" applyFont="1" applyFill="1" applyBorder="1" applyAlignment="1">
      <alignment horizontal="center" vertical="center" wrapText="1"/>
    </xf>
    <xf numFmtId="0" fontId="142" fillId="5" borderId="42" xfId="0" applyFont="1" applyFill="1" applyBorder="1" applyAlignment="1">
      <alignment horizontal="center" vertical="center" wrapText="1"/>
    </xf>
    <xf numFmtId="0" fontId="139" fillId="0" borderId="22" xfId="0" applyFont="1" applyBorder="1"/>
    <xf numFmtId="0" fontId="139" fillId="0" borderId="18" xfId="0" applyFont="1" applyBorder="1"/>
    <xf numFmtId="0" fontId="137" fillId="0" borderId="17" xfId="0" applyFont="1" applyBorder="1" applyAlignment="1">
      <alignment horizontal="center"/>
    </xf>
    <xf numFmtId="0" fontId="139" fillId="0" borderId="24" xfId="0" applyFont="1" applyBorder="1"/>
    <xf numFmtId="0" fontId="144" fillId="2" borderId="26" xfId="0" applyFont="1" applyFill="1" applyBorder="1" applyAlignment="1">
      <alignment horizontal="center" wrapText="1"/>
    </xf>
    <xf numFmtId="0" fontId="139" fillId="0" borderId="82" xfId="0" applyFont="1" applyBorder="1"/>
    <xf numFmtId="0" fontId="139" fillId="0" borderId="19" xfId="0" applyFont="1" applyBorder="1"/>
    <xf numFmtId="0" fontId="139" fillId="0" borderId="15" xfId="0" applyFont="1" applyBorder="1"/>
    <xf numFmtId="0" fontId="139" fillId="0" borderId="83" xfId="0" applyFont="1" applyBorder="1"/>
    <xf numFmtId="0" fontId="142" fillId="5" borderId="68" xfId="0" applyFont="1" applyFill="1" applyBorder="1" applyAlignment="1">
      <alignment horizontal="center" vertical="center" wrapText="1"/>
    </xf>
    <xf numFmtId="0" fontId="139" fillId="0" borderId="10" xfId="0" applyFont="1" applyBorder="1"/>
    <xf numFmtId="0" fontId="139" fillId="0" borderId="27" xfId="0" applyFont="1" applyBorder="1"/>
    <xf numFmtId="0" fontId="142" fillId="6" borderId="66" xfId="0" applyFont="1" applyFill="1" applyBorder="1" applyAlignment="1">
      <alignment horizontal="center" vertical="center" wrapText="1"/>
    </xf>
    <xf numFmtId="0" fontId="139" fillId="0" borderId="12" xfId="0" applyFont="1" applyBorder="1"/>
    <xf numFmtId="0" fontId="0" fillId="0" borderId="0" xfId="0"/>
    <xf numFmtId="0" fontId="139" fillId="0" borderId="92" xfId="0" applyFont="1" applyBorder="1"/>
    <xf numFmtId="0" fontId="144" fillId="2" borderId="220" xfId="0" applyFont="1" applyFill="1" applyBorder="1" applyAlignment="1">
      <alignment horizontal="center" wrapText="1"/>
    </xf>
    <xf numFmtId="0" fontId="144" fillId="2" borderId="221" xfId="0" applyFont="1" applyFill="1" applyBorder="1" applyAlignment="1">
      <alignment horizontal="center" wrapText="1"/>
    </xf>
    <xf numFmtId="0" fontId="142" fillId="6" borderId="71" xfId="0" applyFont="1" applyFill="1" applyBorder="1" applyAlignment="1">
      <alignment horizontal="center" vertical="center" wrapText="1"/>
    </xf>
    <xf numFmtId="0" fontId="141" fillId="0" borderId="222" xfId="0" applyFont="1" applyBorder="1" applyAlignment="1">
      <alignment horizontal="center" vertical="center" wrapText="1"/>
    </xf>
    <xf numFmtId="0" fontId="177" fillId="3" borderId="22" xfId="0" applyFont="1" applyFill="1" applyBorder="1" applyAlignment="1">
      <alignment horizontal="center" vertical="center"/>
    </xf>
    <xf numFmtId="0" fontId="177" fillId="3" borderId="78" xfId="0" applyFont="1" applyFill="1" applyBorder="1" applyAlignment="1">
      <alignment horizontal="center"/>
    </xf>
    <xf numFmtId="0" fontId="177" fillId="3" borderId="122" xfId="0" applyFont="1" applyFill="1" applyBorder="1" applyAlignment="1">
      <alignment horizontal="center"/>
    </xf>
    <xf numFmtId="0" fontId="320" fillId="0" borderId="158" xfId="0" applyFont="1" applyBorder="1" applyAlignment="1">
      <alignment horizontal="center" vertical="center" wrapText="1"/>
    </xf>
    <xf numFmtId="0" fontId="320" fillId="0" borderId="181" xfId="0" applyFont="1" applyBorder="1" applyAlignment="1">
      <alignment horizontal="center" vertical="center" wrapText="1"/>
    </xf>
    <xf numFmtId="0" fontId="320" fillId="0" borderId="182" xfId="0" applyFont="1" applyBorder="1" applyAlignment="1">
      <alignment horizontal="center" vertical="center" wrapText="1"/>
    </xf>
    <xf numFmtId="0" fontId="162" fillId="2" borderId="192" xfId="0" applyFont="1" applyFill="1" applyBorder="1" applyAlignment="1">
      <alignment horizontal="center" vertical="center" wrapText="1"/>
    </xf>
    <xf numFmtId="0" fontId="162" fillId="2" borderId="147" xfId="0" applyFont="1" applyFill="1" applyBorder="1" applyAlignment="1">
      <alignment horizontal="center" vertical="center" wrapText="1"/>
    </xf>
    <xf numFmtId="0" fontId="162" fillId="2" borderId="193" xfId="0" applyFont="1" applyFill="1" applyBorder="1" applyAlignment="1">
      <alignment horizontal="center" vertical="center" wrapText="1"/>
    </xf>
    <xf numFmtId="0" fontId="162" fillId="2" borderId="210" xfId="0" applyFont="1" applyFill="1" applyBorder="1" applyAlignment="1">
      <alignment horizontal="center" vertical="center" wrapText="1"/>
    </xf>
    <xf numFmtId="0" fontId="162" fillId="2" borderId="107" xfId="0" applyFont="1" applyFill="1" applyBorder="1" applyAlignment="1">
      <alignment horizontal="center" vertical="center" wrapText="1"/>
    </xf>
    <xf numFmtId="0" fontId="162" fillId="2" borderId="228" xfId="0" applyFont="1" applyFill="1" applyBorder="1" applyAlignment="1">
      <alignment horizontal="center" vertical="center" wrapText="1"/>
    </xf>
    <xf numFmtId="0" fontId="162" fillId="2" borderId="194" xfId="0" applyFont="1" applyFill="1" applyBorder="1" applyAlignment="1">
      <alignment horizontal="center" vertical="center" wrapText="1"/>
    </xf>
    <xf numFmtId="0" fontId="162" fillId="2" borderId="179" xfId="0" applyFont="1" applyFill="1" applyBorder="1" applyAlignment="1">
      <alignment horizontal="center" vertical="center" wrapText="1"/>
    </xf>
    <xf numFmtId="0" fontId="162" fillId="2" borderId="224" xfId="0" applyFont="1" applyFill="1" applyBorder="1" applyAlignment="1">
      <alignment horizontal="center" vertical="center" wrapText="1"/>
    </xf>
    <xf numFmtId="0" fontId="197" fillId="0" borderId="193" xfId="0" applyFont="1" applyBorder="1" applyAlignment="1">
      <alignment horizontal="center" vertical="center" wrapText="1"/>
    </xf>
    <xf numFmtId="0" fontId="197" fillId="0" borderId="224" xfId="0" applyFont="1" applyBorder="1" applyAlignment="1">
      <alignment horizontal="center" vertical="center" wrapText="1"/>
    </xf>
    <xf numFmtId="0" fontId="139" fillId="0" borderId="181" xfId="0" applyFont="1" applyBorder="1" applyAlignment="1">
      <alignment horizontal="center"/>
    </xf>
    <xf numFmtId="0" fontId="197" fillId="0" borderId="158" xfId="0" applyFont="1" applyBorder="1" applyAlignment="1">
      <alignment horizontal="center" vertical="center" wrapText="1"/>
    </xf>
    <xf numFmtId="0" fontId="197" fillId="0" borderId="182" xfId="0" applyFont="1" applyBorder="1" applyAlignment="1">
      <alignment horizontal="center" vertical="center" wrapText="1"/>
    </xf>
    <xf numFmtId="0" fontId="192" fillId="0" borderId="248" xfId="0" applyFont="1" applyBorder="1" applyAlignment="1">
      <alignment horizontal="center" vertical="center" wrapText="1"/>
    </xf>
    <xf numFmtId="0" fontId="192" fillId="0" borderId="216" xfId="0" applyFont="1" applyBorder="1" applyAlignment="1">
      <alignment horizontal="center" vertical="center" wrapText="1"/>
    </xf>
    <xf numFmtId="0" fontId="192" fillId="0" borderId="249" xfId="0" applyFont="1" applyBorder="1" applyAlignment="1">
      <alignment horizontal="center" vertical="center" wrapText="1"/>
    </xf>
    <xf numFmtId="0" fontId="320" fillId="3" borderId="158" xfId="0" applyFont="1" applyFill="1" applyBorder="1" applyAlignment="1">
      <alignment horizontal="center" vertical="center" wrapText="1"/>
    </xf>
    <xf numFmtId="0" fontId="320" fillId="3" borderId="181" xfId="0" applyFont="1" applyFill="1" applyBorder="1" applyAlignment="1">
      <alignment horizontal="center" vertical="center" wrapText="1"/>
    </xf>
    <xf numFmtId="0" fontId="320" fillId="3" borderId="182" xfId="0" applyFont="1" applyFill="1" applyBorder="1" applyAlignment="1">
      <alignment horizontal="center" vertical="center" wrapText="1"/>
    </xf>
    <xf numFmtId="0" fontId="320" fillId="5" borderId="158" xfId="0" applyFont="1" applyFill="1" applyBorder="1" applyAlignment="1">
      <alignment horizontal="center" vertical="center" wrapText="1"/>
    </xf>
    <xf numFmtId="0" fontId="320" fillId="5" borderId="181" xfId="0" applyFont="1" applyFill="1" applyBorder="1" applyAlignment="1">
      <alignment horizontal="center" vertical="center" wrapText="1"/>
    </xf>
    <xf numFmtId="0" fontId="320" fillId="5" borderId="243" xfId="0" applyFont="1" applyFill="1" applyBorder="1" applyAlignment="1">
      <alignment horizontal="center" vertical="center" wrapText="1"/>
    </xf>
    <xf numFmtId="0" fontId="156" fillId="72" borderId="243" xfId="0" applyFont="1" applyFill="1" applyBorder="1" applyAlignment="1">
      <alignment horizontal="center" vertical="center" wrapText="1"/>
    </xf>
    <xf numFmtId="0" fontId="136" fillId="0" borderId="228" xfId="0" applyFont="1" applyBorder="1" applyAlignment="1">
      <alignment horizontal="center" vertical="center" wrapText="1"/>
    </xf>
    <xf numFmtId="0" fontId="136" fillId="0" borderId="224" xfId="0" applyFont="1" applyBorder="1" applyAlignment="1">
      <alignment horizontal="center" vertical="center" wrapText="1"/>
    </xf>
    <xf numFmtId="0" fontId="0" fillId="0" borderId="158" xfId="0" applyBorder="1" applyAlignment="1">
      <alignment horizontal="center"/>
    </xf>
    <xf numFmtId="0" fontId="0" fillId="0" borderId="181" xfId="0" applyBorder="1" applyAlignment="1">
      <alignment horizontal="center"/>
    </xf>
    <xf numFmtId="0" fontId="330" fillId="0" borderId="158" xfId="5" applyFont="1" applyBorder="1" applyAlignment="1">
      <alignment horizontal="center" vertical="center" wrapText="1"/>
    </xf>
    <xf numFmtId="0" fontId="330" fillId="0" borderId="181" xfId="5" applyFont="1" applyBorder="1" applyAlignment="1">
      <alignment horizontal="center" vertical="center" wrapText="1"/>
    </xf>
    <xf numFmtId="0" fontId="156" fillId="7" borderId="158" xfId="5" applyFont="1" applyFill="1" applyBorder="1" applyAlignment="1">
      <alignment horizontal="center" vertical="center" wrapText="1"/>
    </xf>
    <xf numFmtId="0" fontId="156" fillId="7" borderId="181" xfId="5" applyFont="1" applyFill="1" applyBorder="1" applyAlignment="1">
      <alignment horizontal="center" vertical="center" wrapText="1"/>
    </xf>
    <xf numFmtId="0" fontId="156" fillId="2" borderId="141" xfId="5" applyFont="1" applyFill="1" applyBorder="1" applyAlignment="1">
      <alignment horizontal="center" vertical="center" wrapText="1"/>
    </xf>
    <xf numFmtId="0" fontId="285" fillId="0" borderId="141" xfId="5" applyFont="1" applyBorder="1" applyAlignment="1">
      <alignment vertical="center"/>
    </xf>
    <xf numFmtId="0" fontId="304" fillId="0" borderId="141" xfId="5" applyFont="1" applyBorder="1" applyAlignment="1">
      <alignment vertical="center"/>
    </xf>
    <xf numFmtId="0" fontId="139" fillId="0" borderId="181" xfId="5" applyFont="1" applyBorder="1" applyAlignment="1">
      <alignment horizontal="center"/>
    </xf>
    <xf numFmtId="0" fontId="387" fillId="166" borderId="107" xfId="0" applyFont="1" applyFill="1" applyBorder="1" applyAlignment="1">
      <alignment horizontal="center"/>
    </xf>
    <xf numFmtId="0" fontId="192" fillId="2" borderId="141" xfId="5" applyFont="1" applyFill="1" applyBorder="1" applyAlignment="1">
      <alignment horizontal="center" vertical="center" wrapText="1"/>
    </xf>
    <xf numFmtId="0" fontId="321" fillId="0" borderId="141" xfId="5" applyFont="1" applyBorder="1" applyAlignment="1">
      <alignment vertical="center"/>
    </xf>
    <xf numFmtId="0" fontId="278" fillId="0" borderId="141" xfId="5" applyFont="1" applyBorder="1" applyAlignment="1">
      <alignment vertical="center"/>
    </xf>
    <xf numFmtId="0" fontId="320" fillId="70" borderId="245" xfId="0" applyFont="1" applyFill="1" applyBorder="1" applyAlignment="1">
      <alignment horizontal="center" vertical="center" wrapText="1"/>
    </xf>
    <xf numFmtId="0" fontId="320" fillId="70" borderId="269" xfId="0" applyFont="1" applyFill="1" applyBorder="1" applyAlignment="1">
      <alignment horizontal="center" vertical="center" wrapText="1"/>
    </xf>
    <xf numFmtId="0" fontId="320" fillId="70" borderId="270" xfId="0" applyFont="1" applyFill="1" applyBorder="1" applyAlignment="1">
      <alignment horizontal="center" vertical="center" wrapText="1"/>
    </xf>
    <xf numFmtId="0" fontId="162" fillId="7" borderId="141" xfId="0" applyFont="1" applyFill="1" applyBorder="1" applyAlignment="1">
      <alignment horizontal="center" vertical="center" wrapText="1"/>
    </xf>
    <xf numFmtId="0" fontId="296" fillId="0" borderId="141" xfId="0" applyFont="1" applyBorder="1"/>
    <xf numFmtId="0" fontId="296" fillId="0" borderId="158" xfId="0" applyFont="1" applyBorder="1"/>
    <xf numFmtId="0" fontId="162" fillId="2" borderId="141" xfId="0" applyFont="1" applyFill="1" applyBorder="1" applyAlignment="1">
      <alignment horizontal="center" wrapText="1"/>
    </xf>
    <xf numFmtId="0" fontId="286" fillId="0" borderId="141" xfId="0" applyFont="1" applyBorder="1"/>
    <xf numFmtId="0" fontId="295" fillId="85" borderId="142" xfId="0" applyFont="1" applyFill="1" applyBorder="1" applyAlignment="1">
      <alignment horizontal="center"/>
    </xf>
    <xf numFmtId="0" fontId="295" fillId="85" borderId="199" xfId="0" applyFont="1" applyFill="1" applyBorder="1" applyAlignment="1">
      <alignment horizontal="center"/>
    </xf>
    <xf numFmtId="0" fontId="295" fillId="85" borderId="200" xfId="0" applyFont="1" applyFill="1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212" xfId="0" applyBorder="1" applyAlignment="1">
      <alignment horizontal="center"/>
    </xf>
    <xf numFmtId="0" fontId="0" fillId="0" borderId="142" xfId="0" applyBorder="1" applyAlignment="1">
      <alignment horizontal="center"/>
    </xf>
    <xf numFmtId="0" fontId="0" fillId="0" borderId="199" xfId="0" applyBorder="1" applyAlignment="1">
      <alignment horizontal="center"/>
    </xf>
    <xf numFmtId="0" fontId="0" fillId="0" borderId="200" xfId="0" applyBorder="1" applyAlignment="1">
      <alignment horizontal="center"/>
    </xf>
    <xf numFmtId="0" fontId="136" fillId="0" borderId="142" xfId="0" applyFont="1" applyBorder="1" applyAlignment="1">
      <alignment horizontal="center"/>
    </xf>
    <xf numFmtId="0" fontId="139" fillId="0" borderId="199" xfId="0" applyFont="1" applyBorder="1" applyAlignment="1">
      <alignment horizontal="center"/>
    </xf>
    <xf numFmtId="0" fontId="139" fillId="0" borderId="200" xfId="0" applyFont="1" applyBorder="1" applyAlignment="1">
      <alignment horizontal="center"/>
    </xf>
    <xf numFmtId="0" fontId="236" fillId="0" borderId="107" xfId="0" applyFont="1" applyBorder="1" applyAlignment="1">
      <alignment horizontal="center"/>
    </xf>
    <xf numFmtId="0" fontId="139" fillId="0" borderId="107" xfId="0" applyFont="1" applyBorder="1"/>
    <xf numFmtId="0" fontId="156" fillId="23" borderId="2" xfId="0" applyFont="1" applyFill="1" applyBorder="1" applyAlignment="1">
      <alignment horizontal="center" vertical="center" wrapText="1"/>
    </xf>
    <xf numFmtId="0" fontId="177" fillId="29" borderId="66" xfId="0" applyFont="1" applyFill="1" applyBorder="1" applyAlignment="1">
      <alignment horizontal="center" vertical="center"/>
    </xf>
    <xf numFmtId="0" fontId="144" fillId="2" borderId="17" xfId="0" applyFont="1" applyFill="1" applyBorder="1" applyAlignment="1">
      <alignment horizontal="center" wrapText="1"/>
    </xf>
    <xf numFmtId="0" fontId="139" fillId="0" borderId="54" xfId="0" applyFont="1" applyBorder="1"/>
    <xf numFmtId="0" fontId="142" fillId="5" borderId="97" xfId="0" applyFont="1" applyFill="1" applyBorder="1" applyAlignment="1">
      <alignment horizontal="center" vertical="center" wrapText="1"/>
    </xf>
    <xf numFmtId="0" fontId="139" fillId="0" borderId="99" xfId="0" applyFont="1" applyBorder="1"/>
    <xf numFmtId="0" fontId="139" fillId="0" borderId="98" xfId="0" applyFont="1" applyBorder="1"/>
    <xf numFmtId="0" fontId="156" fillId="23" borderId="17" xfId="0" applyFont="1" applyFill="1" applyBorder="1" applyAlignment="1">
      <alignment horizontal="center" vertical="center" wrapText="1"/>
    </xf>
    <xf numFmtId="0" fontId="0" fillId="0" borderId="192" xfId="0" applyBorder="1" applyAlignment="1">
      <alignment horizontal="center"/>
    </xf>
    <xf numFmtId="0" fontId="0" fillId="0" borderId="147" xfId="0" applyBorder="1" applyAlignment="1">
      <alignment horizontal="center"/>
    </xf>
    <xf numFmtId="0" fontId="0" fillId="0" borderId="193" xfId="0" applyBorder="1" applyAlignment="1">
      <alignment horizontal="center"/>
    </xf>
    <xf numFmtId="0" fontId="151" fillId="18" borderId="66" xfId="0" applyFont="1" applyFill="1" applyBorder="1" applyAlignment="1">
      <alignment horizontal="center"/>
    </xf>
    <xf numFmtId="0" fontId="151" fillId="18" borderId="42" xfId="0" applyFont="1" applyFill="1" applyBorder="1" applyAlignment="1">
      <alignment horizontal="center"/>
    </xf>
    <xf numFmtId="0" fontId="137" fillId="15" borderId="66" xfId="0" applyFont="1" applyFill="1" applyBorder="1" applyAlignment="1">
      <alignment horizontal="center" vertical="center"/>
    </xf>
    <xf numFmtId="0" fontId="156" fillId="23" borderId="192" xfId="0" applyFont="1" applyFill="1" applyBorder="1" applyAlignment="1">
      <alignment horizontal="center" vertical="center" wrapText="1"/>
    </xf>
    <xf numFmtId="0" fontId="139" fillId="0" borderId="147" xfId="0" applyFont="1" applyBorder="1"/>
    <xf numFmtId="0" fontId="139" fillId="0" borderId="193" xfId="0" applyFont="1" applyBorder="1"/>
    <xf numFmtId="0" fontId="142" fillId="5" borderId="195" xfId="0" applyFont="1" applyFill="1" applyBorder="1" applyAlignment="1">
      <alignment horizontal="center" vertical="center" wrapText="1"/>
    </xf>
    <xf numFmtId="0" fontId="142" fillId="5" borderId="191" xfId="0" applyFont="1" applyFill="1" applyBorder="1" applyAlignment="1">
      <alignment horizontal="center" vertical="center" wrapText="1"/>
    </xf>
    <xf numFmtId="0" fontId="141" fillId="0" borderId="145" xfId="0" applyFont="1" applyBorder="1" applyAlignment="1">
      <alignment horizontal="center" vertical="center" wrapText="1"/>
    </xf>
    <xf numFmtId="0" fontId="141" fillId="0" borderId="154" xfId="0" applyFont="1" applyBorder="1" applyAlignment="1">
      <alignment horizontal="center" vertical="center" wrapText="1"/>
    </xf>
    <xf numFmtId="0" fontId="137" fillId="25" borderId="142" xfId="0" applyFont="1" applyFill="1" applyBorder="1" applyAlignment="1">
      <alignment horizontal="center"/>
    </xf>
    <xf numFmtId="0" fontId="139" fillId="0" borderId="199" xfId="0" applyFont="1" applyBorder="1"/>
    <xf numFmtId="0" fontId="139" fillId="0" borderId="200" xfId="0" applyFont="1" applyBorder="1"/>
    <xf numFmtId="0" fontId="151" fillId="18" borderId="143" xfId="0" applyFont="1" applyFill="1" applyBorder="1" applyAlignment="1">
      <alignment horizontal="center"/>
    </xf>
    <xf numFmtId="0" fontId="151" fillId="18" borderId="152" xfId="0" applyFont="1" applyFill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52" xfId="0" applyBorder="1" applyAlignment="1">
      <alignment horizontal="center"/>
    </xf>
    <xf numFmtId="0" fontId="151" fillId="15" borderId="192" xfId="0" applyFont="1" applyFill="1" applyBorder="1" applyAlignment="1">
      <alignment horizontal="center" vertical="center" wrapText="1"/>
    </xf>
    <xf numFmtId="0" fontId="151" fillId="15" borderId="147" xfId="0" applyFont="1" applyFill="1" applyBorder="1" applyAlignment="1">
      <alignment horizontal="center" vertical="center" wrapText="1"/>
    </xf>
    <xf numFmtId="0" fontId="151" fillId="15" borderId="193" xfId="0" applyFont="1" applyFill="1" applyBorder="1" applyAlignment="1">
      <alignment horizontal="center" vertical="center" wrapText="1"/>
    </xf>
    <xf numFmtId="0" fontId="177" fillId="29" borderId="195" xfId="0" applyFont="1" applyFill="1" applyBorder="1" applyAlignment="1">
      <alignment horizontal="center" vertical="center"/>
    </xf>
    <xf numFmtId="0" fontId="177" fillId="29" borderId="191" xfId="0" applyFont="1" applyFill="1" applyBorder="1" applyAlignment="1">
      <alignment horizontal="center" vertical="center"/>
    </xf>
    <xf numFmtId="0" fontId="144" fillId="2" borderId="162" xfId="0" applyFont="1" applyFill="1" applyBorder="1" applyAlignment="1">
      <alignment horizontal="center" wrapText="1"/>
    </xf>
    <xf numFmtId="0" fontId="144" fillId="2" borderId="144" xfId="0" applyFont="1" applyFill="1" applyBorder="1" applyAlignment="1">
      <alignment horizontal="center" wrapText="1"/>
    </xf>
    <xf numFmtId="0" fontId="151" fillId="0" borderId="145" xfId="0" applyFont="1" applyBorder="1" applyAlignment="1">
      <alignment horizontal="center" vertical="center" wrapText="1"/>
    </xf>
    <xf numFmtId="0" fontId="151" fillId="0" borderId="154" xfId="0" applyFont="1" applyBorder="1" applyAlignment="1">
      <alignment horizontal="center" vertical="center" wrapText="1"/>
    </xf>
    <xf numFmtId="0" fontId="144" fillId="2" borderId="162" xfId="0" applyFont="1" applyFill="1" applyBorder="1" applyAlignment="1">
      <alignment horizontal="center" vertical="center" wrapText="1"/>
    </xf>
    <xf numFmtId="0" fontId="144" fillId="2" borderId="144" xfId="0" applyFont="1" applyFill="1" applyBorder="1" applyAlignment="1">
      <alignment horizontal="center" vertical="center" wrapText="1"/>
    </xf>
    <xf numFmtId="0" fontId="144" fillId="2" borderId="146" xfId="0" applyFont="1" applyFill="1" applyBorder="1" applyAlignment="1">
      <alignment horizontal="center" vertical="center" wrapText="1"/>
    </xf>
    <xf numFmtId="0" fontId="151" fillId="0" borderId="195" xfId="0" applyFont="1" applyBorder="1" applyAlignment="1">
      <alignment horizontal="center" vertical="center" wrapText="1"/>
    </xf>
    <xf numFmtId="0" fontId="151" fillId="0" borderId="191" xfId="0" applyFont="1" applyBorder="1" applyAlignment="1">
      <alignment horizontal="center" vertical="center" wrapText="1"/>
    </xf>
    <xf numFmtId="0" fontId="137" fillId="0" borderId="66" xfId="0" applyFont="1" applyBorder="1" applyAlignment="1">
      <alignment horizontal="center" vertical="center" wrapText="1"/>
    </xf>
    <xf numFmtId="0" fontId="137" fillId="0" borderId="42" xfId="0" applyFont="1" applyBorder="1" applyAlignment="1">
      <alignment horizontal="center" vertical="center" wrapText="1"/>
    </xf>
    <xf numFmtId="0" fontId="136" fillId="0" borderId="208" xfId="0" applyFont="1" applyBorder="1" applyAlignment="1">
      <alignment horizontal="center"/>
    </xf>
    <xf numFmtId="0" fontId="136" fillId="0" borderId="189" xfId="0" applyFont="1" applyBorder="1" applyAlignment="1">
      <alignment horizontal="center"/>
    </xf>
    <xf numFmtId="0" fontId="136" fillId="0" borderId="209" xfId="0" applyFont="1" applyBorder="1" applyAlignment="1">
      <alignment horizontal="center"/>
    </xf>
    <xf numFmtId="0" fontId="136" fillId="0" borderId="190" xfId="0" applyFont="1" applyBorder="1" applyAlignment="1">
      <alignment horizontal="center"/>
    </xf>
    <xf numFmtId="0" fontId="137" fillId="0" borderId="198" xfId="0" applyFont="1" applyBorder="1" applyAlignment="1">
      <alignment horizontal="center" vertical="center"/>
    </xf>
    <xf numFmtId="0" fontId="137" fillId="0" borderId="202" xfId="0" applyFont="1" applyBorder="1" applyAlignment="1">
      <alignment horizontal="center" vertical="center"/>
    </xf>
    <xf numFmtId="0" fontId="137" fillId="0" borderId="159" xfId="0" applyFont="1" applyBorder="1" applyAlignment="1">
      <alignment horizontal="center" vertical="center" wrapText="1"/>
    </xf>
    <xf numFmtId="0" fontId="137" fillId="0" borderId="161" xfId="0" applyFont="1" applyBorder="1" applyAlignment="1">
      <alignment horizontal="center" vertical="center" wrapText="1"/>
    </xf>
    <xf numFmtId="0" fontId="137" fillId="0" borderId="205" xfId="0" applyFont="1" applyBorder="1" applyAlignment="1">
      <alignment horizontal="center" vertical="center"/>
    </xf>
    <xf numFmtId="0" fontId="137" fillId="0" borderId="52" xfId="0" applyFont="1" applyBorder="1" applyAlignment="1">
      <alignment horizontal="center" vertical="center"/>
    </xf>
    <xf numFmtId="0" fontId="139" fillId="0" borderId="203" xfId="0" applyFont="1" applyBorder="1" applyAlignment="1">
      <alignment horizontal="center"/>
    </xf>
    <xf numFmtId="0" fontId="139" fillId="0" borderId="50" xfId="0" applyFont="1" applyBorder="1" applyAlignment="1">
      <alignment horizontal="center"/>
    </xf>
    <xf numFmtId="0" fontId="141" fillId="0" borderId="204" xfId="0" applyFont="1" applyBorder="1" applyAlignment="1">
      <alignment horizontal="center" vertical="center" wrapText="1"/>
    </xf>
    <xf numFmtId="0" fontId="141" fillId="0" borderId="38" xfId="0" applyFont="1" applyBorder="1" applyAlignment="1">
      <alignment horizontal="center" vertical="center" wrapText="1"/>
    </xf>
    <xf numFmtId="0" fontId="142" fillId="5" borderId="204" xfId="0" applyFont="1" applyFill="1" applyBorder="1" applyAlignment="1">
      <alignment horizontal="center" vertical="center" wrapText="1"/>
    </xf>
    <xf numFmtId="0" fontId="142" fillId="5" borderId="38" xfId="0" applyFont="1" applyFill="1" applyBorder="1" applyAlignment="1">
      <alignment horizontal="center" vertical="center" wrapText="1"/>
    </xf>
    <xf numFmtId="0" fontId="177" fillId="29" borderId="204" xfId="0" applyFont="1" applyFill="1" applyBorder="1" applyAlignment="1">
      <alignment horizontal="center" vertical="center"/>
    </xf>
    <xf numFmtId="0" fontId="177" fillId="29" borderId="38" xfId="0" applyFont="1" applyFill="1" applyBorder="1" applyAlignment="1">
      <alignment horizontal="center" vertical="center"/>
    </xf>
    <xf numFmtId="0" fontId="144" fillId="2" borderId="204" xfId="0" applyFont="1" applyFill="1" applyBorder="1" applyAlignment="1">
      <alignment horizontal="center" wrapText="1"/>
    </xf>
    <xf numFmtId="0" fontId="151" fillId="0" borderId="204" xfId="0" applyFont="1" applyBorder="1" applyAlignment="1">
      <alignment horizontal="center" vertical="center" wrapText="1"/>
    </xf>
    <xf numFmtId="0" fontId="151" fillId="0" borderId="38" xfId="0" applyFont="1" applyBorder="1" applyAlignment="1">
      <alignment horizontal="center" vertical="center" wrapText="1"/>
    </xf>
    <xf numFmtId="0" fontId="261" fillId="5" borderId="102" xfId="0" applyFont="1" applyFill="1" applyBorder="1" applyAlignment="1">
      <alignment horizontal="center" vertical="center"/>
    </xf>
    <xf numFmtId="0" fontId="139" fillId="0" borderId="103" xfId="0" applyFont="1" applyBorder="1"/>
    <xf numFmtId="0" fontId="139" fillId="0" borderId="104" xfId="0" applyFont="1" applyBorder="1"/>
    <xf numFmtId="0" fontId="139" fillId="0" borderId="105" xfId="0" applyFont="1" applyBorder="1"/>
    <xf numFmtId="0" fontId="139" fillId="0" borderId="106" xfId="0" applyFont="1" applyBorder="1"/>
    <xf numFmtId="0" fontId="260" fillId="22" borderId="241" xfId="0" applyFont="1" applyFill="1" applyBorder="1" applyAlignment="1">
      <alignment horizontal="center"/>
    </xf>
    <xf numFmtId="0" fontId="261" fillId="3" borderId="102" xfId="0" applyFont="1" applyFill="1" applyBorder="1" applyAlignment="1">
      <alignment horizontal="center" vertical="center"/>
    </xf>
    <xf numFmtId="0" fontId="265" fillId="22" borderId="102" xfId="0" applyFont="1" applyFill="1" applyBorder="1" applyAlignment="1">
      <alignment horizontal="center" vertical="center"/>
    </xf>
    <xf numFmtId="0" fontId="260" fillId="22" borderId="2" xfId="0" applyFont="1" applyFill="1" applyBorder="1" applyAlignment="1">
      <alignment horizontal="center"/>
    </xf>
    <xf numFmtId="0" fontId="244" fillId="0" borderId="0" xfId="0" applyFont="1" applyAlignment="1">
      <alignment horizontal="right" vertical="center"/>
    </xf>
    <xf numFmtId="173" fontId="244" fillId="0" borderId="0" xfId="0" applyNumberFormat="1" applyFont="1" applyAlignment="1">
      <alignment horizontal="left"/>
    </xf>
    <xf numFmtId="0" fontId="245" fillId="0" borderId="0" xfId="0" applyFont="1" applyAlignment="1">
      <alignment horizontal="center" vertical="center"/>
    </xf>
    <xf numFmtId="0" fontId="248" fillId="0" borderId="0" xfId="0" applyFont="1" applyAlignment="1">
      <alignment horizontal="right" vertical="center"/>
    </xf>
    <xf numFmtId="0" fontId="248" fillId="0" borderId="0" xfId="0" applyFont="1" applyAlignment="1">
      <alignment horizontal="center" vertical="center"/>
    </xf>
    <xf numFmtId="0" fontId="251" fillId="0" borderId="0" xfId="0" applyFont="1" applyAlignment="1">
      <alignment horizontal="center" vertical="center"/>
    </xf>
    <xf numFmtId="0" fontId="249" fillId="0" borderId="0" xfId="0" applyFont="1" applyAlignment="1">
      <alignment horizontal="center" vertical="center"/>
    </xf>
    <xf numFmtId="0" fontId="254" fillId="22" borderId="96" xfId="0" applyFont="1" applyFill="1" applyBorder="1" applyAlignment="1">
      <alignment horizontal="center"/>
    </xf>
    <xf numFmtId="0" fontId="139" fillId="0" borderId="61" xfId="0" applyFont="1" applyBorder="1"/>
    <xf numFmtId="0" fontId="250" fillId="0" borderId="140" xfId="0" applyFont="1" applyBorder="1" applyAlignment="1">
      <alignment horizontal="center" vertical="center"/>
    </xf>
    <xf numFmtId="0" fontId="139" fillId="0" borderId="140" xfId="0" applyFont="1" applyBorder="1"/>
    <xf numFmtId="165" fontId="147" fillId="0" borderId="59" xfId="0" applyNumberFormat="1" applyFont="1" applyBorder="1" applyAlignment="1">
      <alignment horizontal="center" vertical="center"/>
    </xf>
    <xf numFmtId="165" fontId="139" fillId="0" borderId="122" xfId="0" applyNumberFormat="1" applyFont="1" applyBorder="1"/>
    <xf numFmtId="0" fontId="250" fillId="0" borderId="70" xfId="0" applyFont="1" applyBorder="1" applyAlignment="1">
      <alignment horizontal="center" vertical="center"/>
    </xf>
    <xf numFmtId="0" fontId="139" fillId="0" borderId="78" xfId="0" applyFont="1" applyBorder="1"/>
    <xf numFmtId="0" fontId="139" fillId="0" borderId="20" xfId="0" applyFont="1" applyBorder="1"/>
    <xf numFmtId="165" fontId="279" fillId="58" borderId="66" xfId="0" applyNumberFormat="1" applyFont="1" applyFill="1" applyBorder="1" applyAlignment="1">
      <alignment horizontal="center" vertical="center"/>
    </xf>
    <xf numFmtId="165" fontId="139" fillId="58" borderId="41" xfId="0" applyNumberFormat="1" applyFont="1" applyFill="1" applyBorder="1"/>
    <xf numFmtId="0" fontId="250" fillId="0" borderId="26" xfId="0" applyFont="1" applyBorder="1" applyAlignment="1">
      <alignment horizontal="center" vertical="center"/>
    </xf>
    <xf numFmtId="0" fontId="139" fillId="0" borderId="56" xfId="0" applyFont="1" applyBorder="1"/>
    <xf numFmtId="0" fontId="250" fillId="0" borderId="0" xfId="0" applyFont="1" applyAlignment="1">
      <alignment horizontal="center"/>
    </xf>
    <xf numFmtId="0" fontId="246" fillId="0" borderId="0" xfId="0" applyFont="1" applyAlignment="1">
      <alignment horizontal="center"/>
    </xf>
    <xf numFmtId="0" fontId="258" fillId="0" borderId="0" xfId="0" applyFont="1" applyAlignment="1">
      <alignment horizontal="center"/>
    </xf>
    <xf numFmtId="0" fontId="250" fillId="0" borderId="26" xfId="0" applyFont="1" applyBorder="1" applyAlignment="1">
      <alignment horizontal="center" vertical="center" wrapText="1"/>
    </xf>
    <xf numFmtId="165" fontId="279" fillId="18" borderId="66" xfId="0" applyNumberFormat="1" applyFont="1" applyFill="1" applyBorder="1" applyAlignment="1">
      <alignment horizontal="center" vertical="center"/>
    </xf>
    <xf numFmtId="165" fontId="279" fillId="18" borderId="71" xfId="0" applyNumberFormat="1" applyFont="1" applyFill="1" applyBorder="1" applyAlignment="1">
      <alignment horizontal="center" vertical="center"/>
    </xf>
    <xf numFmtId="0" fontId="293" fillId="58" borderId="26" xfId="0" applyFont="1" applyFill="1" applyBorder="1" applyAlignment="1">
      <alignment horizontal="center" vertical="center" wrapText="1"/>
    </xf>
    <xf numFmtId="0" fontId="139" fillId="58" borderId="30" xfId="0" applyFont="1" applyFill="1" applyBorder="1"/>
    <xf numFmtId="0" fontId="139" fillId="58" borderId="56" xfId="0" applyFont="1" applyFill="1" applyBorder="1"/>
    <xf numFmtId="0" fontId="139" fillId="58" borderId="12" xfId="0" applyFont="1" applyFill="1" applyBorder="1"/>
    <xf numFmtId="0" fontId="294" fillId="58" borderId="0" xfId="0" applyFont="1" applyFill="1"/>
    <xf numFmtId="0" fontId="139" fillId="58" borderId="13" xfId="0" applyFont="1" applyFill="1" applyBorder="1"/>
    <xf numFmtId="0" fontId="139" fillId="58" borderId="19" xfId="0" applyFont="1" applyFill="1" applyBorder="1"/>
    <xf numFmtId="0" fontId="139" fillId="58" borderId="15" xfId="0" applyFont="1" applyFill="1" applyBorder="1"/>
    <xf numFmtId="0" fontId="139" fillId="58" borderId="20" xfId="0" applyFont="1" applyFill="1" applyBorder="1"/>
    <xf numFmtId="165" fontId="139" fillId="58" borderId="11" xfId="0" applyNumberFormat="1" applyFont="1" applyFill="1" applyBorder="1"/>
    <xf numFmtId="0" fontId="282" fillId="0" borderId="0" xfId="0" applyFont="1" applyAlignment="1">
      <alignment horizontal="center" vertical="center"/>
    </xf>
    <xf numFmtId="0" fontId="134" fillId="0" borderId="0" xfId="0" applyFont="1"/>
    <xf numFmtId="0" fontId="254" fillId="22" borderId="57" xfId="0" applyFont="1" applyFill="1" applyBorder="1" applyAlignment="1">
      <alignment horizontal="center"/>
    </xf>
    <xf numFmtId="0" fontId="139" fillId="0" borderId="58" xfId="0" applyFont="1" applyBorder="1"/>
    <xf numFmtId="0" fontId="258" fillId="0" borderId="26" xfId="0" applyFont="1" applyBorder="1" applyAlignment="1">
      <alignment horizontal="center" vertical="center" wrapText="1"/>
    </xf>
    <xf numFmtId="0" fontId="137" fillId="0" borderId="30" xfId="0" applyFont="1" applyBorder="1"/>
    <xf numFmtId="0" fontId="137" fillId="0" borderId="56" xfId="0" applyFont="1" applyBorder="1"/>
    <xf numFmtId="0" fontId="137" fillId="0" borderId="12" xfId="0" applyFont="1" applyBorder="1"/>
    <xf numFmtId="0" fontId="120" fillId="0" borderId="0" xfId="0" applyFont="1"/>
    <xf numFmtId="0" fontId="137" fillId="0" borderId="13" xfId="0" applyFont="1" applyBorder="1"/>
    <xf numFmtId="0" fontId="137" fillId="0" borderId="19" xfId="0" applyFont="1" applyBorder="1"/>
    <xf numFmtId="0" fontId="137" fillId="0" borderId="15" xfId="0" applyFont="1" applyBorder="1"/>
    <xf numFmtId="0" fontId="137" fillId="0" borderId="20" xfId="0" applyFont="1" applyBorder="1"/>
    <xf numFmtId="165" fontId="147" fillId="0" borderId="66" xfId="0" applyNumberFormat="1" applyFont="1" applyBorder="1" applyAlignment="1">
      <alignment horizontal="center" vertical="center"/>
    </xf>
    <xf numFmtId="165" fontId="137" fillId="0" borderId="11" xfId="0" applyNumberFormat="1" applyFont="1" applyBorder="1"/>
    <xf numFmtId="165" fontId="137" fillId="0" borderId="41" xfId="0" applyNumberFormat="1" applyFont="1" applyBorder="1"/>
    <xf numFmtId="0" fontId="260" fillId="22" borderId="57" xfId="0" applyFont="1" applyFill="1" applyBorder="1" applyAlignment="1">
      <alignment horizontal="center"/>
    </xf>
    <xf numFmtId="0" fontId="139" fillId="0" borderId="60" xfId="0" applyFont="1" applyBorder="1"/>
    <xf numFmtId="0" fontId="260" fillId="22" borderId="46" xfId="0" applyFont="1" applyFill="1" applyBorder="1" applyAlignment="1">
      <alignment horizontal="center"/>
    </xf>
    <xf numFmtId="0" fontId="139" fillId="0" borderId="7" xfId="0" applyFont="1" applyBorder="1"/>
    <xf numFmtId="0" fontId="139" fillId="0" borderId="47" xfId="0" applyFont="1" applyBorder="1"/>
    <xf numFmtId="0" fontId="264" fillId="22" borderId="109" xfId="0" applyFont="1" applyFill="1" applyBorder="1" applyAlignment="1">
      <alignment horizontal="center" vertical="center" wrapText="1"/>
    </xf>
    <xf numFmtId="0" fontId="139" fillId="0" borderId="111" xfId="0" applyFont="1" applyBorder="1"/>
    <xf numFmtId="0" fontId="139" fillId="0" borderId="112" xfId="0" applyFont="1" applyBorder="1"/>
    <xf numFmtId="0" fontId="136" fillId="42" borderId="102" xfId="0" applyFont="1" applyFill="1" applyBorder="1" applyAlignment="1">
      <alignment horizontal="center"/>
    </xf>
    <xf numFmtId="0" fontId="267" fillId="0" borderId="116" xfId="0" applyFont="1" applyBorder="1" applyAlignment="1">
      <alignment horizontal="center"/>
    </xf>
    <xf numFmtId="0" fontId="137" fillId="0" borderId="65" xfId="0" applyFont="1" applyBorder="1"/>
    <xf numFmtId="0" fontId="137" fillId="0" borderId="129" xfId="0" applyFont="1" applyBorder="1"/>
    <xf numFmtId="0" fontId="151" fillId="0" borderId="115" xfId="0" applyFont="1" applyBorder="1" applyAlignment="1">
      <alignment horizontal="center"/>
    </xf>
    <xf numFmtId="0" fontId="139" fillId="0" borderId="139" xfId="0" applyFont="1" applyBorder="1"/>
    <xf numFmtId="165" fontId="290" fillId="0" borderId="116" xfId="0" applyNumberFormat="1" applyFont="1" applyBorder="1" applyAlignment="1">
      <alignment horizontal="center" vertical="center"/>
    </xf>
    <xf numFmtId="0" fontId="139" fillId="0" borderId="65" xfId="0" applyFont="1" applyBorder="1"/>
    <xf numFmtId="0" fontId="139" fillId="0" borderId="129" xfId="0" applyFont="1" applyBorder="1"/>
    <xf numFmtId="0" fontId="267" fillId="0" borderId="46" xfId="0" applyFont="1" applyBorder="1" applyAlignment="1">
      <alignment horizontal="center"/>
    </xf>
    <xf numFmtId="0" fontId="268" fillId="55" borderId="120" xfId="0" applyFont="1" applyFill="1" applyBorder="1" applyAlignment="1">
      <alignment horizontal="center" vertical="center" wrapText="1"/>
    </xf>
    <xf numFmtId="0" fontId="139" fillId="0" borderId="95" xfId="0" applyFont="1" applyBorder="1"/>
    <xf numFmtId="0" fontId="268" fillId="55" borderId="66" xfId="0" applyFont="1" applyFill="1" applyBorder="1" applyAlignment="1">
      <alignment horizontal="center" wrapText="1"/>
    </xf>
    <xf numFmtId="0" fontId="268" fillId="55" borderId="121" xfId="0" applyFont="1" applyFill="1" applyBorder="1" applyAlignment="1">
      <alignment horizontal="center" wrapText="1"/>
    </xf>
    <xf numFmtId="0" fontId="139" fillId="0" borderId="122" xfId="0" applyFont="1" applyBorder="1"/>
    <xf numFmtId="0" fontId="269" fillId="0" borderId="114" xfId="0" applyFont="1" applyBorder="1" applyAlignment="1">
      <alignment horizontal="center" vertical="center" wrapText="1"/>
    </xf>
    <xf numFmtId="0" fontId="139" fillId="0" borderId="53" xfId="0" applyFont="1" applyBorder="1"/>
    <xf numFmtId="1" fontId="172" fillId="0" borderId="66" xfId="0" applyNumberFormat="1" applyFont="1" applyBorder="1" applyAlignment="1">
      <alignment horizontal="center" vertical="center"/>
    </xf>
    <xf numFmtId="0" fontId="139" fillId="0" borderId="37" xfId="0" applyFont="1" applyBorder="1"/>
    <xf numFmtId="0" fontId="151" fillId="0" borderId="114" xfId="0" applyFont="1" applyBorder="1" applyAlignment="1">
      <alignment horizontal="center" vertical="center"/>
    </xf>
    <xf numFmtId="0" fontId="139" fillId="0" borderId="123" xfId="0" applyFont="1" applyBorder="1" applyAlignment="1">
      <alignment vertical="center"/>
    </xf>
    <xf numFmtId="0" fontId="270" fillId="0" borderId="96" xfId="0" applyFont="1" applyBorder="1" applyAlignment="1">
      <alignment horizontal="center" vertical="center"/>
    </xf>
    <xf numFmtId="0" fontId="139" fillId="0" borderId="6" xfId="0" applyFont="1" applyBorder="1"/>
    <xf numFmtId="0" fontId="139" fillId="0" borderId="116" xfId="0" applyFont="1" applyBorder="1"/>
    <xf numFmtId="0" fontId="139" fillId="0" borderId="101" xfId="0" applyFont="1" applyBorder="1"/>
    <xf numFmtId="0" fontId="271" fillId="0" borderId="8" xfId="0" applyFont="1" applyBorder="1" applyAlignment="1">
      <alignment horizontal="center" vertical="center"/>
    </xf>
    <xf numFmtId="0" fontId="172" fillId="0" borderId="36" xfId="0" applyFont="1" applyBorder="1" applyAlignment="1">
      <alignment horizontal="center"/>
    </xf>
    <xf numFmtId="0" fontId="139" fillId="0" borderId="125" xfId="0" applyFont="1" applyBorder="1"/>
    <xf numFmtId="14" fontId="267" fillId="0" borderId="0" xfId="0" applyNumberFormat="1" applyFont="1" applyAlignment="1">
      <alignment horizontal="center" vertical="center"/>
    </xf>
    <xf numFmtId="0" fontId="285" fillId="0" borderId="96" xfId="0" applyFont="1" applyBorder="1" applyAlignment="1">
      <alignment horizontal="center"/>
    </xf>
    <xf numFmtId="0" fontId="139" fillId="0" borderId="5" xfId="0" applyFont="1" applyBorder="1"/>
    <xf numFmtId="0" fontId="139" fillId="0" borderId="128" xfId="0" applyFont="1" applyBorder="1"/>
    <xf numFmtId="165" fontId="321" fillId="0" borderId="66" xfId="0" applyNumberFormat="1" applyFont="1" applyBorder="1" applyAlignment="1">
      <alignment horizontal="center" vertical="center"/>
    </xf>
    <xf numFmtId="0" fontId="233" fillId="55" borderId="2" xfId="0" applyFont="1" applyFill="1" applyBorder="1" applyAlignment="1">
      <alignment horizontal="center" vertical="center"/>
    </xf>
    <xf numFmtId="0" fontId="142" fillId="0" borderId="0" xfId="0" applyFont="1" applyAlignment="1">
      <alignment horizontal="center"/>
    </xf>
    <xf numFmtId="0" fontId="145" fillId="0" borderId="0" xfId="0" applyFont="1" applyAlignment="1">
      <alignment horizontal="center"/>
    </xf>
    <xf numFmtId="0" fontId="176" fillId="0" borderId="0" xfId="0" applyFont="1" applyAlignment="1">
      <alignment horizontal="center"/>
    </xf>
    <xf numFmtId="0" fontId="266" fillId="0" borderId="118" xfId="0" applyFont="1" applyBorder="1" applyAlignment="1">
      <alignment horizontal="center" vertical="center"/>
    </xf>
    <xf numFmtId="0" fontId="139" fillId="0" borderId="119" xfId="0" applyFont="1" applyBorder="1"/>
    <xf numFmtId="0" fontId="215" fillId="0" borderId="118" xfId="0" applyFont="1" applyBorder="1" applyAlignment="1">
      <alignment horizontal="center"/>
    </xf>
    <xf numFmtId="0" fontId="202" fillId="0" borderId="24" xfId="0" applyFont="1" applyBorder="1" applyAlignment="1">
      <alignment horizontal="center"/>
    </xf>
    <xf numFmtId="0" fontId="266" fillId="0" borderId="19" xfId="0" applyFont="1" applyBorder="1" applyAlignment="1">
      <alignment horizontal="center"/>
    </xf>
    <xf numFmtId="0" fontId="332" fillId="0" borderId="39" xfId="0" applyFont="1" applyBorder="1" applyAlignment="1">
      <alignment horizontal="center"/>
    </xf>
    <xf numFmtId="0" fontId="332" fillId="0" borderId="125" xfId="0" applyFont="1" applyBorder="1" applyAlignment="1">
      <alignment horizontal="center"/>
    </xf>
    <xf numFmtId="165" fontId="172" fillId="0" borderId="66" xfId="0" applyNumberFormat="1" applyFont="1" applyBorder="1" applyAlignment="1">
      <alignment horizontal="center" vertical="center"/>
    </xf>
    <xf numFmtId="0" fontId="151" fillId="0" borderId="114" xfId="0" applyFont="1" applyBorder="1" applyAlignment="1">
      <alignment horizontal="center"/>
    </xf>
    <xf numFmtId="0" fontId="139" fillId="0" borderId="123" xfId="0" applyFont="1" applyBorder="1"/>
    <xf numFmtId="14" fontId="267" fillId="0" borderId="0" xfId="0" applyNumberFormat="1" applyFont="1" applyAlignment="1">
      <alignment horizontal="center"/>
    </xf>
    <xf numFmtId="0" fontId="151" fillId="0" borderId="96" xfId="0" applyFont="1" applyBorder="1" applyAlignment="1">
      <alignment horizontal="center"/>
    </xf>
    <xf numFmtId="165" fontId="172" fillId="0" borderId="116" xfId="0" applyNumberFormat="1" applyFont="1" applyBorder="1" applyAlignment="1">
      <alignment horizontal="center" vertical="center"/>
    </xf>
    <xf numFmtId="0" fontId="210" fillId="0" borderId="26" xfId="0" applyFont="1" applyBorder="1" applyAlignment="1">
      <alignment horizontal="center"/>
    </xf>
    <xf numFmtId="0" fontId="151" fillId="0" borderId="114" xfId="0" applyFont="1" applyBorder="1" applyAlignment="1">
      <alignment horizontal="center" wrapText="1"/>
    </xf>
    <xf numFmtId="0" fontId="139" fillId="0" borderId="123" xfId="0" applyFont="1" applyBorder="1" applyAlignment="1">
      <alignment wrapText="1"/>
    </xf>
    <xf numFmtId="0" fontId="151" fillId="0" borderId="123" xfId="0" applyFont="1" applyBorder="1" applyAlignment="1">
      <alignment horizontal="center" wrapText="1"/>
    </xf>
  </cellXfs>
  <cellStyles count="7">
    <cellStyle name="Hipervínculo" xfId="1" builtinId="8"/>
    <cellStyle name="Hipervínculo 2" xfId="6" xr:uid="{6735C437-FE03-4684-9CEE-3175F15727BA}"/>
    <cellStyle name="Millares" xfId="3" builtinId="3"/>
    <cellStyle name="Normal" xfId="0" builtinId="0"/>
    <cellStyle name="Normal 2" xfId="4" xr:uid="{B9929838-CD52-42CE-A07C-E9235E6D51CE}"/>
    <cellStyle name="Normal 3" xfId="5" xr:uid="{B807EFEF-205D-4C37-A112-E036E219E3FA}"/>
    <cellStyle name="Porcentaje" xfId="2" builtinId="5"/>
  </cellStyles>
  <dxfs count="3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numFmt numFmtId="1" formatCode="0"/>
      <fill>
        <patternFill patternType="none"/>
      </fill>
    </dxf>
    <dxf>
      <numFmt numFmtId="165" formatCode="0.0"/>
    </dxf>
    <dxf>
      <numFmt numFmtId="177" formatCode="[Red]##0.0"/>
    </dxf>
    <dxf>
      <font>
        <strike val="0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ont>
        <strike val="0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ont>
        <strike val="0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font>
        <color rgb="FF9C0006"/>
      </font>
      <fill>
        <patternFill>
          <bgColor rgb="FFFFC7CE"/>
        </patternFill>
      </fill>
    </dxf>
    <dxf>
      <numFmt numFmtId="165" formatCode="0.0"/>
    </dxf>
    <dxf>
      <numFmt numFmtId="177" formatCode="[Red]##0.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"/>
    </dxf>
    <dxf>
      <numFmt numFmtId="177" formatCode="[Red]##0.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165" formatCode="0.0"/>
    </dxf>
    <dxf>
      <numFmt numFmtId="177" formatCode="[Red]##0.0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FF00"/>
      <color rgb="FFD5A6BD"/>
      <color rgb="FF99FFCC"/>
      <color rgb="FFFF99FF"/>
      <color rgb="FF04D0EC"/>
      <color rgb="FFF2A60E"/>
      <color rgb="FFFC3F04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g"/><Relationship Id="rId1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4" Type="http://schemas.openxmlformats.org/officeDocument/2006/relationships/image" Target="../media/image1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124200" cy="4762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3124200" cy="476250"/>
        </a:xfrm>
        <a:prstGeom prst="rect">
          <a:avLst/>
        </a:prstGeom>
        <a:solidFill>
          <a:srgbClr val="7030A0"/>
        </a:solidFill>
        <a:ln w="9525" cap="flat" cmpd="sng">
          <a:solidFill>
            <a:schemeClr val="accen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54429</xdr:colOff>
      <xdr:row>51</xdr:row>
      <xdr:rowOff>20412</xdr:rowOff>
    </xdr:from>
    <xdr:ext cx="7143750" cy="292554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4429" y="9681483"/>
          <a:ext cx="7143750" cy="292554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#HablemosDerecho     #IUAF      </a:t>
          </a:r>
          <a:endParaRPr sz="1400"/>
        </a:p>
      </xdr:txBody>
    </xdr:sp>
    <xdr:clientData fLocksWithSheet="0"/>
  </xdr:oneCellAnchor>
  <xdr:oneCellAnchor>
    <xdr:from>
      <xdr:col>2</xdr:col>
      <xdr:colOff>518432</xdr:colOff>
      <xdr:row>39</xdr:row>
      <xdr:rowOff>27214</xdr:rowOff>
    </xdr:from>
    <xdr:ext cx="1362075" cy="55245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750003" y="7565571"/>
          <a:ext cx="1362075" cy="552450"/>
        </a:xfrm>
        <a:custGeom>
          <a:avLst/>
          <a:gdLst/>
          <a:ahLst/>
          <a:cxnLst/>
          <a:rect l="l" t="t" r="r" b="b"/>
          <a:pathLst>
            <a:path w="2327381" h="1021109" extrusionOk="0">
              <a:moveTo>
                <a:pt x="39758" y="724207"/>
              </a:moveTo>
              <a:lnTo>
                <a:pt x="2268608" y="743257"/>
              </a:lnTo>
              <a:cubicBezTo>
                <a:pt x="2560660" y="749427"/>
                <a:pt x="1684391" y="748323"/>
                <a:pt x="1392308" y="752782"/>
              </a:cubicBezTo>
              <a:cubicBezTo>
                <a:pt x="1268457" y="754673"/>
                <a:pt x="1144658" y="759132"/>
                <a:pt x="1020833" y="762307"/>
              </a:cubicBezTo>
              <a:cubicBezTo>
                <a:pt x="947808" y="768657"/>
                <a:pt x="874941" y="777215"/>
                <a:pt x="801758" y="781357"/>
              </a:cubicBezTo>
              <a:cubicBezTo>
                <a:pt x="706607" y="786743"/>
                <a:pt x="611240" y="787219"/>
                <a:pt x="516008" y="790882"/>
              </a:cubicBezTo>
              <a:lnTo>
                <a:pt x="306458" y="800407"/>
              </a:lnTo>
              <a:cubicBezTo>
                <a:pt x="143890" y="816664"/>
                <a:pt x="276513" y="794514"/>
                <a:pt x="115958" y="848032"/>
              </a:cubicBezTo>
              <a:cubicBezTo>
                <a:pt x="96908" y="854382"/>
                <a:pt x="38755" y="868137"/>
                <a:pt x="58808" y="867082"/>
              </a:cubicBezTo>
              <a:lnTo>
                <a:pt x="239783" y="857557"/>
              </a:lnTo>
              <a:cubicBezTo>
                <a:pt x="262008" y="841682"/>
                <a:pt x="283038" y="823984"/>
                <a:pt x="306458" y="809932"/>
              </a:cubicBezTo>
              <a:cubicBezTo>
                <a:pt x="330809" y="795321"/>
                <a:pt x="359029" y="787584"/>
                <a:pt x="382658" y="771832"/>
              </a:cubicBezTo>
              <a:cubicBezTo>
                <a:pt x="397602" y="761869"/>
                <a:pt x="406143" y="744171"/>
                <a:pt x="420758" y="733732"/>
              </a:cubicBezTo>
              <a:cubicBezTo>
                <a:pt x="450888" y="712211"/>
                <a:pt x="485675" y="697815"/>
                <a:pt x="516008" y="676582"/>
              </a:cubicBezTo>
              <a:cubicBezTo>
                <a:pt x="549318" y="653265"/>
                <a:pt x="580157" y="626572"/>
                <a:pt x="611258" y="600382"/>
              </a:cubicBezTo>
              <a:cubicBezTo>
                <a:pt x="640502" y="575755"/>
                <a:pt x="669142" y="550385"/>
                <a:pt x="696983" y="524182"/>
              </a:cubicBezTo>
              <a:cubicBezTo>
                <a:pt x="757340" y="467376"/>
                <a:pt x="801220" y="421536"/>
                <a:pt x="849383" y="352732"/>
              </a:cubicBezTo>
              <a:cubicBezTo>
                <a:pt x="870616" y="322399"/>
                <a:pt x="886761" y="288788"/>
                <a:pt x="906533" y="257482"/>
              </a:cubicBezTo>
              <a:cubicBezTo>
                <a:pt x="924872" y="228445"/>
                <a:pt x="946644" y="201575"/>
                <a:pt x="963683" y="171757"/>
              </a:cubicBezTo>
              <a:cubicBezTo>
                <a:pt x="972166" y="156912"/>
                <a:pt x="974687" y="139218"/>
                <a:pt x="982733" y="124132"/>
              </a:cubicBezTo>
              <a:cubicBezTo>
                <a:pt x="1000157" y="91462"/>
                <a:pt x="1028174" y="64008"/>
                <a:pt x="1039883" y="28882"/>
              </a:cubicBezTo>
              <a:cubicBezTo>
                <a:pt x="1043058" y="19357"/>
                <a:pt x="1058933" y="-2868"/>
                <a:pt x="1049408" y="307"/>
              </a:cubicBezTo>
              <a:cubicBezTo>
                <a:pt x="1032369" y="5987"/>
                <a:pt x="1022528" y="24382"/>
                <a:pt x="1011308" y="38407"/>
              </a:cubicBezTo>
              <a:cubicBezTo>
                <a:pt x="997005" y="56285"/>
                <a:pt x="987264" y="77485"/>
                <a:pt x="973208" y="95557"/>
              </a:cubicBezTo>
              <a:cubicBezTo>
                <a:pt x="964938" y="106190"/>
                <a:pt x="953735" y="114202"/>
                <a:pt x="944633" y="124132"/>
              </a:cubicBezTo>
              <a:cubicBezTo>
                <a:pt x="918799" y="152315"/>
                <a:pt x="892489" y="180141"/>
                <a:pt x="868433" y="209857"/>
              </a:cubicBezTo>
              <a:cubicBezTo>
                <a:pt x="838467" y="246873"/>
                <a:pt x="813837" y="288113"/>
                <a:pt x="782708" y="324157"/>
              </a:cubicBezTo>
              <a:cubicBezTo>
                <a:pt x="703812" y="415510"/>
                <a:pt x="665154" y="433701"/>
                <a:pt x="573158" y="514657"/>
              </a:cubicBezTo>
              <a:cubicBezTo>
                <a:pt x="530989" y="551765"/>
                <a:pt x="492070" y="592505"/>
                <a:pt x="449333" y="628957"/>
              </a:cubicBezTo>
              <a:cubicBezTo>
                <a:pt x="384066" y="684626"/>
                <a:pt x="324297" y="749222"/>
                <a:pt x="249308" y="790882"/>
              </a:cubicBezTo>
              <a:cubicBezTo>
                <a:pt x="220733" y="806757"/>
                <a:pt x="190520" y="819988"/>
                <a:pt x="163583" y="838507"/>
              </a:cubicBezTo>
              <a:cubicBezTo>
                <a:pt x="139462" y="855090"/>
                <a:pt x="119563" y="877121"/>
                <a:pt x="96908" y="895657"/>
              </a:cubicBezTo>
              <a:cubicBezTo>
                <a:pt x="56556" y="928672"/>
                <a:pt x="62634" y="912774"/>
                <a:pt x="39758" y="952807"/>
              </a:cubicBezTo>
              <a:cubicBezTo>
                <a:pt x="32713" y="965135"/>
                <a:pt x="27753" y="978579"/>
                <a:pt x="20708" y="990907"/>
              </a:cubicBezTo>
              <a:cubicBezTo>
                <a:pt x="15028" y="1000846"/>
                <a:pt x="-6000" y="1027991"/>
                <a:pt x="1658" y="1019482"/>
              </a:cubicBezTo>
              <a:cubicBezTo>
                <a:pt x="37828" y="979293"/>
                <a:pt x="71416" y="936854"/>
                <a:pt x="106433" y="895657"/>
              </a:cubicBezTo>
              <a:lnTo>
                <a:pt x="163583" y="828982"/>
              </a:lnTo>
              <a:cubicBezTo>
                <a:pt x="185687" y="803477"/>
                <a:pt x="206393" y="776647"/>
                <a:pt x="230258" y="752782"/>
              </a:cubicBezTo>
              <a:cubicBezTo>
                <a:pt x="258833" y="724207"/>
                <a:pt x="288573" y="696751"/>
                <a:pt x="315983" y="667057"/>
              </a:cubicBezTo>
              <a:cubicBezTo>
                <a:pt x="401667" y="574233"/>
                <a:pt x="278600" y="608450"/>
                <a:pt x="516008" y="476557"/>
              </a:cubicBezTo>
              <a:cubicBezTo>
                <a:pt x="544583" y="460682"/>
                <a:pt x="573703" y="445750"/>
                <a:pt x="601733" y="428932"/>
              </a:cubicBezTo>
              <a:cubicBezTo>
                <a:pt x="716674" y="359968"/>
                <a:pt x="609892" y="415328"/>
                <a:pt x="696983" y="371782"/>
              </a:cubicBezTo>
              <a:cubicBezTo>
                <a:pt x="700158" y="381307"/>
                <a:pt x="711489" y="391640"/>
                <a:pt x="706508" y="400357"/>
              </a:cubicBezTo>
              <a:cubicBezTo>
                <a:pt x="696422" y="418008"/>
                <a:pt x="673258" y="424082"/>
                <a:pt x="658883" y="438457"/>
              </a:cubicBezTo>
              <a:cubicBezTo>
                <a:pt x="641348" y="455992"/>
                <a:pt x="626749" y="476243"/>
                <a:pt x="611258" y="495607"/>
              </a:cubicBezTo>
              <a:cubicBezTo>
                <a:pt x="601341" y="508003"/>
                <a:pt x="593601" y="522183"/>
                <a:pt x="582683" y="533707"/>
              </a:cubicBezTo>
              <a:cubicBezTo>
                <a:pt x="510960" y="609415"/>
                <a:pt x="395112" y="732268"/>
                <a:pt x="296933" y="781357"/>
              </a:cubicBezTo>
              <a:cubicBezTo>
                <a:pt x="223224" y="818211"/>
                <a:pt x="258046" y="798974"/>
                <a:pt x="192158" y="838507"/>
              </a:cubicBezTo>
              <a:cubicBezTo>
                <a:pt x="201683" y="819457"/>
                <a:pt x="207428" y="797988"/>
                <a:pt x="220733" y="781357"/>
              </a:cubicBezTo>
              <a:cubicBezTo>
                <a:pt x="245978" y="749801"/>
                <a:pt x="277883" y="724207"/>
                <a:pt x="306458" y="695632"/>
              </a:cubicBezTo>
              <a:cubicBezTo>
                <a:pt x="352653" y="649437"/>
                <a:pt x="329614" y="667495"/>
                <a:pt x="373133" y="638482"/>
              </a:cubicBezTo>
              <a:cubicBezTo>
                <a:pt x="369958" y="648007"/>
                <a:pt x="369444" y="658887"/>
                <a:pt x="363608" y="667057"/>
              </a:cubicBezTo>
              <a:cubicBezTo>
                <a:pt x="337379" y="703777"/>
                <a:pt x="306569" y="736998"/>
                <a:pt x="277883" y="771832"/>
              </a:cubicBezTo>
              <a:cubicBezTo>
                <a:pt x="262119" y="790974"/>
                <a:pt x="243016" y="807718"/>
                <a:pt x="230258" y="828982"/>
              </a:cubicBezTo>
              <a:cubicBezTo>
                <a:pt x="220733" y="844857"/>
                <a:pt x="213731" y="862551"/>
                <a:pt x="201683" y="876607"/>
              </a:cubicBezTo>
              <a:cubicBezTo>
                <a:pt x="194233" y="885299"/>
                <a:pt x="165013" y="903752"/>
                <a:pt x="173108" y="895657"/>
              </a:cubicBezTo>
              <a:cubicBezTo>
                <a:pt x="184333" y="884432"/>
                <a:pt x="199261" y="877536"/>
                <a:pt x="211208" y="867082"/>
              </a:cubicBezTo>
              <a:cubicBezTo>
                <a:pt x="224725" y="855255"/>
                <a:pt x="237481" y="842499"/>
                <a:pt x="249308" y="828982"/>
              </a:cubicBezTo>
              <a:cubicBezTo>
                <a:pt x="259762" y="817035"/>
                <a:pt x="265183" y="800407"/>
                <a:pt x="277883" y="790882"/>
              </a:cubicBezTo>
              <a:cubicBezTo>
                <a:pt x="291561" y="780623"/>
                <a:pt x="309633" y="778182"/>
                <a:pt x="325508" y="771832"/>
              </a:cubicBezTo>
              <a:cubicBezTo>
                <a:pt x="335033" y="762307"/>
                <a:pt x="342035" y="737233"/>
                <a:pt x="354083" y="743257"/>
              </a:cubicBezTo>
              <a:cubicBezTo>
                <a:pt x="365792" y="749111"/>
                <a:pt x="348698" y="768938"/>
                <a:pt x="344558" y="781357"/>
              </a:cubicBezTo>
              <a:cubicBezTo>
                <a:pt x="339151" y="797577"/>
                <a:pt x="335767" y="815304"/>
                <a:pt x="325508" y="828982"/>
              </a:cubicBezTo>
              <a:cubicBezTo>
                <a:pt x="315983" y="841682"/>
                <a:pt x="298633" y="846332"/>
                <a:pt x="287408" y="857557"/>
              </a:cubicBezTo>
              <a:cubicBezTo>
                <a:pt x="279313" y="865652"/>
                <a:pt x="258119" y="881012"/>
                <a:pt x="268358" y="886132"/>
              </a:cubicBezTo>
              <a:cubicBezTo>
                <a:pt x="281058" y="892482"/>
                <a:pt x="294739" y="875100"/>
                <a:pt x="306458" y="867082"/>
              </a:cubicBezTo>
              <a:cubicBezTo>
                <a:pt x="355199" y="833733"/>
                <a:pt x="399252" y="793608"/>
                <a:pt x="449333" y="762307"/>
              </a:cubicBezTo>
              <a:cubicBezTo>
                <a:pt x="500133" y="730557"/>
                <a:pt x="559373" y="709417"/>
                <a:pt x="601733" y="667057"/>
              </a:cubicBezTo>
              <a:cubicBezTo>
                <a:pt x="611258" y="657532"/>
                <a:pt x="619347" y="646312"/>
                <a:pt x="630308" y="638482"/>
              </a:cubicBezTo>
              <a:cubicBezTo>
                <a:pt x="663994" y="614421"/>
                <a:pt x="735083" y="571807"/>
                <a:pt x="735083" y="571807"/>
              </a:cubicBezTo>
              <a:cubicBezTo>
                <a:pt x="738258" y="581332"/>
                <a:pt x="747783" y="590857"/>
                <a:pt x="744608" y="600382"/>
              </a:cubicBezTo>
              <a:cubicBezTo>
                <a:pt x="729600" y="645407"/>
                <a:pt x="672761" y="620303"/>
                <a:pt x="763658" y="638482"/>
              </a:cubicBezTo>
              <a:cubicBezTo>
                <a:pt x="782708" y="628957"/>
                <a:pt x="800211" y="615327"/>
                <a:pt x="820808" y="609907"/>
              </a:cubicBezTo>
              <a:cubicBezTo>
                <a:pt x="978142" y="568503"/>
                <a:pt x="898163" y="607353"/>
                <a:pt x="1020833" y="581332"/>
              </a:cubicBezTo>
              <a:cubicBezTo>
                <a:pt x="1100685" y="564394"/>
                <a:pt x="1178440" y="537602"/>
                <a:pt x="1258958" y="524182"/>
              </a:cubicBezTo>
              <a:cubicBezTo>
                <a:pt x="1509703" y="482391"/>
                <a:pt x="1411083" y="497007"/>
                <a:pt x="1554233" y="476557"/>
              </a:cubicBezTo>
              <a:cubicBezTo>
                <a:pt x="1582808" y="467032"/>
                <a:pt x="1610936" y="456044"/>
                <a:pt x="1639958" y="447982"/>
              </a:cubicBezTo>
              <a:cubicBezTo>
                <a:pt x="1703276" y="430394"/>
                <a:pt x="1730699" y="428215"/>
                <a:pt x="1792358" y="419407"/>
              </a:cubicBezTo>
              <a:cubicBezTo>
                <a:pt x="1779658" y="409882"/>
                <a:pt x="1767720" y="399246"/>
                <a:pt x="1754258" y="390832"/>
              </a:cubicBezTo>
              <a:cubicBezTo>
                <a:pt x="1694757" y="353644"/>
                <a:pt x="1657233" y="362326"/>
                <a:pt x="1573283" y="352732"/>
              </a:cubicBezTo>
              <a:cubicBezTo>
                <a:pt x="1450222" y="338668"/>
                <a:pt x="1383186" y="333716"/>
                <a:pt x="1268483" y="324157"/>
              </a:cubicBezTo>
              <a:cubicBezTo>
                <a:pt x="1131958" y="327332"/>
                <a:pt x="995087" y="323469"/>
                <a:pt x="858908" y="333682"/>
              </a:cubicBezTo>
              <a:cubicBezTo>
                <a:pt x="847492" y="334538"/>
                <a:pt x="876623" y="349112"/>
                <a:pt x="887483" y="352732"/>
              </a:cubicBezTo>
              <a:cubicBezTo>
                <a:pt x="905805" y="358839"/>
                <a:pt x="925815" y="357914"/>
                <a:pt x="944633" y="362257"/>
              </a:cubicBezTo>
              <a:cubicBezTo>
                <a:pt x="967155" y="367454"/>
                <a:pt x="988590" y="377047"/>
                <a:pt x="1011308" y="381307"/>
              </a:cubicBezTo>
              <a:cubicBezTo>
                <a:pt x="1039566" y="386605"/>
                <a:pt x="1068534" y="387032"/>
                <a:pt x="1097033" y="390832"/>
              </a:cubicBezTo>
              <a:cubicBezTo>
                <a:pt x="1116176" y="393384"/>
                <a:pt x="1134988" y="398224"/>
                <a:pt x="1154183" y="400357"/>
              </a:cubicBezTo>
              <a:cubicBezTo>
                <a:pt x="1220750" y="407753"/>
                <a:pt x="1354208" y="419407"/>
                <a:pt x="1354208" y="419407"/>
              </a:cubicBezTo>
              <a:cubicBezTo>
                <a:pt x="1382783" y="425757"/>
                <a:pt x="1411787" y="430415"/>
                <a:pt x="1439933" y="438457"/>
              </a:cubicBezTo>
              <a:cubicBezTo>
                <a:pt x="1456373" y="443154"/>
                <a:pt x="1471549" y="451504"/>
                <a:pt x="1487558" y="457507"/>
              </a:cubicBezTo>
              <a:cubicBezTo>
                <a:pt x="1496959" y="461032"/>
                <a:pt x="1506608" y="463857"/>
                <a:pt x="1516133" y="467032"/>
              </a:cubicBezTo>
              <a:cubicBezTo>
                <a:pt x="1512958" y="479732"/>
                <a:pt x="1514989" y="495075"/>
                <a:pt x="1506608" y="505132"/>
              </a:cubicBezTo>
              <a:cubicBezTo>
                <a:pt x="1491592" y="523152"/>
                <a:pt x="1439602" y="530827"/>
                <a:pt x="1420883" y="533707"/>
              </a:cubicBezTo>
              <a:cubicBezTo>
                <a:pt x="1386846" y="538943"/>
                <a:pt x="1290724" y="549227"/>
                <a:pt x="1258958" y="552757"/>
              </a:cubicBezTo>
              <a:cubicBezTo>
                <a:pt x="928239" y="635437"/>
                <a:pt x="1233949" y="562282"/>
                <a:pt x="315983" y="562282"/>
              </a:cubicBezTo>
            </a:path>
          </a:pathLst>
        </a:custGeom>
        <a:noFill/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3</xdr:col>
      <xdr:colOff>643618</xdr:colOff>
      <xdr:row>0</xdr:row>
      <xdr:rowOff>0</xdr:rowOff>
    </xdr:from>
    <xdr:ext cx="3166382" cy="47625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77368" y="0"/>
          <a:ext cx="3166382" cy="476250"/>
        </a:xfrm>
        <a:prstGeom prst="rect">
          <a:avLst/>
        </a:prstGeom>
        <a:solidFill>
          <a:srgbClr val="7030A0"/>
        </a:solidFill>
        <a:ln w="9525" cap="flat" cmpd="sng">
          <a:solidFill>
            <a:schemeClr val="accen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6</xdr:col>
      <xdr:colOff>619125</xdr:colOff>
      <xdr:row>2</xdr:row>
      <xdr:rowOff>47625</xdr:rowOff>
    </xdr:from>
    <xdr:ext cx="2143125" cy="9144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279200" y="3327563"/>
          <a:ext cx="2133600" cy="904875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="0" i="0" u="none" strike="noStrike" cap="none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123825</xdr:colOff>
      <xdr:row>3</xdr:row>
      <xdr:rowOff>0</xdr:rowOff>
    </xdr:from>
    <xdr:ext cx="1628775" cy="695325"/>
    <xdr:sp macro="[0]!CreaPDF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043182" y="544286"/>
          <a:ext cx="1628775" cy="69532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000"/>
            <a:buFont typeface="Arial"/>
            <a:buNone/>
          </a:pPr>
          <a:r>
            <a:rPr lang="en-US" sz="20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PDF</a:t>
          </a:r>
          <a:endParaRPr sz="1400"/>
        </a:p>
      </xdr:txBody>
    </xdr:sp>
    <xdr:clientData fLocksWithSheet="0"/>
  </xdr:oneCellAnchor>
  <xdr:oneCellAnchor>
    <xdr:from>
      <xdr:col>2</xdr:col>
      <xdr:colOff>751114</xdr:colOff>
      <xdr:row>0</xdr:row>
      <xdr:rowOff>10886</xdr:rowOff>
    </xdr:from>
    <xdr:ext cx="963386" cy="80010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82685" y="10886"/>
          <a:ext cx="963386" cy="800100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781050</xdr:colOff>
      <xdr:row>36</xdr:row>
      <xdr:rowOff>161925</xdr:rowOff>
    </xdr:from>
    <xdr:ext cx="1304925" cy="1209675"/>
    <xdr:pic>
      <xdr:nvPicPr>
        <xdr:cNvPr id="9" name="image1.png" title="Image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394607</xdr:colOff>
      <xdr:row>0</xdr:row>
      <xdr:rowOff>0</xdr:rowOff>
    </xdr:from>
    <xdr:ext cx="5170713" cy="3810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428750" y="0"/>
          <a:ext cx="5170713" cy="381000"/>
        </a:xfrm>
        <a:prstGeom prst="rect">
          <a:avLst/>
        </a:prstGeom>
        <a:solidFill>
          <a:srgbClr val="7030A0"/>
        </a:solidFill>
        <a:ln w="9525" cap="flat" cmpd="sng">
          <a:solidFill>
            <a:schemeClr val="accen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0</xdr:colOff>
      <xdr:row>46</xdr:row>
      <xdr:rowOff>0</xdr:rowOff>
    </xdr:from>
    <xdr:ext cx="6819900" cy="581025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940813" y="3494250"/>
          <a:ext cx="6810375" cy="571500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#HablemosDerecho     #IUAF      </a:t>
          </a:r>
          <a:endParaRPr sz="1400"/>
        </a:p>
      </xdr:txBody>
    </xdr:sp>
    <xdr:clientData fLocksWithSheet="0"/>
  </xdr:oneCellAnchor>
  <xdr:oneCellAnchor>
    <xdr:from>
      <xdr:col>7</xdr:col>
      <xdr:colOff>266700</xdr:colOff>
      <xdr:row>3</xdr:row>
      <xdr:rowOff>0</xdr:rowOff>
    </xdr:from>
    <xdr:ext cx="2143125" cy="9144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279200" y="3327563"/>
          <a:ext cx="2133600" cy="904875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="0" i="0" u="none" strike="noStrike" cap="none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8</xdr:col>
      <xdr:colOff>81915</xdr:colOff>
      <xdr:row>3</xdr:row>
      <xdr:rowOff>129540</xdr:rowOff>
    </xdr:from>
    <xdr:ext cx="1628775" cy="695325"/>
    <xdr:sp macro="[0]!CreaPDF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8067675" y="655320"/>
          <a:ext cx="1628775" cy="69532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000"/>
            <a:buFont typeface="Arial"/>
            <a:buNone/>
          </a:pPr>
          <a:r>
            <a:rPr lang="en-US" sz="20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PDF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0</xdr:row>
      <xdr:rowOff>66675</xdr:rowOff>
    </xdr:from>
    <xdr:ext cx="1295400" cy="1200150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942975</xdr:colOff>
      <xdr:row>37</xdr:row>
      <xdr:rowOff>28575</xdr:rowOff>
    </xdr:from>
    <xdr:ext cx="1009650" cy="923925"/>
    <xdr:pic>
      <xdr:nvPicPr>
        <xdr:cNvPr id="3" name="image1.png" title="Imagen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723900</xdr:colOff>
      <xdr:row>37</xdr:row>
      <xdr:rowOff>114300</xdr:rowOff>
    </xdr:from>
    <xdr:ext cx="1266825" cy="695325"/>
    <xdr:pic>
      <xdr:nvPicPr>
        <xdr:cNvPr id="13" name="image6.png">
          <a:extLst>
            <a:ext uri="{FF2B5EF4-FFF2-40B4-BE49-F238E27FC236}">
              <a16:creationId xmlns:a16="http://schemas.microsoft.com/office/drawing/2014/main" id="{F3623A91-0883-4CA7-AE8B-9A470C6911B1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95575" y="7791450"/>
          <a:ext cx="1266825" cy="6953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266701</xdr:colOff>
      <xdr:row>38</xdr:row>
      <xdr:rowOff>19050</xdr:rowOff>
    </xdr:from>
    <xdr:to>
      <xdr:col>4</xdr:col>
      <xdr:colOff>802640</xdr:colOff>
      <xdr:row>41</xdr:row>
      <xdr:rowOff>34618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0EBAE28-0995-4432-2230-55B9DA4C2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1401" y="7823200"/>
          <a:ext cx="539749" cy="519758"/>
        </a:xfrm>
        <a:prstGeom prst="rect">
          <a:avLst/>
        </a:prstGeom>
      </xdr:spPr>
    </xdr:pic>
    <xdr:clientData/>
  </xdr:twoCellAnchor>
  <xdr:oneCellAnchor>
    <xdr:from>
      <xdr:col>1</xdr:col>
      <xdr:colOff>681990</xdr:colOff>
      <xdr:row>0</xdr:row>
      <xdr:rowOff>0</xdr:rowOff>
    </xdr:from>
    <xdr:ext cx="4819650" cy="476250"/>
    <xdr:sp macro="" textlink="">
      <xdr:nvSpPr>
        <xdr:cNvPr id="2" name="Shape 9">
          <a:extLst>
            <a:ext uri="{FF2B5EF4-FFF2-40B4-BE49-F238E27FC236}">
              <a16:creationId xmlns:a16="http://schemas.microsoft.com/office/drawing/2014/main" id="{CAE7B565-0F8D-43F0-8F7B-D369D203F42E}"/>
            </a:ext>
          </a:extLst>
        </xdr:cNvPr>
        <xdr:cNvSpPr/>
      </xdr:nvSpPr>
      <xdr:spPr>
        <a:xfrm>
          <a:off x="1755140" y="0"/>
          <a:ext cx="4819650" cy="476250"/>
        </a:xfrm>
        <a:prstGeom prst="rect">
          <a:avLst/>
        </a:prstGeom>
        <a:solidFill>
          <a:srgbClr val="7030A0"/>
        </a:solidFill>
        <a:ln w="9525" cap="flat" cmpd="sng">
          <a:solidFill>
            <a:schemeClr val="accen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0</xdr:colOff>
      <xdr:row>46</xdr:row>
      <xdr:rowOff>0</xdr:rowOff>
    </xdr:from>
    <xdr:ext cx="6819900" cy="581025"/>
    <xdr:sp macro="" textlink="">
      <xdr:nvSpPr>
        <xdr:cNvPr id="3" name="Shape 10">
          <a:extLst>
            <a:ext uri="{FF2B5EF4-FFF2-40B4-BE49-F238E27FC236}">
              <a16:creationId xmlns:a16="http://schemas.microsoft.com/office/drawing/2014/main" id="{E67D9911-E9DE-4F08-8103-C8F2450105F7}"/>
            </a:ext>
          </a:extLst>
        </xdr:cNvPr>
        <xdr:cNvSpPr/>
      </xdr:nvSpPr>
      <xdr:spPr>
        <a:xfrm>
          <a:off x="0" y="9175750"/>
          <a:ext cx="6819900" cy="581025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#HablemosDerecho     #IUAF      </a:t>
          </a:r>
          <a:endParaRPr sz="1400"/>
        </a:p>
      </xdr:txBody>
    </xdr:sp>
    <xdr:clientData fLocksWithSheet="0"/>
  </xdr:oneCellAnchor>
  <xdr:oneCellAnchor>
    <xdr:from>
      <xdr:col>7</xdr:col>
      <xdr:colOff>244288</xdr:colOff>
      <xdr:row>3</xdr:row>
      <xdr:rowOff>37353</xdr:rowOff>
    </xdr:from>
    <xdr:ext cx="2143125" cy="914400"/>
    <xdr:sp macro="" textlink="">
      <xdr:nvSpPr>
        <xdr:cNvPr id="4" name="Shape 7">
          <a:extLst>
            <a:ext uri="{FF2B5EF4-FFF2-40B4-BE49-F238E27FC236}">
              <a16:creationId xmlns:a16="http://schemas.microsoft.com/office/drawing/2014/main" id="{004BE084-78A1-4BD6-880D-82D12EB45B92}"/>
            </a:ext>
          </a:extLst>
        </xdr:cNvPr>
        <xdr:cNvSpPr/>
      </xdr:nvSpPr>
      <xdr:spPr>
        <a:xfrm>
          <a:off x="7976347" y="575235"/>
          <a:ext cx="2143125" cy="914400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="0" i="0" u="none" strike="noStrike" cap="none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8</xdr:col>
      <xdr:colOff>81915</xdr:colOff>
      <xdr:row>3</xdr:row>
      <xdr:rowOff>129540</xdr:rowOff>
    </xdr:from>
    <xdr:ext cx="1628775" cy="695325"/>
    <xdr:sp macro="[0]!CreaPDF" textlink="">
      <xdr:nvSpPr>
        <xdr:cNvPr id="5" name="Shape 11">
          <a:extLst>
            <a:ext uri="{FF2B5EF4-FFF2-40B4-BE49-F238E27FC236}">
              <a16:creationId xmlns:a16="http://schemas.microsoft.com/office/drawing/2014/main" id="{BA9C32C4-933F-48FB-BBD6-FA51D39D9189}"/>
            </a:ext>
          </a:extLst>
        </xdr:cNvPr>
        <xdr:cNvSpPr/>
      </xdr:nvSpPr>
      <xdr:spPr>
        <a:xfrm>
          <a:off x="8222615" y="662940"/>
          <a:ext cx="1628775" cy="69532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2000"/>
            <a:buFont typeface="Arial"/>
            <a:buNone/>
          </a:pPr>
          <a:r>
            <a:rPr lang="en-US" sz="20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PDF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0</xdr:row>
      <xdr:rowOff>66675</xdr:rowOff>
    </xdr:from>
    <xdr:ext cx="1295400" cy="1200150"/>
    <xdr:pic>
      <xdr:nvPicPr>
        <xdr:cNvPr id="6" name="image2.jpg">
          <a:extLst>
            <a:ext uri="{FF2B5EF4-FFF2-40B4-BE49-F238E27FC236}">
              <a16:creationId xmlns:a16="http://schemas.microsoft.com/office/drawing/2014/main" id="{E728C2AC-E093-4220-839F-52749380A7C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66675"/>
          <a:ext cx="1295400" cy="1200150"/>
        </a:xfrm>
        <a:prstGeom prst="rect">
          <a:avLst/>
        </a:prstGeom>
        <a:noFill/>
      </xdr:spPr>
    </xdr:pic>
    <xdr:clientData fLocksWithSheet="0"/>
  </xdr:oneCellAnchor>
  <xdr:oneCellAnchor>
    <xdr:from>
      <xdr:col>2</xdr:col>
      <xdr:colOff>885825</xdr:colOff>
      <xdr:row>36</xdr:row>
      <xdr:rowOff>111125</xdr:rowOff>
    </xdr:from>
    <xdr:ext cx="1009650" cy="923925"/>
    <xdr:pic>
      <xdr:nvPicPr>
        <xdr:cNvPr id="7" name="image1.png" title="Imagen">
          <a:extLst>
            <a:ext uri="{FF2B5EF4-FFF2-40B4-BE49-F238E27FC236}">
              <a16:creationId xmlns:a16="http://schemas.microsoft.com/office/drawing/2014/main" id="{C082D0E0-F8D4-4AE0-B779-8CBD0AA535C1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62275" y="7553325"/>
          <a:ext cx="1009650" cy="92392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977900</xdr:colOff>
      <xdr:row>37</xdr:row>
      <xdr:rowOff>133350</xdr:rowOff>
    </xdr:from>
    <xdr:ext cx="1266825" cy="695325"/>
    <xdr:pic>
      <xdr:nvPicPr>
        <xdr:cNvPr id="8" name="image6.png">
          <a:extLst>
            <a:ext uri="{FF2B5EF4-FFF2-40B4-BE49-F238E27FC236}">
              <a16:creationId xmlns:a16="http://schemas.microsoft.com/office/drawing/2014/main" id="{BA46B79F-9F94-47E5-8EE1-FE871F7936EF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77900" y="7766050"/>
          <a:ext cx="1266825" cy="695325"/>
        </a:xfrm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65</xdr:row>
      <xdr:rowOff>0</xdr:rowOff>
    </xdr:from>
    <xdr:ext cx="600075" cy="60960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5050725" y="3479963"/>
          <a:ext cx="590550" cy="600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</xdr:col>
      <xdr:colOff>0</xdr:colOff>
      <xdr:row>65</xdr:row>
      <xdr:rowOff>0</xdr:rowOff>
    </xdr:from>
    <xdr:ext cx="600075" cy="60960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5050725" y="3479963"/>
          <a:ext cx="590550" cy="600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8</xdr:col>
      <xdr:colOff>1009650</xdr:colOff>
      <xdr:row>6</xdr:row>
      <xdr:rowOff>180975</xdr:rowOff>
    </xdr:from>
    <xdr:ext cx="1247775" cy="590550"/>
    <xdr:sp macro="[0]!KARDEXPOSGRADO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7248525" y="1371600"/>
          <a:ext cx="1247775" cy="590550"/>
        </a:xfrm>
        <a:prstGeom prst="roundRect">
          <a:avLst>
            <a:gd name="adj" fmla="val 16667"/>
          </a:avLst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400"/>
            <a:buFont typeface="Calibri"/>
            <a:buNone/>
          </a:pPr>
          <a:r>
            <a:rPr lang="en-US" sz="1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100"/>
        </a:p>
      </xdr:txBody>
    </xdr:sp>
    <xdr:clientData fLocksWithSheet="0"/>
  </xdr:oneCellAnchor>
  <xdr:oneCellAnchor>
    <xdr:from>
      <xdr:col>5</xdr:col>
      <xdr:colOff>19050</xdr:colOff>
      <xdr:row>0</xdr:row>
      <xdr:rowOff>28575</xdr:rowOff>
    </xdr:from>
    <xdr:ext cx="647700" cy="70485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</xdr:colOff>
      <xdr:row>0</xdr:row>
      <xdr:rowOff>28575</xdr:rowOff>
    </xdr:from>
    <xdr:ext cx="647700" cy="704850"/>
    <xdr:pic>
      <xdr:nvPicPr>
        <xdr:cNvPr id="3" name="image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19050</xdr:colOff>
      <xdr:row>0</xdr:row>
      <xdr:rowOff>28575</xdr:rowOff>
    </xdr:from>
    <xdr:ext cx="647700" cy="704850"/>
    <xdr:pic>
      <xdr:nvPicPr>
        <xdr:cNvPr id="4" name="image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5</xdr:col>
      <xdr:colOff>9525</xdr:colOff>
      <xdr:row>0</xdr:row>
      <xdr:rowOff>19050</xdr:rowOff>
    </xdr:from>
    <xdr:ext cx="790575" cy="704850"/>
    <xdr:pic>
      <xdr:nvPicPr>
        <xdr:cNvPr id="5" name="image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914400</xdr:colOff>
      <xdr:row>63</xdr:row>
      <xdr:rowOff>66675</xdr:rowOff>
    </xdr:from>
    <xdr:ext cx="809625" cy="600075"/>
    <xdr:pic>
      <xdr:nvPicPr>
        <xdr:cNvPr id="6" name="image6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1476375</xdr:colOff>
      <xdr:row>62</xdr:row>
      <xdr:rowOff>142875</xdr:rowOff>
    </xdr:from>
    <xdr:ext cx="504825" cy="514350"/>
    <xdr:pic>
      <xdr:nvPicPr>
        <xdr:cNvPr id="7" name="image4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238375" y="8001000"/>
          <a:ext cx="504825" cy="51435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13" name="Shape 15">
          <a:extLst>
            <a:ext uri="{FF2B5EF4-FFF2-40B4-BE49-F238E27FC236}">
              <a16:creationId xmlns:a16="http://schemas.microsoft.com/office/drawing/2014/main" id="{6BA17906-7134-D4F0-502C-BC42B4077A9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14" name="Shape 16">
          <a:extLst>
            <a:ext uri="{FF2B5EF4-FFF2-40B4-BE49-F238E27FC236}">
              <a16:creationId xmlns:a16="http://schemas.microsoft.com/office/drawing/2014/main" id="{5930C87E-4FE5-1B7A-51FF-6215D906853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8</xdr:col>
      <xdr:colOff>1009650</xdr:colOff>
      <xdr:row>6</xdr:row>
      <xdr:rowOff>177800</xdr:rowOff>
    </xdr:from>
    <xdr:to>
      <xdr:col>10</xdr:col>
      <xdr:colOff>269876</xdr:colOff>
      <xdr:row>9</xdr:row>
      <xdr:rowOff>224790</xdr:rowOff>
    </xdr:to>
    <xdr:pic macro="[0]!KARDEXPOSGRADO">
      <xdr:nvPicPr>
        <xdr:cNvPr id="13315" name="Shape 17">
          <a:extLst>
            <a:ext uri="{FF2B5EF4-FFF2-40B4-BE49-F238E27FC236}">
              <a16:creationId xmlns:a16="http://schemas.microsoft.com/office/drawing/2014/main" id="{D56B960E-BEE3-3B50-CF69-01D3AE200817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1100" y="1314450"/>
          <a:ext cx="124460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914400</xdr:colOff>
      <xdr:row>63</xdr:row>
      <xdr:rowOff>69850</xdr:rowOff>
    </xdr:from>
    <xdr:to>
      <xdr:col>2</xdr:col>
      <xdr:colOff>1717675</xdr:colOff>
      <xdr:row>66</xdr:row>
      <xdr:rowOff>76199</xdr:rowOff>
    </xdr:to>
    <xdr:pic>
      <xdr:nvPicPr>
        <xdr:cNvPr id="13316" name="image6.png">
          <a:extLst>
            <a:ext uri="{FF2B5EF4-FFF2-40B4-BE49-F238E27FC236}">
              <a16:creationId xmlns:a16="http://schemas.microsoft.com/office/drawing/2014/main" id="{DB8E433D-FAED-DF75-55D5-DB8B8EE670E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12712700"/>
          <a:ext cx="81280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17" name="Picture 5">
          <a:extLst>
            <a:ext uri="{FF2B5EF4-FFF2-40B4-BE49-F238E27FC236}">
              <a16:creationId xmlns:a16="http://schemas.microsoft.com/office/drawing/2014/main" id="{26519FA6-1813-7DD6-46E5-F62B31305C8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18" name="Picture 6">
          <a:extLst>
            <a:ext uri="{FF2B5EF4-FFF2-40B4-BE49-F238E27FC236}">
              <a16:creationId xmlns:a16="http://schemas.microsoft.com/office/drawing/2014/main" id="{C8A75247-A16A-56EB-B848-17BF583AED9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8</xdr:col>
      <xdr:colOff>1009650</xdr:colOff>
      <xdr:row>6</xdr:row>
      <xdr:rowOff>177800</xdr:rowOff>
    </xdr:from>
    <xdr:to>
      <xdr:col>10</xdr:col>
      <xdr:colOff>269876</xdr:colOff>
      <xdr:row>9</xdr:row>
      <xdr:rowOff>224790</xdr:rowOff>
    </xdr:to>
    <xdr:pic macro="[0]!KARDEXPOSGRADO">
      <xdr:nvPicPr>
        <xdr:cNvPr id="13319" name="Picture 7">
          <a:extLst>
            <a:ext uri="{FF2B5EF4-FFF2-40B4-BE49-F238E27FC236}">
              <a16:creationId xmlns:a16="http://schemas.microsoft.com/office/drawing/2014/main" id="{62420348-94F0-F855-5B32-A9ECDCE598E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1100" y="1314450"/>
          <a:ext cx="124460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914400</xdr:colOff>
      <xdr:row>63</xdr:row>
      <xdr:rowOff>69850</xdr:rowOff>
    </xdr:from>
    <xdr:to>
      <xdr:col>2</xdr:col>
      <xdr:colOff>1717675</xdr:colOff>
      <xdr:row>66</xdr:row>
      <xdr:rowOff>76199</xdr:rowOff>
    </xdr:to>
    <xdr:pic>
      <xdr:nvPicPr>
        <xdr:cNvPr id="13320" name="Picture 8">
          <a:extLst>
            <a:ext uri="{FF2B5EF4-FFF2-40B4-BE49-F238E27FC236}">
              <a16:creationId xmlns:a16="http://schemas.microsoft.com/office/drawing/2014/main" id="{0A7EFBE4-6313-CBFB-2C41-5689CE6BA8E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8128000"/>
          <a:ext cx="803275" cy="606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1" name="Picture 9">
          <a:extLst>
            <a:ext uri="{FF2B5EF4-FFF2-40B4-BE49-F238E27FC236}">
              <a16:creationId xmlns:a16="http://schemas.microsoft.com/office/drawing/2014/main" id="{AAFA4E76-08D5-E81C-FD71-BC444F17FD8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2" name="Picture 10">
          <a:extLst>
            <a:ext uri="{FF2B5EF4-FFF2-40B4-BE49-F238E27FC236}">
              <a16:creationId xmlns:a16="http://schemas.microsoft.com/office/drawing/2014/main" id="{50672825-9F74-23FE-5EC4-16036AE065D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8</xdr:col>
      <xdr:colOff>1009650</xdr:colOff>
      <xdr:row>6</xdr:row>
      <xdr:rowOff>177800</xdr:rowOff>
    </xdr:from>
    <xdr:to>
      <xdr:col>10</xdr:col>
      <xdr:colOff>269876</xdr:colOff>
      <xdr:row>9</xdr:row>
      <xdr:rowOff>224790</xdr:rowOff>
    </xdr:to>
    <xdr:pic macro="[0]!KARDEXPOSGRADO">
      <xdr:nvPicPr>
        <xdr:cNvPr id="13323" name="Picture 11">
          <a:extLst>
            <a:ext uri="{FF2B5EF4-FFF2-40B4-BE49-F238E27FC236}">
              <a16:creationId xmlns:a16="http://schemas.microsoft.com/office/drawing/2014/main" id="{45C05BCE-87ED-9D83-A1ED-70434D067BE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31100" y="1314450"/>
          <a:ext cx="124460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914400</xdr:colOff>
      <xdr:row>63</xdr:row>
      <xdr:rowOff>69850</xdr:rowOff>
    </xdr:from>
    <xdr:to>
      <xdr:col>2</xdr:col>
      <xdr:colOff>1717675</xdr:colOff>
      <xdr:row>66</xdr:row>
      <xdr:rowOff>76199</xdr:rowOff>
    </xdr:to>
    <xdr:pic>
      <xdr:nvPicPr>
        <xdr:cNvPr id="13324" name="Picture 12">
          <a:extLst>
            <a:ext uri="{FF2B5EF4-FFF2-40B4-BE49-F238E27FC236}">
              <a16:creationId xmlns:a16="http://schemas.microsoft.com/office/drawing/2014/main" id="{B104FB13-4FB8-41DB-108F-CAB501545CA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8128000"/>
          <a:ext cx="803275" cy="606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5" name="Picture 13">
          <a:extLst>
            <a:ext uri="{FF2B5EF4-FFF2-40B4-BE49-F238E27FC236}">
              <a16:creationId xmlns:a16="http://schemas.microsoft.com/office/drawing/2014/main" id="{9DC88CF9-89C4-AD05-042F-60AC96910DE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6" name="Picture 14">
          <a:extLst>
            <a:ext uri="{FF2B5EF4-FFF2-40B4-BE49-F238E27FC236}">
              <a16:creationId xmlns:a16="http://schemas.microsoft.com/office/drawing/2014/main" id="{C074E430-169C-1C35-BE4C-58EAA0416A1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914400</xdr:colOff>
      <xdr:row>63</xdr:row>
      <xdr:rowOff>69850</xdr:rowOff>
    </xdr:from>
    <xdr:to>
      <xdr:col>2</xdr:col>
      <xdr:colOff>1717675</xdr:colOff>
      <xdr:row>66</xdr:row>
      <xdr:rowOff>76199</xdr:rowOff>
    </xdr:to>
    <xdr:pic>
      <xdr:nvPicPr>
        <xdr:cNvPr id="13327" name="Picture 15">
          <a:extLst>
            <a:ext uri="{FF2B5EF4-FFF2-40B4-BE49-F238E27FC236}">
              <a16:creationId xmlns:a16="http://schemas.microsoft.com/office/drawing/2014/main" id="{103C75FB-B803-7FDB-1482-4963B4D29F0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0" y="12414250"/>
          <a:ext cx="803275" cy="606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8" name="Picture 16">
          <a:extLst>
            <a:ext uri="{FF2B5EF4-FFF2-40B4-BE49-F238E27FC236}">
              <a16:creationId xmlns:a16="http://schemas.microsoft.com/office/drawing/2014/main" id="{06C28CF3-8297-5E13-E668-D73C60A34E4A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29" name="Picture 17">
          <a:extLst>
            <a:ext uri="{FF2B5EF4-FFF2-40B4-BE49-F238E27FC236}">
              <a16:creationId xmlns:a16="http://schemas.microsoft.com/office/drawing/2014/main" id="{DD4529D0-01F5-E25C-E543-EE0F42545903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31" name="Picture 19">
          <a:extLst>
            <a:ext uri="{FF2B5EF4-FFF2-40B4-BE49-F238E27FC236}">
              <a16:creationId xmlns:a16="http://schemas.microsoft.com/office/drawing/2014/main" id="{55D6DF7F-5436-D621-1CD2-47AB0B02F91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13332" name="Picture 20">
          <a:extLst>
            <a:ext uri="{FF2B5EF4-FFF2-40B4-BE49-F238E27FC236}">
              <a16:creationId xmlns:a16="http://schemas.microsoft.com/office/drawing/2014/main" id="{7FFE64D1-D8E9-B2F3-E6A5-9982B8C4162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22529" name="Shape 15">
          <a:extLst>
            <a:ext uri="{FF2B5EF4-FFF2-40B4-BE49-F238E27FC236}">
              <a16:creationId xmlns:a16="http://schemas.microsoft.com/office/drawing/2014/main" id="{3BD77FA2-8016-4E4D-73BA-6C14FC61BB2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55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606425</xdr:colOff>
      <xdr:row>68</xdr:row>
      <xdr:rowOff>34290</xdr:rowOff>
    </xdr:to>
    <xdr:pic>
      <xdr:nvPicPr>
        <xdr:cNvPr id="22530" name="Shape 16">
          <a:extLst>
            <a:ext uri="{FF2B5EF4-FFF2-40B4-BE49-F238E27FC236}">
              <a16:creationId xmlns:a16="http://schemas.microsoft.com/office/drawing/2014/main" id="{1E643C66-6EB7-8E2D-B2F9-DDE9C9C17BB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550" y="13036550"/>
          <a:ext cx="596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05" name="image3.png">
          <a:extLst>
            <a:ext uri="{FF2B5EF4-FFF2-40B4-BE49-F238E27FC236}">
              <a16:creationId xmlns:a16="http://schemas.microsoft.com/office/drawing/2014/main" id="{926EB347-33A2-BC65-23C2-7104C0EB7D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06" name="Picture 2">
          <a:extLst>
            <a:ext uri="{FF2B5EF4-FFF2-40B4-BE49-F238E27FC236}">
              <a16:creationId xmlns:a16="http://schemas.microsoft.com/office/drawing/2014/main" id="{FA2E993A-B779-F9E6-A302-5EE98B89CED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07" name="Picture 3">
          <a:extLst>
            <a:ext uri="{FF2B5EF4-FFF2-40B4-BE49-F238E27FC236}">
              <a16:creationId xmlns:a16="http://schemas.microsoft.com/office/drawing/2014/main" id="{F6A2BA99-25D8-41B6-E9A1-FA3D742F9E8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08" name="Picture 4">
          <a:extLst>
            <a:ext uri="{FF2B5EF4-FFF2-40B4-BE49-F238E27FC236}">
              <a16:creationId xmlns:a16="http://schemas.microsoft.com/office/drawing/2014/main" id="{4130F7BC-AD32-F79D-8B75-DC4F299B443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09" name="Picture 5">
          <a:extLst>
            <a:ext uri="{FF2B5EF4-FFF2-40B4-BE49-F238E27FC236}">
              <a16:creationId xmlns:a16="http://schemas.microsoft.com/office/drawing/2014/main" id="{BADFBF5F-B4BC-DE1C-FF2B-3814913779A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10" name="Picture 6">
          <a:extLst>
            <a:ext uri="{FF2B5EF4-FFF2-40B4-BE49-F238E27FC236}">
              <a16:creationId xmlns:a16="http://schemas.microsoft.com/office/drawing/2014/main" id="{E90E38DE-A6AD-8BA8-EE66-9573A5080D7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21511" name="Picture 7">
          <a:extLst>
            <a:ext uri="{FF2B5EF4-FFF2-40B4-BE49-F238E27FC236}">
              <a16:creationId xmlns:a16="http://schemas.microsoft.com/office/drawing/2014/main" id="{5A9A1A81-D042-EF2F-453D-D533170D89A6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600075</xdr:colOff>
      <xdr:row>68</xdr:row>
      <xdr:rowOff>9525</xdr:rowOff>
    </xdr:to>
    <xdr:pic>
      <xdr:nvPicPr>
        <xdr:cNvPr id="8" name="Shape 15">
          <a:extLst>
            <a:ext uri="{FF2B5EF4-FFF2-40B4-BE49-F238E27FC236}">
              <a16:creationId xmlns:a16="http://schemas.microsoft.com/office/drawing/2014/main" id="{F04CFA43-F92D-9B35-137E-18045A224AD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8458200"/>
          <a:ext cx="6000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600075</xdr:colOff>
      <xdr:row>68</xdr:row>
      <xdr:rowOff>9525</xdr:rowOff>
    </xdr:to>
    <xdr:pic>
      <xdr:nvPicPr>
        <xdr:cNvPr id="9" name="Shape 16">
          <a:extLst>
            <a:ext uri="{FF2B5EF4-FFF2-40B4-BE49-F238E27FC236}">
              <a16:creationId xmlns:a16="http://schemas.microsoft.com/office/drawing/2014/main" id="{DC9A69AA-53E0-D408-F7DF-9A0A21B60A2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8458200"/>
          <a:ext cx="6000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10" name="image3.png">
          <a:extLst>
            <a:ext uri="{FF2B5EF4-FFF2-40B4-BE49-F238E27FC236}">
              <a16:creationId xmlns:a16="http://schemas.microsoft.com/office/drawing/2014/main" id="{B62A4967-FE82-43EC-DFD5-39D5E03EB1C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2</xdr:col>
      <xdr:colOff>0</xdr:colOff>
      <xdr:row>65</xdr:row>
      <xdr:rowOff>0</xdr:rowOff>
    </xdr:from>
    <xdr:to>
      <xdr:col>2</xdr:col>
      <xdr:colOff>600075</xdr:colOff>
      <xdr:row>68</xdr:row>
      <xdr:rowOff>9525</xdr:rowOff>
    </xdr:to>
    <xdr:pic>
      <xdr:nvPicPr>
        <xdr:cNvPr id="11" name="Picture 4">
          <a:extLst>
            <a:ext uri="{FF2B5EF4-FFF2-40B4-BE49-F238E27FC236}">
              <a16:creationId xmlns:a16="http://schemas.microsoft.com/office/drawing/2014/main" id="{C172D4AF-9D23-F757-72F8-191189D673DC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8458200"/>
          <a:ext cx="6000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65</xdr:row>
      <xdr:rowOff>0</xdr:rowOff>
    </xdr:from>
    <xdr:to>
      <xdr:col>2</xdr:col>
      <xdr:colOff>600075</xdr:colOff>
      <xdr:row>68</xdr:row>
      <xdr:rowOff>9525</xdr:rowOff>
    </xdr:to>
    <xdr:pic>
      <xdr:nvPicPr>
        <xdr:cNvPr id="12" name="Picture 5">
          <a:extLst>
            <a:ext uri="{FF2B5EF4-FFF2-40B4-BE49-F238E27FC236}">
              <a16:creationId xmlns:a16="http://schemas.microsoft.com/office/drawing/2014/main" id="{DFC14670-0D8A-D513-7623-58AAAB3DD807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8458200"/>
          <a:ext cx="6000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5</xdr:col>
      <xdr:colOff>19050</xdr:colOff>
      <xdr:row>0</xdr:row>
      <xdr:rowOff>28575</xdr:rowOff>
    </xdr:from>
    <xdr:to>
      <xdr:col>6</xdr:col>
      <xdr:colOff>247650</xdr:colOff>
      <xdr:row>3</xdr:row>
      <xdr:rowOff>152400</xdr:rowOff>
    </xdr:to>
    <xdr:pic>
      <xdr:nvPicPr>
        <xdr:cNvPr id="13" name="Picture 6">
          <a:extLst>
            <a:ext uri="{FF2B5EF4-FFF2-40B4-BE49-F238E27FC236}">
              <a16:creationId xmlns:a16="http://schemas.microsoft.com/office/drawing/2014/main" id="{B1684A11-B80E-8167-FAC4-70408FF7EC7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3925" y="28575"/>
          <a:ext cx="647700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971550" cy="49530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4864988" y="3537113"/>
          <a:ext cx="962025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600"/>
            <a:buFont typeface="Arial"/>
            <a:buNone/>
          </a:pPr>
          <a:endParaRPr sz="600"/>
        </a:p>
      </xdr:txBody>
    </xdr:sp>
    <xdr:clientData fLocksWithSheet="0"/>
  </xdr:oneCellAnchor>
  <xdr:oneCellAnchor>
    <xdr:from>
      <xdr:col>7</xdr:col>
      <xdr:colOff>0</xdr:colOff>
      <xdr:row>0</xdr:row>
      <xdr:rowOff>0</xdr:rowOff>
    </xdr:from>
    <xdr:ext cx="933450" cy="49530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4884038" y="3537113"/>
          <a:ext cx="923925" cy="4857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SzPts val="600"/>
            <a:buFont typeface="Arial"/>
            <a:buNone/>
          </a:pPr>
          <a:endParaRPr sz="600"/>
        </a:p>
      </xdr:txBody>
    </xdr:sp>
    <xdr:clientData fLocksWithSheet="0"/>
  </xdr:oneCellAnchor>
  <xdr:oneCellAnchor>
    <xdr:from>
      <xdr:col>2</xdr:col>
      <xdr:colOff>0</xdr:colOff>
      <xdr:row>128</xdr:row>
      <xdr:rowOff>0</xdr:rowOff>
    </xdr:from>
    <xdr:ext cx="600075" cy="60960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5050725" y="3479963"/>
          <a:ext cx="590550" cy="600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</xdr:col>
      <xdr:colOff>914400</xdr:colOff>
      <xdr:row>126</xdr:row>
      <xdr:rowOff>66675</xdr:rowOff>
    </xdr:from>
    <xdr:ext cx="809625" cy="600075"/>
    <xdr:pic>
      <xdr:nvPicPr>
        <xdr:cNvPr id="3" name="image6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1352550</xdr:colOff>
      <xdr:row>125</xdr:row>
      <xdr:rowOff>85725</xdr:rowOff>
    </xdr:from>
    <xdr:ext cx="504825" cy="514350"/>
    <xdr:pic>
      <xdr:nvPicPr>
        <xdr:cNvPr id="4" name="image4.png">
          <a:extLst>
            <a:ext uri="{FF2B5EF4-FFF2-40B4-BE49-F238E27FC236}">
              <a16:creationId xmlns:a16="http://schemas.microsoft.com/office/drawing/2014/main" id="{BF9E52DC-D642-400E-9C3F-41443687B76B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28825" y="25450800"/>
          <a:ext cx="504825" cy="514350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523875</xdr:colOff>
      <xdr:row>6</xdr:row>
      <xdr:rowOff>12700</xdr:rowOff>
    </xdr:from>
    <xdr:ext cx="1247775" cy="590550"/>
    <xdr:sp macro="[0]!KARDEXPOSGRADO" textlink="">
      <xdr:nvSpPr>
        <xdr:cNvPr id="7" name="Shape 17">
          <a:extLst>
            <a:ext uri="{FF2B5EF4-FFF2-40B4-BE49-F238E27FC236}">
              <a16:creationId xmlns:a16="http://schemas.microsoft.com/office/drawing/2014/main" id="{849CDB75-095D-4544-ACCE-C6608DFA5713}"/>
            </a:ext>
          </a:extLst>
        </xdr:cNvPr>
        <xdr:cNvSpPr/>
      </xdr:nvSpPr>
      <xdr:spPr>
        <a:xfrm>
          <a:off x="7277100" y="1155700"/>
          <a:ext cx="1247775" cy="590550"/>
        </a:xfrm>
        <a:prstGeom prst="roundRect">
          <a:avLst>
            <a:gd name="adj" fmla="val 16667"/>
          </a:avLst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400"/>
            <a:buFont typeface="Calibri"/>
            <a:buNone/>
          </a:pPr>
          <a:r>
            <a:rPr lang="en-US" sz="1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100"/>
        </a:p>
      </xdr:txBody>
    </xdr:sp>
    <xdr:clientData fLocksWithSheet="0"/>
  </xdr:oneCellAnchor>
  <xdr:twoCellAnchor editAs="oneCell">
    <xdr:from>
      <xdr:col>10</xdr:col>
      <xdr:colOff>523875</xdr:colOff>
      <xdr:row>6</xdr:row>
      <xdr:rowOff>9525</xdr:rowOff>
    </xdr:from>
    <xdr:to>
      <xdr:col>12</xdr:col>
      <xdr:colOff>250826</xdr:colOff>
      <xdr:row>9</xdr:row>
      <xdr:rowOff>56515</xdr:rowOff>
    </xdr:to>
    <xdr:pic macro="[0]!KARDEXPOSGRADO">
      <xdr:nvPicPr>
        <xdr:cNvPr id="8" name="Picture 11">
          <a:extLst>
            <a:ext uri="{FF2B5EF4-FFF2-40B4-BE49-F238E27FC236}">
              <a16:creationId xmlns:a16="http://schemas.microsoft.com/office/drawing/2014/main" id="{188EFE75-B073-4198-95D2-FB0473B2A39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1152525"/>
          <a:ext cx="1136651" cy="628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666750</xdr:colOff>
      <xdr:row>0</xdr:row>
      <xdr:rowOff>9524</xdr:rowOff>
    </xdr:from>
    <xdr:to>
      <xdr:col>10</xdr:col>
      <xdr:colOff>9525</xdr:colOff>
      <xdr:row>4</xdr:row>
      <xdr:rowOff>190499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BE543F87-1D9D-C71C-B2B6-08071459E3F2}"/>
            </a:ext>
          </a:extLst>
        </xdr:cNvPr>
        <xdr:cNvSpPr/>
      </xdr:nvSpPr>
      <xdr:spPr>
        <a:xfrm>
          <a:off x="5829300" y="9524"/>
          <a:ext cx="933450" cy="9620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oneCellAnchor>
    <xdr:from>
      <xdr:col>8</xdr:col>
      <xdr:colOff>114300</xdr:colOff>
      <xdr:row>0</xdr:row>
      <xdr:rowOff>152400</xdr:rowOff>
    </xdr:from>
    <xdr:ext cx="647700" cy="647700"/>
    <xdr:pic>
      <xdr:nvPicPr>
        <xdr:cNvPr id="2" name="image5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5981700" y="152400"/>
          <a:ext cx="647700" cy="647700"/>
        </a:xfrm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stituto Universitario de Alta Formación IUAF" id="{BCA62011-DCBC-4ACC-9901-C4A5567D7EB7}" userId="5a1a931915898c1e" providerId="Windows Live"/>
  <person displayName="Auxiliar Académico" id="{D660846F-79F7-4EAE-8D96-995341E30401}" userId="baa4bfb69590ebf6" providerId="Windows Live"/>
  <person displayName="YASMIN CAMPOS" id="{7FB829CE-024C-454E-8115-D2FC0C2ADD51}" userId="c1ce365b40713dd3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refreshOnLoad="1" connectionId="1" xr16:uid="{A2F2CA0C-B4FA-4550-B45F-0B477BD690D0}" autoFormatId="16" applyNumberFormats="0" applyBorderFormats="0" applyFontFormats="0" applyPatternFormats="0" applyAlignmentFormats="0" applyWidthHeightFormats="0">
  <queryTableRefresh nextId="38" unboundColumnsRight="1">
    <queryTableFields count="29">
      <queryTableField id="1" name="No." tableColumnId="1"/>
      <queryTableField id="2" name="PROGRAMA" tableColumnId="2"/>
      <queryTableField id="3" name="CURP" tableColumnId="3"/>
      <queryTableField id="4" name="Matrícula Of. SEQ" tableColumnId="4"/>
      <queryTableField id="33" name="NOMBRE" tableColumnId="5"/>
      <queryTableField id="6" name="TELEFONO" tableColumnId="6"/>
      <queryTableField id="7" name="CORREO" tableColumnId="7"/>
      <queryTableField id="8" name="NO DE PAGOS (MESES)" tableColumnId="8"/>
      <queryTableField id="9" name="Meses de Programa" tableColumnId="9"/>
      <queryTableField id="10" name="INSCRIPCIÓN" tableColumnId="10"/>
      <queryTableField id="11" name="Reinscripcion" tableColumnId="11"/>
      <queryTableField id="12" name="Monto de Colegiatura (A PAGAR)" tableColumnId="12"/>
      <queryTableField id="13" name="Grupo de clase" tableColumnId="13"/>
      <queryTableField id="14" name="FECHA DE INICIO (PRIMERA CLASE CALENDARIO)" tableColumnId="14"/>
      <queryTableField id="15" name="Termina Programa" tableColumnId="15"/>
      <queryTableField id="16" name="Fecha Pago 1a Colegiatura" tableColumnId="16"/>
      <queryTableField id="17" name="Termina Pagos" tableColumnId="17"/>
      <queryTableField id="18" name="Sexo" tableColumnId="18"/>
      <queryTableField id="19" name="Grado" tableColumnId="19"/>
      <queryTableField id="20" name="SEDE" tableColumnId="20"/>
      <queryTableField id="34" name="SITUACIÓN" tableColumnId="21"/>
      <queryTableField id="22" name="Precio General" tableColumnId="22"/>
      <queryTableField id="23" name="Porcentaje de la Beca" tableColumnId="23"/>
      <queryTableField id="24" name="Monto del Descuento" tableColumnId="24"/>
      <queryTableField id="25" name="# Reinsc" tableColumnId="25"/>
      <queryTableField id="26" name="Equivalencia" tableColumnId="26"/>
      <queryTableField id="27" name="Titulación" tableColumnId="27"/>
      <queryTableField id="28" name="ESTATUS ACADÉMICO" tableColumnId="28"/>
      <queryTableField id="37" dataBound="0" tableColumnId="2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9DCD4D-FFE0-4B52-8AC2-4EA6EF49DD73}" name="Tabla1" displayName="Tabla1" ref="A1:B5" totalsRowShown="0" headerRowDxfId="359" dataDxfId="358">
  <autoFilter ref="A1:B5" xr:uid="{7A9DCD4D-FFE0-4B52-8AC2-4EA6EF49DD73}"/>
  <tableColumns count="2">
    <tableColumn id="1" xr3:uid="{7E85F2EE-6C6F-45DD-9A94-46D211488422}" name="PROGRAMA" dataDxfId="357"/>
    <tableColumn id="2" xr3:uid="{E5B8CAFB-0BF3-419B-A926-1FDE5B43C1A0}" name="RVOE" dataDxfId="3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EDDD79-B701-4E68-B92B-C681B39EF721}" name="Tabla3" displayName="Tabla3" ref="A1:AC1233" tableType="queryTable" totalsRowShown="0">
  <autoFilter ref="A1:AC1233" xr:uid="{BCEDDD79-B701-4E68-B92B-C681B39EF721}"/>
  <sortState xmlns:xlrd2="http://schemas.microsoft.com/office/spreadsheetml/2017/richdata2" ref="A2:AC1233">
    <sortCondition ref="A1:A1233"/>
  </sortState>
  <tableColumns count="29">
    <tableColumn id="1" xr3:uid="{8ED80E4D-044D-405D-B702-FE85F1FEF6B1}" uniqueName="1" name="No." queryTableFieldId="1" dataDxfId="25"/>
    <tableColumn id="2" xr3:uid="{E5CA5E11-FE02-49A4-9017-BC5F7A21A9C9}" uniqueName="2" name="PROGRAMA" queryTableFieldId="2" dataDxfId="24"/>
    <tableColumn id="3" xr3:uid="{3F08E0B9-9C11-4826-8F1A-252A3F893809}" uniqueName="3" name="CURP" queryTableFieldId="3" dataDxfId="23"/>
    <tableColumn id="4" xr3:uid="{9E0DC95D-0EE1-41E2-86EE-C6F36BCFED26}" uniqueName="4" name="Matrícula Of. SEQ" queryTableFieldId="4" dataDxfId="22"/>
    <tableColumn id="5" xr3:uid="{86E12E03-A6E9-4E03-8113-22252108E1EC}" uniqueName="5" name="NOMBRE" queryTableFieldId="33" dataDxfId="354"/>
    <tableColumn id="6" xr3:uid="{2EDF8C60-E866-4675-965E-43B23E9E1259}" uniqueName="6" name="TELEFONO" queryTableFieldId="6" dataDxfId="21"/>
    <tableColumn id="7" xr3:uid="{C3918A0A-BB5F-4BBC-908B-A72E6166F30F}" uniqueName="7" name="CORREO" queryTableFieldId="7" dataDxfId="20"/>
    <tableColumn id="8" xr3:uid="{16616CF7-8BBC-4E34-8040-2FF902874BE3}" uniqueName="8" name="NO DE PAGOS (MESES)" queryTableFieldId="8" dataDxfId="19"/>
    <tableColumn id="9" xr3:uid="{FBAD634C-C416-46E8-9876-BE250B06396F}" uniqueName="9" name="Meses de Programa" queryTableFieldId="9" dataDxfId="18"/>
    <tableColumn id="10" xr3:uid="{7FB2EBF1-F73A-41E7-AE53-DF0DB5D23E2F}" uniqueName="10" name="INSCRIPCIÓN" queryTableFieldId="10" dataDxfId="17"/>
    <tableColumn id="11" xr3:uid="{A565FE68-7ACF-40B2-87DA-D68038DA743A}" uniqueName="11" name="Reinscripcion" queryTableFieldId="11" dataDxfId="16"/>
    <tableColumn id="12" xr3:uid="{878A03EC-8EFE-4E31-BF7C-0A025644B746}" uniqueName="12" name="Monto de Colegiatura (A PAGAR)" queryTableFieldId="12" dataDxfId="15"/>
    <tableColumn id="13" xr3:uid="{F70468DF-D979-441C-A813-67EC733A0F91}" uniqueName="13" name="Grupo de clase" queryTableFieldId="13" dataDxfId="14"/>
    <tableColumn id="14" xr3:uid="{05C8AB21-B378-48CC-A1B3-DF9A45087F64}" uniqueName="14" name="FECHA DE INICIO (PRIMERA CLASE CALENDARIO)" queryTableFieldId="14" dataDxfId="13"/>
    <tableColumn id="15" xr3:uid="{58C79F7A-8A20-4846-AF5E-3A3D58FFA081}" uniqueName="15" name="Termina Programa" queryTableFieldId="15" dataDxfId="12"/>
    <tableColumn id="16" xr3:uid="{D67105EE-B9E2-4892-B437-3FC12076E899}" uniqueName="16" name="Fecha Pago 1a Colegiatura" queryTableFieldId="16" dataDxfId="11"/>
    <tableColumn id="17" xr3:uid="{B1884038-2480-4ADA-A7F1-AED7F99D8252}" uniqueName="17" name="Termina Pagos" queryTableFieldId="17" dataDxfId="10"/>
    <tableColumn id="18" xr3:uid="{43601D15-B99F-4481-8788-3E0FCA836760}" uniqueName="18" name="Sexo" queryTableFieldId="18" dataDxfId="9"/>
    <tableColumn id="19" xr3:uid="{752EB97E-A879-4E63-B16C-7BA6AC810A4B}" uniqueName="19" name="Grado" queryTableFieldId="19" dataDxfId="8"/>
    <tableColumn id="20" xr3:uid="{581EB85F-75AA-44AE-8D3E-13909079C5DA}" uniqueName="20" name="SEDE" queryTableFieldId="20" dataDxfId="7"/>
    <tableColumn id="21" xr3:uid="{C89E0101-1670-4A2F-879E-1E8A14713862}" uniqueName="21" name="SITUACIÓN" queryTableFieldId="34" dataDxfId="353"/>
    <tableColumn id="22" xr3:uid="{80EB8477-F065-4ACC-8EC0-1B0BEAB351FC}" uniqueName="22" name="Precio General" queryTableFieldId="22" dataDxfId="6"/>
    <tableColumn id="23" xr3:uid="{D02D99A2-84D5-45B8-8B3B-DA4EA43AD7F6}" uniqueName="23" name="Porcentaje de la Beca" queryTableFieldId="23" dataDxfId="5" dataCellStyle="Porcentaje"/>
    <tableColumn id="24" xr3:uid="{2DD6707B-F4EE-4266-85C7-001AA7CC116A}" uniqueName="24" name="Monto del Descuento" queryTableFieldId="24" dataDxfId="4"/>
    <tableColumn id="25" xr3:uid="{0AF54376-3753-4CF9-868C-784C4531C444}" uniqueName="25" name="# Reinsc" queryTableFieldId="25" dataDxfId="3"/>
    <tableColumn id="26" xr3:uid="{6BD82E58-6A30-407D-8829-35941C1C541F}" uniqueName="26" name="Equivalencia" queryTableFieldId="26" dataDxfId="2"/>
    <tableColumn id="27" xr3:uid="{B569DF44-DAFE-421A-ABB8-7591320CA2B7}" uniqueName="27" name="Titulación" queryTableFieldId="27" dataDxfId="1"/>
    <tableColumn id="28" xr3:uid="{582D69AF-FC74-4750-8892-6ABE1CAB42FB}" uniqueName="28" name="ESTATUS ACADÉMICO" queryTableFieldId="28"/>
    <tableColumn id="29" xr3:uid="{B56D7469-8FA4-4CB0-B6DB-303C1088E9A5}" uniqueName="29" name="Columna1" queryTableFieldId="3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3" dT="2024-08-14T00:49:28.68" personId="{7FB829CE-024C-454E-8115-D2FC0C2ADD51}" id="{80E1FAD4-27AF-4E2C-A73D-48AA1ACB99F9}">
    <text>=SI.ERROR(BUSCARV(D93,Tabla3,5,FALSO),"")   Formula para buscar el nombre respecto al No. De Alumno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87" dT="2022-11-04T23:12:06.54" personId="{BCA62011-DCBC-4ACC-9901-C4A5567D7EB7}" id="{742BCB2B-838A-417F-A2EC-36329582DF21}">
    <text xml:space="preserve">Se dio de baja en este mes 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13" dT="2024-08-14T00:49:28.68" personId="{7FB829CE-024C-454E-8115-D2FC0C2ADD51}" id="{E50FD699-280C-492E-9C02-9167329000A9}">
    <text>=SI.ERROR(BUSCARV(D93,Tabla3,5,FALSO),"")   Formula para buscar el nombre respecto al No. De Alumno</text>
  </threadedComment>
  <threadedComment ref="AH291" dT="2025-02-27T19:01:00.46" personId="{D660846F-79F7-4EAE-8D96-995341E30401}" id="{231469C6-A2E3-4EFD-994F-3411C9DA5FE3}">
    <text>MD 502. DERECHO DE AMPARO   se uso calificación para SEQ</text>
  </threadedComment>
  <threadedComment ref="G386" dT="2025-03-25T23:45:51.05" personId="{D660846F-79F7-4EAE-8D96-995341E30401}" id="{44CDA761-1B4F-4D3E-B4DE-2A5E87433F00}">
    <text>No tiene materias iniciales mayo 24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https://classroom.google.com/u/0/w/NDQzODcwNTc1NTA1/t/all" TargetMode="External"/><Relationship Id="rId117" Type="http://schemas.openxmlformats.org/officeDocument/2006/relationships/hyperlink" Target="https://classroom.google.com/c/NjY2NjgwODU1MDI1" TargetMode="External"/><Relationship Id="rId21" Type="http://schemas.openxmlformats.org/officeDocument/2006/relationships/hyperlink" Target="https://classroom.google.com/c/NDQ0OTY3MjkxMjA0" TargetMode="External"/><Relationship Id="rId42" Type="http://schemas.openxmlformats.org/officeDocument/2006/relationships/hyperlink" Target="https://classroom.google.com/c/NTExMzI2ODU5MTUy?cjc=7rldfzh" TargetMode="External"/><Relationship Id="rId47" Type="http://schemas.openxmlformats.org/officeDocument/2006/relationships/hyperlink" Target="https://classroom.google.com/c/NDkwNzAzNjc4NTA5" TargetMode="External"/><Relationship Id="rId63" Type="http://schemas.openxmlformats.org/officeDocument/2006/relationships/hyperlink" Target="https://classroom.google.com/u/0/c/NDQzODcwNTc1MjUz" TargetMode="External"/><Relationship Id="rId68" Type="http://schemas.openxmlformats.org/officeDocument/2006/relationships/hyperlink" Target="https://classroom.google.com/c/NTEwMzY0MzI4ODQ0?cjc=jkyyec4" TargetMode="External"/><Relationship Id="rId84" Type="http://schemas.openxmlformats.org/officeDocument/2006/relationships/hyperlink" Target="https://classroom.google.com/c/MTk2NDA2OTcyODAx" TargetMode="External"/><Relationship Id="rId89" Type="http://schemas.openxmlformats.org/officeDocument/2006/relationships/hyperlink" Target="https://classroom.google.com/c/NjY2NjgwODU1MDI1" TargetMode="External"/><Relationship Id="rId112" Type="http://schemas.openxmlformats.org/officeDocument/2006/relationships/hyperlink" Target="https://classroom.google.com/c/NjY2NjgwODU1MDI1" TargetMode="External"/><Relationship Id="rId16" Type="http://schemas.openxmlformats.org/officeDocument/2006/relationships/hyperlink" Target="https://classroom.google.com/c/MzkxMDEzMzYxNjYx" TargetMode="External"/><Relationship Id="rId107" Type="http://schemas.openxmlformats.org/officeDocument/2006/relationships/hyperlink" Target="https://classroom.google.com/c/NjY2NjgwODU1MDI1" TargetMode="External"/><Relationship Id="rId11" Type="http://schemas.openxmlformats.org/officeDocument/2006/relationships/hyperlink" Target="https://classroom.google.com/u/0/w/NDQzODcwNTc1ODIz/t/all" TargetMode="External"/><Relationship Id="rId32" Type="http://schemas.openxmlformats.org/officeDocument/2006/relationships/hyperlink" Target="https://classroom.google.com/c/NTEwMjI4MjE5NDc2" TargetMode="External"/><Relationship Id="rId37" Type="http://schemas.openxmlformats.org/officeDocument/2006/relationships/hyperlink" Target="https://classroom.google.com/w/NDYyMjIyOTY3NjQy/t/all" TargetMode="External"/><Relationship Id="rId53" Type="http://schemas.openxmlformats.org/officeDocument/2006/relationships/hyperlink" Target="https://classroom.google.com/c/NTQwODIzMjYzOTIy" TargetMode="External"/><Relationship Id="rId58" Type="http://schemas.openxmlformats.org/officeDocument/2006/relationships/hyperlink" Target="https://classroom.google.com/c/NTk3NzE2Mjk1MDk5" TargetMode="External"/><Relationship Id="rId74" Type="http://schemas.openxmlformats.org/officeDocument/2006/relationships/hyperlink" Target="https://classroom.google.com/c/NDg5Mzk2MDc3MzYx" TargetMode="External"/><Relationship Id="rId79" Type="http://schemas.openxmlformats.org/officeDocument/2006/relationships/hyperlink" Target="https://classroom.google.com/c/MzI0MTAxNDQxNTUy" TargetMode="External"/><Relationship Id="rId102" Type="http://schemas.openxmlformats.org/officeDocument/2006/relationships/hyperlink" Target="https://classroom.google.com/c/NjY2NjgwODU1MDI1" TargetMode="External"/><Relationship Id="rId123" Type="http://schemas.openxmlformats.org/officeDocument/2006/relationships/printerSettings" Target="../printerSettings/printerSettings3.bin"/><Relationship Id="rId5" Type="http://schemas.openxmlformats.org/officeDocument/2006/relationships/hyperlink" Target="https://classroom.google.com/w/NDY2OTI2NDIyOTEy/t/all" TargetMode="External"/><Relationship Id="rId90" Type="http://schemas.openxmlformats.org/officeDocument/2006/relationships/hyperlink" Target="https://classroom.google.com/c/NjAyNzk1NzgwOTAz" TargetMode="External"/><Relationship Id="rId95" Type="http://schemas.openxmlformats.org/officeDocument/2006/relationships/hyperlink" Target="https://classroom.google.com/c/NjY2NjgwODU1MDI1" TargetMode="External"/><Relationship Id="rId22" Type="http://schemas.openxmlformats.org/officeDocument/2006/relationships/hyperlink" Target="https://classroom.google.com/c/MjcxOTAxMTQ2NDM0" TargetMode="External"/><Relationship Id="rId27" Type="http://schemas.openxmlformats.org/officeDocument/2006/relationships/hyperlink" Target="https://classroom.google.com/w/NDYxNzc1Mzg0Mjk4/t/all" TargetMode="External"/><Relationship Id="rId43" Type="http://schemas.openxmlformats.org/officeDocument/2006/relationships/hyperlink" Target="https://classroom.google.com/c/NTEwNzY4NjI1NzI5?cjc=yqc4r5m" TargetMode="External"/><Relationship Id="rId48" Type="http://schemas.openxmlformats.org/officeDocument/2006/relationships/hyperlink" Target="https://classroom.google.com/c/NDkwMzMzNTAyOTg1" TargetMode="External"/><Relationship Id="rId64" Type="http://schemas.openxmlformats.org/officeDocument/2006/relationships/hyperlink" Target="https://classroom.google.com/u/0/w/NDQzODcwNTc1ODIz/t/all" TargetMode="External"/><Relationship Id="rId69" Type="http://schemas.openxmlformats.org/officeDocument/2006/relationships/hyperlink" Target="https://classroom.google.com/c/NDg2NDI3MjI0NzY2?cjc=nu5b324" TargetMode="External"/><Relationship Id="rId113" Type="http://schemas.openxmlformats.org/officeDocument/2006/relationships/hyperlink" Target="https://classroom.google.com/c/NjY2NjgwODU1MDI1" TargetMode="External"/><Relationship Id="rId118" Type="http://schemas.openxmlformats.org/officeDocument/2006/relationships/hyperlink" Target="https://classroom.google.com/c/NjY2NjgwODU1MDI1" TargetMode="External"/><Relationship Id="rId80" Type="http://schemas.openxmlformats.org/officeDocument/2006/relationships/hyperlink" Target="https://classroom.google.com/c/NjAyNzk1NzgwOTAz" TargetMode="External"/><Relationship Id="rId85" Type="http://schemas.openxmlformats.org/officeDocument/2006/relationships/hyperlink" Target="https://classroom.google.com/c/MjUyNDM5NDIyOTc0" TargetMode="External"/><Relationship Id="rId12" Type="http://schemas.openxmlformats.org/officeDocument/2006/relationships/hyperlink" Target="https://classroom.google.com/w/NDYwOTAzNjkyODM3/t/all" TargetMode="External"/><Relationship Id="rId17" Type="http://schemas.openxmlformats.org/officeDocument/2006/relationships/hyperlink" Target="https://classroom.google.com/c/NDAxNDU4OTMzNTI5?cjc=2qsluli" TargetMode="External"/><Relationship Id="rId33" Type="http://schemas.openxmlformats.org/officeDocument/2006/relationships/hyperlink" Target="https://classroom.google.com/c/NDg2NDI1NTM3MTA5?cjc=bhyrk5v" TargetMode="External"/><Relationship Id="rId38" Type="http://schemas.openxmlformats.org/officeDocument/2006/relationships/hyperlink" Target="https://classroom.google.com/w/NDYyMjIyOTY3ODE0/t/all" TargetMode="External"/><Relationship Id="rId59" Type="http://schemas.openxmlformats.org/officeDocument/2006/relationships/hyperlink" Target="https://classroom.google.com/w/NTk3NzE2Mjk1MDk5/t/all" TargetMode="External"/><Relationship Id="rId103" Type="http://schemas.openxmlformats.org/officeDocument/2006/relationships/hyperlink" Target="https://classroom.google.com/c/NjY2NjgwODU1MDI1" TargetMode="External"/><Relationship Id="rId108" Type="http://schemas.openxmlformats.org/officeDocument/2006/relationships/hyperlink" Target="https://classroom.google.com/c/NjY2NjgwODU1MDI1" TargetMode="External"/><Relationship Id="rId124" Type="http://schemas.openxmlformats.org/officeDocument/2006/relationships/vmlDrawing" Target="../drawings/vmlDrawing2.vml"/><Relationship Id="rId54" Type="http://schemas.openxmlformats.org/officeDocument/2006/relationships/hyperlink" Target="https://classroom.google.com/c/NTg4NjQzMTI5OTgx" TargetMode="External"/><Relationship Id="rId70" Type="http://schemas.openxmlformats.org/officeDocument/2006/relationships/hyperlink" Target="https://classroom.google.com/c/NTEwNzY4NjI2Nzgz?cjc=adar5t2" TargetMode="External"/><Relationship Id="rId75" Type="http://schemas.openxmlformats.org/officeDocument/2006/relationships/hyperlink" Target="https://classroom.google.com/c/NDkwMDA5NzM0ODc4" TargetMode="External"/><Relationship Id="rId91" Type="http://schemas.openxmlformats.org/officeDocument/2006/relationships/hyperlink" Target="https://classroom.google.com/c/NjY2NjgwODU1MDI1" TargetMode="External"/><Relationship Id="rId96" Type="http://schemas.openxmlformats.org/officeDocument/2006/relationships/hyperlink" Target="https://classroom.google.com/c/NjY2NjgwODU1MDI1" TargetMode="External"/><Relationship Id="rId1" Type="http://schemas.openxmlformats.org/officeDocument/2006/relationships/hyperlink" Target="https://classroom.google.com/r/NDYwNDQ5MzQyNDUz/sort-last-name" TargetMode="External"/><Relationship Id="rId6" Type="http://schemas.openxmlformats.org/officeDocument/2006/relationships/hyperlink" Target="https://classroom.google.com/w/NDY2OTMyMjg1MTMy/t/all" TargetMode="External"/><Relationship Id="rId23" Type="http://schemas.openxmlformats.org/officeDocument/2006/relationships/hyperlink" Target="https://classroom.google.com/c/MzM3NjAwMzMyMDY4" TargetMode="External"/><Relationship Id="rId28" Type="http://schemas.openxmlformats.org/officeDocument/2006/relationships/hyperlink" Target="https://classroom.google.com/c/MzgzMjU1MjAxNzY3?cjc=4eycj3d" TargetMode="External"/><Relationship Id="rId49" Type="http://schemas.openxmlformats.org/officeDocument/2006/relationships/hyperlink" Target="https://classroom.google.com/c/NDkwNjA0NTI3Nzk1" TargetMode="External"/><Relationship Id="rId114" Type="http://schemas.openxmlformats.org/officeDocument/2006/relationships/hyperlink" Target="https://classroom.google.com/c/NjY2NjgwODU1MDI1" TargetMode="External"/><Relationship Id="rId119" Type="http://schemas.openxmlformats.org/officeDocument/2006/relationships/hyperlink" Target="https://classroom.google.com/c/NjY2NjgwODU1MDI1" TargetMode="External"/><Relationship Id="rId44" Type="http://schemas.openxmlformats.org/officeDocument/2006/relationships/hyperlink" Target="https://classroom.google.com/c/NTExMzI2ODU5NDA3?cjc=oumdbb7" TargetMode="External"/><Relationship Id="rId60" Type="http://schemas.openxmlformats.org/officeDocument/2006/relationships/hyperlink" Target="https://classroom.google.com/c/MTU5NzQ2NDk2MDQx" TargetMode="External"/><Relationship Id="rId65" Type="http://schemas.openxmlformats.org/officeDocument/2006/relationships/hyperlink" Target="https://classroom.google.com/w/NDYwOTAzNjkyODM3/t/all" TargetMode="External"/><Relationship Id="rId81" Type="http://schemas.openxmlformats.org/officeDocument/2006/relationships/hyperlink" Target="https://classroom.google.com/c/NjAyNzk1NzgwOTAz" TargetMode="External"/><Relationship Id="rId86" Type="http://schemas.openxmlformats.org/officeDocument/2006/relationships/hyperlink" Target="https://classroom.google.com/c/MjY4ODY4MTI3NzE5" TargetMode="External"/><Relationship Id="rId13" Type="http://schemas.openxmlformats.org/officeDocument/2006/relationships/hyperlink" Target="https://classroom.google.com/w/NDYxOTcyNzAxMTkx/t/all" TargetMode="External"/><Relationship Id="rId18" Type="http://schemas.openxmlformats.org/officeDocument/2006/relationships/hyperlink" Target="https://classroom.google.com/c/MTQ2MTUyNjcwMzE1" TargetMode="External"/><Relationship Id="rId39" Type="http://schemas.openxmlformats.org/officeDocument/2006/relationships/hyperlink" Target="https://classroom.google.com/w/NDY2OTI2NDIyOTEy/t/all" TargetMode="External"/><Relationship Id="rId109" Type="http://schemas.openxmlformats.org/officeDocument/2006/relationships/hyperlink" Target="https://classroom.google.com/c/NjY2NjgwODU1MDI1" TargetMode="External"/><Relationship Id="rId34" Type="http://schemas.openxmlformats.org/officeDocument/2006/relationships/hyperlink" Target="https://classroom.google.com/c/NTExMjgzMjkwNTM3?cjc=xwzpoey" TargetMode="External"/><Relationship Id="rId50" Type="http://schemas.openxmlformats.org/officeDocument/2006/relationships/hyperlink" Target="https://classroom.google.com/c/NDkwNzA0NjMxNzc5" TargetMode="External"/><Relationship Id="rId55" Type="http://schemas.openxmlformats.org/officeDocument/2006/relationships/hyperlink" Target="https://classroom.google.com/c/NTg4NjQxMjMwMTk5" TargetMode="External"/><Relationship Id="rId76" Type="http://schemas.openxmlformats.org/officeDocument/2006/relationships/hyperlink" Target="https://classroom.google.com/c/NDkwMDA5ODIxOTQ3" TargetMode="External"/><Relationship Id="rId97" Type="http://schemas.openxmlformats.org/officeDocument/2006/relationships/hyperlink" Target="https://classroom.google.com/c/NjY2NjgwODU1MDI1" TargetMode="External"/><Relationship Id="rId104" Type="http://schemas.openxmlformats.org/officeDocument/2006/relationships/hyperlink" Target="https://classroom.google.com/c/NjY2NjgwODU1MDI1" TargetMode="External"/><Relationship Id="rId120" Type="http://schemas.openxmlformats.org/officeDocument/2006/relationships/hyperlink" Target="https://classroom.google.com/c/NjY2NjgwODU1MDI1" TargetMode="External"/><Relationship Id="rId125" Type="http://schemas.openxmlformats.org/officeDocument/2006/relationships/comments" Target="../comments2.xml"/><Relationship Id="rId7" Type="http://schemas.openxmlformats.org/officeDocument/2006/relationships/hyperlink" Target="https://classroom.google.com/c/MTU5NzQ2NDk2MDQx" TargetMode="External"/><Relationship Id="rId71" Type="http://schemas.openxmlformats.org/officeDocument/2006/relationships/hyperlink" Target="https://classroom.google.com/c/NTEwNzY4NjI3MzY1?cjc=rwchva3" TargetMode="External"/><Relationship Id="rId92" Type="http://schemas.openxmlformats.org/officeDocument/2006/relationships/hyperlink" Target="https://classroom.google.com/c/NjY2NjgwODU1MDI1" TargetMode="External"/><Relationship Id="rId2" Type="http://schemas.openxmlformats.org/officeDocument/2006/relationships/hyperlink" Target="https://classroom.google.com/w/NDYyMjE5OTYzMjc5/t/all" TargetMode="External"/><Relationship Id="rId29" Type="http://schemas.openxmlformats.org/officeDocument/2006/relationships/hyperlink" Target="https://classroom.google.com/w/NDYxOTcyNzAxOTM0/t/all" TargetMode="External"/><Relationship Id="rId24" Type="http://schemas.openxmlformats.org/officeDocument/2006/relationships/hyperlink" Target="https://classroom.google.com/c/MzY1Mzg1MDk3NjM3" TargetMode="External"/><Relationship Id="rId40" Type="http://schemas.openxmlformats.org/officeDocument/2006/relationships/hyperlink" Target="https://classroom.google.com/w/NDY2OTMyMjg1MTMy/t/all" TargetMode="External"/><Relationship Id="rId45" Type="http://schemas.openxmlformats.org/officeDocument/2006/relationships/hyperlink" Target="https://classroom.google.com/c/NTEzOTA3MTE1Njcw?cjc=ysdpkq4" TargetMode="External"/><Relationship Id="rId66" Type="http://schemas.openxmlformats.org/officeDocument/2006/relationships/hyperlink" Target="https://classroom.google.com/w/NDYxOTcyNzAxMTkx/t/all" TargetMode="External"/><Relationship Id="rId87" Type="http://schemas.openxmlformats.org/officeDocument/2006/relationships/hyperlink" Target="https://classroom.google.com/c/NjY2NjgwODU1MDI1" TargetMode="External"/><Relationship Id="rId110" Type="http://schemas.openxmlformats.org/officeDocument/2006/relationships/hyperlink" Target="https://classroom.google.com/c/NjY2NjgwODU1MDI1" TargetMode="External"/><Relationship Id="rId115" Type="http://schemas.openxmlformats.org/officeDocument/2006/relationships/hyperlink" Target="https://classroom.google.com/c/NjY2NjgwODU1MDI1" TargetMode="External"/><Relationship Id="rId61" Type="http://schemas.openxmlformats.org/officeDocument/2006/relationships/hyperlink" Target="https://classroom.google.com/c/MTU5NzQ2NDk2MTE0" TargetMode="External"/><Relationship Id="rId82" Type="http://schemas.openxmlformats.org/officeDocument/2006/relationships/hyperlink" Target="https://classroom.google.com/c/NjAyNzk1NzgwOTAz" TargetMode="External"/><Relationship Id="rId19" Type="http://schemas.openxmlformats.org/officeDocument/2006/relationships/hyperlink" Target="https://classroom.google.com/c/NDIxNTAwMTQwMjIx?cjc=oz2hywy" TargetMode="External"/><Relationship Id="rId14" Type="http://schemas.openxmlformats.org/officeDocument/2006/relationships/hyperlink" Target="https://classroom.google.com/c/NDgyNjcwODEyOTA5" TargetMode="External"/><Relationship Id="rId30" Type="http://schemas.openxmlformats.org/officeDocument/2006/relationships/hyperlink" Target="https://classroom.google.com/w/NDY3OTI1NjkxMzg5/t/all" TargetMode="External"/><Relationship Id="rId35" Type="http://schemas.openxmlformats.org/officeDocument/2006/relationships/hyperlink" Target="https://classroom.google.com/r/NDYwNDQ5MzQyNDUz/sort-last-name" TargetMode="External"/><Relationship Id="rId56" Type="http://schemas.openxmlformats.org/officeDocument/2006/relationships/hyperlink" Target="https://classroom.google.com/c/NTk3NzE2Mjk1MDk5" TargetMode="External"/><Relationship Id="rId77" Type="http://schemas.openxmlformats.org/officeDocument/2006/relationships/hyperlink" Target="https://classroom.google.com/c/NDkwNzAzOTU0Nzc3" TargetMode="External"/><Relationship Id="rId100" Type="http://schemas.openxmlformats.org/officeDocument/2006/relationships/hyperlink" Target="https://classroom.google.com/c/NjY2NjgwODU1MDI1" TargetMode="External"/><Relationship Id="rId105" Type="http://schemas.openxmlformats.org/officeDocument/2006/relationships/hyperlink" Target="https://classroom.google.com/c/NjY2NjgwODU1MDI1" TargetMode="External"/><Relationship Id="rId126" Type="http://schemas.microsoft.com/office/2017/10/relationships/threadedComment" Target="../threadedComments/threadedComment2.xml"/><Relationship Id="rId8" Type="http://schemas.openxmlformats.org/officeDocument/2006/relationships/hyperlink" Target="https://classroom.google.com/c/MTU5NzQ2NDk2MTE0" TargetMode="External"/><Relationship Id="rId51" Type="http://schemas.openxmlformats.org/officeDocument/2006/relationships/hyperlink" Target="https://classroom.google.com/c/NDkwNTUwMjQ1OTEy" TargetMode="External"/><Relationship Id="rId72" Type="http://schemas.openxmlformats.org/officeDocument/2006/relationships/hyperlink" Target="https://classroom.google.com/c/NTEwNzkzMDgxMjA1?cjc=xo3fdcz" TargetMode="External"/><Relationship Id="rId93" Type="http://schemas.openxmlformats.org/officeDocument/2006/relationships/hyperlink" Target="https://classroom.google.com/c/NjY2NjgwODU1MDI1" TargetMode="External"/><Relationship Id="rId98" Type="http://schemas.openxmlformats.org/officeDocument/2006/relationships/hyperlink" Target="https://classroom.google.com/c/NjY2NjgwODU1MDI1" TargetMode="External"/><Relationship Id="rId121" Type="http://schemas.openxmlformats.org/officeDocument/2006/relationships/hyperlink" Target="https://docs.google.com/spreadsheets/d/1z2mPyc_1_wFMRzgHZLNVd2tMLP1UDVG5/edit?gid=2035156564" TargetMode="External"/><Relationship Id="rId3" Type="http://schemas.openxmlformats.org/officeDocument/2006/relationships/hyperlink" Target="https://classroom.google.com/w/NDYyMjIyOTY3NjQy/t/all" TargetMode="External"/><Relationship Id="rId25" Type="http://schemas.openxmlformats.org/officeDocument/2006/relationships/hyperlink" Target="https://classroom.google.com/u/0/c/NDQ0MzUxMDM0MDgz" TargetMode="External"/><Relationship Id="rId46" Type="http://schemas.openxmlformats.org/officeDocument/2006/relationships/hyperlink" Target="https://classroom.google.com/c/NTMzNTk2NjUzNzE5" TargetMode="External"/><Relationship Id="rId67" Type="http://schemas.openxmlformats.org/officeDocument/2006/relationships/hyperlink" Target="https://classroom.google.com/c/NDgyNjcwODEyOTA5" TargetMode="External"/><Relationship Id="rId116" Type="http://schemas.openxmlformats.org/officeDocument/2006/relationships/hyperlink" Target="https://classroom.google.com/c/NjY2NjgwODU1MDI1" TargetMode="External"/><Relationship Id="rId20" Type="http://schemas.openxmlformats.org/officeDocument/2006/relationships/hyperlink" Target="https://classroom.google.com/c/NDI2NTgzMjA5NTM5?cjc=vx4zfl2" TargetMode="External"/><Relationship Id="rId41" Type="http://schemas.openxmlformats.org/officeDocument/2006/relationships/hyperlink" Target="https://classroom.google.com/c/NTEwNzY4NjI2MjI4?cjc=ojsbltx" TargetMode="External"/><Relationship Id="rId62" Type="http://schemas.openxmlformats.org/officeDocument/2006/relationships/hyperlink" Target="https://classroom.google.com/c/NDExNzk0MzM2MjYw?cjc=wmanj3y" TargetMode="External"/><Relationship Id="rId83" Type="http://schemas.openxmlformats.org/officeDocument/2006/relationships/hyperlink" Target="https://classroom.google.com/c/MjY4ODcyMTM3NTE0" TargetMode="External"/><Relationship Id="rId88" Type="http://schemas.openxmlformats.org/officeDocument/2006/relationships/hyperlink" Target="https://classroom.google.com/c/NjAyNzk1NzgwOTAz" TargetMode="External"/><Relationship Id="rId111" Type="http://schemas.openxmlformats.org/officeDocument/2006/relationships/hyperlink" Target="https://classroom.google.com/c/NjY2NjgwODU1MDI1" TargetMode="External"/><Relationship Id="rId15" Type="http://schemas.openxmlformats.org/officeDocument/2006/relationships/hyperlink" Target="https://classroom.google.com/c/MzkxMDEzMzYxNjYx" TargetMode="External"/><Relationship Id="rId36" Type="http://schemas.openxmlformats.org/officeDocument/2006/relationships/hyperlink" Target="https://classroom.google.com/w/NDYyMjE5OTYzMjc5/t/all" TargetMode="External"/><Relationship Id="rId57" Type="http://schemas.openxmlformats.org/officeDocument/2006/relationships/hyperlink" Target="https://classroom.google.com/c/NTk3NzE2Mjk1MDk5" TargetMode="External"/><Relationship Id="rId106" Type="http://schemas.openxmlformats.org/officeDocument/2006/relationships/hyperlink" Target="https://classroom.google.com/c/NjY2NjgwODU1MDI1" TargetMode="External"/><Relationship Id="rId10" Type="http://schemas.openxmlformats.org/officeDocument/2006/relationships/hyperlink" Target="https://classroom.google.com/u/0/c/NDQzODcwNTc1MjUz" TargetMode="External"/><Relationship Id="rId31" Type="http://schemas.openxmlformats.org/officeDocument/2006/relationships/hyperlink" Target="https://classroom.google.com/w/NDYxOTgzNTE2OTY5/t/all" TargetMode="External"/><Relationship Id="rId52" Type="http://schemas.openxmlformats.org/officeDocument/2006/relationships/hyperlink" Target="https://classroom.google.com/c/NTQwNzkzNDYwMjY2" TargetMode="External"/><Relationship Id="rId73" Type="http://schemas.openxmlformats.org/officeDocument/2006/relationships/hyperlink" Target="https://classroom.google.com/c/NTEwNzkzMDgxMzY1?cjc=45rfubj" TargetMode="External"/><Relationship Id="rId78" Type="http://schemas.openxmlformats.org/officeDocument/2006/relationships/hyperlink" Target="https://classroom.google.com/c/NDkwNzAzODYwMTUx" TargetMode="External"/><Relationship Id="rId94" Type="http://schemas.openxmlformats.org/officeDocument/2006/relationships/hyperlink" Target="https://classroom.google.com/c/NjY2NjgwODU1MDI1" TargetMode="External"/><Relationship Id="rId99" Type="http://schemas.openxmlformats.org/officeDocument/2006/relationships/hyperlink" Target="https://classroom.google.com/c/NjY2NjgwODU1MDI1" TargetMode="External"/><Relationship Id="rId101" Type="http://schemas.openxmlformats.org/officeDocument/2006/relationships/hyperlink" Target="https://classroom.google.com/c/NjY2NjgwODU1MDI1" TargetMode="External"/><Relationship Id="rId122" Type="http://schemas.openxmlformats.org/officeDocument/2006/relationships/hyperlink" Target="https://docs.google.com/spreadsheets/d/1rPIzBt5aoo-OP9mp6dgCuhp3p3VBGtDM/edit?gid=2035156564" TargetMode="External"/><Relationship Id="rId4" Type="http://schemas.openxmlformats.org/officeDocument/2006/relationships/hyperlink" Target="https://classroom.google.com/w/NDYyMjIyOTY3ODE0/t/all" TargetMode="External"/><Relationship Id="rId9" Type="http://schemas.openxmlformats.org/officeDocument/2006/relationships/hyperlink" Target="https://classroom.google.com/c/NDExNzk0MzM2MjYw?cjc=wmanj3y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classroom.google.com/c/NjY2NjcyNzc2MTk3?cjc=c4swf7s" TargetMode="External"/><Relationship Id="rId117" Type="http://schemas.openxmlformats.org/officeDocument/2006/relationships/hyperlink" Target="https://docs.google.com/spreadsheets/d/1bOCZCovx-ixXGfC3ohR5bApKxjNQVTyp/edit?usp=sharing&amp;ouid=107074606600533491419&amp;rtpof=true&amp;sd=true" TargetMode="External"/><Relationship Id="rId21" Type="http://schemas.openxmlformats.org/officeDocument/2006/relationships/hyperlink" Target="https://classroom.google.com/c/NTk1MTQzMzc2Nzg2" TargetMode="External"/><Relationship Id="rId42" Type="http://schemas.openxmlformats.org/officeDocument/2006/relationships/hyperlink" Target="https://docs.google.com/spreadsheets/d/15HXO8bGQASahnRtH7hnH3zAw7xijeR8w/edit" TargetMode="External"/><Relationship Id="rId47" Type="http://schemas.openxmlformats.org/officeDocument/2006/relationships/hyperlink" Target="https://classroom.google.com/c/NTk1MTQzMzc2Nzg2" TargetMode="External"/><Relationship Id="rId63" Type="http://schemas.openxmlformats.org/officeDocument/2006/relationships/hyperlink" Target="https://meet.google.com/qqj-kocs-mxd" TargetMode="External"/><Relationship Id="rId68" Type="http://schemas.openxmlformats.org/officeDocument/2006/relationships/hyperlink" Target="https://docs.google.com/spreadsheets/d/1dET24nDkDEyh-u6n2cXlBCgVphV4xgk8/edit?usp=share_link&amp;ouid=109060637673023762654&amp;rtpof=true&amp;sd=true" TargetMode="External"/><Relationship Id="rId84" Type="http://schemas.openxmlformats.org/officeDocument/2006/relationships/hyperlink" Target="https://meet.google.com/qqj-kocs-mxd" TargetMode="External"/><Relationship Id="rId89" Type="http://schemas.openxmlformats.org/officeDocument/2006/relationships/hyperlink" Target="https://classroom.google.com/c/NTYzMDkyMDE2MTg5" TargetMode="External"/><Relationship Id="rId112" Type="http://schemas.openxmlformats.org/officeDocument/2006/relationships/hyperlink" Target="https://docs.google.com/spreadsheets/d/1GPTYdywhAhXGmBBHVFA-Std6NYBM2cEB/edit?usp=sharing&amp;ouid=107074606600533491419&amp;rtpof=true&amp;sd=true" TargetMode="External"/><Relationship Id="rId16" Type="http://schemas.openxmlformats.org/officeDocument/2006/relationships/hyperlink" Target="https://classroom.google.com/c/NDYxOTY5MDMwNDg1" TargetMode="External"/><Relationship Id="rId107" Type="http://schemas.openxmlformats.org/officeDocument/2006/relationships/hyperlink" Target="https://docs.google.com/spreadsheets/d/1YBlBIzbs3dCgKtzIIcXpPaPoUzA28Gxw/edit?usp=sharing&amp;ouid=107074606600533491419&amp;rtpof=true&amp;sd=true" TargetMode="External"/><Relationship Id="rId11" Type="http://schemas.openxmlformats.org/officeDocument/2006/relationships/hyperlink" Target="https://classroom.google.com/c/NDU1MDUwMjA5MDU2" TargetMode="External"/><Relationship Id="rId32" Type="http://schemas.openxmlformats.org/officeDocument/2006/relationships/hyperlink" Target="https://docs.google.com/spreadsheets/d/1Q7AcGkYY7D0y6Zr0MAgtP8mobe6mG17L/edit" TargetMode="External"/><Relationship Id="rId37" Type="http://schemas.openxmlformats.org/officeDocument/2006/relationships/hyperlink" Target="https://docs.google.com/spreadsheets/d/1BGQ7oCKnALWfInb0rI6_eI_bLn-qGS8p/edit?usp=share_link&amp;ouid=109060637673023762654&amp;rtpof=true&amp;sd=true" TargetMode="External"/><Relationship Id="rId53" Type="http://schemas.openxmlformats.org/officeDocument/2006/relationships/hyperlink" Target="https://classroom.google.com/c/NjA0Njk2MDA2MzM5" TargetMode="External"/><Relationship Id="rId58" Type="http://schemas.openxmlformats.org/officeDocument/2006/relationships/hyperlink" Target="https://meet.google.com/qqj-kocs-mxd" TargetMode="External"/><Relationship Id="rId74" Type="http://schemas.openxmlformats.org/officeDocument/2006/relationships/hyperlink" Target="https://meet.google.com/qqj-kocs-mxd" TargetMode="External"/><Relationship Id="rId79" Type="http://schemas.openxmlformats.org/officeDocument/2006/relationships/hyperlink" Target="https://meet.google.com/qqj-kocs-mxd" TargetMode="External"/><Relationship Id="rId102" Type="http://schemas.openxmlformats.org/officeDocument/2006/relationships/hyperlink" Target="https://classroom.google.com/c/NjY2NjcyNzc2MTk3" TargetMode="External"/><Relationship Id="rId123" Type="http://schemas.openxmlformats.org/officeDocument/2006/relationships/hyperlink" Target="https://classroom.google.com/w/NzQ1NTYxOTA0NjUw/t/all" TargetMode="External"/><Relationship Id="rId5" Type="http://schemas.openxmlformats.org/officeDocument/2006/relationships/hyperlink" Target="https://classroom.google.com/c/MzA1OTIxNjcxNzQ2" TargetMode="External"/><Relationship Id="rId90" Type="http://schemas.openxmlformats.org/officeDocument/2006/relationships/hyperlink" Target="https://classroom.google.com/c/NTQwNjYwMDUzMjY2" TargetMode="External"/><Relationship Id="rId95" Type="http://schemas.openxmlformats.org/officeDocument/2006/relationships/hyperlink" Target="https://docs.google.com/spreadsheets/d/1YBlBIzbs3dCgKtzIIcXpPaPoUzA28Gxw/edit?usp=sharing&amp;ouid=107074606600533491419&amp;rtpof=true&amp;sd=true" TargetMode="External"/><Relationship Id="rId22" Type="http://schemas.openxmlformats.org/officeDocument/2006/relationships/hyperlink" Target="https://classroom.google.com/c/NTk3NzE2MzQ3NDI3" TargetMode="External"/><Relationship Id="rId27" Type="http://schemas.openxmlformats.org/officeDocument/2006/relationships/hyperlink" Target="https://classroom.google.com/c/NTk3NzE2MzQ3NDI3" TargetMode="External"/><Relationship Id="rId43" Type="http://schemas.openxmlformats.org/officeDocument/2006/relationships/hyperlink" Target="https://docs.google.com/spreadsheets/d/1ZOtV9VGU4co-H2EQw6_U61opmVLqsbxq/edit" TargetMode="External"/><Relationship Id="rId48" Type="http://schemas.openxmlformats.org/officeDocument/2006/relationships/hyperlink" Target="https://classroom.google.com/c/NjY2NjcyNzc2MTk3" TargetMode="External"/><Relationship Id="rId64" Type="http://schemas.openxmlformats.org/officeDocument/2006/relationships/hyperlink" Target="https://meet.google.com/qqj-kocs-mxd" TargetMode="External"/><Relationship Id="rId69" Type="http://schemas.openxmlformats.org/officeDocument/2006/relationships/hyperlink" Target="https://docs.google.com/spreadsheets/d/1ilx-cwb3Tm3lF3A1Y5C0RLugbd76wNzB/edit?usp=share_link&amp;ouid=109060637673023762654&amp;rtpof=true&amp;sd=true" TargetMode="External"/><Relationship Id="rId113" Type="http://schemas.openxmlformats.org/officeDocument/2006/relationships/hyperlink" Target="https://docs.google.com/spreadsheets/d/1KrPBK65GYdNhMfuOUadAyKMCiY94oTAa/edit?gid=97323316" TargetMode="External"/><Relationship Id="rId118" Type="http://schemas.openxmlformats.org/officeDocument/2006/relationships/hyperlink" Target="https://docs.google.com/spreadsheets/d/1h899BForkRTl_fjhH-bWSPD6i59BR3FU/edit?usp=sharing&amp;ouid=107074606600533491419&amp;rtpof=true&amp;sd=true" TargetMode="External"/><Relationship Id="rId80" Type="http://schemas.openxmlformats.org/officeDocument/2006/relationships/hyperlink" Target="https://meet.google.com/qqj-kocs-mxd" TargetMode="External"/><Relationship Id="rId85" Type="http://schemas.openxmlformats.org/officeDocument/2006/relationships/hyperlink" Target="https://meet.google.com/qqj-kocs-mxd" TargetMode="External"/><Relationship Id="rId12" Type="http://schemas.openxmlformats.org/officeDocument/2006/relationships/hyperlink" Target="https://classroom.google.com/w/NDYxOTY5MDMwMjgy/t/all" TargetMode="External"/><Relationship Id="rId17" Type="http://schemas.openxmlformats.org/officeDocument/2006/relationships/hyperlink" Target="https://classroom.google.com/u/0/c/NDQ3MzI1MTYwMTQz" TargetMode="External"/><Relationship Id="rId33" Type="http://schemas.openxmlformats.org/officeDocument/2006/relationships/hyperlink" Target="https://docs.google.com/spreadsheets/d/12OO-H3N1qJipIAUNpX-JhZ7_AA24bS4Y/edit?usp=drive_link&amp;ouid=107074606600533491419&amp;rtpof=true&amp;sd=true" TargetMode="External"/><Relationship Id="rId38" Type="http://schemas.openxmlformats.org/officeDocument/2006/relationships/hyperlink" Target="https://docs.google.com/spreadsheets/d/13PAXd_G-02uOgGtNVsCEAPKIrHtWZckc/edit?usp=share_link&amp;ouid=109060637673023762654&amp;rtpof=true&amp;sd=true" TargetMode="External"/><Relationship Id="rId59" Type="http://schemas.openxmlformats.org/officeDocument/2006/relationships/hyperlink" Target="https://meet.google.com/qqj-kocs-mxd" TargetMode="External"/><Relationship Id="rId103" Type="http://schemas.openxmlformats.org/officeDocument/2006/relationships/hyperlink" Target="https://docs.google.com/spreadsheets/d/1mDtxfCrEPNIoT8PGh0-LQtaL3kFZguxY/edit?gid=97323316" TargetMode="External"/><Relationship Id="rId108" Type="http://schemas.openxmlformats.org/officeDocument/2006/relationships/hyperlink" Target="https://docs.google.com/spreadsheets/d/1AjypWiU0ntDJctFQAQi-DW-uOz6AQWR9/edit?usp=sharing&amp;ouid=107074606600533491419&amp;rtpof=true&amp;sd=true" TargetMode="External"/><Relationship Id="rId124" Type="http://schemas.openxmlformats.org/officeDocument/2006/relationships/printerSettings" Target="../printerSettings/printerSettings4.bin"/><Relationship Id="rId54" Type="http://schemas.openxmlformats.org/officeDocument/2006/relationships/hyperlink" Target="https://classroom.google.com/c/NjA0Njk2MDA2MzM5" TargetMode="External"/><Relationship Id="rId70" Type="http://schemas.openxmlformats.org/officeDocument/2006/relationships/hyperlink" Target="https://docs.google.com/spreadsheets/d/1J5D8w9LvV3vqvCFY69mOYf0rKq87oPbj/edit?usp=share_link&amp;ouid=109060637673023762654&amp;rtpof=true&amp;sd=true" TargetMode="External"/><Relationship Id="rId75" Type="http://schemas.openxmlformats.org/officeDocument/2006/relationships/hyperlink" Target="https://meet.google.com/qqj-kocs-mxd" TargetMode="External"/><Relationship Id="rId91" Type="http://schemas.openxmlformats.org/officeDocument/2006/relationships/hyperlink" Target="https://classroom.google.com/c/NTMzNjAwNDA2OTg2" TargetMode="External"/><Relationship Id="rId96" Type="http://schemas.openxmlformats.org/officeDocument/2006/relationships/hyperlink" Target="https://docs.google.com/spreadsheets/d/1AjypWiU0ntDJctFQAQi-DW-uOz6AQWR9/edit?usp=sharing&amp;ouid=107074606600533491419&amp;rtpof=true&amp;sd=true" TargetMode="External"/><Relationship Id="rId1" Type="http://schemas.openxmlformats.org/officeDocument/2006/relationships/hyperlink" Target="https://classroom.google.com/c/NDQ3NzQyMzE3NTMx" TargetMode="External"/><Relationship Id="rId6" Type="http://schemas.openxmlformats.org/officeDocument/2006/relationships/hyperlink" Target="https://classroom.google.com/c/MzgzMjUwOTk0NDgy" TargetMode="External"/><Relationship Id="rId23" Type="http://schemas.openxmlformats.org/officeDocument/2006/relationships/hyperlink" Target="https://classroom.google.com/c/NjA0Njk2MDA2MzM5" TargetMode="External"/><Relationship Id="rId28" Type="http://schemas.openxmlformats.org/officeDocument/2006/relationships/hyperlink" Target="https://docs.google.com/spreadsheets/d/1syYL2GUvROpXTqMTSDH_cmTSdIFf3DFK/edit?usp=sharing&amp;ouid=117948801444065420301&amp;rtpof=true&amp;sd=true" TargetMode="External"/><Relationship Id="rId49" Type="http://schemas.openxmlformats.org/officeDocument/2006/relationships/hyperlink" Target="https://classroom.google.com/c/NjY2NjcyNzc2MTk3" TargetMode="External"/><Relationship Id="rId114" Type="http://schemas.openxmlformats.org/officeDocument/2006/relationships/hyperlink" Target="https://docs.google.com/spreadsheets/d/1McmOn2Lb3fNtDB9AaZohtj7udHNOLTJN/edit?usp=sharing&amp;ouid=107074606600533491419&amp;rtpof=true&amp;sd=true" TargetMode="External"/><Relationship Id="rId119" Type="http://schemas.openxmlformats.org/officeDocument/2006/relationships/hyperlink" Target="https://classroom.google.com/w/NzQ1NTYxOTA0NjUw/t/all" TargetMode="External"/><Relationship Id="rId44" Type="http://schemas.openxmlformats.org/officeDocument/2006/relationships/hyperlink" Target="https://docs.google.com/spreadsheets/d/1Q7AcGkYY7D0y6Zr0MAgtP8mobe6mG17L/edit" TargetMode="External"/><Relationship Id="rId60" Type="http://schemas.openxmlformats.org/officeDocument/2006/relationships/hyperlink" Target="https://meet.google.com/qqj-kocs-mxd" TargetMode="External"/><Relationship Id="rId65" Type="http://schemas.openxmlformats.org/officeDocument/2006/relationships/hyperlink" Target="https://meet.google.com/qqj-kocs-mxd" TargetMode="External"/><Relationship Id="rId81" Type="http://schemas.openxmlformats.org/officeDocument/2006/relationships/hyperlink" Target="https://meet.google.com/qqj-kocs-mxd" TargetMode="External"/><Relationship Id="rId86" Type="http://schemas.openxmlformats.org/officeDocument/2006/relationships/hyperlink" Target="https://docs.google.com/spreadsheets/d/1cYppGzVyKNXvy-y4xl1YPCFYXCAJKUaP/edit?gid=97323316" TargetMode="External"/><Relationship Id="rId13" Type="http://schemas.openxmlformats.org/officeDocument/2006/relationships/hyperlink" Target="https://classroom.google.com/c/MzcxNjY1MjQ4NDIz" TargetMode="External"/><Relationship Id="rId18" Type="http://schemas.openxmlformats.org/officeDocument/2006/relationships/hyperlink" Target="https://classroom.google.com/w/NDgwNjg3Nzk1MjUy/t/all" TargetMode="External"/><Relationship Id="rId39" Type="http://schemas.openxmlformats.org/officeDocument/2006/relationships/hyperlink" Target="https://docs.google.com/spreadsheets/d/1wGC0LY4tT1kljvweAH1sCNsmr6q0S49B/edit?usp=share_link&amp;ouid=109060637673023762654&amp;rtpof=true&amp;sd=true" TargetMode="External"/><Relationship Id="rId109" Type="http://schemas.openxmlformats.org/officeDocument/2006/relationships/hyperlink" Target="https://docs.google.com/spreadsheets/d/1SkVYXxlxeZYFn1WepoZ_EnoWfgI8h7v2/edit?usp=sharing&amp;ouid=107074606600533491419&amp;rtpof=true&amp;sd=true" TargetMode="External"/><Relationship Id="rId34" Type="http://schemas.openxmlformats.org/officeDocument/2006/relationships/hyperlink" Target="https://docs.google.com/spreadsheets/d/1iqDaqp_0oVu_W_FjMMy7M2bcaPGR1bJN/edit?usp=drive_link&amp;ouid=107074606600533491419&amp;rtpof=true&amp;sd=true" TargetMode="External"/><Relationship Id="rId50" Type="http://schemas.openxmlformats.org/officeDocument/2006/relationships/hyperlink" Target="https://classroom.google.com/c/NjY2NjcyNzc2MTk3" TargetMode="External"/><Relationship Id="rId55" Type="http://schemas.openxmlformats.org/officeDocument/2006/relationships/hyperlink" Target="https://docs.google.com/spreadsheets/d/1IMS69G1kdUGAPwGET47jRkGW9HXFzaLI/edit?usp=sharing&amp;ouid=107074606600533491419&amp;rtpof=true&amp;sd=true" TargetMode="External"/><Relationship Id="rId76" Type="http://schemas.openxmlformats.org/officeDocument/2006/relationships/hyperlink" Target="https://meet.google.com/qqj-kocs-mxd" TargetMode="External"/><Relationship Id="rId97" Type="http://schemas.openxmlformats.org/officeDocument/2006/relationships/hyperlink" Target="https://docs.google.com/spreadsheets/d/1SkVYXxlxeZYFn1WepoZ_EnoWfgI8h7v2/edit?usp=sharing&amp;ouid=107074606600533491419&amp;rtpof=true&amp;sd=true" TargetMode="External"/><Relationship Id="rId104" Type="http://schemas.openxmlformats.org/officeDocument/2006/relationships/hyperlink" Target="https://docs.google.com/spreadsheets/d/1IMS69G1kdUGAPwGET47jRkGW9HXFzaLI/edit?usp=sharing&amp;ouid=107074606600533491419&amp;rtpof=true&amp;sd=true" TargetMode="External"/><Relationship Id="rId120" Type="http://schemas.openxmlformats.org/officeDocument/2006/relationships/hyperlink" Target="https://classroom.google.com/w/NzQ1NTYxOTA0NjUw/t/all" TargetMode="External"/><Relationship Id="rId125" Type="http://schemas.openxmlformats.org/officeDocument/2006/relationships/vmlDrawing" Target="../drawings/vmlDrawing3.vml"/><Relationship Id="rId7" Type="http://schemas.openxmlformats.org/officeDocument/2006/relationships/hyperlink" Target="https://classroom.google.com/u/0/c/NDQzNjI0ODc1MzA4/gb/sort-last-name" TargetMode="External"/><Relationship Id="rId71" Type="http://schemas.openxmlformats.org/officeDocument/2006/relationships/hyperlink" Target="https://docs.google.com/spreadsheets/d/1YcToi5LU-0YdU5oczm9GONi6KGBxcgmd/edit?usp=sharing&amp;ouid=117948801444065420301&amp;rtpof=true&amp;sd=true" TargetMode="External"/><Relationship Id="rId92" Type="http://schemas.openxmlformats.org/officeDocument/2006/relationships/hyperlink" Target="https://docs.google.com/spreadsheets/d/1IMS69G1kdUGAPwGET47jRkGW9HXFzaLI/edit?usp=sharing&amp;ouid=107074606600533491419&amp;rtpof=true&amp;sd=true" TargetMode="External"/><Relationship Id="rId2" Type="http://schemas.openxmlformats.org/officeDocument/2006/relationships/hyperlink" Target="https://classroom.google.com/c/NDU1MDUwMjA5MDU2" TargetMode="External"/><Relationship Id="rId29" Type="http://schemas.openxmlformats.org/officeDocument/2006/relationships/hyperlink" Target="https://docs.google.com/spreadsheets/d/15HXO8bGQASahnRtH7hnH3zAw7xijeR8w/edit?usp=drive_link&amp;ouid=117948801444065420301&amp;rtpof=true&amp;sd=true" TargetMode="External"/><Relationship Id="rId24" Type="http://schemas.openxmlformats.org/officeDocument/2006/relationships/hyperlink" Target="https://classroom.google.com/c/NTk3NzE2MzQ3NDI3" TargetMode="External"/><Relationship Id="rId40" Type="http://schemas.openxmlformats.org/officeDocument/2006/relationships/hyperlink" Target="https://docs.google.com/spreadsheets/d/1gMs31X7bqDQnG6oouxl0uqEraVgSMs6g/edit?usp=share_link&amp;ouid=117948801444065420301&amp;rtpof=true&amp;sd=true" TargetMode="External"/><Relationship Id="rId45" Type="http://schemas.openxmlformats.org/officeDocument/2006/relationships/hyperlink" Target="https://docs.google.com/spreadsheets/d/1ns21JTtp_bbCMrBKZwbEPNpDm8w8K05X/edit?usp=sharing&amp;ouid=107074606600533491419&amp;rtpof=true&amp;sd=true" TargetMode="External"/><Relationship Id="rId66" Type="http://schemas.openxmlformats.org/officeDocument/2006/relationships/hyperlink" Target="https://meet.google.com/qqj-kocs-mxd" TargetMode="External"/><Relationship Id="rId87" Type="http://schemas.openxmlformats.org/officeDocument/2006/relationships/hyperlink" Target="https://classroom.google.com/w/NTM5ODk1Nzk2NzY3/t/all" TargetMode="External"/><Relationship Id="rId110" Type="http://schemas.openxmlformats.org/officeDocument/2006/relationships/hyperlink" Target="https://docs.google.com/spreadsheets/d/1GPTYdywhAhXGmBBHVFA-Std6NYBM2cEB/edit?usp=sharing&amp;ouid=107074606600533491419&amp;rtpof=true&amp;sd=true" TargetMode="External"/><Relationship Id="rId115" Type="http://schemas.openxmlformats.org/officeDocument/2006/relationships/hyperlink" Target="https://docs.google.com/spreadsheets/d/1bOCZCovx-ixXGfC3ohR5bApKxjNQVTyp/edit?usp=sharing&amp;ouid=107074606600533491419&amp;rtpof=true&amp;sd=true" TargetMode="External"/><Relationship Id="rId61" Type="http://schemas.openxmlformats.org/officeDocument/2006/relationships/hyperlink" Target="https://meet.google.com/qqj-kocs-mxd" TargetMode="External"/><Relationship Id="rId82" Type="http://schemas.openxmlformats.org/officeDocument/2006/relationships/hyperlink" Target="https://meet.google.com/qqj-kocs-mxd" TargetMode="External"/><Relationship Id="rId19" Type="http://schemas.openxmlformats.org/officeDocument/2006/relationships/hyperlink" Target="https://classroom.google.com/c/NTEwMzUxMjEyMzk0?cjc=kyhy2fx" TargetMode="External"/><Relationship Id="rId14" Type="http://schemas.openxmlformats.org/officeDocument/2006/relationships/hyperlink" Target="https://classroom.google.com/u/0/c/NDU0ODI1MTY5ODg4" TargetMode="External"/><Relationship Id="rId30" Type="http://schemas.openxmlformats.org/officeDocument/2006/relationships/hyperlink" Target="https://docs.google.com/spreadsheets/d/1ZOtV9VGU4co-H2EQw6_U61opmVLqsbxq/edit" TargetMode="External"/><Relationship Id="rId35" Type="http://schemas.openxmlformats.org/officeDocument/2006/relationships/hyperlink" Target="https://docs.google.com/spreadsheets/d/1ns21JTtp_bbCMrBKZwbEPNpDm8w8K05X/edit?usp=sharing&amp;ouid=107074606600533491419&amp;rtpof=true&amp;sd=true" TargetMode="External"/><Relationship Id="rId56" Type="http://schemas.openxmlformats.org/officeDocument/2006/relationships/hyperlink" Target="https://docs.google.com/spreadsheets/d/1yIdhWgSeuHSCsLUU_ErG2gYTR8pArl45/edit?usp=sharing&amp;ouid=107074606600533491419&amp;rtpof=true&amp;sd=true" TargetMode="External"/><Relationship Id="rId77" Type="http://schemas.openxmlformats.org/officeDocument/2006/relationships/hyperlink" Target="https://meet.google.com/qqj-kocs-mxd" TargetMode="External"/><Relationship Id="rId100" Type="http://schemas.openxmlformats.org/officeDocument/2006/relationships/hyperlink" Target="https://docs.google.com/spreadsheets/d/1FLJfM7IYuNG325jHKXrRA2X71AQSQ9mT/edit?gid=97323316" TargetMode="External"/><Relationship Id="rId105" Type="http://schemas.openxmlformats.org/officeDocument/2006/relationships/hyperlink" Target="https://docs.google.com/spreadsheets/d/1yIdhWgSeuHSCsLUU_ErG2gYTR8pArl45/edit?usp=sharing&amp;ouid=107074606600533491419&amp;rtpof=true&amp;sd=true" TargetMode="External"/><Relationship Id="rId126" Type="http://schemas.openxmlformats.org/officeDocument/2006/relationships/comments" Target="../comments3.xml"/><Relationship Id="rId8" Type="http://schemas.openxmlformats.org/officeDocument/2006/relationships/hyperlink" Target="https://classroom.google.com/u/0/w/NDQ3NzQyMzE3NTMx/t/all" TargetMode="External"/><Relationship Id="rId51" Type="http://schemas.openxmlformats.org/officeDocument/2006/relationships/hyperlink" Target="https://classroom.google.com/c/NjY2NjcyNzc2MTk3" TargetMode="External"/><Relationship Id="rId72" Type="http://schemas.openxmlformats.org/officeDocument/2006/relationships/hyperlink" Target="https://docs.google.com/spreadsheets/d/1YcToi5LU-0YdU5oczm9GONi6KGBxcgmd/edit?usp=sharing&amp;ouid=117948801444065420301&amp;rtpof=true&amp;sd=true" TargetMode="External"/><Relationship Id="rId93" Type="http://schemas.openxmlformats.org/officeDocument/2006/relationships/hyperlink" Target="https://docs.google.com/spreadsheets/d/1yIdhWgSeuHSCsLUU_ErG2gYTR8pArl45/edit?usp=sharing&amp;ouid=107074606600533491419&amp;rtpof=true&amp;sd=true" TargetMode="External"/><Relationship Id="rId98" Type="http://schemas.openxmlformats.org/officeDocument/2006/relationships/hyperlink" Target="https://classroom.google.com/c/NTk3NzE2MzQ3NDI3" TargetMode="External"/><Relationship Id="rId121" Type="http://schemas.openxmlformats.org/officeDocument/2006/relationships/hyperlink" Target="https://classroom.google.com/w/NzQ1NTYxOTA0NjUw/t/all" TargetMode="External"/><Relationship Id="rId3" Type="http://schemas.openxmlformats.org/officeDocument/2006/relationships/hyperlink" Target="https://classroom.google.com/w/NDYxOTY5MDMwMjgy/t/all" TargetMode="External"/><Relationship Id="rId25" Type="http://schemas.openxmlformats.org/officeDocument/2006/relationships/hyperlink" Target="https://classroom.google.com/c/NTk3NzE2MzQ3NDI3" TargetMode="External"/><Relationship Id="rId46" Type="http://schemas.openxmlformats.org/officeDocument/2006/relationships/hyperlink" Target="https://docs.google.com/spreadsheets/d/1HYgXNknIXDHOd4_fYVtgubRRnBuqvYKb/edit?usp=sharing&amp;ouid=107074606600533491419&amp;rtpof=true&amp;sd=true" TargetMode="External"/><Relationship Id="rId67" Type="http://schemas.openxmlformats.org/officeDocument/2006/relationships/hyperlink" Target="https://meet.google.com/qqj-kocs-mxd" TargetMode="External"/><Relationship Id="rId116" Type="http://schemas.openxmlformats.org/officeDocument/2006/relationships/hyperlink" Target="https://docs.google.com/spreadsheets/d/1h899BForkRTl_fjhH-bWSPD6i59BR3FU/edit?usp=sharing&amp;ouid=107074606600533491419&amp;rtpof=true&amp;sd=true" TargetMode="External"/><Relationship Id="rId20" Type="http://schemas.openxmlformats.org/officeDocument/2006/relationships/hyperlink" Target="https://classroom.google.com/c/NjA0Njk2MDA2MzM5" TargetMode="External"/><Relationship Id="rId41" Type="http://schemas.openxmlformats.org/officeDocument/2006/relationships/hyperlink" Target="https://docs.google.com/spreadsheets/d/1syYL2GUvROpXTqMTSDH_cmTSdIFf3DFK/edit?usp=sharing&amp;ouid=117948801444065420301&amp;rtpof=true&amp;sd=true" TargetMode="External"/><Relationship Id="rId62" Type="http://schemas.openxmlformats.org/officeDocument/2006/relationships/hyperlink" Target="https://meet.google.com/qqj-kocs-mxd" TargetMode="External"/><Relationship Id="rId83" Type="http://schemas.openxmlformats.org/officeDocument/2006/relationships/hyperlink" Target="https://meet.google.com/qqj-kocs-mxd" TargetMode="External"/><Relationship Id="rId88" Type="http://schemas.openxmlformats.org/officeDocument/2006/relationships/hyperlink" Target="https://classroom.google.com/c/NTQwOTQ2MjM3NTA4" TargetMode="External"/><Relationship Id="rId111" Type="http://schemas.openxmlformats.org/officeDocument/2006/relationships/hyperlink" Target="https://docs.google.com/spreadsheets/d/1McmOn2Lb3fNtDB9AaZohtj7udHNOLTJN/edit?usp=sharing&amp;ouid=107074606600533491419&amp;rtpof=true&amp;sd=true" TargetMode="External"/><Relationship Id="rId15" Type="http://schemas.openxmlformats.org/officeDocument/2006/relationships/hyperlink" Target="https://classroom.google.com/w/NDYxOTY5MDMwNDg1/t/all" TargetMode="External"/><Relationship Id="rId36" Type="http://schemas.openxmlformats.org/officeDocument/2006/relationships/hyperlink" Target="https://docs.google.com/spreadsheets/d/1HYgXNknIXDHOd4_fYVtgubRRnBuqvYKb/edit?usp=sharing&amp;ouid=107074606600533491419&amp;rtpof=true&amp;sd=true" TargetMode="External"/><Relationship Id="rId57" Type="http://schemas.openxmlformats.org/officeDocument/2006/relationships/hyperlink" Target="https://docs.google.com/spreadsheets/d/1ycp8KeYRa1LQLCwhTB8q0aEkTLqwxFuS/edit?usp=drive_link&amp;ouid=107074606600533491419&amp;rtpof=true&amp;sd=true" TargetMode="External"/><Relationship Id="rId106" Type="http://schemas.openxmlformats.org/officeDocument/2006/relationships/hyperlink" Target="https://docs.google.com/spreadsheets/d/1ycp8KeYRa1LQLCwhTB8q0aEkTLqwxFuS/edit?usp=drive_link&amp;ouid=107074606600533491419&amp;rtpof=true&amp;sd=true" TargetMode="External"/><Relationship Id="rId127" Type="http://schemas.microsoft.com/office/2017/10/relationships/threadedComment" Target="../threadedComments/threadedComment3.xml"/><Relationship Id="rId10" Type="http://schemas.openxmlformats.org/officeDocument/2006/relationships/hyperlink" Target="https://classroom.google.com/c/MzA1OTIxNjcxNzQ2" TargetMode="External"/><Relationship Id="rId31" Type="http://schemas.openxmlformats.org/officeDocument/2006/relationships/hyperlink" Target="https://docs.google.com/spreadsheets/d/1Q7AcGkYY7D0y6Zr0MAgtP8mobe6mG17L/edit" TargetMode="External"/><Relationship Id="rId52" Type="http://schemas.openxmlformats.org/officeDocument/2006/relationships/hyperlink" Target="https://classroom.google.com/c/NjY2NjcyNzc2MTk3" TargetMode="External"/><Relationship Id="rId73" Type="http://schemas.openxmlformats.org/officeDocument/2006/relationships/hyperlink" Target="https://docs.google.com/spreadsheets/d/12cruEBzXaQOqE1-X3KC1GyfL8puFp5e_/edit?usp=drive_link&amp;ouid=117948801444065420301&amp;rtpof=true&amp;sd=true" TargetMode="External"/><Relationship Id="rId78" Type="http://schemas.openxmlformats.org/officeDocument/2006/relationships/hyperlink" Target="https://meet.google.com/qqj-kocs-mxd" TargetMode="External"/><Relationship Id="rId94" Type="http://schemas.openxmlformats.org/officeDocument/2006/relationships/hyperlink" Target="https://docs.google.com/spreadsheets/d/1ycp8KeYRa1LQLCwhTB8q0aEkTLqwxFuS/edit?usp=drive_link&amp;ouid=107074606600533491419&amp;rtpof=true&amp;sd=true" TargetMode="External"/><Relationship Id="rId99" Type="http://schemas.openxmlformats.org/officeDocument/2006/relationships/hyperlink" Target="https://classroom.google.com/c/NTk3NzE2MzQ3NDI3" TargetMode="External"/><Relationship Id="rId101" Type="http://schemas.openxmlformats.org/officeDocument/2006/relationships/hyperlink" Target="https://classroom.google.com/c/NTMzNjAwNzg1NDI1" TargetMode="External"/><Relationship Id="rId122" Type="http://schemas.openxmlformats.org/officeDocument/2006/relationships/hyperlink" Target="https://classroom.google.com/c/NjY2NjcyNzc2MTk3" TargetMode="External"/><Relationship Id="rId4" Type="http://schemas.openxmlformats.org/officeDocument/2006/relationships/hyperlink" Target="https://classroom.google.com/u/0/r/MzM3NjAwMzY5NTk3/sort-last-name" TargetMode="External"/><Relationship Id="rId9" Type="http://schemas.openxmlformats.org/officeDocument/2006/relationships/hyperlink" Target="https://classroom.google.com/w/NDYxOTY5MDMwMjgy/t/all" TargetMode="Externa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classroom.google.com/c/NTA5Njc1MDM5MzUx" TargetMode="External"/><Relationship Id="rId21" Type="http://schemas.openxmlformats.org/officeDocument/2006/relationships/hyperlink" Target="https://classroom.google.com/w/NDU5NDQxNDUxODMz/t/all" TargetMode="External"/><Relationship Id="rId42" Type="http://schemas.openxmlformats.org/officeDocument/2006/relationships/hyperlink" Target="https://classroom.google.com/c/NTk3NzExNjkwOTc3" TargetMode="External"/><Relationship Id="rId47" Type="http://schemas.openxmlformats.org/officeDocument/2006/relationships/hyperlink" Target="https://drive.google.com/drive/folders/1hBH4kl-2ZtL0gl5dexXV4YrZ4m8zblpW" TargetMode="External"/><Relationship Id="rId63" Type="http://schemas.openxmlformats.org/officeDocument/2006/relationships/hyperlink" Target="https://docs.google.com/spreadsheets/d/1syYL2GUvROpXTqMTSDH_cmTSdIFf3DFK/edit?usp=sharing&amp;ouid=117948801444065420301&amp;rtpof=true&amp;sd=true" TargetMode="External"/><Relationship Id="rId68" Type="http://schemas.openxmlformats.org/officeDocument/2006/relationships/hyperlink" Target="https://docs.google.com/spreadsheets/d/1q35BB7NPWxgyDZZqFMQqjUEYvuskKBy4/edit?usp=drive_link&amp;ouid=107074606600533491419&amp;rtpof=true&amp;sd=true" TargetMode="External"/><Relationship Id="rId84" Type="http://schemas.openxmlformats.org/officeDocument/2006/relationships/hyperlink" Target="https://docs.google.com/spreadsheets/d/1kSPtVrKJsyDiXEKjByVZ94m3_5_1Ma35/edit?gid=537709557" TargetMode="External"/><Relationship Id="rId89" Type="http://schemas.openxmlformats.org/officeDocument/2006/relationships/hyperlink" Target="https://docs.google.com/spreadsheets/d/1dcLwrXo3C4xappK6Yx3Gng2oYIUoN0bW/edit?gid=1099595855" TargetMode="External"/><Relationship Id="rId16" Type="http://schemas.openxmlformats.org/officeDocument/2006/relationships/hyperlink" Target="https://classroom.google.com/w/NDU5NDQxNDUxODMz/t/all" TargetMode="External"/><Relationship Id="rId11" Type="http://schemas.openxmlformats.org/officeDocument/2006/relationships/hyperlink" Target="https://classroom.google.com/c/NDQzODcwNTc0NzUy" TargetMode="External"/><Relationship Id="rId32" Type="http://schemas.openxmlformats.org/officeDocument/2006/relationships/hyperlink" Target="https://classroom.google.com/c/NDQ4OTY2NzU5ODYz" TargetMode="External"/><Relationship Id="rId37" Type="http://schemas.openxmlformats.org/officeDocument/2006/relationships/hyperlink" Target="https://classroom.google.com/c/NDkwNTUwNDk5MDY2" TargetMode="External"/><Relationship Id="rId53" Type="http://schemas.openxmlformats.org/officeDocument/2006/relationships/hyperlink" Target="https://docs.google.com/spreadsheets/d/1-KCRbSyulCfWS4-p3P85Ho8xfBE872im/edit?gid=1760733407" TargetMode="External"/><Relationship Id="rId58" Type="http://schemas.openxmlformats.org/officeDocument/2006/relationships/hyperlink" Target="https://docs.google.com/spreadsheets/d/1mVM1_NiCBsMb_1oyQS6Wn1HHzwUyvxri/edit?gid=2124319217" TargetMode="External"/><Relationship Id="rId74" Type="http://schemas.openxmlformats.org/officeDocument/2006/relationships/hyperlink" Target="https://docs.google.com/spreadsheets/d/1IHZoMbwooZqKfrMVcS4GfpAAREkd2BX_/edit?usp=sharing&amp;ouid=107074606600533491419&amp;rtpof=true&amp;sd=true" TargetMode="External"/><Relationship Id="rId79" Type="http://schemas.openxmlformats.org/officeDocument/2006/relationships/hyperlink" Target="https://docs.google.com/spreadsheets/d/1FRfMTs0Du3hdamrc5TI7VrnoWrjA8t6B/edit?usp=sharing&amp;ouid=107074606600533491419&amp;rtpof=true&amp;sd=true" TargetMode="External"/><Relationship Id="rId102" Type="http://schemas.openxmlformats.org/officeDocument/2006/relationships/hyperlink" Target="https://docs.google.com/spreadsheets/d/1rrUuJgdxBklb3WCjpetlBiz8WoZhgry1/edit?gid=2124319217" TargetMode="External"/><Relationship Id="rId5" Type="http://schemas.openxmlformats.org/officeDocument/2006/relationships/hyperlink" Target="https://classroom.google.com/r/MzcyMDY4Mjk5NjYz/sort-last-name" TargetMode="External"/><Relationship Id="rId90" Type="http://schemas.openxmlformats.org/officeDocument/2006/relationships/hyperlink" Target="https://docs.google.com/spreadsheets/d/1n2zaD0EqC0-0qfGCMYXamTnhA8sQbWZb/edit?gid=1099595855" TargetMode="External"/><Relationship Id="rId95" Type="http://schemas.openxmlformats.org/officeDocument/2006/relationships/hyperlink" Target="https://classroom.google.com/c/NjY2NjMwMzA4NzMz" TargetMode="External"/><Relationship Id="rId22" Type="http://schemas.openxmlformats.org/officeDocument/2006/relationships/hyperlink" Target="https://classroom.google.com/c/NDgxNDU5OTcxNjk1" TargetMode="External"/><Relationship Id="rId27" Type="http://schemas.openxmlformats.org/officeDocument/2006/relationships/hyperlink" Target="https://classroom.google.com/c/NTA5Njc1MDM5MzUx" TargetMode="External"/><Relationship Id="rId43" Type="http://schemas.openxmlformats.org/officeDocument/2006/relationships/hyperlink" Target="https://classroom.google.com/w/NDU5NDQxNDUxODMz/t/all" TargetMode="External"/><Relationship Id="rId48" Type="http://schemas.openxmlformats.org/officeDocument/2006/relationships/hyperlink" Target="https://docs.google.com/spreadsheets/d/1bjvtTqyqYIL3ANslHTA_ujkzxdxF4FKd/edit?gid=2124319217" TargetMode="External"/><Relationship Id="rId64" Type="http://schemas.openxmlformats.org/officeDocument/2006/relationships/hyperlink" Target="https://docs.google.com/spreadsheets/d/1-VZn1VvZP3j4Iejd83EF9lr7bVXR2yCX/edit?usp=drive_link&amp;ouid=117948801444065420301&amp;rtpof=true&amp;sd=true" TargetMode="External"/><Relationship Id="rId69" Type="http://schemas.openxmlformats.org/officeDocument/2006/relationships/hyperlink" Target="https://docs.google.com/spreadsheets/d/1smlJ_L_SGnvXGeJBQ8mYSXbV7ektSse7/edit?usp=drive_link&amp;ouid=107074606600533491419&amp;rtpof=true&amp;sd=true" TargetMode="External"/><Relationship Id="rId80" Type="http://schemas.openxmlformats.org/officeDocument/2006/relationships/hyperlink" Target="https://docs.google.com/spreadsheets/d/1FRfMTs0Du3hdamrc5TI7VrnoWrjA8t6B/edit?usp=sharing&amp;ouid=107074606600533491419&amp;rtpof=true&amp;sd=true" TargetMode="External"/><Relationship Id="rId85" Type="http://schemas.openxmlformats.org/officeDocument/2006/relationships/hyperlink" Target="https://docs.google.com/spreadsheets/d/1xUzPrbIOHd2i3AW_Zd5-4s9IXIERxt6o/edit?gid=537709557" TargetMode="External"/><Relationship Id="rId12" Type="http://schemas.openxmlformats.org/officeDocument/2006/relationships/hyperlink" Target="https://classroom.google.com/c/NDQ4OTY2NzU5ODYz" TargetMode="External"/><Relationship Id="rId17" Type="http://schemas.openxmlformats.org/officeDocument/2006/relationships/hyperlink" Target="https://classroom.google.com/c/NDgxNDU5OTcxNjk1" TargetMode="External"/><Relationship Id="rId33" Type="http://schemas.openxmlformats.org/officeDocument/2006/relationships/hyperlink" Target="https://classroom.google.com/c/NDgxNDU5OTcxNjk1" TargetMode="External"/><Relationship Id="rId38" Type="http://schemas.openxmlformats.org/officeDocument/2006/relationships/hyperlink" Target="https://classroom.google.com/c/NDkwNTUwNDk5MDY2" TargetMode="External"/><Relationship Id="rId59" Type="http://schemas.openxmlformats.org/officeDocument/2006/relationships/hyperlink" Target="https://docs.google.com/spreadsheets/d/1yYKN6DaryC2CYo9uUlPOipAUFws-v_JL/edit?gid=2124319217" TargetMode="External"/><Relationship Id="rId103" Type="http://schemas.openxmlformats.org/officeDocument/2006/relationships/printerSettings" Target="../printerSettings/printerSettings5.bin"/><Relationship Id="rId20" Type="http://schemas.openxmlformats.org/officeDocument/2006/relationships/hyperlink" Target="https://classroom.google.com/c/NDQ4OTY2NzU5ODYz" TargetMode="External"/><Relationship Id="rId41" Type="http://schemas.openxmlformats.org/officeDocument/2006/relationships/hyperlink" Target="https://classroom.google.com/c/NTQ0ODkyMjE5Mzcz" TargetMode="External"/><Relationship Id="rId54" Type="http://schemas.openxmlformats.org/officeDocument/2006/relationships/hyperlink" Target="https://docs.google.com/spreadsheets/d/1eYCmMO2KhNztiVKyvF6ZYbFO2SrDwwo5/edit?gid=1760733407" TargetMode="External"/><Relationship Id="rId62" Type="http://schemas.openxmlformats.org/officeDocument/2006/relationships/hyperlink" Target="https://docs.google.com/spreadsheets/d/1bjvtTqyqYIL3ANslHTA_ujkzxdxF4FKd/edit?gid=2124319217" TargetMode="External"/><Relationship Id="rId70" Type="http://schemas.openxmlformats.org/officeDocument/2006/relationships/hyperlink" Target="https://docs.google.com/spreadsheets/d/1tsePOgffv74a7grRZmiTPQuJBW8TZBYS/edit?usp=drive_link&amp;ouid=107074606600533491419&amp;rtpof=true&amp;sd=true" TargetMode="External"/><Relationship Id="rId75" Type="http://schemas.openxmlformats.org/officeDocument/2006/relationships/hyperlink" Target="https://docs.google.com/spreadsheets/d/1IHZoMbwooZqKfrMVcS4GfpAAREkd2BX_/edit?usp=sharing&amp;ouid=107074606600533491419&amp;rtpof=true&amp;sd=true" TargetMode="External"/><Relationship Id="rId83" Type="http://schemas.openxmlformats.org/officeDocument/2006/relationships/hyperlink" Target="https://docs.google.com/spreadsheets/d/194W-dPpFaXLgGm2fdoRXf9jmjquvZEO-/edit?gid=2124319217" TargetMode="External"/><Relationship Id="rId88" Type="http://schemas.openxmlformats.org/officeDocument/2006/relationships/hyperlink" Target="https://classroom.google.com/w/NTk3NzExNjkwOTc3/t/all" TargetMode="External"/><Relationship Id="rId91" Type="http://schemas.openxmlformats.org/officeDocument/2006/relationships/hyperlink" Target="https://docs.google.com/spreadsheets/d/19OeB8X5RpR8FmM8ByQNeK_3-Jub7eQ5a/edit?gid=2124319217" TargetMode="External"/><Relationship Id="rId96" Type="http://schemas.openxmlformats.org/officeDocument/2006/relationships/hyperlink" Target="https://classroom.google.com/c/NjY2NjMwMzA4NzMz" TargetMode="External"/><Relationship Id="rId1" Type="http://schemas.openxmlformats.org/officeDocument/2006/relationships/hyperlink" Target="https://classroom.google.com/c/NDgxNDU5OTcxNjk1" TargetMode="External"/><Relationship Id="rId6" Type="http://schemas.openxmlformats.org/officeDocument/2006/relationships/hyperlink" Target="https://classroom.google.com/c/NDQzODcwNTc0NzUy" TargetMode="External"/><Relationship Id="rId15" Type="http://schemas.openxmlformats.org/officeDocument/2006/relationships/hyperlink" Target="https://classroom.google.com/c/NDQ4OTY2NzU5ODYz" TargetMode="External"/><Relationship Id="rId23" Type="http://schemas.openxmlformats.org/officeDocument/2006/relationships/hyperlink" Target="https://classroom.google.com/u/0/w/MzkxMDExNzE0Mjk2/t/all" TargetMode="External"/><Relationship Id="rId28" Type="http://schemas.openxmlformats.org/officeDocument/2006/relationships/hyperlink" Target="https://classroom.google.com/c/NTA5Njc1MDM5MzUx" TargetMode="External"/><Relationship Id="rId36" Type="http://schemas.openxmlformats.org/officeDocument/2006/relationships/hyperlink" Target="https://classroom.google.com/c/NDkwOTEyMjA0NDM1" TargetMode="External"/><Relationship Id="rId49" Type="http://schemas.openxmlformats.org/officeDocument/2006/relationships/hyperlink" Target="https://classroom.google.com/c/NTk3NzA5ODcwNTgx" TargetMode="External"/><Relationship Id="rId57" Type="http://schemas.openxmlformats.org/officeDocument/2006/relationships/hyperlink" Target="https://docs.google.com/spreadsheets/d/1G9AX6hx2GghtrWDo5-ByihUlI6KTEtOZ/edit?gid=89036972" TargetMode="External"/><Relationship Id="rId10" Type="http://schemas.openxmlformats.org/officeDocument/2006/relationships/hyperlink" Target="https://classroom.google.com/c/MzkxMDExNDYyNTc1" TargetMode="External"/><Relationship Id="rId31" Type="http://schemas.openxmlformats.org/officeDocument/2006/relationships/hyperlink" Target="https://classroom.google.com/c/NTQwODI2NDg1MTgy" TargetMode="External"/><Relationship Id="rId44" Type="http://schemas.openxmlformats.org/officeDocument/2006/relationships/hyperlink" Target="https://classroom.google.com/c/NTEwNzY5MDQ0ODc3?cjc=plfxebi" TargetMode="External"/><Relationship Id="rId52" Type="http://schemas.openxmlformats.org/officeDocument/2006/relationships/hyperlink" Target="https://classroom.google.com/w/NTk3NzExNjkwOTc3/t/all" TargetMode="External"/><Relationship Id="rId60" Type="http://schemas.openxmlformats.org/officeDocument/2006/relationships/hyperlink" Target="https://docs.google.com/spreadsheets/d/1bMmJ_0Th9TN_AJ9tfQfI-3GpvIk4Hv_m/edit?gid=2124319217" TargetMode="External"/><Relationship Id="rId65" Type="http://schemas.openxmlformats.org/officeDocument/2006/relationships/hyperlink" Target="https://docs.google.com/spreadsheets/d/1DyPwcI6NhNekWDXEV6Rmj5IBpYopnQjv/edit" TargetMode="External"/><Relationship Id="rId73" Type="http://schemas.openxmlformats.org/officeDocument/2006/relationships/hyperlink" Target="https://docs.google.com/spreadsheets/d/1IHZoMbwooZqKfrMVcS4GfpAAREkd2BX_/edit?usp=sharing&amp;ouid=107074606600533491419&amp;rtpof=true&amp;sd=true" TargetMode="External"/><Relationship Id="rId78" Type="http://schemas.openxmlformats.org/officeDocument/2006/relationships/hyperlink" Target="https://docs.google.com/spreadsheets/d/1eXcHttbWLZ2rL5KeU5nGc04CSzGNyAzy/edit?usp=drive_link&amp;ouid=107074606600533491419&amp;rtpof=true&amp;sd=true" TargetMode="External"/><Relationship Id="rId81" Type="http://schemas.openxmlformats.org/officeDocument/2006/relationships/hyperlink" Target="https://docs.google.com/spreadsheets/d/16MxPGlE5sRM6kzuUVs2RE_6D676hbROm/edit?usp=sharing&amp;ouid=107074606600533491419&amp;rtpof=true&amp;sd=true" TargetMode="External"/><Relationship Id="rId86" Type="http://schemas.openxmlformats.org/officeDocument/2006/relationships/hyperlink" Target="https://docs.google.com/spreadsheets/d/11qMmspCLWmju3LG7m1HqLJCM7dGCWtnE/edit?gid=537709557" TargetMode="External"/><Relationship Id="rId94" Type="http://schemas.openxmlformats.org/officeDocument/2006/relationships/hyperlink" Target="https://docs.google.com/spreadsheets/d/1Z8TNYyoVFT_5oRWbyyzgsnlF0SOC9RAX/edit?usp=sharing&amp;ouid=107074606600533491419&amp;rtpof=true&amp;sd=true" TargetMode="External"/><Relationship Id="rId99" Type="http://schemas.openxmlformats.org/officeDocument/2006/relationships/hyperlink" Target="https://drive.google.com/drive/folders/1hBH4kl-2ZtL0gl5dexXV4YrZ4m8zblpW" TargetMode="External"/><Relationship Id="rId101" Type="http://schemas.openxmlformats.org/officeDocument/2006/relationships/hyperlink" Target="https://docs.google.com/spreadsheets/d/1bMmJ_0Th9TN_AJ9tfQfI-3GpvIk4Hv_m/edit?gid=2124319217" TargetMode="External"/><Relationship Id="rId4" Type="http://schemas.openxmlformats.org/officeDocument/2006/relationships/hyperlink" Target="https://classroom.google.com/c/MTk1MjA1NTQwNzAz" TargetMode="External"/><Relationship Id="rId9" Type="http://schemas.openxmlformats.org/officeDocument/2006/relationships/hyperlink" Target="https://classroom.google.com/c/MTk1MjA1NTQwNzAz" TargetMode="External"/><Relationship Id="rId13" Type="http://schemas.openxmlformats.org/officeDocument/2006/relationships/hyperlink" Target="https://classroom.google.com/w/NDU5NDQxNDUxODMz/t/all" TargetMode="External"/><Relationship Id="rId18" Type="http://schemas.openxmlformats.org/officeDocument/2006/relationships/hyperlink" Target="https://classroom.google.com/c/NDQ4OTY2NzU5ODYz" TargetMode="External"/><Relationship Id="rId39" Type="http://schemas.openxmlformats.org/officeDocument/2006/relationships/hyperlink" Target="https://classroom.google.com/c/NDQzODcwNTc0NzUy" TargetMode="External"/><Relationship Id="rId34" Type="http://schemas.openxmlformats.org/officeDocument/2006/relationships/hyperlink" Target="https://classroom.google.com/w/NDU5NDQxNDUxODMz/t/all" TargetMode="External"/><Relationship Id="rId50" Type="http://schemas.openxmlformats.org/officeDocument/2006/relationships/hyperlink" Target="https://docs.google.com/spreadsheets/d/15R86JGstfmnqJYJPIpG5ayafwQsKwf02/edit?gid=1099595855" TargetMode="External"/><Relationship Id="rId55" Type="http://schemas.openxmlformats.org/officeDocument/2006/relationships/hyperlink" Target="https://docs.google.com/spreadsheets/d/1v3imtvznS8n8dWcdk1LQD1_jHQykhC1Z/edit?gid=1760733407" TargetMode="External"/><Relationship Id="rId76" Type="http://schemas.openxmlformats.org/officeDocument/2006/relationships/hyperlink" Target="https://docs.google.com/spreadsheets/d/11mqEivXARAX7ndsyQgV_uUf2CLXriKQD/edit?usp=drive_link&amp;ouid=107074606600533491419&amp;rtpof=true&amp;sd=true" TargetMode="External"/><Relationship Id="rId97" Type="http://schemas.openxmlformats.org/officeDocument/2006/relationships/hyperlink" Target="https://docs.google.com/spreadsheets/d/1Lqt87kUIfTW1WmQbH_NNoNhf2FH1p2um/edit?gid=537709557" TargetMode="External"/><Relationship Id="rId104" Type="http://schemas.openxmlformats.org/officeDocument/2006/relationships/vmlDrawing" Target="../drawings/vmlDrawing4.vml"/><Relationship Id="rId7" Type="http://schemas.openxmlformats.org/officeDocument/2006/relationships/hyperlink" Target="https://classroom.google.com/c/NDQ4OTY2NzU5ODYz" TargetMode="External"/><Relationship Id="rId71" Type="http://schemas.openxmlformats.org/officeDocument/2006/relationships/hyperlink" Target="https://docs.google.com/spreadsheets/d/1IHZoMbwooZqKfrMVcS4GfpAAREkd2BX_/edit?usp=sharing&amp;ouid=107074606600533491419&amp;rtpof=true&amp;sd=true" TargetMode="External"/><Relationship Id="rId92" Type="http://schemas.openxmlformats.org/officeDocument/2006/relationships/hyperlink" Target="https://docs.google.com/spreadsheets/d/18K7M2M_TMEEksClfcb5rOHV4R_5eENAD/edit?usp=drive_link&amp;ouid=107074606600533491419&amp;rtpof=true&amp;sd=true" TargetMode="External"/><Relationship Id="rId2" Type="http://schemas.openxmlformats.org/officeDocument/2006/relationships/hyperlink" Target="https://classroom.google.com/c/MTk1MjA1NTQwNjg4" TargetMode="External"/><Relationship Id="rId29" Type="http://schemas.openxmlformats.org/officeDocument/2006/relationships/hyperlink" Target="https://classroom.google.com/c/NTQwNzk0NzU2NDYy" TargetMode="External"/><Relationship Id="rId24" Type="http://schemas.openxmlformats.org/officeDocument/2006/relationships/hyperlink" Target="https://classroom.google.com/w/NDQ4OTY2NzU5ODYz/t/all" TargetMode="External"/><Relationship Id="rId40" Type="http://schemas.openxmlformats.org/officeDocument/2006/relationships/hyperlink" Target="https://classroom.google.com/c/NTQwNzk0NzU2NDYy" TargetMode="External"/><Relationship Id="rId45" Type="http://schemas.openxmlformats.org/officeDocument/2006/relationships/hyperlink" Target="https://classroom.google.com/c/NTQxNzE1NTgyNTY4" TargetMode="External"/><Relationship Id="rId66" Type="http://schemas.openxmlformats.org/officeDocument/2006/relationships/hyperlink" Target="https://docs.google.com/spreadsheets/d/1g9HDNj3YgYPI5UCyEJl4gVSKSbXV4ePz/edit?usp=sharing&amp;ouid=117948801444065420301&amp;rtpof=true&amp;sd=true" TargetMode="External"/><Relationship Id="rId87" Type="http://schemas.openxmlformats.org/officeDocument/2006/relationships/hyperlink" Target="https://docs.google.com/spreadsheets/d/1bMmJ_0Th9TN_AJ9tfQfI-3GpvIk4Hv_m/edit?gid=2124319217" TargetMode="External"/><Relationship Id="rId61" Type="http://schemas.openxmlformats.org/officeDocument/2006/relationships/hyperlink" Target="https://docs.google.com/spreadsheets/d/1HCEOnPW34EPmtn1lGQacKT1I15M8eTEd/edit?gid=2124319217" TargetMode="External"/><Relationship Id="rId82" Type="http://schemas.openxmlformats.org/officeDocument/2006/relationships/hyperlink" Target="https://docs.google.com/spreadsheets/d/1DHJOpt-_5ZZtHKKAGxH3irdiXXzoQjud/edit?gid=2124319217" TargetMode="External"/><Relationship Id="rId19" Type="http://schemas.openxmlformats.org/officeDocument/2006/relationships/hyperlink" Target="https://classroom.google.com/c/NDgxNDU5OTcxNjk1" TargetMode="External"/><Relationship Id="rId14" Type="http://schemas.openxmlformats.org/officeDocument/2006/relationships/hyperlink" Target="https://classroom.google.com/c/MTk1MjA1NTQwNzAz" TargetMode="External"/><Relationship Id="rId30" Type="http://schemas.openxmlformats.org/officeDocument/2006/relationships/hyperlink" Target="https://classroom.google.com/c/NTQwNzk0NzU2NDYy" TargetMode="External"/><Relationship Id="rId35" Type="http://schemas.openxmlformats.org/officeDocument/2006/relationships/hyperlink" Target="https://classroom.google.com/c/NDkwOTEyMjA0NDM1" TargetMode="External"/><Relationship Id="rId56" Type="http://schemas.openxmlformats.org/officeDocument/2006/relationships/hyperlink" Target="https://docs.google.com/spreadsheets/d/1-_oNszSQKLLZZ-J_KlPkP4dZwoz5Y05-/edit?gid=1760733407" TargetMode="External"/><Relationship Id="rId77" Type="http://schemas.openxmlformats.org/officeDocument/2006/relationships/hyperlink" Target="https://docs.google.com/spreadsheets/d/1RyGyoocv0MTI09ecqXhbdpqCpUF6OHHm/edit?usp=drive_link&amp;ouid=107074606600533491419&amp;rtpof=true&amp;sd=true" TargetMode="External"/><Relationship Id="rId100" Type="http://schemas.openxmlformats.org/officeDocument/2006/relationships/hyperlink" Target="https://docs.google.com/spreadsheets/d/1mVM1_NiCBsMb_1oyQS6Wn1HHzwUyvxri/edit?gid=2124319217" TargetMode="External"/><Relationship Id="rId105" Type="http://schemas.openxmlformats.org/officeDocument/2006/relationships/comments" Target="../comments4.xml"/><Relationship Id="rId8" Type="http://schemas.openxmlformats.org/officeDocument/2006/relationships/hyperlink" Target="https://classroom.google.com/w/NDU5NDQxNDUxODMz/t/all" TargetMode="External"/><Relationship Id="rId51" Type="http://schemas.openxmlformats.org/officeDocument/2006/relationships/hyperlink" Target="https://classroom.google.com/w/NTk3NzExNjkwOTc3/t/all" TargetMode="External"/><Relationship Id="rId72" Type="http://schemas.openxmlformats.org/officeDocument/2006/relationships/hyperlink" Target="https://docs.google.com/spreadsheets/d/1IHZoMbwooZqKfrMVcS4GfpAAREkd2BX_/edit?usp=sharing&amp;ouid=107074606600533491419&amp;rtpof=true&amp;sd=true" TargetMode="External"/><Relationship Id="rId93" Type="http://schemas.openxmlformats.org/officeDocument/2006/relationships/hyperlink" Target="https://docs.google.com/spreadsheets/d/1RMa_7Ki1a1ic80hDoro6s2uBj9QRmHtv/edit?usp=sharing&amp;ouid=107074606600533491419&amp;rtpof=true&amp;sd=true" TargetMode="External"/><Relationship Id="rId98" Type="http://schemas.openxmlformats.org/officeDocument/2006/relationships/hyperlink" Target="https://docs.google.com/spreadsheets/d/128xP6BJVaW5puNOCLfbNicI6Qc5ZB2-K/edit?gid=2124319217" TargetMode="External"/><Relationship Id="rId3" Type="http://schemas.openxmlformats.org/officeDocument/2006/relationships/hyperlink" Target="https://classroom.google.com/c/MzkxMDExNDYyNTc1" TargetMode="External"/><Relationship Id="rId25" Type="http://schemas.openxmlformats.org/officeDocument/2006/relationships/hyperlink" Target="https://classroom.google.com/w/NDU5NDQxNDUxODMz/t/all" TargetMode="External"/><Relationship Id="rId46" Type="http://schemas.openxmlformats.org/officeDocument/2006/relationships/hyperlink" Target="https://classroom.google.com/c/NjY2NjQxODAxNDIy" TargetMode="External"/><Relationship Id="rId67" Type="http://schemas.openxmlformats.org/officeDocument/2006/relationships/hyperlink" Target="https://docs.google.com/spreadsheets/d/1q5zKD_wcEJb11SvdKJ5QY86ZKm2ZphvW/edit?usp=drive_link&amp;ouid=107074606600533491419&amp;rtpof=true&amp;sd=tru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classroom.google.com/u/0/c/NDQzODcwNTc1NTA1" TargetMode="External"/><Relationship Id="rId7" Type="http://schemas.openxmlformats.org/officeDocument/2006/relationships/comments" Target="../comments5.xml"/><Relationship Id="rId2" Type="http://schemas.openxmlformats.org/officeDocument/2006/relationships/hyperlink" Target="https://docs.google.com/spreadsheets/d/1BxxbyNQ3BaPVZBfMLYE_hKIHTY6fHqJe/edit" TargetMode="External"/><Relationship Id="rId1" Type="http://schemas.openxmlformats.org/officeDocument/2006/relationships/hyperlink" Target="https://docs.google.com/spreadsheets/d/13lTnpTTCDDmE-X5M78vDKjh7eYzaxlhf/edit" TargetMode="External"/><Relationship Id="rId6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docs.google.com/spreadsheets/d/1lM3zZ0qX3VNqGetdi7d8PhaDUPZIkqxf/edit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8E1BB-B294-4BE6-BAD6-FF6A8C3F2548}">
  <sheetPr codeName="Hoja14"/>
  <dimension ref="A1:B5"/>
  <sheetViews>
    <sheetView workbookViewId="0">
      <selection activeCell="B14" sqref="B14"/>
    </sheetView>
  </sheetViews>
  <sheetFormatPr baseColWidth="10" defaultRowHeight="15"/>
  <cols>
    <col min="1" max="1" width="36.7109375" bestFit="1" customWidth="1"/>
    <col min="2" max="2" width="17.28515625" bestFit="1" customWidth="1"/>
  </cols>
  <sheetData>
    <row r="1" spans="1:2">
      <c r="A1" s="1110" t="s">
        <v>1639</v>
      </c>
      <c r="B1" s="1110" t="s">
        <v>1604</v>
      </c>
    </row>
    <row r="2" spans="1:2">
      <c r="A2" s="3" t="s">
        <v>1688</v>
      </c>
      <c r="B2" s="1111" t="s">
        <v>1624</v>
      </c>
    </row>
    <row r="3" spans="1:2">
      <c r="A3" s="3" t="s">
        <v>1689</v>
      </c>
      <c r="B3" s="1111" t="s">
        <v>1622</v>
      </c>
    </row>
    <row r="4" spans="1:2">
      <c r="A4" s="3" t="s">
        <v>1690</v>
      </c>
      <c r="B4" s="1111" t="s">
        <v>1637</v>
      </c>
    </row>
    <row r="5" spans="1:2">
      <c r="A5" s="3" t="s">
        <v>1780</v>
      </c>
      <c r="B5" s="1111" t="s">
        <v>1628</v>
      </c>
    </row>
  </sheetData>
  <sheetProtection algorithmName="SHA-512" hashValue="d15dAbk3/tG+Y3R14t9+UdVW1oCPh7e5ZQWP5eW9mP3dD0+irX5+HjoueshIDBQvBx7W/oOn7K2pZgco9+tyDQ==" saltValue="SVEfhe5S1rpF9GZrkIHBfQ==" spinCount="100000" sheet="1" objects="1" scenarios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3E0B-D815-43D1-84EF-8A27534F80BA}">
  <sheetPr codeName="Hoja15"/>
  <dimension ref="A1:AC1239"/>
  <sheetViews>
    <sheetView tabSelected="1" zoomScaleNormal="100" workbookViewId="0">
      <selection sqref="A1:AC1233"/>
    </sheetView>
  </sheetViews>
  <sheetFormatPr baseColWidth="10" defaultRowHeight="15"/>
  <cols>
    <col min="1" max="1" width="6.42578125" bestFit="1" customWidth="1"/>
    <col min="2" max="2" width="16.28515625" bestFit="1" customWidth="1"/>
    <col min="3" max="3" width="23.85546875" bestFit="1" customWidth="1"/>
    <col min="4" max="4" width="18.85546875" bestFit="1" customWidth="1"/>
    <col min="5" max="5" width="48.85546875" bestFit="1" customWidth="1"/>
    <col min="6" max="6" width="14.7109375" style="3798" bestFit="1" customWidth="1"/>
    <col min="7" max="7" width="52.28515625" customWidth="1"/>
    <col min="8" max="8" width="23.5703125" bestFit="1" customWidth="1"/>
    <col min="9" max="9" width="20.85546875" customWidth="1"/>
    <col min="10" max="10" width="14.85546875" customWidth="1"/>
    <col min="11" max="11" width="15.140625" customWidth="1"/>
    <col min="12" max="12" width="32.85546875" bestFit="1" customWidth="1"/>
    <col min="13" max="13" width="16.42578125" bestFit="1" customWidth="1"/>
    <col min="14" max="14" width="46.28515625" bestFit="1" customWidth="1"/>
    <col min="15" max="15" width="19.5703125" bestFit="1" customWidth="1"/>
    <col min="16" max="16" width="26.42578125" bestFit="1" customWidth="1"/>
    <col min="17" max="17" width="16.140625" bestFit="1" customWidth="1"/>
    <col min="18" max="18" width="7.5703125" bestFit="1" customWidth="1"/>
    <col min="19" max="19" width="58.42578125" bestFit="1" customWidth="1"/>
    <col min="20" max="20" width="13.140625" bestFit="1" customWidth="1"/>
    <col min="21" max="21" width="15.85546875" bestFit="1" customWidth="1"/>
    <col min="22" max="22" width="16.42578125" bestFit="1" customWidth="1"/>
    <col min="23" max="23" width="22.28515625" bestFit="1" customWidth="1"/>
    <col min="24" max="24" width="22.5703125" bestFit="1" customWidth="1"/>
    <col min="25" max="25" width="10.42578125" bestFit="1" customWidth="1"/>
    <col min="26" max="26" width="14.42578125" bestFit="1" customWidth="1"/>
    <col min="27" max="27" width="12" bestFit="1" customWidth="1"/>
    <col min="28" max="28" width="22.5703125" bestFit="1" customWidth="1"/>
    <col min="29" max="29" width="12.140625" bestFit="1" customWidth="1"/>
    <col min="30" max="30" width="22.28515625" bestFit="1" customWidth="1"/>
    <col min="31" max="31" width="11.7109375" bestFit="1" customWidth="1"/>
    <col min="32" max="32" width="22" bestFit="1" customWidth="1"/>
  </cols>
  <sheetData>
    <row r="1" spans="1:29" s="1278" customFormat="1">
      <c r="A1" s="3844" t="s">
        <v>5</v>
      </c>
      <c r="B1" s="1278" t="s">
        <v>1639</v>
      </c>
      <c r="C1" s="1278" t="s">
        <v>1249</v>
      </c>
      <c r="D1" s="1278" t="s">
        <v>1781</v>
      </c>
      <c r="E1" s="1278" t="s">
        <v>4243</v>
      </c>
      <c r="F1" s="3845" t="s">
        <v>1782</v>
      </c>
      <c r="G1" t="s">
        <v>1783</v>
      </c>
      <c r="H1" t="s">
        <v>1784</v>
      </c>
      <c r="I1" t="s">
        <v>1785</v>
      </c>
      <c r="J1" t="s">
        <v>1786</v>
      </c>
      <c r="K1" t="s">
        <v>1787</v>
      </c>
      <c r="L1" t="s">
        <v>1788</v>
      </c>
      <c r="M1" s="1278" t="s">
        <v>1789</v>
      </c>
      <c r="N1" s="1278" t="s">
        <v>1790</v>
      </c>
      <c r="O1" s="1278" t="s">
        <v>1791</v>
      </c>
      <c r="P1" s="1278" t="s">
        <v>1792</v>
      </c>
      <c r="Q1" s="1278" t="s">
        <v>1793</v>
      </c>
      <c r="R1" s="1278" t="s">
        <v>1794</v>
      </c>
      <c r="S1" s="1278" t="s">
        <v>1795</v>
      </c>
      <c r="T1" s="1278" t="s">
        <v>1796</v>
      </c>
      <c r="U1" s="1278" t="s">
        <v>4244</v>
      </c>
      <c r="V1" s="1278" t="s">
        <v>1797</v>
      </c>
      <c r="W1" s="1278" t="s">
        <v>1798</v>
      </c>
      <c r="X1" s="1278" t="s">
        <v>1799</v>
      </c>
      <c r="Y1" s="1278" t="s">
        <v>1800</v>
      </c>
      <c r="Z1" s="1278" t="s">
        <v>1801</v>
      </c>
      <c r="AA1" s="1278" t="s">
        <v>1802</v>
      </c>
      <c r="AB1" s="3846" t="s">
        <v>2580</v>
      </c>
      <c r="AC1" s="1278" t="s">
        <v>3759</v>
      </c>
    </row>
    <row r="2" spans="1:29">
      <c r="A2" s="3124">
        <v>1</v>
      </c>
      <c r="B2" s="3124" t="s">
        <v>1630</v>
      </c>
      <c r="C2" s="3124" t="s">
        <v>293</v>
      </c>
      <c r="D2" s="3124" t="s">
        <v>294</v>
      </c>
      <c r="E2" t="s">
        <v>1803</v>
      </c>
      <c r="F2" s="3234">
        <v>9981653989</v>
      </c>
      <c r="G2" s="3124" t="s">
        <v>1804</v>
      </c>
      <c r="H2" s="3124">
        <v>36</v>
      </c>
      <c r="I2" s="3124">
        <v>36</v>
      </c>
      <c r="J2" s="3124">
        <v>0</v>
      </c>
      <c r="K2" s="3124">
        <v>1000</v>
      </c>
      <c r="L2" s="3124">
        <v>1250</v>
      </c>
      <c r="M2" s="3124" t="s">
        <v>1805</v>
      </c>
      <c r="N2" s="3192">
        <v>43617</v>
      </c>
      <c r="O2" s="3192">
        <v>44682</v>
      </c>
      <c r="P2" s="3192">
        <v>43617</v>
      </c>
      <c r="Q2" s="3192">
        <v>44682</v>
      </c>
      <c r="R2" s="3124" t="s">
        <v>432</v>
      </c>
      <c r="S2" s="3124" t="s">
        <v>1658</v>
      </c>
      <c r="T2" s="3124" t="s">
        <v>1806</v>
      </c>
      <c r="U2" t="s">
        <v>1195</v>
      </c>
      <c r="V2" s="3124">
        <v>3150</v>
      </c>
      <c r="W2" s="3193">
        <v>0.60317460317460314</v>
      </c>
      <c r="X2" s="3124">
        <v>1900</v>
      </c>
      <c r="Y2" s="3124">
        <v>4</v>
      </c>
      <c r="Z2" s="3124">
        <v>0</v>
      </c>
      <c r="AA2" s="3124">
        <v>16000</v>
      </c>
      <c r="AB2" t="s">
        <v>1195</v>
      </c>
      <c r="AC2" s="3124"/>
    </row>
    <row r="3" spans="1:29">
      <c r="A3" s="3124">
        <v>2</v>
      </c>
      <c r="B3" s="3124" t="s">
        <v>1630</v>
      </c>
      <c r="C3" s="3124" t="s">
        <v>296</v>
      </c>
      <c r="D3" s="3124" t="s">
        <v>297</v>
      </c>
      <c r="E3" t="s">
        <v>1807</v>
      </c>
      <c r="F3" s="3234">
        <v>9984241069</v>
      </c>
      <c r="G3" s="3124" t="s">
        <v>1808</v>
      </c>
      <c r="H3" s="3124">
        <v>36</v>
      </c>
      <c r="I3" s="3124">
        <v>36</v>
      </c>
      <c r="J3" s="3124"/>
      <c r="K3" s="3124">
        <v>1000</v>
      </c>
      <c r="L3" s="3124">
        <v>1250</v>
      </c>
      <c r="M3" s="3124" t="s">
        <v>1805</v>
      </c>
      <c r="N3" s="3192">
        <v>43617</v>
      </c>
      <c r="O3" s="3192">
        <v>44682</v>
      </c>
      <c r="P3" s="3192">
        <v>43617</v>
      </c>
      <c r="Q3" s="3192">
        <v>44682</v>
      </c>
      <c r="R3" s="3124" t="s">
        <v>433</v>
      </c>
      <c r="S3" s="3124" t="s">
        <v>1658</v>
      </c>
      <c r="T3" s="3124" t="s">
        <v>1806</v>
      </c>
      <c r="U3" t="s">
        <v>1195</v>
      </c>
      <c r="V3" s="3124">
        <v>3150</v>
      </c>
      <c r="W3" s="3193">
        <v>0.60317460317460314</v>
      </c>
      <c r="X3" s="3124">
        <v>1900</v>
      </c>
      <c r="Y3" s="3124">
        <v>4</v>
      </c>
      <c r="Z3" s="3124">
        <v>0</v>
      </c>
      <c r="AA3" s="3124">
        <v>16000</v>
      </c>
      <c r="AB3" t="s">
        <v>1195</v>
      </c>
      <c r="AC3" s="3124"/>
    </row>
    <row r="4" spans="1:29">
      <c r="A4" s="3124">
        <v>3</v>
      </c>
      <c r="B4" s="3124" t="s">
        <v>1630</v>
      </c>
      <c r="C4" s="3124" t="s">
        <v>330</v>
      </c>
      <c r="D4" s="3124" t="s">
        <v>331</v>
      </c>
      <c r="E4" t="s">
        <v>332</v>
      </c>
      <c r="F4" s="3234">
        <v>9981080452</v>
      </c>
      <c r="G4" s="3124" t="s">
        <v>5159</v>
      </c>
      <c r="H4" s="3124">
        <v>36</v>
      </c>
      <c r="I4" s="3124">
        <v>36</v>
      </c>
      <c r="J4" s="3124"/>
      <c r="K4" s="3124">
        <v>1000</v>
      </c>
      <c r="L4" s="3124">
        <v>0</v>
      </c>
      <c r="M4" s="3124" t="s">
        <v>1805</v>
      </c>
      <c r="N4" s="3192">
        <v>43617</v>
      </c>
      <c r="O4" s="3192">
        <v>44682</v>
      </c>
      <c r="P4" s="3192">
        <v>43617</v>
      </c>
      <c r="Q4" s="3192">
        <v>44682</v>
      </c>
      <c r="R4" s="3124" t="s">
        <v>433</v>
      </c>
      <c r="S4" s="3124" t="s">
        <v>1658</v>
      </c>
      <c r="T4" s="3124" t="s">
        <v>1806</v>
      </c>
      <c r="U4" t="s">
        <v>1761</v>
      </c>
      <c r="V4" s="3124">
        <v>3150</v>
      </c>
      <c r="W4" s="3193">
        <v>1</v>
      </c>
      <c r="X4" s="3124">
        <v>3150</v>
      </c>
      <c r="Y4" s="3124">
        <v>4</v>
      </c>
      <c r="Z4" s="3124">
        <v>0</v>
      </c>
      <c r="AA4" s="3124">
        <v>16000</v>
      </c>
      <c r="AB4" t="s">
        <v>1761</v>
      </c>
      <c r="AC4" s="3124"/>
    </row>
    <row r="5" spans="1:29">
      <c r="A5" s="3124">
        <v>4</v>
      </c>
      <c r="B5" s="3124" t="s">
        <v>1630</v>
      </c>
      <c r="C5" s="3124" t="s">
        <v>1809</v>
      </c>
      <c r="D5" s="3124" t="s">
        <v>321</v>
      </c>
      <c r="E5" s="3126" t="s">
        <v>322</v>
      </c>
      <c r="F5" s="3234">
        <v>9984764221</v>
      </c>
      <c r="G5" s="3124" t="s">
        <v>1810</v>
      </c>
      <c r="H5" s="3124">
        <v>36</v>
      </c>
      <c r="I5" s="3124">
        <v>36</v>
      </c>
      <c r="J5" s="3124"/>
      <c r="K5" s="3124">
        <v>1000</v>
      </c>
      <c r="L5" s="3124">
        <v>1250</v>
      </c>
      <c r="M5" s="3124" t="s">
        <v>1805</v>
      </c>
      <c r="N5" s="3192">
        <v>43586</v>
      </c>
      <c r="O5" s="3192">
        <v>44652</v>
      </c>
      <c r="P5" s="3192">
        <v>43586</v>
      </c>
      <c r="Q5" s="3192">
        <v>44652</v>
      </c>
      <c r="R5" s="3124" t="s">
        <v>432</v>
      </c>
      <c r="S5" s="3124" t="s">
        <v>1658</v>
      </c>
      <c r="T5" s="3124" t="s">
        <v>1806</v>
      </c>
      <c r="U5" t="s">
        <v>1761</v>
      </c>
      <c r="V5" s="3124">
        <v>3150</v>
      </c>
      <c r="W5" s="3193">
        <v>0.60317460317460314</v>
      </c>
      <c r="X5" s="3124">
        <v>1900</v>
      </c>
      <c r="Y5" s="3124">
        <v>4</v>
      </c>
      <c r="Z5" s="3124">
        <v>0</v>
      </c>
      <c r="AA5" s="3124">
        <v>16000</v>
      </c>
      <c r="AB5" t="s">
        <v>1195</v>
      </c>
      <c r="AC5" s="3124"/>
    </row>
    <row r="6" spans="1:29">
      <c r="A6" s="3124">
        <v>5</v>
      </c>
      <c r="B6" s="3124" t="s">
        <v>1630</v>
      </c>
      <c r="C6" s="3124" t="s">
        <v>333</v>
      </c>
      <c r="D6" s="3124" t="s">
        <v>2616</v>
      </c>
      <c r="E6" t="s">
        <v>335</v>
      </c>
      <c r="F6" s="3234">
        <v>9841130074</v>
      </c>
      <c r="G6" s="3124" t="s">
        <v>1811</v>
      </c>
      <c r="H6" s="3124">
        <v>36</v>
      </c>
      <c r="I6" s="3124">
        <v>36</v>
      </c>
      <c r="J6" s="3124"/>
      <c r="K6" s="3124">
        <v>1000</v>
      </c>
      <c r="L6" s="3124">
        <v>1250</v>
      </c>
      <c r="M6" s="3124" t="s">
        <v>1805</v>
      </c>
      <c r="N6" s="3192">
        <v>43617</v>
      </c>
      <c r="O6" s="3192">
        <v>44682</v>
      </c>
      <c r="P6" s="3192">
        <v>43617</v>
      </c>
      <c r="Q6" s="3192">
        <v>44682</v>
      </c>
      <c r="R6" s="3124" t="s">
        <v>433</v>
      </c>
      <c r="S6" s="3124" t="s">
        <v>1658</v>
      </c>
      <c r="T6" s="3124" t="s">
        <v>1806</v>
      </c>
      <c r="U6" t="s">
        <v>1195</v>
      </c>
      <c r="V6" s="3124">
        <v>3150</v>
      </c>
      <c r="W6" s="3193">
        <v>0.60317460317460314</v>
      </c>
      <c r="X6" s="3124">
        <v>1900</v>
      </c>
      <c r="Y6" s="3124">
        <v>4</v>
      </c>
      <c r="Z6" s="3124">
        <v>0</v>
      </c>
      <c r="AA6" s="3124">
        <v>16000</v>
      </c>
      <c r="AB6" t="s">
        <v>1195</v>
      </c>
      <c r="AC6" s="3124"/>
    </row>
    <row r="7" spans="1:29">
      <c r="A7" s="3124">
        <v>6</v>
      </c>
      <c r="B7" s="3124" t="s">
        <v>1630</v>
      </c>
      <c r="C7" s="3124" t="s">
        <v>299</v>
      </c>
      <c r="D7" s="3124" t="s">
        <v>300</v>
      </c>
      <c r="E7" t="s">
        <v>1812</v>
      </c>
      <c r="F7" s="3234">
        <v>9831564379</v>
      </c>
      <c r="G7" s="3124" t="s">
        <v>1813</v>
      </c>
      <c r="H7" s="3124">
        <v>36</v>
      </c>
      <c r="I7" s="3124">
        <v>36</v>
      </c>
      <c r="J7" s="3124"/>
      <c r="K7" s="3124">
        <v>1000</v>
      </c>
      <c r="L7" s="3124">
        <v>1250</v>
      </c>
      <c r="M7" s="3124" t="s">
        <v>1805</v>
      </c>
      <c r="N7" s="3192">
        <v>43586</v>
      </c>
      <c r="O7" s="3192">
        <v>44652</v>
      </c>
      <c r="P7" s="3192">
        <v>43586</v>
      </c>
      <c r="Q7" s="3192">
        <v>44652</v>
      </c>
      <c r="R7" s="3124" t="s">
        <v>432</v>
      </c>
      <c r="S7" s="3124" t="s">
        <v>1658</v>
      </c>
      <c r="T7" s="3124" t="s">
        <v>1806</v>
      </c>
      <c r="U7" t="s">
        <v>1761</v>
      </c>
      <c r="V7" s="3124">
        <v>3150</v>
      </c>
      <c r="W7" s="3193">
        <v>0.60317460317460314</v>
      </c>
      <c r="X7" s="3124">
        <v>1900</v>
      </c>
      <c r="Y7" s="3124">
        <v>4</v>
      </c>
      <c r="Z7" s="3124">
        <v>0</v>
      </c>
      <c r="AA7" s="3124">
        <v>16000</v>
      </c>
      <c r="AB7" t="s">
        <v>1195</v>
      </c>
      <c r="AC7" s="3124"/>
    </row>
    <row r="8" spans="1:29">
      <c r="A8" s="3124">
        <v>7</v>
      </c>
      <c r="B8" s="3124" t="s">
        <v>1630</v>
      </c>
      <c r="C8" s="3124" t="s">
        <v>301</v>
      </c>
      <c r="D8" s="3124" t="s">
        <v>302</v>
      </c>
      <c r="E8" t="s">
        <v>1814</v>
      </c>
      <c r="F8" s="3234">
        <v>9841667554</v>
      </c>
      <c r="G8" s="3124" t="s">
        <v>1815</v>
      </c>
      <c r="H8" s="3124">
        <v>36</v>
      </c>
      <c r="I8" s="3124">
        <v>36</v>
      </c>
      <c r="J8" s="3124"/>
      <c r="K8" s="3124">
        <v>1000</v>
      </c>
      <c r="L8" s="3124">
        <v>1250</v>
      </c>
      <c r="M8" s="3124" t="s">
        <v>1805</v>
      </c>
      <c r="N8" s="3192">
        <v>43617</v>
      </c>
      <c r="O8" s="3192">
        <v>44682</v>
      </c>
      <c r="P8" s="3192">
        <v>43617</v>
      </c>
      <c r="Q8" s="3192">
        <v>44682</v>
      </c>
      <c r="R8" s="3124" t="s">
        <v>433</v>
      </c>
      <c r="S8" s="3124" t="s">
        <v>1658</v>
      </c>
      <c r="T8" s="3124" t="s">
        <v>1806</v>
      </c>
      <c r="U8" t="s">
        <v>1195</v>
      </c>
      <c r="V8" s="3124">
        <v>3150</v>
      </c>
      <c r="W8" s="3193">
        <v>0.60317460317460314</v>
      </c>
      <c r="X8" s="3124">
        <v>1900</v>
      </c>
      <c r="Y8" s="3124">
        <v>4</v>
      </c>
      <c r="Z8" s="3124">
        <v>0</v>
      </c>
      <c r="AA8" s="3124">
        <v>16000</v>
      </c>
      <c r="AB8" t="s">
        <v>1195</v>
      </c>
      <c r="AC8" s="3124"/>
    </row>
    <row r="9" spans="1:29">
      <c r="A9" s="3124">
        <v>8</v>
      </c>
      <c r="B9" s="3124" t="s">
        <v>1630</v>
      </c>
      <c r="C9" s="3124" t="s">
        <v>336</v>
      </c>
      <c r="D9" s="3124" t="s">
        <v>2617</v>
      </c>
      <c r="E9" t="s">
        <v>4514</v>
      </c>
      <c r="F9" s="3234">
        <v>9841070830</v>
      </c>
      <c r="G9" s="3124" t="s">
        <v>1816</v>
      </c>
      <c r="H9" s="3124">
        <v>36</v>
      </c>
      <c r="I9" s="3124">
        <v>36</v>
      </c>
      <c r="J9" s="3124"/>
      <c r="K9" s="3124">
        <v>1000</v>
      </c>
      <c r="L9" s="3124">
        <v>1700</v>
      </c>
      <c r="M9" s="3124" t="s">
        <v>1805</v>
      </c>
      <c r="N9" s="3192">
        <v>43617</v>
      </c>
      <c r="O9" s="3192">
        <v>44682</v>
      </c>
      <c r="P9" s="3192">
        <v>43617</v>
      </c>
      <c r="Q9" s="3192">
        <v>44682</v>
      </c>
      <c r="R9" s="3124" t="s">
        <v>432</v>
      </c>
      <c r="S9" s="3124" t="s">
        <v>1658</v>
      </c>
      <c r="T9" s="3124" t="s">
        <v>1806</v>
      </c>
      <c r="U9" t="s">
        <v>2653</v>
      </c>
      <c r="V9" s="3124">
        <v>3150</v>
      </c>
      <c r="W9" s="3193">
        <v>0.46031746031746029</v>
      </c>
      <c r="X9" s="3124">
        <v>1450</v>
      </c>
      <c r="Y9" s="3124">
        <v>4</v>
      </c>
      <c r="Z9" s="3124">
        <v>0</v>
      </c>
      <c r="AA9" s="3124">
        <v>16000</v>
      </c>
      <c r="AB9" t="s">
        <v>2653</v>
      </c>
      <c r="AC9" s="3124"/>
    </row>
    <row r="10" spans="1:29">
      <c r="A10" s="3124">
        <v>9</v>
      </c>
      <c r="B10" s="3124" t="s">
        <v>1630</v>
      </c>
      <c r="C10" s="3124" t="s">
        <v>324</v>
      </c>
      <c r="D10" s="3124" t="s">
        <v>325</v>
      </c>
      <c r="E10" t="s">
        <v>1817</v>
      </c>
      <c r="F10" s="3234">
        <v>9831763492</v>
      </c>
      <c r="G10" s="3124" t="s">
        <v>1818</v>
      </c>
      <c r="H10" s="3124">
        <v>36</v>
      </c>
      <c r="I10" s="3124">
        <v>36</v>
      </c>
      <c r="J10" s="3124"/>
      <c r="K10" s="3124">
        <v>1000</v>
      </c>
      <c r="L10" s="3124">
        <v>1250</v>
      </c>
      <c r="M10" s="3124" t="s">
        <v>1805</v>
      </c>
      <c r="N10" s="3192">
        <v>43586</v>
      </c>
      <c r="O10" s="3192">
        <v>44652</v>
      </c>
      <c r="P10" s="3192">
        <v>43586</v>
      </c>
      <c r="Q10" s="3192">
        <v>44652</v>
      </c>
      <c r="R10" s="3124" t="s">
        <v>433</v>
      </c>
      <c r="S10" s="3124" t="s">
        <v>1658</v>
      </c>
      <c r="T10" s="3124" t="s">
        <v>1806</v>
      </c>
      <c r="U10" t="s">
        <v>1195</v>
      </c>
      <c r="V10" s="3124">
        <v>3150</v>
      </c>
      <c r="W10" s="3193">
        <v>0.60317460317460314</v>
      </c>
      <c r="X10" s="3124">
        <v>1900</v>
      </c>
      <c r="Y10" s="3124">
        <v>4</v>
      </c>
      <c r="Z10" s="3124">
        <v>0</v>
      </c>
      <c r="AA10" s="3124">
        <v>16000</v>
      </c>
      <c r="AB10" t="s">
        <v>1195</v>
      </c>
      <c r="AC10" s="3124"/>
    </row>
    <row r="11" spans="1:29">
      <c r="A11" s="3124">
        <v>10</v>
      </c>
      <c r="B11" s="3124" t="s">
        <v>1630</v>
      </c>
      <c r="C11" s="3124" t="s">
        <v>303</v>
      </c>
      <c r="D11" s="3124" t="s">
        <v>304</v>
      </c>
      <c r="E11" t="s">
        <v>1819</v>
      </c>
      <c r="F11" s="3234">
        <v>9984859656</v>
      </c>
      <c r="G11" s="3124" t="s">
        <v>1820</v>
      </c>
      <c r="H11" s="3124">
        <v>36</v>
      </c>
      <c r="I11" s="3124">
        <v>36</v>
      </c>
      <c r="J11" s="3124"/>
      <c r="K11" s="3124">
        <v>1000</v>
      </c>
      <c r="L11" s="3124">
        <v>1250</v>
      </c>
      <c r="M11" s="3124" t="s">
        <v>1805</v>
      </c>
      <c r="N11" s="3192">
        <v>43617</v>
      </c>
      <c r="O11" s="3192">
        <v>44682</v>
      </c>
      <c r="P11" s="3192">
        <v>43617</v>
      </c>
      <c r="Q11" s="3192">
        <v>44682</v>
      </c>
      <c r="R11" s="3124" t="s">
        <v>433</v>
      </c>
      <c r="S11" s="3124" t="s">
        <v>1658</v>
      </c>
      <c r="T11" s="3124" t="s">
        <v>1806</v>
      </c>
      <c r="U11" t="s">
        <v>1195</v>
      </c>
      <c r="V11" s="3124">
        <v>3150</v>
      </c>
      <c r="W11" s="3193">
        <v>0.60317460317460314</v>
      </c>
      <c r="X11" s="3124">
        <v>1900</v>
      </c>
      <c r="Y11" s="3124">
        <v>4</v>
      </c>
      <c r="Z11" s="3124">
        <v>0</v>
      </c>
      <c r="AA11" s="3124">
        <v>16000</v>
      </c>
      <c r="AB11" t="s">
        <v>1195</v>
      </c>
      <c r="AC11" s="3124"/>
    </row>
    <row r="12" spans="1:29">
      <c r="A12" s="3124">
        <v>11</v>
      </c>
      <c r="B12" s="3124" t="s">
        <v>1630</v>
      </c>
      <c r="C12" s="3124" t="s">
        <v>306</v>
      </c>
      <c r="D12" s="3124" t="s">
        <v>307</v>
      </c>
      <c r="E12" t="s">
        <v>1821</v>
      </c>
      <c r="F12" s="3234">
        <v>9983189139</v>
      </c>
      <c r="G12" s="3124" t="s">
        <v>1822</v>
      </c>
      <c r="H12" s="3124">
        <v>36</v>
      </c>
      <c r="I12" s="3124">
        <v>36</v>
      </c>
      <c r="J12" s="3124"/>
      <c r="K12" s="3124">
        <v>1000</v>
      </c>
      <c r="L12" s="3124">
        <v>1250</v>
      </c>
      <c r="M12" s="3124" t="s">
        <v>1805</v>
      </c>
      <c r="N12" s="3192">
        <v>43617</v>
      </c>
      <c r="O12" s="3192">
        <v>44682</v>
      </c>
      <c r="P12" s="3192">
        <v>43617</v>
      </c>
      <c r="Q12" s="3192">
        <v>44682</v>
      </c>
      <c r="R12" s="3124" t="s">
        <v>432</v>
      </c>
      <c r="S12" s="3124" t="s">
        <v>1658</v>
      </c>
      <c r="T12" s="3124" t="s">
        <v>1806</v>
      </c>
      <c r="U12" t="s">
        <v>1195</v>
      </c>
      <c r="V12" s="3124">
        <v>3150</v>
      </c>
      <c r="W12" s="3193">
        <v>0.60317460317460314</v>
      </c>
      <c r="X12" s="3124">
        <v>1900</v>
      </c>
      <c r="Y12" s="3124">
        <v>4</v>
      </c>
      <c r="Z12" s="3124">
        <v>0</v>
      </c>
      <c r="AA12" s="3124">
        <v>16000</v>
      </c>
      <c r="AB12" t="s">
        <v>1195</v>
      </c>
      <c r="AC12" s="3124"/>
    </row>
    <row r="13" spans="1:29">
      <c r="A13" s="3124">
        <v>12</v>
      </c>
      <c r="B13" s="3124" t="s">
        <v>1630</v>
      </c>
      <c r="C13" s="3124" t="s">
        <v>308</v>
      </c>
      <c r="D13" s="3124" t="s">
        <v>309</v>
      </c>
      <c r="E13" t="s">
        <v>1823</v>
      </c>
      <c r="F13" s="3234">
        <v>9848010231</v>
      </c>
      <c r="G13" s="3124" t="s">
        <v>1824</v>
      </c>
      <c r="H13" s="3124">
        <v>36</v>
      </c>
      <c r="I13" s="3124">
        <v>36</v>
      </c>
      <c r="J13" s="3124"/>
      <c r="K13" s="3124">
        <v>1000</v>
      </c>
      <c r="L13" s="3124">
        <v>1250</v>
      </c>
      <c r="M13" s="3124" t="s">
        <v>1805</v>
      </c>
      <c r="N13" s="3192">
        <v>43617</v>
      </c>
      <c r="O13" s="3192">
        <v>44682</v>
      </c>
      <c r="P13" s="3192">
        <v>43617</v>
      </c>
      <c r="Q13" s="3192">
        <v>44682</v>
      </c>
      <c r="R13" s="3124" t="s">
        <v>432</v>
      </c>
      <c r="S13" s="3124" t="s">
        <v>1658</v>
      </c>
      <c r="T13" s="3124" t="s">
        <v>1806</v>
      </c>
      <c r="U13" t="s">
        <v>1195</v>
      </c>
      <c r="V13" s="3124">
        <v>3150</v>
      </c>
      <c r="W13" s="3193">
        <v>0.60317460317460314</v>
      </c>
      <c r="X13" s="3124">
        <v>1900</v>
      </c>
      <c r="Y13" s="3124">
        <v>4</v>
      </c>
      <c r="Z13" s="3124">
        <v>0</v>
      </c>
      <c r="AA13" s="3124">
        <v>16000</v>
      </c>
      <c r="AB13" t="s">
        <v>1195</v>
      </c>
      <c r="AC13" s="3124"/>
    </row>
    <row r="14" spans="1:29">
      <c r="A14" s="3124">
        <v>13</v>
      </c>
      <c r="B14" s="3124" t="s">
        <v>1630</v>
      </c>
      <c r="C14" s="3124" t="s">
        <v>311</v>
      </c>
      <c r="D14" s="3124" t="s">
        <v>312</v>
      </c>
      <c r="E14" t="s">
        <v>313</v>
      </c>
      <c r="F14" s="3234">
        <v>9841157869</v>
      </c>
      <c r="G14" s="3124" t="s">
        <v>1825</v>
      </c>
      <c r="H14" s="3124">
        <v>36</v>
      </c>
      <c r="I14" s="3124">
        <v>36</v>
      </c>
      <c r="J14" s="3124"/>
      <c r="K14" s="3124">
        <v>1000</v>
      </c>
      <c r="L14" s="3124">
        <v>1350</v>
      </c>
      <c r="M14" s="3124" t="s">
        <v>1805</v>
      </c>
      <c r="N14" s="3192">
        <v>43739</v>
      </c>
      <c r="O14" s="3192">
        <v>44805</v>
      </c>
      <c r="P14" s="3192">
        <v>43739</v>
      </c>
      <c r="Q14" s="3192">
        <v>44805</v>
      </c>
      <c r="R14" s="3124" t="s">
        <v>433</v>
      </c>
      <c r="S14" s="3124" t="s">
        <v>1658</v>
      </c>
      <c r="T14" s="3124" t="s">
        <v>1806</v>
      </c>
      <c r="U14" t="s">
        <v>1195</v>
      </c>
      <c r="V14" s="3124">
        <v>3150</v>
      </c>
      <c r="W14" s="3193">
        <v>0.5714285714285714</v>
      </c>
      <c r="X14" s="3124">
        <v>1800</v>
      </c>
      <c r="Y14" s="3124">
        <v>4</v>
      </c>
      <c r="Z14" s="3124">
        <v>0</v>
      </c>
      <c r="AA14" s="3124">
        <v>16000</v>
      </c>
      <c r="AB14" t="s">
        <v>1195</v>
      </c>
      <c r="AC14" s="3124"/>
    </row>
    <row r="15" spans="1:29">
      <c r="A15" s="3124">
        <v>14</v>
      </c>
      <c r="B15" s="3124" t="s">
        <v>1630</v>
      </c>
      <c r="C15" s="3124" t="s">
        <v>377</v>
      </c>
      <c r="D15" s="3124" t="s">
        <v>378</v>
      </c>
      <c r="E15" t="s">
        <v>379</v>
      </c>
      <c r="F15" s="3234">
        <v>9841789719</v>
      </c>
      <c r="G15" s="3124" t="s">
        <v>1826</v>
      </c>
      <c r="H15" s="3124">
        <v>36</v>
      </c>
      <c r="I15" s="3124">
        <v>36</v>
      </c>
      <c r="J15" s="3124"/>
      <c r="K15" s="3124">
        <v>1000</v>
      </c>
      <c r="L15" s="3124">
        <v>1350</v>
      </c>
      <c r="M15" s="3124" t="s">
        <v>1827</v>
      </c>
      <c r="N15" s="3192">
        <v>43709</v>
      </c>
      <c r="O15" s="3192">
        <v>44866</v>
      </c>
      <c r="P15" s="3192">
        <v>43709</v>
      </c>
      <c r="Q15" s="3192">
        <v>44774</v>
      </c>
      <c r="R15" s="3124" t="s">
        <v>433</v>
      </c>
      <c r="S15" s="3124" t="s">
        <v>1658</v>
      </c>
      <c r="T15" s="3124" t="s">
        <v>2618</v>
      </c>
      <c r="U15" t="s">
        <v>1195</v>
      </c>
      <c r="V15" s="3124">
        <v>3150</v>
      </c>
      <c r="W15" s="3193">
        <v>0.5714285714285714</v>
      </c>
      <c r="X15" s="3124">
        <v>1800</v>
      </c>
      <c r="Y15" s="3124">
        <v>4</v>
      </c>
      <c r="Z15" s="3124">
        <v>0</v>
      </c>
      <c r="AA15" s="3124">
        <v>18000</v>
      </c>
      <c r="AB15" t="s">
        <v>1195</v>
      </c>
      <c r="AC15" s="3124"/>
    </row>
    <row r="16" spans="1:29">
      <c r="A16" s="3124">
        <v>15</v>
      </c>
      <c r="B16" s="3124" t="s">
        <v>1630</v>
      </c>
      <c r="C16" s="3124" t="s">
        <v>380</v>
      </c>
      <c r="D16" s="3124" t="s">
        <v>381</v>
      </c>
      <c r="E16" t="s">
        <v>382</v>
      </c>
      <c r="F16" s="3234">
        <v>9842110696</v>
      </c>
      <c r="G16" s="3124" t="s">
        <v>1828</v>
      </c>
      <c r="H16" s="3124">
        <v>36</v>
      </c>
      <c r="I16" s="3124">
        <v>36</v>
      </c>
      <c r="J16" s="3124"/>
      <c r="K16" s="3124">
        <v>1000</v>
      </c>
      <c r="L16" s="3124">
        <v>1350</v>
      </c>
      <c r="M16" s="3124" t="s">
        <v>1827</v>
      </c>
      <c r="N16" s="3192">
        <v>43709</v>
      </c>
      <c r="O16" s="3192">
        <v>44866</v>
      </c>
      <c r="P16" s="3192">
        <v>43709</v>
      </c>
      <c r="Q16" s="3192">
        <v>44774</v>
      </c>
      <c r="R16" s="3124" t="s">
        <v>433</v>
      </c>
      <c r="S16" s="3124" t="s">
        <v>1658</v>
      </c>
      <c r="T16" s="3124" t="s">
        <v>2618</v>
      </c>
      <c r="U16" t="s">
        <v>1195</v>
      </c>
      <c r="V16" s="3124">
        <v>3150</v>
      </c>
      <c r="W16" s="3193">
        <v>0.5714285714285714</v>
      </c>
      <c r="X16" s="3124">
        <v>1800</v>
      </c>
      <c r="Y16" s="3124">
        <v>4</v>
      </c>
      <c r="Z16" s="3124">
        <v>0</v>
      </c>
      <c r="AA16" s="3124">
        <v>18000</v>
      </c>
      <c r="AB16" t="s">
        <v>1195</v>
      </c>
      <c r="AC16" s="3124"/>
    </row>
    <row r="17" spans="1:29">
      <c r="A17" s="3124">
        <v>16</v>
      </c>
      <c r="B17" s="3124" t="s">
        <v>1630</v>
      </c>
      <c r="C17" s="3124" t="s">
        <v>1829</v>
      </c>
      <c r="D17" s="3124" t="s">
        <v>383</v>
      </c>
      <c r="E17" t="s">
        <v>384</v>
      </c>
      <c r="F17" s="3234">
        <v>9841208785</v>
      </c>
      <c r="G17" s="3124" t="s">
        <v>1830</v>
      </c>
      <c r="H17" s="3124">
        <v>36</v>
      </c>
      <c r="I17" s="3124">
        <v>36</v>
      </c>
      <c r="J17" s="3124"/>
      <c r="K17" s="3124">
        <v>1000</v>
      </c>
      <c r="L17" s="3124">
        <v>1350</v>
      </c>
      <c r="M17" s="3124" t="s">
        <v>1827</v>
      </c>
      <c r="N17" s="3192">
        <v>43709</v>
      </c>
      <c r="O17" s="3192">
        <v>44866</v>
      </c>
      <c r="P17" s="3192">
        <v>43709</v>
      </c>
      <c r="Q17" s="3192">
        <v>44774</v>
      </c>
      <c r="R17" s="3124" t="s">
        <v>433</v>
      </c>
      <c r="S17" s="3124" t="s">
        <v>1658</v>
      </c>
      <c r="T17" s="3124" t="s">
        <v>2618</v>
      </c>
      <c r="U17" t="s">
        <v>1195</v>
      </c>
      <c r="V17" s="3124">
        <v>3150</v>
      </c>
      <c r="W17" s="3193">
        <v>0.5714285714285714</v>
      </c>
      <c r="X17" s="3124">
        <v>1800</v>
      </c>
      <c r="Y17" s="3124">
        <v>4</v>
      </c>
      <c r="Z17" s="3124">
        <v>0</v>
      </c>
      <c r="AA17" s="3124">
        <v>18000</v>
      </c>
      <c r="AB17" t="s">
        <v>1195</v>
      </c>
      <c r="AC17" s="3124"/>
    </row>
    <row r="18" spans="1:29">
      <c r="A18" s="3124">
        <v>17</v>
      </c>
      <c r="B18" s="3124" t="s">
        <v>1630</v>
      </c>
      <c r="C18" s="3124" t="s">
        <v>385</v>
      </c>
      <c r="D18" s="3124" t="s">
        <v>386</v>
      </c>
      <c r="E18" t="s">
        <v>387</v>
      </c>
      <c r="F18" s="3234">
        <v>9841062318</v>
      </c>
      <c r="G18" s="3124" t="s">
        <v>1831</v>
      </c>
      <c r="H18" s="3124">
        <v>36</v>
      </c>
      <c r="I18" s="3124">
        <v>36</v>
      </c>
      <c r="J18" s="3124"/>
      <c r="K18" s="3124">
        <v>1000</v>
      </c>
      <c r="L18" s="3124">
        <v>1350</v>
      </c>
      <c r="M18" s="3124" t="s">
        <v>1827</v>
      </c>
      <c r="N18" s="3192">
        <v>43709</v>
      </c>
      <c r="O18" s="3192">
        <v>44866</v>
      </c>
      <c r="P18" s="3192">
        <v>43709</v>
      </c>
      <c r="Q18" s="3192">
        <v>44774</v>
      </c>
      <c r="R18" s="3124" t="s">
        <v>432</v>
      </c>
      <c r="S18" s="3124" t="s">
        <v>1658</v>
      </c>
      <c r="T18" s="3124" t="s">
        <v>2618</v>
      </c>
      <c r="U18" t="s">
        <v>1195</v>
      </c>
      <c r="V18" s="3124">
        <v>3150</v>
      </c>
      <c r="W18" s="3193">
        <v>0.5714285714285714</v>
      </c>
      <c r="X18" s="3124">
        <v>1800</v>
      </c>
      <c r="Y18" s="3124">
        <v>4</v>
      </c>
      <c r="Z18" s="3124">
        <v>0</v>
      </c>
      <c r="AA18" s="3124">
        <v>18000</v>
      </c>
      <c r="AB18" t="s">
        <v>1195</v>
      </c>
      <c r="AC18" s="3124"/>
    </row>
    <row r="19" spans="1:29">
      <c r="A19" s="3124">
        <v>18</v>
      </c>
      <c r="B19" s="3124" t="s">
        <v>1630</v>
      </c>
      <c r="C19" s="3124" t="s">
        <v>388</v>
      </c>
      <c r="D19" s="3124" t="s">
        <v>389</v>
      </c>
      <c r="E19" t="s">
        <v>390</v>
      </c>
      <c r="F19" s="3234">
        <v>9841962061</v>
      </c>
      <c r="G19" s="3124" t="s">
        <v>1832</v>
      </c>
      <c r="H19" s="3124">
        <v>36</v>
      </c>
      <c r="I19" s="3124">
        <v>36</v>
      </c>
      <c r="J19" s="3124"/>
      <c r="K19" s="3124">
        <v>1000</v>
      </c>
      <c r="L19" s="3124">
        <v>1350</v>
      </c>
      <c r="M19" s="3124" t="s">
        <v>1827</v>
      </c>
      <c r="N19" s="3192">
        <v>43709</v>
      </c>
      <c r="O19" s="3192">
        <v>44866</v>
      </c>
      <c r="P19" s="3192">
        <v>43709</v>
      </c>
      <c r="Q19" s="3192">
        <v>44774</v>
      </c>
      <c r="R19" s="3124" t="s">
        <v>432</v>
      </c>
      <c r="S19" s="3124" t="s">
        <v>1658</v>
      </c>
      <c r="T19" s="3124" t="s">
        <v>2618</v>
      </c>
      <c r="U19" t="s">
        <v>1195</v>
      </c>
      <c r="V19" s="3124">
        <v>3150</v>
      </c>
      <c r="W19" s="3193">
        <v>0.5714285714285714</v>
      </c>
      <c r="X19" s="3124">
        <v>1800</v>
      </c>
      <c r="Y19" s="3124">
        <v>4</v>
      </c>
      <c r="Z19" s="3124">
        <v>0</v>
      </c>
      <c r="AA19" s="3124">
        <v>18000</v>
      </c>
      <c r="AB19" t="s">
        <v>1195</v>
      </c>
      <c r="AC19" s="3124"/>
    </row>
    <row r="20" spans="1:29">
      <c r="A20" s="3124">
        <v>19</v>
      </c>
      <c r="B20" s="3124" t="s">
        <v>1630</v>
      </c>
      <c r="C20" s="3124" t="s">
        <v>391</v>
      </c>
      <c r="D20" s="3124" t="s">
        <v>392</v>
      </c>
      <c r="E20" t="s">
        <v>393</v>
      </c>
      <c r="F20" s="3234">
        <v>9841375747</v>
      </c>
      <c r="G20" s="3124" t="s">
        <v>1833</v>
      </c>
      <c r="H20" s="3124">
        <v>36</v>
      </c>
      <c r="I20" s="3124">
        <v>36</v>
      </c>
      <c r="J20" s="3124"/>
      <c r="K20" s="3124">
        <v>1000</v>
      </c>
      <c r="L20" s="3124">
        <v>1350</v>
      </c>
      <c r="M20" s="3124" t="s">
        <v>1827</v>
      </c>
      <c r="N20" s="3192">
        <v>43709</v>
      </c>
      <c r="O20" s="3192">
        <v>44866</v>
      </c>
      <c r="P20" s="3192">
        <v>43709</v>
      </c>
      <c r="Q20" s="3192">
        <v>44774</v>
      </c>
      <c r="R20" s="3124" t="s">
        <v>433</v>
      </c>
      <c r="S20" s="3124" t="s">
        <v>1658</v>
      </c>
      <c r="T20" s="3124" t="s">
        <v>2618</v>
      </c>
      <c r="U20" t="s">
        <v>1195</v>
      </c>
      <c r="V20" s="3124">
        <v>3150</v>
      </c>
      <c r="W20" s="3193">
        <v>0.5714285714285714</v>
      </c>
      <c r="X20" s="3124">
        <v>1800</v>
      </c>
      <c r="Y20" s="3124">
        <v>4</v>
      </c>
      <c r="Z20" s="3124">
        <v>0</v>
      </c>
      <c r="AA20" s="3124">
        <v>18000</v>
      </c>
      <c r="AB20" t="s">
        <v>1195</v>
      </c>
      <c r="AC20" s="3124"/>
    </row>
    <row r="21" spans="1:29">
      <c r="A21" s="3124">
        <v>20</v>
      </c>
      <c r="B21" s="3124" t="s">
        <v>1630</v>
      </c>
      <c r="C21" s="3124" t="s">
        <v>394</v>
      </c>
      <c r="D21" s="3124" t="s">
        <v>395</v>
      </c>
      <c r="E21" s="3131" t="s">
        <v>396</v>
      </c>
      <c r="F21" s="3234">
        <v>9841447039</v>
      </c>
      <c r="G21" s="3124" t="s">
        <v>1834</v>
      </c>
      <c r="H21" s="3124">
        <v>36</v>
      </c>
      <c r="I21" s="3124">
        <v>36</v>
      </c>
      <c r="J21" s="3124"/>
      <c r="K21" s="3124">
        <v>1000</v>
      </c>
      <c r="L21" s="3124">
        <v>675</v>
      </c>
      <c r="M21" s="3124" t="s">
        <v>1827</v>
      </c>
      <c r="N21" s="3192">
        <v>43709</v>
      </c>
      <c r="O21" s="3192">
        <v>44866</v>
      </c>
      <c r="P21" s="3192">
        <v>43709</v>
      </c>
      <c r="Q21" s="3192">
        <v>44774</v>
      </c>
      <c r="R21" s="3124" t="s">
        <v>432</v>
      </c>
      <c r="S21" s="3124" t="s">
        <v>1658</v>
      </c>
      <c r="T21" s="3124" t="s">
        <v>2618</v>
      </c>
      <c r="U21" t="s">
        <v>1195</v>
      </c>
      <c r="V21" s="3124">
        <v>3150</v>
      </c>
      <c r="W21" s="3193">
        <v>0.7857142857142857</v>
      </c>
      <c r="X21" s="3124">
        <v>2475</v>
      </c>
      <c r="Y21" s="3124">
        <v>4</v>
      </c>
      <c r="Z21" s="3124">
        <v>0</v>
      </c>
      <c r="AA21" s="3124">
        <v>18000</v>
      </c>
      <c r="AB21" t="s">
        <v>1195</v>
      </c>
      <c r="AC21" s="3124"/>
    </row>
    <row r="22" spans="1:29">
      <c r="A22" s="3124">
        <v>21</v>
      </c>
      <c r="B22" s="3124" t="s">
        <v>1630</v>
      </c>
      <c r="C22" s="3124" t="s">
        <v>397</v>
      </c>
      <c r="D22" s="3124" t="s">
        <v>398</v>
      </c>
      <c r="E22" t="s">
        <v>2619</v>
      </c>
      <c r="F22" s="3234">
        <v>9841868243</v>
      </c>
      <c r="G22" s="3124" t="s">
        <v>1835</v>
      </c>
      <c r="H22" s="3124">
        <v>36</v>
      </c>
      <c r="I22" s="3124">
        <v>36</v>
      </c>
      <c r="J22" s="3124"/>
      <c r="K22" s="3124">
        <v>1000</v>
      </c>
      <c r="L22" s="3124">
        <v>1350</v>
      </c>
      <c r="M22" s="3124" t="s">
        <v>1827</v>
      </c>
      <c r="N22" s="3192">
        <v>43709</v>
      </c>
      <c r="O22" s="3192">
        <v>44866</v>
      </c>
      <c r="P22" s="3192">
        <v>43709</v>
      </c>
      <c r="Q22" s="3192">
        <v>44774</v>
      </c>
      <c r="R22" s="3124" t="s">
        <v>433</v>
      </c>
      <c r="S22" s="3124" t="s">
        <v>1658</v>
      </c>
      <c r="T22" s="3124" t="s">
        <v>2618</v>
      </c>
      <c r="U22" t="s">
        <v>1195</v>
      </c>
      <c r="V22" s="3124">
        <v>3150</v>
      </c>
      <c r="W22" s="3193">
        <v>0.5714285714285714</v>
      </c>
      <c r="X22" s="3124">
        <v>1800</v>
      </c>
      <c r="Y22" s="3124">
        <v>4</v>
      </c>
      <c r="Z22" s="3124">
        <v>0</v>
      </c>
      <c r="AA22" s="3124">
        <v>18000</v>
      </c>
      <c r="AB22" t="s">
        <v>1195</v>
      </c>
      <c r="AC22" s="3124"/>
    </row>
    <row r="23" spans="1:29">
      <c r="A23" s="3124">
        <v>22</v>
      </c>
      <c r="B23" s="3124" t="s">
        <v>1621</v>
      </c>
      <c r="C23" s="3124" t="s">
        <v>883</v>
      </c>
      <c r="D23" s="3124" t="s">
        <v>1836</v>
      </c>
      <c r="E23" t="s">
        <v>4515</v>
      </c>
      <c r="F23" s="3234">
        <v>9381334809</v>
      </c>
      <c r="G23" s="3124" t="s">
        <v>1837</v>
      </c>
      <c r="H23" s="3124">
        <v>20</v>
      </c>
      <c r="I23" s="3124">
        <v>20</v>
      </c>
      <c r="J23" s="3124"/>
      <c r="K23" s="3124">
        <v>2000</v>
      </c>
      <c r="L23" s="3124">
        <v>2180.0000000000005</v>
      </c>
      <c r="M23" s="3124" t="s">
        <v>813</v>
      </c>
      <c r="N23" s="3192">
        <v>43831</v>
      </c>
      <c r="O23" s="3192">
        <v>44409</v>
      </c>
      <c r="P23" s="3192">
        <v>43831</v>
      </c>
      <c r="Q23" s="3192">
        <v>44409</v>
      </c>
      <c r="R23" s="3124" t="s">
        <v>432</v>
      </c>
      <c r="S23" s="3124" t="s">
        <v>1640</v>
      </c>
      <c r="T23" s="3124" t="s">
        <v>1838</v>
      </c>
      <c r="U23" t="s">
        <v>1195</v>
      </c>
      <c r="V23" s="3124">
        <v>3150</v>
      </c>
      <c r="W23" s="3193">
        <v>0.30793650793650779</v>
      </c>
      <c r="X23" s="3124">
        <v>969.99999999999955</v>
      </c>
      <c r="Y23" s="3124">
        <v>4</v>
      </c>
      <c r="Z23" s="3124">
        <v>0</v>
      </c>
      <c r="AA23" s="3124">
        <v>18000</v>
      </c>
      <c r="AB23" t="s">
        <v>1195</v>
      </c>
      <c r="AC23" s="3124"/>
    </row>
    <row r="24" spans="1:29">
      <c r="A24" s="3124">
        <v>23</v>
      </c>
      <c r="B24" s="3124" t="s">
        <v>1839</v>
      </c>
      <c r="C24" s="3124" t="s">
        <v>1395</v>
      </c>
      <c r="D24" s="3124" t="s">
        <v>1840</v>
      </c>
      <c r="E24" t="s">
        <v>4516</v>
      </c>
      <c r="F24" s="3234">
        <v>9981220553</v>
      </c>
      <c r="G24" s="3124" t="s">
        <v>1841</v>
      </c>
      <c r="H24" s="3124">
        <v>4</v>
      </c>
      <c r="I24" s="3124">
        <v>8</v>
      </c>
      <c r="J24" s="3124"/>
      <c r="K24" s="3124">
        <v>750</v>
      </c>
      <c r="L24" s="3124">
        <v>1400</v>
      </c>
      <c r="M24" s="3124" t="s">
        <v>1345</v>
      </c>
      <c r="N24" s="3192">
        <v>43678</v>
      </c>
      <c r="O24" s="3192">
        <v>43891</v>
      </c>
      <c r="P24" s="3192">
        <v>43678</v>
      </c>
      <c r="Q24" s="3192">
        <v>43770</v>
      </c>
      <c r="R24" s="3124" t="s">
        <v>433</v>
      </c>
      <c r="S24" s="3124" t="s">
        <v>1842</v>
      </c>
      <c r="T24" s="3124" t="s">
        <v>1850</v>
      </c>
      <c r="U24" t="s">
        <v>1195</v>
      </c>
      <c r="V24" s="3124">
        <v>3150</v>
      </c>
      <c r="W24" s="3193">
        <v>0.55555555555555558</v>
      </c>
      <c r="X24" s="3124">
        <v>1750</v>
      </c>
      <c r="Y24" s="3124">
        <v>0</v>
      </c>
      <c r="Z24" s="3124">
        <v>5000</v>
      </c>
      <c r="AA24" s="3124">
        <v>18000</v>
      </c>
      <c r="AB24" t="s">
        <v>1195</v>
      </c>
      <c r="AC24" s="3124"/>
    </row>
    <row r="25" spans="1:29">
      <c r="A25" s="3124">
        <v>24</v>
      </c>
      <c r="B25" s="3124" t="s">
        <v>1839</v>
      </c>
      <c r="C25" s="3124" t="s">
        <v>1396</v>
      </c>
      <c r="D25" s="3124" t="s">
        <v>1397</v>
      </c>
      <c r="E25" t="s">
        <v>1398</v>
      </c>
      <c r="F25" s="3234">
        <v>9988604270</v>
      </c>
      <c r="G25" s="3124" t="s">
        <v>1844</v>
      </c>
      <c r="H25" s="3124">
        <v>4</v>
      </c>
      <c r="I25" s="3124">
        <v>8</v>
      </c>
      <c r="J25" s="3124"/>
      <c r="K25" s="3124">
        <v>1000</v>
      </c>
      <c r="L25" s="3124">
        <v>1250</v>
      </c>
      <c r="M25" s="3124" t="s">
        <v>1345</v>
      </c>
      <c r="N25" s="3192">
        <v>43678</v>
      </c>
      <c r="O25" s="3192">
        <v>43891</v>
      </c>
      <c r="P25" s="3192">
        <v>43678</v>
      </c>
      <c r="Q25" s="3192">
        <v>43770</v>
      </c>
      <c r="R25" s="3124" t="s">
        <v>433</v>
      </c>
      <c r="S25" s="3124" t="s">
        <v>1842</v>
      </c>
      <c r="T25" s="3124" t="s">
        <v>1850</v>
      </c>
      <c r="U25" t="s">
        <v>1195</v>
      </c>
      <c r="V25" s="3124">
        <v>3150</v>
      </c>
      <c r="W25" s="3193">
        <v>0.60317460317460314</v>
      </c>
      <c r="X25" s="3124">
        <v>1900</v>
      </c>
      <c r="Y25" s="3124">
        <v>0</v>
      </c>
      <c r="Z25" s="3124">
        <v>5000</v>
      </c>
      <c r="AA25" s="3124">
        <v>18000</v>
      </c>
      <c r="AB25" t="s">
        <v>1195</v>
      </c>
      <c r="AC25" s="3124"/>
    </row>
    <row r="26" spans="1:29">
      <c r="A26" s="3124">
        <v>25</v>
      </c>
      <c r="B26" s="3124" t="s">
        <v>1839</v>
      </c>
      <c r="C26" s="3124" t="s">
        <v>1399</v>
      </c>
      <c r="D26" s="3124" t="s">
        <v>1400</v>
      </c>
      <c r="E26" t="s">
        <v>1401</v>
      </c>
      <c r="F26" s="3234">
        <v>3125942325</v>
      </c>
      <c r="G26" s="3124" t="s">
        <v>1845</v>
      </c>
      <c r="H26" s="3124">
        <v>4</v>
      </c>
      <c r="I26" s="3124">
        <v>8</v>
      </c>
      <c r="J26" s="3124"/>
      <c r="K26" s="3124">
        <v>1000</v>
      </c>
      <c r="L26" s="3124">
        <v>1250</v>
      </c>
      <c r="M26" s="3124" t="s">
        <v>1345</v>
      </c>
      <c r="N26" s="3192">
        <v>43678</v>
      </c>
      <c r="O26" s="3192">
        <v>43891</v>
      </c>
      <c r="P26" s="3192">
        <v>43678</v>
      </c>
      <c r="Q26" s="3192">
        <v>43770</v>
      </c>
      <c r="R26" s="3124" t="s">
        <v>433</v>
      </c>
      <c r="S26" s="3124" t="s">
        <v>1842</v>
      </c>
      <c r="T26" s="3124" t="s">
        <v>1850</v>
      </c>
      <c r="U26" t="s">
        <v>1195</v>
      </c>
      <c r="V26" s="3124">
        <v>3150</v>
      </c>
      <c r="W26" s="3193">
        <v>0.60317460317460314</v>
      </c>
      <c r="X26" s="3124">
        <v>1900</v>
      </c>
      <c r="Y26" s="3124">
        <v>0</v>
      </c>
      <c r="Z26" s="3124">
        <v>5000</v>
      </c>
      <c r="AA26" s="3124">
        <v>18000</v>
      </c>
      <c r="AB26" t="s">
        <v>1195</v>
      </c>
      <c r="AC26" s="3124"/>
    </row>
    <row r="27" spans="1:29">
      <c r="A27" s="3124">
        <v>26</v>
      </c>
      <c r="B27" s="3124" t="s">
        <v>1839</v>
      </c>
      <c r="C27" s="3124" t="s">
        <v>624</v>
      </c>
      <c r="D27" s="3124" t="s">
        <v>1579</v>
      </c>
      <c r="E27" t="s">
        <v>4517</v>
      </c>
      <c r="F27" s="3234">
        <v>9841277706</v>
      </c>
      <c r="G27" s="3124" t="s">
        <v>1846</v>
      </c>
      <c r="H27" s="3124">
        <v>4</v>
      </c>
      <c r="I27" s="3124">
        <v>8</v>
      </c>
      <c r="J27" s="3124"/>
      <c r="K27" s="3124">
        <v>1000</v>
      </c>
      <c r="L27" s="3124">
        <v>1250</v>
      </c>
      <c r="M27" s="3124" t="s">
        <v>1345</v>
      </c>
      <c r="N27" s="3192">
        <v>43678</v>
      </c>
      <c r="O27" s="3192">
        <v>43891</v>
      </c>
      <c r="P27" s="3192">
        <v>43678</v>
      </c>
      <c r="Q27" s="3192">
        <v>43770</v>
      </c>
      <c r="R27" s="3124" t="s">
        <v>432</v>
      </c>
      <c r="S27" s="3124" t="s">
        <v>1842</v>
      </c>
      <c r="T27" s="3124" t="s">
        <v>1850</v>
      </c>
      <c r="U27" t="s">
        <v>1020</v>
      </c>
      <c r="V27" s="3124">
        <v>3150</v>
      </c>
      <c r="W27" s="3193">
        <v>0.60317460317460314</v>
      </c>
      <c r="X27" s="3124">
        <v>1900</v>
      </c>
      <c r="Y27" s="3124">
        <v>0</v>
      </c>
      <c r="Z27" s="3124">
        <v>5000</v>
      </c>
      <c r="AA27" s="3124">
        <v>18000</v>
      </c>
      <c r="AB27" t="s">
        <v>1195</v>
      </c>
      <c r="AC27" s="3124"/>
    </row>
    <row r="28" spans="1:29">
      <c r="A28" s="3124">
        <v>27</v>
      </c>
      <c r="B28" s="3124" t="s">
        <v>1621</v>
      </c>
      <c r="C28" s="3124" t="s">
        <v>753</v>
      </c>
      <c r="D28" s="3124" t="s">
        <v>1722</v>
      </c>
      <c r="E28" t="s">
        <v>754</v>
      </c>
      <c r="F28" s="3234">
        <v>9831401675</v>
      </c>
      <c r="G28" s="3124" t="s">
        <v>1847</v>
      </c>
      <c r="H28" s="3124">
        <v>20</v>
      </c>
      <c r="I28" s="3124">
        <v>20</v>
      </c>
      <c r="J28" s="3124"/>
      <c r="K28" s="3124">
        <v>2000</v>
      </c>
      <c r="L28" s="3124">
        <v>1800</v>
      </c>
      <c r="M28" s="3124" t="s">
        <v>1694</v>
      </c>
      <c r="N28" s="3192">
        <v>44177</v>
      </c>
      <c r="O28" s="3192">
        <v>44754</v>
      </c>
      <c r="P28" s="3192">
        <v>44177</v>
      </c>
      <c r="Q28" s="3192">
        <v>44754</v>
      </c>
      <c r="R28" s="3124" t="s">
        <v>432</v>
      </c>
      <c r="S28" s="3124" t="s">
        <v>1640</v>
      </c>
      <c r="T28" s="3124" t="s">
        <v>1850</v>
      </c>
      <c r="U28" t="s">
        <v>1195</v>
      </c>
      <c r="V28" s="3124">
        <v>5000</v>
      </c>
      <c r="W28" s="3193">
        <v>0.64</v>
      </c>
      <c r="X28" s="3124">
        <v>3200</v>
      </c>
      <c r="Y28" s="3124">
        <v>2</v>
      </c>
      <c r="Z28" s="3124">
        <v>0</v>
      </c>
      <c r="AA28" s="3124">
        <v>25000</v>
      </c>
      <c r="AB28" t="s">
        <v>1195</v>
      </c>
      <c r="AC28" s="3124"/>
    </row>
    <row r="29" spans="1:29">
      <c r="A29" s="3124">
        <v>28</v>
      </c>
      <c r="B29" s="3124" t="s">
        <v>1839</v>
      </c>
      <c r="C29" s="3124" t="s">
        <v>1405</v>
      </c>
      <c r="D29" s="3124" t="s">
        <v>1406</v>
      </c>
      <c r="E29" t="s">
        <v>1407</v>
      </c>
      <c r="F29" s="3234">
        <v>9831767700</v>
      </c>
      <c r="G29" s="3124" t="s">
        <v>2620</v>
      </c>
      <c r="H29" s="3124">
        <v>4</v>
      </c>
      <c r="I29" s="3124">
        <v>8</v>
      </c>
      <c r="J29" s="3124"/>
      <c r="K29" s="3124">
        <v>1000</v>
      </c>
      <c r="L29" s="3124">
        <v>1612</v>
      </c>
      <c r="M29" s="3124" t="s">
        <v>1345</v>
      </c>
      <c r="N29" s="3192">
        <v>43678</v>
      </c>
      <c r="O29" s="3192">
        <v>43891</v>
      </c>
      <c r="P29" s="3192">
        <v>43678</v>
      </c>
      <c r="Q29" s="3192">
        <v>43770</v>
      </c>
      <c r="R29" s="3124" t="s">
        <v>433</v>
      </c>
      <c r="S29" s="3124" t="s">
        <v>1842</v>
      </c>
      <c r="T29" s="3124" t="s">
        <v>1850</v>
      </c>
      <c r="U29" t="s">
        <v>1195</v>
      </c>
      <c r="V29" s="3124">
        <v>3150</v>
      </c>
      <c r="W29" s="3193">
        <v>0.48825396825396827</v>
      </c>
      <c r="X29" s="3124">
        <v>1538</v>
      </c>
      <c r="Y29" s="3124">
        <v>0</v>
      </c>
      <c r="Z29" s="3124">
        <v>5000</v>
      </c>
      <c r="AA29" s="3124">
        <v>18000</v>
      </c>
      <c r="AB29" t="s">
        <v>1195</v>
      </c>
      <c r="AC29" s="3124"/>
    </row>
    <row r="30" spans="1:29">
      <c r="A30" s="3124">
        <v>29</v>
      </c>
      <c r="B30" s="3124" t="s">
        <v>1839</v>
      </c>
      <c r="C30" s="3124" t="s">
        <v>1509</v>
      </c>
      <c r="D30" s="3124" t="s">
        <v>1507</v>
      </c>
      <c r="E30" t="s">
        <v>4518</v>
      </c>
      <c r="F30" s="3234" t="s">
        <v>1848</v>
      </c>
      <c r="G30" s="3124" t="s">
        <v>1849</v>
      </c>
      <c r="H30" s="3124">
        <v>8</v>
      </c>
      <c r="I30" s="3124">
        <v>8</v>
      </c>
      <c r="J30" s="3124"/>
      <c r="K30" s="3124">
        <v>0</v>
      </c>
      <c r="L30" s="3124">
        <v>2180</v>
      </c>
      <c r="M30" s="3124" t="s">
        <v>1515</v>
      </c>
      <c r="N30" s="3192">
        <v>44348</v>
      </c>
      <c r="O30" s="3192">
        <v>44562</v>
      </c>
      <c r="P30" s="3192">
        <v>44348</v>
      </c>
      <c r="Q30" s="3192">
        <v>44562</v>
      </c>
      <c r="R30" s="3124" t="s">
        <v>432</v>
      </c>
      <c r="S30" s="3124" t="s">
        <v>1842</v>
      </c>
      <c r="T30" s="3124" t="s">
        <v>1850</v>
      </c>
      <c r="U30" t="s">
        <v>1195</v>
      </c>
      <c r="V30" s="3124">
        <v>3150</v>
      </c>
      <c r="W30" s="3193">
        <v>0.30793650793650795</v>
      </c>
      <c r="X30" s="3124">
        <v>970</v>
      </c>
      <c r="Y30" s="3124">
        <v>0</v>
      </c>
      <c r="Z30" s="3124">
        <v>5000</v>
      </c>
      <c r="AA30" s="3124">
        <v>18000</v>
      </c>
      <c r="AB30" t="s">
        <v>1195</v>
      </c>
      <c r="AC30" s="3124"/>
    </row>
    <row r="31" spans="1:29">
      <c r="A31" s="3124">
        <v>30</v>
      </c>
      <c r="B31" s="3124" t="s">
        <v>1839</v>
      </c>
      <c r="C31" s="3124" t="s">
        <v>664</v>
      </c>
      <c r="D31" s="3124" t="s">
        <v>1851</v>
      </c>
      <c r="E31" t="s">
        <v>666</v>
      </c>
      <c r="F31" s="3234">
        <v>9831063814</v>
      </c>
      <c r="G31" s="3124" t="s">
        <v>1852</v>
      </c>
      <c r="H31" s="3124">
        <v>4</v>
      </c>
      <c r="I31" s="3124">
        <v>8</v>
      </c>
      <c r="J31" s="3124"/>
      <c r="K31" s="3124">
        <v>0</v>
      </c>
      <c r="L31" s="3124">
        <v>1250</v>
      </c>
      <c r="M31" s="3124" t="s">
        <v>1345</v>
      </c>
      <c r="N31" s="3192">
        <v>43678</v>
      </c>
      <c r="O31" s="3192">
        <v>43891</v>
      </c>
      <c r="P31" s="3192">
        <v>43678</v>
      </c>
      <c r="Q31" s="3192">
        <v>43770</v>
      </c>
      <c r="R31" s="3124" t="s">
        <v>432</v>
      </c>
      <c r="S31" s="3124" t="s">
        <v>1842</v>
      </c>
      <c r="T31" s="3124" t="s">
        <v>1850</v>
      </c>
      <c r="U31" t="s">
        <v>1195</v>
      </c>
      <c r="V31" s="3124">
        <v>3150</v>
      </c>
      <c r="W31" s="3193">
        <v>0.60317460317460314</v>
      </c>
      <c r="X31" s="3124">
        <v>1900</v>
      </c>
      <c r="Y31" s="3124">
        <v>0</v>
      </c>
      <c r="Z31" s="3124">
        <v>5000</v>
      </c>
      <c r="AA31" s="3124">
        <v>18000</v>
      </c>
      <c r="AB31" t="s">
        <v>1195</v>
      </c>
      <c r="AC31" s="3124"/>
    </row>
    <row r="32" spans="1:29">
      <c r="A32" s="3124">
        <v>31</v>
      </c>
      <c r="B32" s="3124" t="s">
        <v>1839</v>
      </c>
      <c r="C32" s="3124" t="s">
        <v>1411</v>
      </c>
      <c r="D32" s="3124" t="s">
        <v>403</v>
      </c>
      <c r="E32" t="s">
        <v>1413</v>
      </c>
      <c r="F32" s="3234">
        <v>9982149436</v>
      </c>
      <c r="G32" s="3124" t="s">
        <v>1853</v>
      </c>
      <c r="H32" s="3124">
        <v>4</v>
      </c>
      <c r="I32" s="3124">
        <v>8</v>
      </c>
      <c r="J32" s="3124"/>
      <c r="K32" s="3124">
        <v>750</v>
      </c>
      <c r="L32" s="3124">
        <v>1250</v>
      </c>
      <c r="M32" s="3124" t="s">
        <v>1345</v>
      </c>
      <c r="N32" s="3192">
        <v>43678</v>
      </c>
      <c r="O32" s="3192">
        <v>43891</v>
      </c>
      <c r="P32" s="3192">
        <v>43678</v>
      </c>
      <c r="Q32" s="3192">
        <v>43770</v>
      </c>
      <c r="R32" s="3124" t="s">
        <v>433</v>
      </c>
      <c r="S32" s="3124" t="s">
        <v>1842</v>
      </c>
      <c r="T32" s="3124" t="s">
        <v>1850</v>
      </c>
      <c r="U32" t="s">
        <v>1195</v>
      </c>
      <c r="V32" s="3124">
        <v>3150</v>
      </c>
      <c r="W32" s="3193">
        <v>0.60317460317460314</v>
      </c>
      <c r="X32" s="3124">
        <v>1900</v>
      </c>
      <c r="Y32" s="3124">
        <v>0</v>
      </c>
      <c r="Z32" s="3124">
        <v>5000</v>
      </c>
      <c r="AA32" s="3124">
        <v>18000</v>
      </c>
      <c r="AB32" t="s">
        <v>1195</v>
      </c>
      <c r="AC32" s="3124"/>
    </row>
    <row r="33" spans="1:29">
      <c r="A33" s="3124">
        <v>32</v>
      </c>
      <c r="B33" s="3124" t="s">
        <v>1630</v>
      </c>
      <c r="C33" s="3124" t="s">
        <v>402</v>
      </c>
      <c r="D33" s="3124" t="s">
        <v>1415</v>
      </c>
      <c r="E33" t="s">
        <v>404</v>
      </c>
      <c r="F33" s="3234">
        <v>9841378966</v>
      </c>
      <c r="G33" s="3124" t="s">
        <v>1854</v>
      </c>
      <c r="H33" s="3124">
        <v>36</v>
      </c>
      <c r="I33" s="3124">
        <v>36</v>
      </c>
      <c r="J33" s="3124"/>
      <c r="K33" s="3124">
        <v>750</v>
      </c>
      <c r="L33" s="3124">
        <v>1350</v>
      </c>
      <c r="M33" s="3124" t="s">
        <v>1827</v>
      </c>
      <c r="N33" s="3192">
        <v>43709</v>
      </c>
      <c r="O33" s="3192">
        <v>44866</v>
      </c>
      <c r="P33" s="3192">
        <v>43709</v>
      </c>
      <c r="Q33" s="3192">
        <v>44774</v>
      </c>
      <c r="R33" s="3124" t="s">
        <v>433</v>
      </c>
      <c r="S33" s="3124" t="s">
        <v>1658</v>
      </c>
      <c r="T33" s="3124" t="s">
        <v>2618</v>
      </c>
      <c r="U33" t="s">
        <v>1195</v>
      </c>
      <c r="V33" s="3124">
        <v>3150</v>
      </c>
      <c r="W33" s="3193">
        <v>0.5714285714285714</v>
      </c>
      <c r="X33" s="3124">
        <v>1800</v>
      </c>
      <c r="Y33" s="3124">
        <v>4</v>
      </c>
      <c r="Z33" s="3124">
        <v>0</v>
      </c>
      <c r="AA33" s="3124">
        <v>18000</v>
      </c>
      <c r="AB33" t="s">
        <v>1195</v>
      </c>
      <c r="AC33" s="3124"/>
    </row>
    <row r="34" spans="1:29">
      <c r="A34" s="3124">
        <v>33</v>
      </c>
      <c r="B34" s="3124" t="s">
        <v>1839</v>
      </c>
      <c r="C34" s="3124" t="s">
        <v>1414</v>
      </c>
      <c r="D34" s="3124" t="s">
        <v>1418</v>
      </c>
      <c r="E34" t="s">
        <v>1416</v>
      </c>
      <c r="F34" s="3234">
        <v>9982037162</v>
      </c>
      <c r="G34" s="3124" t="s">
        <v>1855</v>
      </c>
      <c r="H34" s="3124">
        <v>4</v>
      </c>
      <c r="I34" s="3124">
        <v>8</v>
      </c>
      <c r="J34" s="3124"/>
      <c r="K34" s="3124">
        <v>750</v>
      </c>
      <c r="L34" s="3124">
        <v>1250</v>
      </c>
      <c r="M34" s="3124" t="s">
        <v>1345</v>
      </c>
      <c r="N34" s="3192">
        <v>43678</v>
      </c>
      <c r="O34" s="3192">
        <v>43891</v>
      </c>
      <c r="P34" s="3192">
        <v>43678</v>
      </c>
      <c r="Q34" s="3192">
        <v>43770</v>
      </c>
      <c r="R34" s="3124" t="s">
        <v>432</v>
      </c>
      <c r="S34" s="3124" t="s">
        <v>1842</v>
      </c>
      <c r="T34" s="3124" t="s">
        <v>1850</v>
      </c>
      <c r="U34" t="s">
        <v>1195</v>
      </c>
      <c r="V34" s="3124">
        <v>3150</v>
      </c>
      <c r="W34" s="3193">
        <v>0.60317460317460314</v>
      </c>
      <c r="X34" s="3124">
        <v>1900</v>
      </c>
      <c r="Y34" s="3124">
        <v>0</v>
      </c>
      <c r="Z34" s="3124">
        <v>5000</v>
      </c>
      <c r="AA34" s="3124">
        <v>18000</v>
      </c>
      <c r="AB34" t="s">
        <v>1195</v>
      </c>
      <c r="AC34" s="3124"/>
    </row>
    <row r="35" spans="1:29">
      <c r="A35" s="3124">
        <v>34</v>
      </c>
      <c r="B35" s="3124" t="s">
        <v>1839</v>
      </c>
      <c r="C35" s="3124" t="s">
        <v>1417</v>
      </c>
      <c r="D35" s="3124" t="s">
        <v>1421</v>
      </c>
      <c r="E35" t="s">
        <v>4519</v>
      </c>
      <c r="F35" s="3234">
        <v>9837525230</v>
      </c>
      <c r="G35" s="3124" t="s">
        <v>1856</v>
      </c>
      <c r="H35" s="3124">
        <v>12</v>
      </c>
      <c r="I35" s="3124">
        <v>12</v>
      </c>
      <c r="J35" s="3124"/>
      <c r="K35" s="3124">
        <v>750</v>
      </c>
      <c r="L35" s="3124">
        <v>1200</v>
      </c>
      <c r="M35" s="3124" t="s">
        <v>1345</v>
      </c>
      <c r="N35" s="3192">
        <v>43678</v>
      </c>
      <c r="O35" s="3192">
        <v>44013</v>
      </c>
      <c r="P35" s="3192">
        <v>43678</v>
      </c>
      <c r="Q35" s="3192">
        <v>44013</v>
      </c>
      <c r="R35" s="3124" t="s">
        <v>433</v>
      </c>
      <c r="S35" s="3124" t="s">
        <v>1842</v>
      </c>
      <c r="T35" s="3124" t="s">
        <v>1850</v>
      </c>
      <c r="U35" t="s">
        <v>1195</v>
      </c>
      <c r="V35" s="3124">
        <v>3150</v>
      </c>
      <c r="W35" s="3193">
        <v>0.61904761904761907</v>
      </c>
      <c r="X35" s="3124">
        <v>1950</v>
      </c>
      <c r="Y35" s="3124">
        <v>0</v>
      </c>
      <c r="Z35" s="3124">
        <v>5000</v>
      </c>
      <c r="AA35" s="3124">
        <v>18000</v>
      </c>
      <c r="AB35" t="s">
        <v>1195</v>
      </c>
      <c r="AC35" s="3124"/>
    </row>
    <row r="36" spans="1:29">
      <c r="A36" s="3124">
        <v>35</v>
      </c>
      <c r="B36" s="3124" t="s">
        <v>1839</v>
      </c>
      <c r="C36" s="3124" t="s">
        <v>1420</v>
      </c>
      <c r="D36" s="3124" t="s">
        <v>1424</v>
      </c>
      <c r="E36" t="s">
        <v>1422</v>
      </c>
      <c r="F36" s="3234">
        <v>9381693893</v>
      </c>
      <c r="G36" s="3124" t="s">
        <v>1857</v>
      </c>
      <c r="H36" s="3124">
        <v>12</v>
      </c>
      <c r="I36" s="3124">
        <v>12</v>
      </c>
      <c r="J36" s="3124"/>
      <c r="K36" s="3124">
        <v>750</v>
      </c>
      <c r="L36" s="3124">
        <v>1455</v>
      </c>
      <c r="M36" s="3124" t="s">
        <v>1345</v>
      </c>
      <c r="N36" s="3192">
        <v>44228</v>
      </c>
      <c r="O36" s="3192">
        <v>44562</v>
      </c>
      <c r="P36" s="3192">
        <v>44228</v>
      </c>
      <c r="Q36" s="3192">
        <v>44562</v>
      </c>
      <c r="R36" s="3124" t="s">
        <v>432</v>
      </c>
      <c r="S36" s="3124" t="s">
        <v>1842</v>
      </c>
      <c r="T36" s="3124" t="s">
        <v>1850</v>
      </c>
      <c r="U36" t="s">
        <v>1195</v>
      </c>
      <c r="V36" s="3124">
        <v>3150</v>
      </c>
      <c r="W36" s="3193">
        <v>0.53809523809523807</v>
      </c>
      <c r="X36" s="3124">
        <v>1695</v>
      </c>
      <c r="Y36" s="3124">
        <v>0</v>
      </c>
      <c r="Z36" s="3124">
        <v>5000</v>
      </c>
      <c r="AA36" s="3124">
        <v>18000</v>
      </c>
      <c r="AB36" t="s">
        <v>1195</v>
      </c>
      <c r="AC36" s="3124"/>
    </row>
    <row r="37" spans="1:29">
      <c r="A37" s="3124">
        <v>36</v>
      </c>
      <c r="B37" s="3124" t="s">
        <v>1839</v>
      </c>
      <c r="C37" s="3124" t="s">
        <v>490</v>
      </c>
      <c r="D37" s="3124" t="s">
        <v>1427</v>
      </c>
      <c r="E37" t="s">
        <v>1425</v>
      </c>
      <c r="F37" s="3234">
        <v>9381517541</v>
      </c>
      <c r="G37" s="3124" t="s">
        <v>1858</v>
      </c>
      <c r="H37" s="3124">
        <v>8</v>
      </c>
      <c r="I37" s="3124">
        <v>8</v>
      </c>
      <c r="J37" s="3124"/>
      <c r="K37" s="3124">
        <v>750</v>
      </c>
      <c r="L37" s="3124">
        <v>2180</v>
      </c>
      <c r="M37" s="3124" t="s">
        <v>1345</v>
      </c>
      <c r="N37" s="3192">
        <v>44228</v>
      </c>
      <c r="O37" s="3192">
        <v>44440</v>
      </c>
      <c r="P37" s="3192">
        <v>44228</v>
      </c>
      <c r="Q37" s="3192">
        <v>44440</v>
      </c>
      <c r="R37" s="3124" t="s">
        <v>432</v>
      </c>
      <c r="S37" s="3124" t="s">
        <v>1842</v>
      </c>
      <c r="T37" s="3124" t="s">
        <v>1850</v>
      </c>
      <c r="U37" t="s">
        <v>1195</v>
      </c>
      <c r="V37" s="3124">
        <v>3150</v>
      </c>
      <c r="W37" s="3193">
        <v>0.30793650793650795</v>
      </c>
      <c r="X37" s="3124">
        <v>970</v>
      </c>
      <c r="Y37" s="3124">
        <v>0</v>
      </c>
      <c r="Z37" s="3124">
        <v>5000</v>
      </c>
      <c r="AA37" s="3124">
        <v>18000</v>
      </c>
      <c r="AB37" t="s">
        <v>1195</v>
      </c>
      <c r="AC37" s="3124"/>
    </row>
    <row r="38" spans="1:29">
      <c r="A38" s="3124">
        <v>37</v>
      </c>
      <c r="B38" s="3124" t="s">
        <v>1839</v>
      </c>
      <c r="C38" s="3124" t="s">
        <v>1426</v>
      </c>
      <c r="D38" s="3124" t="s">
        <v>1430</v>
      </c>
      <c r="E38" t="s">
        <v>1428</v>
      </c>
      <c r="F38" s="3234">
        <v>9832076302</v>
      </c>
      <c r="G38" s="3124" t="s">
        <v>1859</v>
      </c>
      <c r="H38" s="3124">
        <v>8</v>
      </c>
      <c r="I38" s="3124">
        <v>8</v>
      </c>
      <c r="J38" s="3124"/>
      <c r="K38" s="3124">
        <v>750</v>
      </c>
      <c r="L38" s="3124">
        <v>1196</v>
      </c>
      <c r="M38" s="3124" t="s">
        <v>1860</v>
      </c>
      <c r="N38" s="3192">
        <v>43374</v>
      </c>
      <c r="O38" s="3192">
        <v>43586</v>
      </c>
      <c r="P38" s="3192">
        <v>43374</v>
      </c>
      <c r="Q38" s="3192">
        <v>43586</v>
      </c>
      <c r="R38" s="3124" t="s">
        <v>432</v>
      </c>
      <c r="S38" s="3124" t="s">
        <v>1842</v>
      </c>
      <c r="T38" s="3124" t="s">
        <v>1850</v>
      </c>
      <c r="U38" t="s">
        <v>1761</v>
      </c>
      <c r="V38" s="3124">
        <v>3150</v>
      </c>
      <c r="W38" s="3193">
        <v>0.62031746031746027</v>
      </c>
      <c r="X38" s="3124">
        <v>1954</v>
      </c>
      <c r="Y38" s="3124">
        <v>0</v>
      </c>
      <c r="Z38" s="3124">
        <v>5000</v>
      </c>
      <c r="AA38" s="3124">
        <v>18000</v>
      </c>
      <c r="AB38" t="s">
        <v>1195</v>
      </c>
      <c r="AC38" s="3124"/>
    </row>
    <row r="39" spans="1:29">
      <c r="A39" s="3124">
        <v>38</v>
      </c>
      <c r="B39" s="3124" t="s">
        <v>1839</v>
      </c>
      <c r="C39" s="3124" t="s">
        <v>1429</v>
      </c>
      <c r="D39" s="3124" t="s">
        <v>1433</v>
      </c>
      <c r="E39" t="s">
        <v>1431</v>
      </c>
      <c r="F39" s="3234">
        <v>9984242479</v>
      </c>
      <c r="G39" s="3124" t="s">
        <v>1861</v>
      </c>
      <c r="H39" s="3124">
        <v>4</v>
      </c>
      <c r="I39" s="3124">
        <v>4</v>
      </c>
      <c r="J39" s="3124"/>
      <c r="K39" s="3124">
        <v>750</v>
      </c>
      <c r="L39" s="3124">
        <v>1400</v>
      </c>
      <c r="M39" s="3124" t="s">
        <v>1345</v>
      </c>
      <c r="N39" s="3192">
        <v>44306</v>
      </c>
      <c r="O39" s="3192">
        <v>44397</v>
      </c>
      <c r="P39" s="3192">
        <v>44306</v>
      </c>
      <c r="Q39" s="3192">
        <v>44397</v>
      </c>
      <c r="R39" s="3124" t="s">
        <v>432</v>
      </c>
      <c r="S39" s="3124" t="s">
        <v>1842</v>
      </c>
      <c r="T39" s="3124" t="s">
        <v>1850</v>
      </c>
      <c r="U39" t="s">
        <v>1195</v>
      </c>
      <c r="V39" s="3124">
        <v>3150</v>
      </c>
      <c r="W39" s="3193">
        <v>0.55555555555555558</v>
      </c>
      <c r="X39" s="3124">
        <v>1750</v>
      </c>
      <c r="Y39" s="3124">
        <v>0</v>
      </c>
      <c r="Z39" s="3124">
        <v>5000</v>
      </c>
      <c r="AA39" s="3124">
        <v>18000</v>
      </c>
      <c r="AB39" t="s">
        <v>1195</v>
      </c>
      <c r="AC39" s="3124"/>
    </row>
    <row r="40" spans="1:29">
      <c r="A40" s="3124">
        <v>39</v>
      </c>
      <c r="B40" s="3124" t="s">
        <v>1839</v>
      </c>
      <c r="C40" s="3124" t="s">
        <v>1432</v>
      </c>
      <c r="D40" s="3124" t="s">
        <v>329</v>
      </c>
      <c r="E40" t="s">
        <v>1434</v>
      </c>
      <c r="F40" s="3234">
        <v>9981658822</v>
      </c>
      <c r="G40" s="3124" t="s">
        <v>1862</v>
      </c>
      <c r="H40" s="3124">
        <v>8</v>
      </c>
      <c r="I40" s="3124">
        <v>8</v>
      </c>
      <c r="J40" s="3124"/>
      <c r="K40" s="3124">
        <v>750</v>
      </c>
      <c r="L40" s="3124">
        <v>1400</v>
      </c>
      <c r="M40" s="3124" t="s">
        <v>1345</v>
      </c>
      <c r="N40" s="3192">
        <v>44306</v>
      </c>
      <c r="O40" s="3192">
        <v>44520</v>
      </c>
      <c r="P40" s="3192">
        <v>44306</v>
      </c>
      <c r="Q40" s="3192">
        <v>44520</v>
      </c>
      <c r="R40" s="3124" t="s">
        <v>433</v>
      </c>
      <c r="S40" s="3124" t="s">
        <v>1842</v>
      </c>
      <c r="T40" s="3124" t="s">
        <v>1850</v>
      </c>
      <c r="U40" t="s">
        <v>1195</v>
      </c>
      <c r="V40" s="3124">
        <v>3150</v>
      </c>
      <c r="W40" s="3193">
        <v>0.55555555555555558</v>
      </c>
      <c r="X40" s="3124">
        <v>1750</v>
      </c>
      <c r="Y40" s="3124">
        <v>0</v>
      </c>
      <c r="Z40" s="3124">
        <v>5000</v>
      </c>
      <c r="AA40" s="3124">
        <v>18000</v>
      </c>
      <c r="AB40" t="s">
        <v>1195</v>
      </c>
      <c r="AC40" s="3124"/>
    </row>
    <row r="41" spans="1:29">
      <c r="A41" s="3124">
        <v>40</v>
      </c>
      <c r="B41" s="3124" t="s">
        <v>1630</v>
      </c>
      <c r="C41" s="3124" t="s">
        <v>3861</v>
      </c>
      <c r="D41" s="3124" t="s">
        <v>315</v>
      </c>
      <c r="E41" t="s">
        <v>4520</v>
      </c>
      <c r="F41" s="3234">
        <v>9983442417</v>
      </c>
      <c r="G41" s="3124" t="s">
        <v>1863</v>
      </c>
      <c r="H41" s="3124">
        <v>36</v>
      </c>
      <c r="I41" s="3124">
        <v>36</v>
      </c>
      <c r="J41" s="3124"/>
      <c r="K41" s="3124">
        <v>1000</v>
      </c>
      <c r="L41" s="3124">
        <v>1350</v>
      </c>
      <c r="M41" s="3124" t="s">
        <v>1805</v>
      </c>
      <c r="N41" s="3192">
        <v>43739</v>
      </c>
      <c r="O41" s="3192">
        <v>44805</v>
      </c>
      <c r="P41" s="3192">
        <v>43739</v>
      </c>
      <c r="Q41" s="3192">
        <v>44805</v>
      </c>
      <c r="R41" s="3124" t="s">
        <v>432</v>
      </c>
      <c r="S41" s="3124" t="s">
        <v>1658</v>
      </c>
      <c r="T41" s="3124" t="s">
        <v>1850</v>
      </c>
      <c r="U41" t="s">
        <v>1195</v>
      </c>
      <c r="V41" s="3124">
        <v>3150</v>
      </c>
      <c r="W41" s="3193">
        <v>0.5714285714285714</v>
      </c>
      <c r="X41" s="3124">
        <v>1800</v>
      </c>
      <c r="Y41" s="3124">
        <v>4</v>
      </c>
      <c r="Z41" s="3124">
        <v>0</v>
      </c>
      <c r="AA41" s="3124">
        <v>16000</v>
      </c>
      <c r="AB41" t="s">
        <v>1195</v>
      </c>
      <c r="AC41" s="3124"/>
    </row>
    <row r="42" spans="1:29">
      <c r="A42" s="3124">
        <v>41</v>
      </c>
      <c r="B42" s="3124" t="s">
        <v>1630</v>
      </c>
      <c r="C42" s="3124" t="s">
        <v>314</v>
      </c>
      <c r="D42" s="3124" t="s">
        <v>1436</v>
      </c>
      <c r="E42" t="s">
        <v>4521</v>
      </c>
      <c r="F42" s="3234" t="s">
        <v>4522</v>
      </c>
      <c r="G42" s="3124" t="s">
        <v>1864</v>
      </c>
      <c r="H42" s="3124">
        <v>36</v>
      </c>
      <c r="I42" s="3124">
        <v>36</v>
      </c>
      <c r="J42" s="3124"/>
      <c r="K42" s="3124">
        <v>1000</v>
      </c>
      <c r="L42" s="3124">
        <v>1250</v>
      </c>
      <c r="M42" s="3124" t="s">
        <v>1805</v>
      </c>
      <c r="N42" s="3192">
        <v>43739</v>
      </c>
      <c r="O42" s="3192">
        <v>44805</v>
      </c>
      <c r="P42" s="3192">
        <v>43739</v>
      </c>
      <c r="Q42" s="3192">
        <v>44805</v>
      </c>
      <c r="R42" s="3124" t="s">
        <v>433</v>
      </c>
      <c r="S42" s="3124" t="s">
        <v>1658</v>
      </c>
      <c r="T42" s="3124" t="s">
        <v>1850</v>
      </c>
      <c r="U42" t="s">
        <v>1195</v>
      </c>
      <c r="V42" s="3124">
        <v>3150</v>
      </c>
      <c r="W42" s="3193">
        <v>0.60317460317460314</v>
      </c>
      <c r="X42" s="3124">
        <v>1900</v>
      </c>
      <c r="Y42" s="3124">
        <v>4</v>
      </c>
      <c r="Z42" s="3124">
        <v>0</v>
      </c>
      <c r="AA42" s="3124">
        <v>16000</v>
      </c>
      <c r="AB42" t="s">
        <v>1195</v>
      </c>
      <c r="AC42" s="3124"/>
    </row>
    <row r="43" spans="1:29">
      <c r="A43" s="3124">
        <v>42</v>
      </c>
      <c r="B43" s="3124" t="s">
        <v>1839</v>
      </c>
      <c r="C43" s="3124" t="s">
        <v>627</v>
      </c>
      <c r="D43" s="3124" t="s">
        <v>628</v>
      </c>
      <c r="E43" t="s">
        <v>1437</v>
      </c>
      <c r="F43" s="3234" t="s">
        <v>1865</v>
      </c>
      <c r="G43" s="3124" t="s">
        <v>5167</v>
      </c>
      <c r="H43" s="3124">
        <v>8</v>
      </c>
      <c r="I43" s="3124">
        <v>8</v>
      </c>
      <c r="J43" s="3124"/>
      <c r="K43" s="3124">
        <v>750</v>
      </c>
      <c r="L43" s="3124">
        <v>2180.1</v>
      </c>
      <c r="M43" s="3124" t="s">
        <v>1345</v>
      </c>
      <c r="N43" s="3192">
        <v>43831</v>
      </c>
      <c r="O43" s="3192">
        <v>44044</v>
      </c>
      <c r="P43" s="3192">
        <v>43831</v>
      </c>
      <c r="Q43" s="3192">
        <v>44044</v>
      </c>
      <c r="R43" s="3124" t="s">
        <v>433</v>
      </c>
      <c r="S43" s="3124" t="s">
        <v>1842</v>
      </c>
      <c r="T43" s="3124" t="s">
        <v>1850</v>
      </c>
      <c r="U43" t="s">
        <v>1020</v>
      </c>
      <c r="V43" s="3124">
        <v>3150</v>
      </c>
      <c r="W43" s="3193">
        <v>0.30790476190476196</v>
      </c>
      <c r="X43" s="3124">
        <v>969.90000000000009</v>
      </c>
      <c r="Y43" s="3124">
        <v>0</v>
      </c>
      <c r="Z43" s="3124">
        <v>5000</v>
      </c>
      <c r="AA43" s="3124">
        <v>18000</v>
      </c>
      <c r="AB43" t="s">
        <v>1195</v>
      </c>
      <c r="AC43" s="3124"/>
    </row>
    <row r="44" spans="1:29">
      <c r="A44" s="3124">
        <v>43</v>
      </c>
      <c r="B44" s="3124" t="s">
        <v>1625</v>
      </c>
      <c r="C44" s="3124" t="s">
        <v>1134</v>
      </c>
      <c r="D44" s="3124" t="s">
        <v>1127</v>
      </c>
      <c r="E44" t="s">
        <v>1268</v>
      </c>
      <c r="F44" s="3234" t="s">
        <v>1866</v>
      </c>
      <c r="G44" s="3124" t="s">
        <v>1867</v>
      </c>
      <c r="H44" s="3124">
        <v>20</v>
      </c>
      <c r="I44" s="3124">
        <v>20</v>
      </c>
      <c r="J44" s="3124"/>
      <c r="K44" s="3124">
        <v>3000</v>
      </c>
      <c r="L44" s="3124">
        <v>3350</v>
      </c>
      <c r="M44" s="3124" t="s">
        <v>1094</v>
      </c>
      <c r="N44" s="3192">
        <v>43983</v>
      </c>
      <c r="O44" s="3192">
        <v>44562</v>
      </c>
      <c r="P44" s="3192">
        <v>43983</v>
      </c>
      <c r="Q44" s="3192">
        <v>44562</v>
      </c>
      <c r="R44" s="3124" t="s">
        <v>433</v>
      </c>
      <c r="S44" s="3124" t="s">
        <v>1690</v>
      </c>
      <c r="T44" s="3124" t="s">
        <v>1850</v>
      </c>
      <c r="U44" t="s">
        <v>1761</v>
      </c>
      <c r="V44" s="3124">
        <v>3150</v>
      </c>
      <c r="W44" s="3193">
        <v>-6.3492063492063489E-2</v>
      </c>
      <c r="X44" s="3124">
        <v>-200</v>
      </c>
      <c r="Y44" s="3124">
        <v>0</v>
      </c>
      <c r="Z44" s="3124">
        <v>5000</v>
      </c>
      <c r="AA44" s="3124">
        <v>18000</v>
      </c>
      <c r="AB44" t="s">
        <v>1195</v>
      </c>
      <c r="AC44" s="3124"/>
    </row>
    <row r="45" spans="1:29">
      <c r="A45" s="3124">
        <v>44</v>
      </c>
      <c r="B45" s="3124" t="s">
        <v>1839</v>
      </c>
      <c r="C45" s="3124" t="s">
        <v>1522</v>
      </c>
      <c r="D45" s="3124" t="s">
        <v>1523</v>
      </c>
      <c r="E45" t="s">
        <v>1524</v>
      </c>
      <c r="F45" s="3234">
        <v>9981291182</v>
      </c>
      <c r="G45" s="3124" t="s">
        <v>1868</v>
      </c>
      <c r="H45" s="3124">
        <v>8</v>
      </c>
      <c r="I45" s="3124">
        <v>8</v>
      </c>
      <c r="J45" s="3124"/>
      <c r="K45" s="3124">
        <v>750</v>
      </c>
      <c r="L45" s="3124">
        <v>2180.1</v>
      </c>
      <c r="M45" s="3124" t="s">
        <v>1439</v>
      </c>
      <c r="N45" s="3192">
        <v>44075</v>
      </c>
      <c r="O45" s="3192">
        <v>44287</v>
      </c>
      <c r="P45" s="3192">
        <v>44075</v>
      </c>
      <c r="Q45" s="3192">
        <v>44287</v>
      </c>
      <c r="R45" s="3124" t="s">
        <v>433</v>
      </c>
      <c r="S45" s="3124" t="s">
        <v>1842</v>
      </c>
      <c r="T45" s="3124" t="s">
        <v>1850</v>
      </c>
      <c r="U45" t="s">
        <v>1195</v>
      </c>
      <c r="V45" s="3124">
        <v>3150</v>
      </c>
      <c r="W45" s="3193">
        <v>0.30790476190476196</v>
      </c>
      <c r="X45" s="3124">
        <v>969.90000000000009</v>
      </c>
      <c r="Y45" s="3124">
        <v>0</v>
      </c>
      <c r="Z45" s="3124">
        <v>5000</v>
      </c>
      <c r="AA45" s="3124">
        <v>18000</v>
      </c>
      <c r="AB45" t="s">
        <v>1195</v>
      </c>
      <c r="AC45" s="3124"/>
    </row>
    <row r="46" spans="1:29">
      <c r="A46" s="3124">
        <v>45</v>
      </c>
      <c r="B46" s="3124" t="s">
        <v>1839</v>
      </c>
      <c r="C46" s="3124" t="s">
        <v>1462</v>
      </c>
      <c r="D46" s="3124" t="s">
        <v>1463</v>
      </c>
      <c r="E46" t="s">
        <v>1464</v>
      </c>
      <c r="F46" s="3234">
        <v>6621879993</v>
      </c>
      <c r="G46" s="3124" t="s">
        <v>5184</v>
      </c>
      <c r="H46" s="3124">
        <v>8</v>
      </c>
      <c r="I46" s="3124">
        <v>8</v>
      </c>
      <c r="J46" s="3124"/>
      <c r="K46" s="3124">
        <v>750</v>
      </c>
      <c r="L46" s="3124">
        <v>2180.1</v>
      </c>
      <c r="M46" s="3124" t="s">
        <v>1439</v>
      </c>
      <c r="N46" s="3192">
        <v>44075</v>
      </c>
      <c r="O46" s="3192">
        <v>44287</v>
      </c>
      <c r="P46" s="3192">
        <v>44075</v>
      </c>
      <c r="Q46" s="3192">
        <v>44287</v>
      </c>
      <c r="R46" s="3124" t="s">
        <v>432</v>
      </c>
      <c r="S46" s="3124" t="s">
        <v>1842</v>
      </c>
      <c r="T46" s="3124" t="s">
        <v>1850</v>
      </c>
      <c r="U46" t="s">
        <v>1869</v>
      </c>
      <c r="V46" s="3124">
        <v>3150</v>
      </c>
      <c r="W46" s="3193">
        <v>0.30790476190476196</v>
      </c>
      <c r="X46" s="3124">
        <v>969.90000000000009</v>
      </c>
      <c r="Y46" s="3124">
        <v>0</v>
      </c>
      <c r="Z46" s="3124">
        <v>5000</v>
      </c>
      <c r="AA46" s="3124">
        <v>18000</v>
      </c>
      <c r="AB46" t="s">
        <v>1195</v>
      </c>
      <c r="AC46" s="3124"/>
    </row>
    <row r="47" spans="1:29">
      <c r="A47" s="3124">
        <v>46</v>
      </c>
      <c r="B47" s="3124" t="s">
        <v>1839</v>
      </c>
      <c r="C47" s="3124" t="s">
        <v>1468</v>
      </c>
      <c r="D47" s="3124" t="s">
        <v>1469</v>
      </c>
      <c r="E47" t="s">
        <v>1470</v>
      </c>
      <c r="F47" s="3234">
        <v>9981162124</v>
      </c>
      <c r="G47" s="3124" t="s">
        <v>2621</v>
      </c>
      <c r="H47" s="3124">
        <v>8</v>
      </c>
      <c r="I47" s="3124">
        <v>8</v>
      </c>
      <c r="J47" s="3124"/>
      <c r="K47" s="3124">
        <v>750</v>
      </c>
      <c r="L47" s="3124">
        <v>2180.1</v>
      </c>
      <c r="M47" s="3124" t="s">
        <v>1439</v>
      </c>
      <c r="N47" s="3192">
        <v>44075</v>
      </c>
      <c r="O47" s="3192">
        <v>44287</v>
      </c>
      <c r="P47" s="3192">
        <v>44075</v>
      </c>
      <c r="Q47" s="3192">
        <v>44287</v>
      </c>
      <c r="R47" s="3124" t="s">
        <v>433</v>
      </c>
      <c r="S47" s="3124" t="s">
        <v>1842</v>
      </c>
      <c r="T47" s="3124" t="s">
        <v>1850</v>
      </c>
      <c r="U47" t="s">
        <v>1195</v>
      </c>
      <c r="V47" s="3124">
        <v>3150</v>
      </c>
      <c r="W47" s="3193">
        <v>0.30790476190476196</v>
      </c>
      <c r="X47" s="3124">
        <v>969.90000000000009</v>
      </c>
      <c r="Y47" s="3124">
        <v>0</v>
      </c>
      <c r="Z47" s="3124">
        <v>5000</v>
      </c>
      <c r="AA47" s="3124">
        <v>18000</v>
      </c>
      <c r="AB47" t="s">
        <v>1195</v>
      </c>
      <c r="AC47" s="3124"/>
    </row>
    <row r="48" spans="1:29">
      <c r="A48" s="3124">
        <v>47</v>
      </c>
      <c r="B48" s="3124" t="s">
        <v>1839</v>
      </c>
      <c r="C48" s="3124" t="s">
        <v>1471</v>
      </c>
      <c r="D48" s="3124" t="s">
        <v>1472</v>
      </c>
      <c r="E48" s="3129" t="s">
        <v>1473</v>
      </c>
      <c r="F48" s="3234">
        <v>9831576308</v>
      </c>
      <c r="G48" s="3124" t="s">
        <v>1870</v>
      </c>
      <c r="H48" s="3124">
        <v>8</v>
      </c>
      <c r="I48" s="3124">
        <v>8</v>
      </c>
      <c r="J48" s="3124"/>
      <c r="K48" s="3124">
        <v>750</v>
      </c>
      <c r="L48" s="3124">
        <v>2180.1</v>
      </c>
      <c r="M48" s="3124" t="s">
        <v>1439</v>
      </c>
      <c r="N48" s="3192">
        <v>44075</v>
      </c>
      <c r="O48" s="3192">
        <v>44287</v>
      </c>
      <c r="P48" s="3192">
        <v>44075</v>
      </c>
      <c r="Q48" s="3192">
        <v>44287</v>
      </c>
      <c r="R48" s="3124" t="s">
        <v>432</v>
      </c>
      <c r="S48" s="3124" t="s">
        <v>1842</v>
      </c>
      <c r="T48" s="3124" t="s">
        <v>1850</v>
      </c>
      <c r="U48" t="s">
        <v>1195</v>
      </c>
      <c r="V48" s="3124">
        <v>3150</v>
      </c>
      <c r="W48" s="3193">
        <v>0.30790476190476196</v>
      </c>
      <c r="X48" s="3124">
        <v>969.90000000000009</v>
      </c>
      <c r="Y48" s="3124">
        <v>0</v>
      </c>
      <c r="Z48" s="3124">
        <v>5000</v>
      </c>
      <c r="AA48" s="3124">
        <v>18000</v>
      </c>
      <c r="AB48" t="s">
        <v>1195</v>
      </c>
      <c r="AC48" s="3124"/>
    </row>
    <row r="49" spans="1:29">
      <c r="A49" s="3124">
        <v>48</v>
      </c>
      <c r="B49" s="3124" t="s">
        <v>1839</v>
      </c>
      <c r="C49" s="3124" t="s">
        <v>1474</v>
      </c>
      <c r="D49" s="3124" t="s">
        <v>1475</v>
      </c>
      <c r="E49" t="s">
        <v>1476</v>
      </c>
      <c r="F49" s="3234">
        <v>9981669551</v>
      </c>
      <c r="G49" s="3124" t="s">
        <v>1871</v>
      </c>
      <c r="H49" s="3124">
        <v>8</v>
      </c>
      <c r="I49" s="3124">
        <v>8</v>
      </c>
      <c r="J49" s="3124"/>
      <c r="K49" s="3124">
        <v>750</v>
      </c>
      <c r="L49" s="3124">
        <v>2180</v>
      </c>
      <c r="M49" s="3124" t="s">
        <v>1439</v>
      </c>
      <c r="N49" s="3192">
        <v>44075</v>
      </c>
      <c r="O49" s="3192">
        <v>44287</v>
      </c>
      <c r="P49" s="3192">
        <v>44075</v>
      </c>
      <c r="Q49" s="3192">
        <v>44287</v>
      </c>
      <c r="R49" s="3124" t="s">
        <v>433</v>
      </c>
      <c r="S49" s="3124" t="s">
        <v>1842</v>
      </c>
      <c r="T49" s="3124" t="s">
        <v>1850</v>
      </c>
      <c r="U49" t="s">
        <v>1195</v>
      </c>
      <c r="V49" s="3124">
        <v>3150</v>
      </c>
      <c r="W49" s="3193">
        <v>0.30793650793650795</v>
      </c>
      <c r="X49" s="3124">
        <v>970</v>
      </c>
      <c r="Y49" s="3124">
        <v>0</v>
      </c>
      <c r="Z49" s="3124">
        <v>5000</v>
      </c>
      <c r="AA49" s="3124">
        <v>18000</v>
      </c>
      <c r="AB49" t="s">
        <v>1195</v>
      </c>
      <c r="AC49" s="3124"/>
    </row>
    <row r="50" spans="1:29">
      <c r="A50" s="3124">
        <v>49</v>
      </c>
      <c r="B50" s="3124" t="s">
        <v>1839</v>
      </c>
      <c r="C50" s="3124" t="s">
        <v>1528</v>
      </c>
      <c r="D50" s="3124" t="s">
        <v>1533</v>
      </c>
      <c r="E50" s="3361" t="s">
        <v>1530</v>
      </c>
      <c r="F50" s="3234" t="s">
        <v>1872</v>
      </c>
      <c r="G50" s="3124" t="s">
        <v>1873</v>
      </c>
      <c r="H50" s="3124">
        <v>8</v>
      </c>
      <c r="I50" s="3124">
        <v>8</v>
      </c>
      <c r="J50" s="3124"/>
      <c r="K50" s="3124">
        <v>750</v>
      </c>
      <c r="L50" s="3124">
        <v>2180</v>
      </c>
      <c r="M50" s="3124" t="s">
        <v>1439</v>
      </c>
      <c r="N50" s="3192">
        <v>44105</v>
      </c>
      <c r="O50" s="3192">
        <v>44317</v>
      </c>
      <c r="P50" s="3192">
        <v>44105</v>
      </c>
      <c r="Q50" s="3192">
        <v>44317</v>
      </c>
      <c r="R50" s="3124" t="s">
        <v>433</v>
      </c>
      <c r="S50" s="3124" t="s">
        <v>1842</v>
      </c>
      <c r="T50" s="3124" t="s">
        <v>1850</v>
      </c>
      <c r="U50" t="s">
        <v>1869</v>
      </c>
      <c r="V50" s="3124">
        <v>3150</v>
      </c>
      <c r="W50" s="3193">
        <v>0.30793650793650795</v>
      </c>
      <c r="X50" s="3124">
        <v>970</v>
      </c>
      <c r="Y50" s="3124">
        <v>0</v>
      </c>
      <c r="Z50" s="3124">
        <v>5000</v>
      </c>
      <c r="AA50" s="3124">
        <v>18000</v>
      </c>
      <c r="AB50" t="s">
        <v>1869</v>
      </c>
      <c r="AC50" s="3124"/>
    </row>
    <row r="51" spans="1:29">
      <c r="A51" s="3124">
        <v>50</v>
      </c>
      <c r="B51" s="3124" t="s">
        <v>1839</v>
      </c>
      <c r="C51" s="3124" t="s">
        <v>1532</v>
      </c>
      <c r="D51" s="3124" t="s">
        <v>1680</v>
      </c>
      <c r="E51" t="s">
        <v>1534</v>
      </c>
      <c r="F51" s="3234" t="s">
        <v>1874</v>
      </c>
      <c r="G51" s="3124" t="s">
        <v>1875</v>
      </c>
      <c r="H51" s="3124">
        <v>8</v>
      </c>
      <c r="I51" s="3124">
        <v>8</v>
      </c>
      <c r="J51" s="3124"/>
      <c r="K51" s="3124">
        <v>750</v>
      </c>
      <c r="L51" s="3124">
        <v>2180</v>
      </c>
      <c r="M51" s="3124" t="s">
        <v>1439</v>
      </c>
      <c r="N51" s="3192">
        <v>44105</v>
      </c>
      <c r="O51" s="3192">
        <v>44317</v>
      </c>
      <c r="P51" s="3192">
        <v>44105</v>
      </c>
      <c r="Q51" s="3192">
        <v>44317</v>
      </c>
      <c r="R51" s="3124" t="s">
        <v>433</v>
      </c>
      <c r="S51" s="3124" t="s">
        <v>1842</v>
      </c>
      <c r="T51" s="3124" t="s">
        <v>1850</v>
      </c>
      <c r="U51" t="s">
        <v>1195</v>
      </c>
      <c r="V51" s="3124">
        <v>3150</v>
      </c>
      <c r="W51" s="3193">
        <v>0.30793650793650795</v>
      </c>
      <c r="X51" s="3124">
        <v>970</v>
      </c>
      <c r="Y51" s="3124">
        <v>0</v>
      </c>
      <c r="Z51" s="3124">
        <v>5000</v>
      </c>
      <c r="AA51" s="3124">
        <v>18000</v>
      </c>
      <c r="AB51" t="s">
        <v>1195</v>
      </c>
      <c r="AC51" s="3124"/>
    </row>
    <row r="52" spans="1:29">
      <c r="A52" s="3124">
        <v>51</v>
      </c>
      <c r="B52" s="3124" t="s">
        <v>1621</v>
      </c>
      <c r="C52" s="3124" t="s">
        <v>670</v>
      </c>
      <c r="D52" s="3124" t="s">
        <v>671</v>
      </c>
      <c r="E52" t="s">
        <v>672</v>
      </c>
      <c r="F52" s="3234">
        <v>99811681090</v>
      </c>
      <c r="G52" s="3124" t="s">
        <v>1876</v>
      </c>
      <c r="H52" s="3124">
        <v>20</v>
      </c>
      <c r="I52" s="3124">
        <v>20</v>
      </c>
      <c r="J52" s="3124"/>
      <c r="K52" s="3124">
        <v>2000</v>
      </c>
      <c r="L52" s="3124">
        <v>2180.0000000000005</v>
      </c>
      <c r="M52" s="3124" t="s">
        <v>564</v>
      </c>
      <c r="N52" s="3192"/>
      <c r="O52" s="3192">
        <v>578</v>
      </c>
      <c r="P52" s="3192">
        <v>0</v>
      </c>
      <c r="Q52" s="3192">
        <v>578</v>
      </c>
      <c r="R52" s="3124" t="s">
        <v>433</v>
      </c>
      <c r="S52" s="3124" t="s">
        <v>1640</v>
      </c>
      <c r="T52" s="3124" t="s">
        <v>1850</v>
      </c>
      <c r="U52" t="s">
        <v>1869</v>
      </c>
      <c r="V52" s="3124">
        <v>3150</v>
      </c>
      <c r="W52" s="3193">
        <v>0.30793650793650779</v>
      </c>
      <c r="X52" s="3124">
        <v>969.99999999999955</v>
      </c>
      <c r="Y52" s="3124">
        <v>0</v>
      </c>
      <c r="Z52" s="3124">
        <v>5000</v>
      </c>
      <c r="AA52" s="3124">
        <v>18000</v>
      </c>
      <c r="AB52" t="s">
        <v>1869</v>
      </c>
      <c r="AC52" s="3124"/>
    </row>
    <row r="53" spans="1:29">
      <c r="A53" s="3124">
        <v>52</v>
      </c>
      <c r="B53" s="3124" t="s">
        <v>1839</v>
      </c>
      <c r="C53" s="3124" t="s">
        <v>1481</v>
      </c>
      <c r="D53" s="3124" t="s">
        <v>1536</v>
      </c>
      <c r="E53" t="s">
        <v>1482</v>
      </c>
      <c r="F53" s="3234">
        <v>5583682259</v>
      </c>
      <c r="G53" s="3124" t="s">
        <v>2622</v>
      </c>
      <c r="H53" s="3124">
        <v>8</v>
      </c>
      <c r="I53" s="3124">
        <v>8</v>
      </c>
      <c r="J53" s="3124"/>
      <c r="K53" s="3124">
        <v>0</v>
      </c>
      <c r="L53" s="3124">
        <v>1800</v>
      </c>
      <c r="M53" s="3124" t="s">
        <v>1439</v>
      </c>
      <c r="N53" s="3192">
        <v>44075</v>
      </c>
      <c r="O53" s="3192">
        <v>44287</v>
      </c>
      <c r="P53" s="3192">
        <v>44075</v>
      </c>
      <c r="Q53" s="3192">
        <v>44287</v>
      </c>
      <c r="R53" s="3124" t="s">
        <v>433</v>
      </c>
      <c r="S53" s="3124" t="s">
        <v>1842</v>
      </c>
      <c r="T53" s="3124" t="s">
        <v>1850</v>
      </c>
      <c r="U53" t="s">
        <v>1195</v>
      </c>
      <c r="V53" s="3124">
        <v>3150</v>
      </c>
      <c r="W53" s="3193">
        <v>0.42857142857142855</v>
      </c>
      <c r="X53" s="3124">
        <v>1350</v>
      </c>
      <c r="Y53" s="3124">
        <v>0</v>
      </c>
      <c r="Z53" s="3124">
        <v>5000</v>
      </c>
      <c r="AA53" s="3124">
        <v>18000</v>
      </c>
      <c r="AB53" t="s">
        <v>1195</v>
      </c>
      <c r="AC53" s="3124"/>
    </row>
    <row r="54" spans="1:29">
      <c r="A54" s="3124">
        <v>53</v>
      </c>
      <c r="B54" s="3124" t="s">
        <v>1630</v>
      </c>
      <c r="C54" s="3124" t="s">
        <v>317</v>
      </c>
      <c r="D54" s="3124" t="s">
        <v>1485</v>
      </c>
      <c r="E54" t="s">
        <v>319</v>
      </c>
      <c r="F54" s="3234" t="s">
        <v>1877</v>
      </c>
      <c r="G54" s="3124" t="s">
        <v>1878</v>
      </c>
      <c r="H54" s="3124">
        <v>36</v>
      </c>
      <c r="I54" s="3124">
        <v>8</v>
      </c>
      <c r="J54" s="3124"/>
      <c r="K54" s="3124">
        <v>0</v>
      </c>
      <c r="L54" s="3124">
        <v>0</v>
      </c>
      <c r="M54" s="3124" t="s">
        <v>1805</v>
      </c>
      <c r="N54" s="3192">
        <v>43831</v>
      </c>
      <c r="O54" s="3192">
        <v>44044</v>
      </c>
      <c r="P54" s="3192">
        <v>43831</v>
      </c>
      <c r="Q54" s="3192">
        <v>44896</v>
      </c>
      <c r="R54" s="3124" t="s">
        <v>433</v>
      </c>
      <c r="S54" s="3124" t="s">
        <v>1658</v>
      </c>
      <c r="T54" s="3124" t="s">
        <v>1850</v>
      </c>
      <c r="U54" t="s">
        <v>1195</v>
      </c>
      <c r="V54" s="3124">
        <v>3150</v>
      </c>
      <c r="W54" s="3193">
        <v>1</v>
      </c>
      <c r="X54" s="3124">
        <v>3150</v>
      </c>
      <c r="Y54" s="3124">
        <v>4</v>
      </c>
      <c r="Z54" s="3124">
        <v>0</v>
      </c>
      <c r="AA54" s="3124">
        <v>18000</v>
      </c>
      <c r="AB54" t="s">
        <v>1195</v>
      </c>
      <c r="AC54" s="3124"/>
    </row>
    <row r="55" spans="1:29">
      <c r="A55" s="3124">
        <v>54</v>
      </c>
      <c r="B55" s="3124" t="s">
        <v>1839</v>
      </c>
      <c r="C55" s="3124" t="s">
        <v>744</v>
      </c>
      <c r="D55" s="3124" t="s">
        <v>318</v>
      </c>
      <c r="E55" t="s">
        <v>1489</v>
      </c>
      <c r="F55" s="3234">
        <v>3313451175</v>
      </c>
      <c r="G55" s="3124" t="s">
        <v>1879</v>
      </c>
      <c r="H55" s="3124">
        <v>8</v>
      </c>
      <c r="I55" s="3124">
        <v>8</v>
      </c>
      <c r="J55" s="3124"/>
      <c r="K55" s="3124">
        <v>750</v>
      </c>
      <c r="L55" s="3124">
        <v>2180</v>
      </c>
      <c r="M55" s="3124" t="s">
        <v>1439</v>
      </c>
      <c r="N55" s="3192">
        <v>44075</v>
      </c>
      <c r="O55" s="3192">
        <v>44287</v>
      </c>
      <c r="P55" s="3192">
        <v>44075</v>
      </c>
      <c r="Q55" s="3192">
        <v>44287</v>
      </c>
      <c r="R55" s="3124" t="s">
        <v>433</v>
      </c>
      <c r="S55" s="3124" t="s">
        <v>1842</v>
      </c>
      <c r="T55" s="3124" t="s">
        <v>1850</v>
      </c>
      <c r="U55" t="s">
        <v>1195</v>
      </c>
      <c r="V55" s="3124">
        <v>3150</v>
      </c>
      <c r="W55" s="3193">
        <v>0.30793650793650795</v>
      </c>
      <c r="X55" s="3124">
        <v>970</v>
      </c>
      <c r="Y55" s="3124">
        <v>0</v>
      </c>
      <c r="Z55" s="3124">
        <v>5000</v>
      </c>
      <c r="AA55" s="3124">
        <v>18000</v>
      </c>
      <c r="AB55" t="s">
        <v>1195</v>
      </c>
      <c r="AC55" s="3124"/>
    </row>
    <row r="56" spans="1:29">
      <c r="A56" s="3124">
        <v>55</v>
      </c>
      <c r="B56" s="3124" t="s">
        <v>1839</v>
      </c>
      <c r="C56" s="3124" t="s">
        <v>1538</v>
      </c>
      <c r="D56" s="3124" t="s">
        <v>1541</v>
      </c>
      <c r="E56" t="s">
        <v>1681</v>
      </c>
      <c r="F56" s="3234" t="s">
        <v>1880</v>
      </c>
      <c r="G56" s="3124" t="s">
        <v>1881</v>
      </c>
      <c r="H56" s="3124">
        <v>8</v>
      </c>
      <c r="I56" s="3124">
        <v>8</v>
      </c>
      <c r="J56" s="3124"/>
      <c r="K56" s="3124">
        <v>750</v>
      </c>
      <c r="L56" s="3124">
        <v>2180</v>
      </c>
      <c r="M56" s="3124" t="s">
        <v>1439</v>
      </c>
      <c r="N56" s="3192">
        <v>44075</v>
      </c>
      <c r="O56" s="3192">
        <v>44287</v>
      </c>
      <c r="P56" s="3192">
        <v>44075</v>
      </c>
      <c r="Q56" s="3192">
        <v>44287</v>
      </c>
      <c r="R56" s="3124" t="s">
        <v>432</v>
      </c>
      <c r="S56" s="3124" t="s">
        <v>1842</v>
      </c>
      <c r="T56" s="3124" t="s">
        <v>1850</v>
      </c>
      <c r="U56" t="s">
        <v>1761</v>
      </c>
      <c r="V56" s="3124">
        <v>3150</v>
      </c>
      <c r="W56" s="3193">
        <v>0.30793650793650795</v>
      </c>
      <c r="X56" s="3124">
        <v>970</v>
      </c>
      <c r="Y56" s="3124">
        <v>0</v>
      </c>
      <c r="Z56" s="3124">
        <v>5000</v>
      </c>
      <c r="AA56" s="3124">
        <v>18000</v>
      </c>
      <c r="AB56" t="s">
        <v>1195</v>
      </c>
      <c r="AC56" s="3124"/>
    </row>
    <row r="57" spans="1:29">
      <c r="A57" s="3124">
        <v>56</v>
      </c>
      <c r="B57" s="3124" t="s">
        <v>1839</v>
      </c>
      <c r="C57" s="3124" t="s">
        <v>748</v>
      </c>
      <c r="D57" s="3124" t="s">
        <v>1491</v>
      </c>
      <c r="E57" t="s">
        <v>749</v>
      </c>
      <c r="F57" s="3234" t="s">
        <v>1882</v>
      </c>
      <c r="G57" s="3124" t="s">
        <v>1883</v>
      </c>
      <c r="H57" s="3124">
        <v>4</v>
      </c>
      <c r="I57" s="3124">
        <v>8</v>
      </c>
      <c r="J57" s="3124"/>
      <c r="K57" s="3124"/>
      <c r="L57" s="3124">
        <v>2180</v>
      </c>
      <c r="M57" s="3124" t="s">
        <v>1439</v>
      </c>
      <c r="N57" s="3192">
        <v>44075</v>
      </c>
      <c r="O57" s="3192">
        <v>44287</v>
      </c>
      <c r="P57" s="3192">
        <v>44075</v>
      </c>
      <c r="Q57" s="3192">
        <v>44166</v>
      </c>
      <c r="R57" s="3124" t="s">
        <v>432</v>
      </c>
      <c r="S57" s="3124" t="s">
        <v>1842</v>
      </c>
      <c r="T57" s="3124" t="s">
        <v>1850</v>
      </c>
      <c r="U57" t="s">
        <v>1195</v>
      </c>
      <c r="V57" s="3124">
        <v>3150</v>
      </c>
      <c r="W57" s="3193">
        <v>0.30793650793650795</v>
      </c>
      <c r="X57" s="3124">
        <v>970</v>
      </c>
      <c r="Y57" s="3124">
        <v>0</v>
      </c>
      <c r="Z57" s="3124">
        <v>5000</v>
      </c>
      <c r="AA57" s="3124">
        <v>18000</v>
      </c>
      <c r="AB57" t="s">
        <v>1195</v>
      </c>
      <c r="AC57" s="3124"/>
    </row>
    <row r="58" spans="1:29">
      <c r="A58" s="3124">
        <v>57</v>
      </c>
      <c r="B58" s="3124" t="s">
        <v>1839</v>
      </c>
      <c r="C58" s="3124" t="s">
        <v>1498</v>
      </c>
      <c r="D58" s="3124" t="s">
        <v>1496</v>
      </c>
      <c r="E58" t="s">
        <v>1500</v>
      </c>
      <c r="F58" s="3234" t="s">
        <v>1884</v>
      </c>
      <c r="G58" s="3124" t="s">
        <v>1885</v>
      </c>
      <c r="H58" s="3124">
        <v>8</v>
      </c>
      <c r="I58" s="3124">
        <v>8</v>
      </c>
      <c r="J58" s="3124"/>
      <c r="K58" s="3124">
        <v>750</v>
      </c>
      <c r="L58" s="3124">
        <v>2180</v>
      </c>
      <c r="M58" s="3124" t="s">
        <v>1439</v>
      </c>
      <c r="N58" s="3192">
        <v>44075</v>
      </c>
      <c r="O58" s="3192">
        <v>44287</v>
      </c>
      <c r="P58" s="3192">
        <v>44075</v>
      </c>
      <c r="Q58" s="3192">
        <v>44287</v>
      </c>
      <c r="R58" s="3124" t="s">
        <v>432</v>
      </c>
      <c r="S58" s="3124" t="s">
        <v>1842</v>
      </c>
      <c r="T58" s="3124" t="s">
        <v>1850</v>
      </c>
      <c r="U58" t="s">
        <v>1761</v>
      </c>
      <c r="V58" s="3124">
        <v>3150</v>
      </c>
      <c r="W58" s="3193">
        <v>0.30793650793650795</v>
      </c>
      <c r="X58" s="3124">
        <v>970</v>
      </c>
      <c r="Y58" s="3124">
        <v>0</v>
      </c>
      <c r="Z58" s="3124">
        <v>5000</v>
      </c>
      <c r="AA58" s="3124">
        <v>18000</v>
      </c>
      <c r="AB58" t="s">
        <v>1195</v>
      </c>
      <c r="AC58" s="3124"/>
    </row>
    <row r="59" spans="1:29">
      <c r="A59" s="3124">
        <v>58</v>
      </c>
      <c r="B59" s="3124" t="s">
        <v>1839</v>
      </c>
      <c r="C59" s="3124" t="s">
        <v>1540</v>
      </c>
      <c r="D59" s="3124" t="s">
        <v>1544</v>
      </c>
      <c r="E59" t="s">
        <v>4523</v>
      </c>
      <c r="F59" s="3234" t="s">
        <v>1886</v>
      </c>
      <c r="G59" s="3124" t="s">
        <v>1887</v>
      </c>
      <c r="H59" s="3124">
        <v>8</v>
      </c>
      <c r="I59" s="3124">
        <v>8</v>
      </c>
      <c r="J59" s="3124"/>
      <c r="K59" s="3124">
        <v>750</v>
      </c>
      <c r="L59" s="3124">
        <v>2180</v>
      </c>
      <c r="M59" s="3124" t="s">
        <v>1439</v>
      </c>
      <c r="N59" s="3192">
        <v>44075</v>
      </c>
      <c r="O59" s="3192">
        <v>44287</v>
      </c>
      <c r="P59" s="3192">
        <v>44075</v>
      </c>
      <c r="Q59" s="3192">
        <v>44287</v>
      </c>
      <c r="R59" s="3124" t="s">
        <v>433</v>
      </c>
      <c r="S59" s="3124" t="s">
        <v>1842</v>
      </c>
      <c r="T59" s="3124" t="s">
        <v>1850</v>
      </c>
      <c r="U59" t="s">
        <v>1869</v>
      </c>
      <c r="V59" s="3124">
        <v>3150</v>
      </c>
      <c r="W59" s="3193">
        <v>0.30793650793650795</v>
      </c>
      <c r="X59" s="3124">
        <v>970</v>
      </c>
      <c r="Y59" s="3124">
        <v>0</v>
      </c>
      <c r="Z59" s="3124">
        <v>5000</v>
      </c>
      <c r="AA59" s="3124">
        <v>18000</v>
      </c>
      <c r="AB59" t="s">
        <v>1869</v>
      </c>
      <c r="AC59" s="3124"/>
    </row>
    <row r="60" spans="1:29">
      <c r="A60" s="3124">
        <v>59</v>
      </c>
      <c r="B60" s="3124" t="s">
        <v>1839</v>
      </c>
      <c r="C60" s="3124" t="s">
        <v>1503</v>
      </c>
      <c r="D60" s="3124" t="s">
        <v>1502</v>
      </c>
      <c r="E60" t="s">
        <v>1505</v>
      </c>
      <c r="F60" s="3234">
        <v>9987047195</v>
      </c>
      <c r="G60" s="3124" t="s">
        <v>1888</v>
      </c>
      <c r="H60" s="3124">
        <v>8</v>
      </c>
      <c r="I60" s="3124">
        <v>8</v>
      </c>
      <c r="J60" s="3124"/>
      <c r="K60" s="3124">
        <v>750</v>
      </c>
      <c r="L60" s="3124">
        <v>2180</v>
      </c>
      <c r="M60" s="3124" t="s">
        <v>1439</v>
      </c>
      <c r="N60" s="3192">
        <v>44075</v>
      </c>
      <c r="O60" s="3192">
        <v>44287</v>
      </c>
      <c r="P60" s="3192">
        <v>44075</v>
      </c>
      <c r="Q60" s="3192">
        <v>44287</v>
      </c>
      <c r="R60" s="3124" t="s">
        <v>432</v>
      </c>
      <c r="S60" s="3124" t="s">
        <v>1842</v>
      </c>
      <c r="T60" s="3124" t="s">
        <v>1850</v>
      </c>
      <c r="U60" t="s">
        <v>1195</v>
      </c>
      <c r="V60" s="3124">
        <v>3150</v>
      </c>
      <c r="W60" s="3193">
        <v>0.30793650793650795</v>
      </c>
      <c r="X60" s="3124">
        <v>970</v>
      </c>
      <c r="Y60" s="3124">
        <v>0</v>
      </c>
      <c r="Z60" s="3124">
        <v>5000</v>
      </c>
      <c r="AA60" s="3124">
        <v>18000</v>
      </c>
      <c r="AB60" t="s">
        <v>1195</v>
      </c>
      <c r="AC60" s="3124"/>
    </row>
    <row r="61" spans="1:29">
      <c r="A61" s="3124">
        <v>60</v>
      </c>
      <c r="B61" s="3124" t="s">
        <v>1839</v>
      </c>
      <c r="C61" s="3124" t="s">
        <v>1506</v>
      </c>
      <c r="D61" s="3124" t="s">
        <v>1504</v>
      </c>
      <c r="E61" t="s">
        <v>1508</v>
      </c>
      <c r="F61" s="3234" t="s">
        <v>1889</v>
      </c>
      <c r="G61" s="3124" t="s">
        <v>2623</v>
      </c>
      <c r="H61" s="3124">
        <v>8</v>
      </c>
      <c r="I61" s="3124">
        <v>8</v>
      </c>
      <c r="J61" s="3124"/>
      <c r="K61" s="3124">
        <v>750</v>
      </c>
      <c r="L61" s="3124">
        <v>2180</v>
      </c>
      <c r="M61" s="3124" t="s">
        <v>1439</v>
      </c>
      <c r="N61" s="3192">
        <v>44136</v>
      </c>
      <c r="O61" s="3192">
        <v>44348</v>
      </c>
      <c r="P61" s="3192">
        <v>44136</v>
      </c>
      <c r="Q61" s="3192">
        <v>44348</v>
      </c>
      <c r="R61" s="3124" t="s">
        <v>432</v>
      </c>
      <c r="S61" s="3124" t="s">
        <v>1842</v>
      </c>
      <c r="T61" s="3124" t="s">
        <v>1850</v>
      </c>
      <c r="U61" t="s">
        <v>1195</v>
      </c>
      <c r="V61" s="3124">
        <v>3150</v>
      </c>
      <c r="W61" s="3193">
        <v>0.30793650793650795</v>
      </c>
      <c r="X61" s="3124">
        <v>970</v>
      </c>
      <c r="Y61" s="3124">
        <v>0</v>
      </c>
      <c r="Z61" s="3124">
        <v>5000</v>
      </c>
      <c r="AA61" s="3124">
        <v>18000</v>
      </c>
      <c r="AB61" t="s">
        <v>1195</v>
      </c>
      <c r="AC61" s="3124"/>
    </row>
    <row r="62" spans="1:29">
      <c r="A62" s="3124">
        <v>61</v>
      </c>
      <c r="B62" s="3124" t="s">
        <v>1839</v>
      </c>
      <c r="C62" s="3124" t="s">
        <v>1512</v>
      </c>
      <c r="D62" s="3124" t="s">
        <v>1510</v>
      </c>
      <c r="E62" t="s">
        <v>1514</v>
      </c>
      <c r="F62" s="3234" t="s">
        <v>1890</v>
      </c>
      <c r="G62" s="3124" t="s">
        <v>2624</v>
      </c>
      <c r="H62" s="3124">
        <v>8</v>
      </c>
      <c r="I62" s="3124">
        <v>8</v>
      </c>
      <c r="J62" s="3124"/>
      <c r="K62" s="3124">
        <v>750</v>
      </c>
      <c r="L62" s="3124">
        <v>2180</v>
      </c>
      <c r="M62" s="3124" t="s">
        <v>1439</v>
      </c>
      <c r="N62" s="3192">
        <v>44075</v>
      </c>
      <c r="O62" s="3192">
        <v>44287</v>
      </c>
      <c r="P62" s="3192">
        <v>44075</v>
      </c>
      <c r="Q62" s="3192">
        <v>44287</v>
      </c>
      <c r="R62" s="3124" t="s">
        <v>432</v>
      </c>
      <c r="S62" s="3124" t="s">
        <v>1842</v>
      </c>
      <c r="T62" s="3124" t="s">
        <v>1850</v>
      </c>
      <c r="U62" t="s">
        <v>1195</v>
      </c>
      <c r="V62" s="3124">
        <v>3150</v>
      </c>
      <c r="W62" s="3193">
        <v>0.30793650793650795</v>
      </c>
      <c r="X62" s="3124">
        <v>970</v>
      </c>
      <c r="Y62" s="3124">
        <v>0</v>
      </c>
      <c r="Z62" s="3124">
        <v>5000</v>
      </c>
      <c r="AA62" s="3124">
        <v>18000</v>
      </c>
      <c r="AB62" t="s">
        <v>1195</v>
      </c>
      <c r="AC62" s="3124"/>
    </row>
    <row r="63" spans="1:29">
      <c r="A63" s="3124">
        <v>62</v>
      </c>
      <c r="B63" s="3124" t="s">
        <v>1630</v>
      </c>
      <c r="C63" s="3124" t="s">
        <v>399</v>
      </c>
      <c r="D63" s="3124" t="s">
        <v>400</v>
      </c>
      <c r="E63" t="s">
        <v>401</v>
      </c>
      <c r="F63" s="3234">
        <v>9841448933</v>
      </c>
      <c r="G63" s="3124" t="s">
        <v>1891</v>
      </c>
      <c r="H63" s="3124">
        <v>36</v>
      </c>
      <c r="I63" s="3124">
        <v>36</v>
      </c>
      <c r="J63" s="3124"/>
      <c r="K63" s="3124">
        <v>1000</v>
      </c>
      <c r="L63" s="3124">
        <v>1350</v>
      </c>
      <c r="M63" s="3124" t="s">
        <v>1827</v>
      </c>
      <c r="N63" s="3192">
        <v>43709</v>
      </c>
      <c r="O63" s="3192">
        <v>44866</v>
      </c>
      <c r="P63" s="3192">
        <v>43709</v>
      </c>
      <c r="Q63" s="3192">
        <v>44774</v>
      </c>
      <c r="R63" s="3124" t="s">
        <v>433</v>
      </c>
      <c r="S63" s="3124" t="s">
        <v>1658</v>
      </c>
      <c r="T63" s="3124" t="s">
        <v>2618</v>
      </c>
      <c r="U63" t="s">
        <v>1195</v>
      </c>
      <c r="V63" s="3124">
        <v>5000</v>
      </c>
      <c r="W63" s="3193">
        <v>0.73</v>
      </c>
      <c r="X63" s="3124">
        <v>3650</v>
      </c>
      <c r="Y63" s="3124">
        <v>4</v>
      </c>
      <c r="Z63" s="3124">
        <v>0</v>
      </c>
      <c r="AA63" s="3124">
        <v>25000</v>
      </c>
      <c r="AB63" t="s">
        <v>1195</v>
      </c>
      <c r="AC63" s="3124"/>
    </row>
    <row r="64" spans="1:29">
      <c r="A64" s="3124">
        <v>63</v>
      </c>
      <c r="B64" s="3124" t="s">
        <v>1621</v>
      </c>
      <c r="C64" s="3124" t="s">
        <v>1892</v>
      </c>
      <c r="D64" s="3124" t="s">
        <v>1893</v>
      </c>
      <c r="E64" t="s">
        <v>1894</v>
      </c>
      <c r="F64" s="3234">
        <v>9981593667</v>
      </c>
      <c r="G64" s="3124" t="s">
        <v>1895</v>
      </c>
      <c r="H64" s="3124">
        <v>20</v>
      </c>
      <c r="I64" s="3124">
        <v>20</v>
      </c>
      <c r="J64" s="3124"/>
      <c r="K64" s="3124">
        <v>2000</v>
      </c>
      <c r="L64" s="3124">
        <v>1800</v>
      </c>
      <c r="M64" s="3124" t="s">
        <v>1896</v>
      </c>
      <c r="N64" s="3192">
        <v>43709</v>
      </c>
      <c r="O64" s="3192">
        <v>44287</v>
      </c>
      <c r="P64" s="3192">
        <v>43709</v>
      </c>
      <c r="Q64" s="3192">
        <v>44287</v>
      </c>
      <c r="R64" s="3124" t="s">
        <v>432</v>
      </c>
      <c r="S64" s="3124" t="s">
        <v>1640</v>
      </c>
      <c r="T64" s="3124" t="s">
        <v>1850</v>
      </c>
      <c r="U64" t="s">
        <v>1195</v>
      </c>
      <c r="V64" s="3124">
        <v>5000</v>
      </c>
      <c r="W64" s="3193">
        <v>0.64</v>
      </c>
      <c r="X64" s="3124">
        <v>3200</v>
      </c>
      <c r="Y64" s="3124">
        <v>2</v>
      </c>
      <c r="Z64" s="3124">
        <v>0</v>
      </c>
      <c r="AA64" s="3124">
        <v>25000</v>
      </c>
      <c r="AB64" t="s">
        <v>1195</v>
      </c>
      <c r="AC64" s="3124"/>
    </row>
    <row r="65" spans="1:29">
      <c r="A65" s="3124">
        <v>64</v>
      </c>
      <c r="B65" s="3124" t="s">
        <v>1621</v>
      </c>
      <c r="C65" s="3124" t="s">
        <v>1897</v>
      </c>
      <c r="D65" s="3124" t="s">
        <v>1898</v>
      </c>
      <c r="E65" t="s">
        <v>1899</v>
      </c>
      <c r="F65" s="3234">
        <v>9514979626</v>
      </c>
      <c r="G65" s="3124" t="s">
        <v>1900</v>
      </c>
      <c r="H65" s="3124">
        <v>20</v>
      </c>
      <c r="I65" s="3124">
        <v>20</v>
      </c>
      <c r="J65" s="3124"/>
      <c r="K65" s="3124">
        <v>2000</v>
      </c>
      <c r="L65" s="3124">
        <v>2180.0000000000005</v>
      </c>
      <c r="M65" s="3124" t="s">
        <v>1896</v>
      </c>
      <c r="N65" s="3192">
        <v>43466</v>
      </c>
      <c r="O65" s="3192">
        <v>44044</v>
      </c>
      <c r="P65" s="3192">
        <v>43466</v>
      </c>
      <c r="Q65" s="3192">
        <v>44044</v>
      </c>
      <c r="R65" s="3124" t="s">
        <v>433</v>
      </c>
      <c r="S65" s="3124" t="s">
        <v>1640</v>
      </c>
      <c r="T65" s="3124" t="s">
        <v>1850</v>
      </c>
      <c r="U65" t="s">
        <v>1195</v>
      </c>
      <c r="V65" s="3124">
        <v>5000</v>
      </c>
      <c r="W65" s="3193">
        <v>0.56399999999999995</v>
      </c>
      <c r="X65" s="3124">
        <v>2819.9999999999995</v>
      </c>
      <c r="Y65" s="3124">
        <v>2</v>
      </c>
      <c r="Z65" s="3124">
        <v>0</v>
      </c>
      <c r="AA65" s="3124">
        <v>25000</v>
      </c>
      <c r="AB65" t="s">
        <v>1195</v>
      </c>
      <c r="AC65" s="3124"/>
    </row>
    <row r="66" spans="1:29">
      <c r="A66" s="3124">
        <v>65</v>
      </c>
      <c r="B66" s="3124" t="s">
        <v>1621</v>
      </c>
      <c r="C66" s="3217" t="s">
        <v>1901</v>
      </c>
      <c r="D66" s="3124" t="s">
        <v>1902</v>
      </c>
      <c r="E66" s="3155" t="s">
        <v>4524</v>
      </c>
      <c r="F66" s="3234" t="s">
        <v>1903</v>
      </c>
      <c r="G66" s="3124" t="s">
        <v>1904</v>
      </c>
      <c r="H66" s="3124">
        <v>20</v>
      </c>
      <c r="I66" s="3124">
        <v>20</v>
      </c>
      <c r="J66" s="3124"/>
      <c r="K66" s="3124">
        <v>2000</v>
      </c>
      <c r="L66" s="3124">
        <v>2000</v>
      </c>
      <c r="M66" s="3124" t="s">
        <v>1896</v>
      </c>
      <c r="N66" s="3192">
        <v>43709</v>
      </c>
      <c r="O66" s="3192">
        <v>44287</v>
      </c>
      <c r="P66" s="3192">
        <v>43709</v>
      </c>
      <c r="Q66" s="3192">
        <v>44287</v>
      </c>
      <c r="R66" s="3124" t="s">
        <v>433</v>
      </c>
      <c r="S66" s="3124" t="s">
        <v>1640</v>
      </c>
      <c r="T66" s="3124" t="s">
        <v>1850</v>
      </c>
      <c r="U66" t="s">
        <v>1195</v>
      </c>
      <c r="V66" s="3124">
        <v>5000</v>
      </c>
      <c r="W66" s="3193">
        <v>0.6</v>
      </c>
      <c r="X66" s="3124">
        <v>3000</v>
      </c>
      <c r="Y66" s="3124">
        <v>2</v>
      </c>
      <c r="Z66" s="3124">
        <v>0</v>
      </c>
      <c r="AA66" s="3124">
        <v>25000</v>
      </c>
      <c r="AB66" t="s">
        <v>1195</v>
      </c>
      <c r="AC66" s="3124"/>
    </row>
    <row r="67" spans="1:29">
      <c r="A67" s="3124">
        <v>66</v>
      </c>
      <c r="B67" s="3124" t="s">
        <v>1621</v>
      </c>
      <c r="C67" s="3124" t="s">
        <v>1212</v>
      </c>
      <c r="D67" s="3124" t="s">
        <v>1905</v>
      </c>
      <c r="E67" s="3130" t="s">
        <v>4525</v>
      </c>
      <c r="F67" s="3234" t="s">
        <v>1906</v>
      </c>
      <c r="G67" s="3190" t="s">
        <v>1907</v>
      </c>
      <c r="H67" s="3124">
        <v>20</v>
      </c>
      <c r="I67" s="3124">
        <v>20</v>
      </c>
      <c r="J67" s="3124"/>
      <c r="K67" s="3124">
        <v>2000</v>
      </c>
      <c r="L67" s="3124">
        <v>1800</v>
      </c>
      <c r="M67" s="3124" t="s">
        <v>1896</v>
      </c>
      <c r="N67" s="3192">
        <v>43709</v>
      </c>
      <c r="O67" s="3192">
        <v>44287</v>
      </c>
      <c r="P67" s="3192">
        <v>43709</v>
      </c>
      <c r="Q67" s="3192">
        <v>44287</v>
      </c>
      <c r="R67" s="3124" t="s">
        <v>432</v>
      </c>
      <c r="S67" s="3124" t="s">
        <v>1640</v>
      </c>
      <c r="T67" s="3124" t="s">
        <v>1850</v>
      </c>
      <c r="U67" t="s">
        <v>1195</v>
      </c>
      <c r="V67" s="3124">
        <v>5000</v>
      </c>
      <c r="W67" s="3193">
        <v>0.64</v>
      </c>
      <c r="X67" s="3124">
        <v>3200</v>
      </c>
      <c r="Y67" s="3124">
        <v>2</v>
      </c>
      <c r="Z67" s="3124">
        <v>0</v>
      </c>
      <c r="AA67" s="3124">
        <v>25000</v>
      </c>
      <c r="AB67" t="s">
        <v>1195</v>
      </c>
      <c r="AC67" s="3124"/>
    </row>
    <row r="68" spans="1:29">
      <c r="A68" s="3124">
        <v>67</v>
      </c>
      <c r="B68" s="3124" t="s">
        <v>1630</v>
      </c>
      <c r="C68" s="3124" t="s">
        <v>155</v>
      </c>
      <c r="D68" s="3124" t="s">
        <v>154</v>
      </c>
      <c r="E68" s="3176" t="s">
        <v>156</v>
      </c>
      <c r="F68" s="3234">
        <v>8118665756</v>
      </c>
      <c r="G68" s="3124" t="s">
        <v>1908</v>
      </c>
      <c r="H68" s="3124">
        <v>36</v>
      </c>
      <c r="I68" s="3124">
        <v>36</v>
      </c>
      <c r="J68" s="3124"/>
      <c r="K68" s="3124">
        <v>1000</v>
      </c>
      <c r="L68" s="3124">
        <v>1350</v>
      </c>
      <c r="M68" s="3124" t="s">
        <v>134</v>
      </c>
      <c r="N68" s="3192">
        <v>44604</v>
      </c>
      <c r="O68" s="3192">
        <v>45669</v>
      </c>
      <c r="P68" s="3192">
        <v>44604</v>
      </c>
      <c r="Q68" s="3192">
        <v>45669</v>
      </c>
      <c r="R68" s="3124" t="s">
        <v>433</v>
      </c>
      <c r="S68" s="3124" t="s">
        <v>1658</v>
      </c>
      <c r="T68" s="3124" t="s">
        <v>1850</v>
      </c>
      <c r="U68" t="s">
        <v>1869</v>
      </c>
      <c r="V68" s="3124">
        <v>5000</v>
      </c>
      <c r="W68" s="3193">
        <v>0.73</v>
      </c>
      <c r="X68" s="3124">
        <v>3650</v>
      </c>
      <c r="Y68" s="3124">
        <v>2</v>
      </c>
      <c r="Z68" s="3124">
        <v>0</v>
      </c>
      <c r="AA68" s="3124">
        <v>25000</v>
      </c>
      <c r="AB68" t="s">
        <v>1869</v>
      </c>
      <c r="AC68" s="3124"/>
    </row>
    <row r="69" spans="1:29">
      <c r="A69" s="3124">
        <v>68</v>
      </c>
      <c r="B69" s="3124" t="s">
        <v>1621</v>
      </c>
      <c r="C69" s="3124" t="s">
        <v>810</v>
      </c>
      <c r="D69" s="3124" t="s">
        <v>811</v>
      </c>
      <c r="E69" t="s">
        <v>812</v>
      </c>
      <c r="F69" s="3234">
        <v>9381341989</v>
      </c>
      <c r="G69" s="3124" t="s">
        <v>1909</v>
      </c>
      <c r="H69" s="3124">
        <v>20</v>
      </c>
      <c r="I69" s="3124">
        <v>20</v>
      </c>
      <c r="J69" s="3124"/>
      <c r="K69" s="3124">
        <v>2000</v>
      </c>
      <c r="L69" s="3124">
        <v>2180.0000000000005</v>
      </c>
      <c r="M69" s="3124" t="s">
        <v>813</v>
      </c>
      <c r="N69" s="3192">
        <v>43831</v>
      </c>
      <c r="O69" s="3192">
        <v>44409</v>
      </c>
      <c r="P69" s="3192">
        <v>43831</v>
      </c>
      <c r="Q69" s="3192">
        <v>44409</v>
      </c>
      <c r="R69" s="3124" t="s">
        <v>433</v>
      </c>
      <c r="S69" s="3124" t="s">
        <v>1640</v>
      </c>
      <c r="T69" s="3124" t="s">
        <v>1838</v>
      </c>
      <c r="U69" t="s">
        <v>1195</v>
      </c>
      <c r="V69" s="3124">
        <v>5000</v>
      </c>
      <c r="W69" s="3193">
        <v>0.56399999999999995</v>
      </c>
      <c r="X69" s="3124">
        <v>2819.9999999999995</v>
      </c>
      <c r="Y69" s="3124">
        <v>2</v>
      </c>
      <c r="Z69" s="3124">
        <v>0</v>
      </c>
      <c r="AA69" s="3124">
        <v>25000</v>
      </c>
      <c r="AB69" t="s">
        <v>1195</v>
      </c>
      <c r="AC69" s="3124"/>
    </row>
    <row r="70" spans="1:29">
      <c r="A70" s="3124">
        <v>69</v>
      </c>
      <c r="B70" s="3124" t="s">
        <v>1621</v>
      </c>
      <c r="C70" s="3124" t="s">
        <v>814</v>
      </c>
      <c r="D70" s="3124" t="s">
        <v>815</v>
      </c>
      <c r="E70" s="3127" t="s">
        <v>816</v>
      </c>
      <c r="F70" s="3234" t="s">
        <v>1910</v>
      </c>
      <c r="G70" s="3124" t="s">
        <v>1911</v>
      </c>
      <c r="H70" s="3124">
        <v>20</v>
      </c>
      <c r="I70" s="3124">
        <v>20</v>
      </c>
      <c r="J70" s="3124"/>
      <c r="K70" s="3124">
        <v>2000</v>
      </c>
      <c r="L70" s="3124">
        <v>2180.0000000000005</v>
      </c>
      <c r="M70" s="3124" t="s">
        <v>813</v>
      </c>
      <c r="N70" s="3192">
        <v>43831</v>
      </c>
      <c r="O70" s="3192">
        <v>44409</v>
      </c>
      <c r="P70" s="3192">
        <v>43831</v>
      </c>
      <c r="Q70" s="3192">
        <v>44409</v>
      </c>
      <c r="R70" s="3124" t="s">
        <v>433</v>
      </c>
      <c r="S70" s="3124" t="s">
        <v>1640</v>
      </c>
      <c r="T70" s="3124" t="s">
        <v>1838</v>
      </c>
      <c r="U70" t="s">
        <v>1195</v>
      </c>
      <c r="V70" s="3124">
        <v>5000</v>
      </c>
      <c r="W70" s="3193">
        <v>0.56399999999999995</v>
      </c>
      <c r="X70" s="3124">
        <v>2819.9999999999995</v>
      </c>
      <c r="Y70" s="3124">
        <v>2</v>
      </c>
      <c r="Z70" s="3124">
        <v>0</v>
      </c>
      <c r="AA70" s="3124">
        <v>25000</v>
      </c>
      <c r="AB70" t="s">
        <v>1195</v>
      </c>
      <c r="AC70" s="3124"/>
    </row>
    <row r="71" spans="1:29">
      <c r="A71" s="3124">
        <v>70</v>
      </c>
      <c r="B71" s="3124" t="s">
        <v>1621</v>
      </c>
      <c r="C71" s="3124" t="s">
        <v>817</v>
      </c>
      <c r="D71" s="3124" t="s">
        <v>818</v>
      </c>
      <c r="E71" t="s">
        <v>819</v>
      </c>
      <c r="F71" s="3234" t="s">
        <v>1912</v>
      </c>
      <c r="G71" s="3124" t="s">
        <v>1913</v>
      </c>
      <c r="H71" s="3124">
        <v>20</v>
      </c>
      <c r="I71" s="3124">
        <v>20</v>
      </c>
      <c r="J71" s="3124"/>
      <c r="K71" s="3124">
        <v>2000</v>
      </c>
      <c r="L71" s="3124">
        <v>2180.0000000000005</v>
      </c>
      <c r="M71" s="3124" t="s">
        <v>813</v>
      </c>
      <c r="N71" s="3192">
        <v>43831</v>
      </c>
      <c r="O71" s="3192">
        <v>44409</v>
      </c>
      <c r="P71" s="3192">
        <v>43831</v>
      </c>
      <c r="Q71" s="3192">
        <v>44409</v>
      </c>
      <c r="R71" s="3124" t="s">
        <v>432</v>
      </c>
      <c r="S71" s="3124" t="s">
        <v>1640</v>
      </c>
      <c r="T71" s="3124" t="s">
        <v>1838</v>
      </c>
      <c r="U71" t="s">
        <v>1195</v>
      </c>
      <c r="V71" s="3124">
        <v>5000</v>
      </c>
      <c r="W71" s="3193">
        <v>0.56399999999999995</v>
      </c>
      <c r="X71" s="3124">
        <v>2819.9999999999995</v>
      </c>
      <c r="Y71" s="3124">
        <v>2</v>
      </c>
      <c r="Z71" s="3124">
        <v>0</v>
      </c>
      <c r="AA71" s="3124">
        <v>25000</v>
      </c>
      <c r="AB71" t="s">
        <v>1195</v>
      </c>
      <c r="AC71" s="3124"/>
    </row>
    <row r="72" spans="1:29">
      <c r="A72" s="3124">
        <v>71</v>
      </c>
      <c r="B72" s="3124" t="s">
        <v>1621</v>
      </c>
      <c r="C72" s="3124" t="s">
        <v>820</v>
      </c>
      <c r="D72" s="3124" t="s">
        <v>821</v>
      </c>
      <c r="E72" t="s">
        <v>822</v>
      </c>
      <c r="F72" s="3234" t="s">
        <v>1914</v>
      </c>
      <c r="G72" s="3124" t="s">
        <v>1915</v>
      </c>
      <c r="H72" s="3124">
        <v>20</v>
      </c>
      <c r="I72" s="3124">
        <v>20</v>
      </c>
      <c r="J72" s="3124"/>
      <c r="K72" s="3124">
        <v>2000</v>
      </c>
      <c r="L72" s="3124">
        <v>2180.0000000000005</v>
      </c>
      <c r="M72" s="3124" t="s">
        <v>813</v>
      </c>
      <c r="N72" s="3192">
        <v>43831</v>
      </c>
      <c r="O72" s="3192">
        <v>44409</v>
      </c>
      <c r="P72" s="3192">
        <v>43831</v>
      </c>
      <c r="Q72" s="3192">
        <v>44409</v>
      </c>
      <c r="R72" s="3124" t="s">
        <v>432</v>
      </c>
      <c r="S72" s="3124" t="s">
        <v>1640</v>
      </c>
      <c r="T72" s="3124" t="s">
        <v>1838</v>
      </c>
      <c r="U72" t="s">
        <v>1195</v>
      </c>
      <c r="V72" s="3124">
        <v>5000</v>
      </c>
      <c r="W72" s="3193">
        <v>0.56399999999999995</v>
      </c>
      <c r="X72" s="3124">
        <v>2819.9999999999995</v>
      </c>
      <c r="Y72" s="3124">
        <v>2</v>
      </c>
      <c r="Z72" s="3124">
        <v>0</v>
      </c>
      <c r="AA72" s="3124">
        <v>25000</v>
      </c>
      <c r="AB72" t="s">
        <v>1195</v>
      </c>
      <c r="AC72" s="3124"/>
    </row>
    <row r="73" spans="1:29">
      <c r="A73" s="3124">
        <v>72</v>
      </c>
      <c r="B73" s="3124" t="s">
        <v>1764</v>
      </c>
      <c r="C73" s="3124" t="s">
        <v>879</v>
      </c>
      <c r="D73" s="3124" t="s">
        <v>877</v>
      </c>
      <c r="E73" t="s">
        <v>880</v>
      </c>
      <c r="F73" s="3234">
        <v>7221836687</v>
      </c>
      <c r="G73" s="3124" t="s">
        <v>1916</v>
      </c>
      <c r="H73" s="3124">
        <v>6</v>
      </c>
      <c r="I73" s="3124">
        <v>6</v>
      </c>
      <c r="J73" s="3124"/>
      <c r="K73" s="3124"/>
      <c r="L73" s="3124">
        <v>2180</v>
      </c>
      <c r="M73" s="3124" t="s">
        <v>1694</v>
      </c>
      <c r="N73" s="3192">
        <v>44317</v>
      </c>
      <c r="O73" s="3192">
        <v>44470</v>
      </c>
      <c r="P73" s="3192">
        <v>44317</v>
      </c>
      <c r="Q73" s="3192">
        <v>44470</v>
      </c>
      <c r="R73" s="3124" t="s">
        <v>432</v>
      </c>
      <c r="S73" s="3124" t="s">
        <v>1917</v>
      </c>
      <c r="T73" s="3124" t="s">
        <v>1918</v>
      </c>
      <c r="U73" t="s">
        <v>1195</v>
      </c>
      <c r="V73" s="3124">
        <v>5000</v>
      </c>
      <c r="W73" s="3193">
        <v>0.56399999999999995</v>
      </c>
      <c r="X73" s="3124">
        <v>2820</v>
      </c>
      <c r="Y73" s="3124">
        <v>2</v>
      </c>
      <c r="Z73" s="3124">
        <v>0</v>
      </c>
      <c r="AA73" s="3124">
        <v>25000</v>
      </c>
      <c r="AB73" t="s">
        <v>1195</v>
      </c>
      <c r="AC73" s="3124"/>
    </row>
    <row r="74" spans="1:29">
      <c r="A74" s="3124">
        <v>73</v>
      </c>
      <c r="B74" s="3124" t="s">
        <v>1621</v>
      </c>
      <c r="C74" s="3124" t="s">
        <v>1919</v>
      </c>
      <c r="D74" s="3124" t="s">
        <v>1920</v>
      </c>
      <c r="E74" t="s">
        <v>1921</v>
      </c>
      <c r="F74" s="3234">
        <v>9381068731</v>
      </c>
      <c r="G74" s="3124" t="s">
        <v>1922</v>
      </c>
      <c r="H74" s="3124">
        <v>20</v>
      </c>
      <c r="I74" s="3124">
        <v>20</v>
      </c>
      <c r="J74" s="3124"/>
      <c r="K74" s="3124">
        <v>2000</v>
      </c>
      <c r="L74" s="3124">
        <v>2180.0000000000005</v>
      </c>
      <c r="M74" s="3124" t="s">
        <v>813</v>
      </c>
      <c r="N74" s="3192">
        <v>43831</v>
      </c>
      <c r="O74" s="3192">
        <v>44409</v>
      </c>
      <c r="P74" s="3192">
        <v>43831</v>
      </c>
      <c r="Q74" s="3192">
        <v>44409</v>
      </c>
      <c r="R74" s="3124" t="s">
        <v>433</v>
      </c>
      <c r="S74" s="3124" t="s">
        <v>1640</v>
      </c>
      <c r="T74" s="3124" t="s">
        <v>1838</v>
      </c>
      <c r="U74" t="s">
        <v>1869</v>
      </c>
      <c r="V74" s="3124">
        <v>5000</v>
      </c>
      <c r="W74" s="3193">
        <v>0.56399999999999995</v>
      </c>
      <c r="X74" s="3124">
        <v>2819.9999999999995</v>
      </c>
      <c r="Y74" s="3124">
        <v>2</v>
      </c>
      <c r="Z74" s="3124">
        <v>0</v>
      </c>
      <c r="AA74" s="3124">
        <v>25000</v>
      </c>
      <c r="AB74" t="s">
        <v>1869</v>
      </c>
      <c r="AC74" s="3124"/>
    </row>
    <row r="75" spans="1:29">
      <c r="A75" s="3124">
        <v>74</v>
      </c>
      <c r="B75" s="3124" t="s">
        <v>1621</v>
      </c>
      <c r="C75" s="3124" t="s">
        <v>826</v>
      </c>
      <c r="D75" s="3124" t="s">
        <v>827</v>
      </c>
      <c r="E75" t="s">
        <v>828</v>
      </c>
      <c r="F75" s="3234">
        <v>9381039881</v>
      </c>
      <c r="G75" s="3124" t="s">
        <v>1923</v>
      </c>
      <c r="H75" s="3124">
        <v>20</v>
      </c>
      <c r="I75" s="3124">
        <v>20</v>
      </c>
      <c r="J75" s="3124"/>
      <c r="K75" s="3124">
        <v>2000</v>
      </c>
      <c r="L75" s="3124">
        <v>2180.0000000000005</v>
      </c>
      <c r="M75" s="3124" t="s">
        <v>813</v>
      </c>
      <c r="N75" s="3192">
        <v>43831</v>
      </c>
      <c r="O75" s="3192">
        <v>44409</v>
      </c>
      <c r="P75" s="3192">
        <v>43831</v>
      </c>
      <c r="Q75" s="3192">
        <v>44409</v>
      </c>
      <c r="R75" s="3124" t="s">
        <v>433</v>
      </c>
      <c r="S75" s="3124" t="s">
        <v>1640</v>
      </c>
      <c r="T75" s="3124" t="s">
        <v>1838</v>
      </c>
      <c r="U75" t="s">
        <v>1195</v>
      </c>
      <c r="V75" s="3124">
        <v>5000</v>
      </c>
      <c r="W75" s="3193">
        <v>0.56399999999999995</v>
      </c>
      <c r="X75" s="3124">
        <v>2819.9999999999995</v>
      </c>
      <c r="Y75" s="3124">
        <v>2</v>
      </c>
      <c r="Z75" s="3124">
        <v>0</v>
      </c>
      <c r="AA75" s="3124">
        <v>25000</v>
      </c>
      <c r="AB75" t="s">
        <v>1195</v>
      </c>
      <c r="AC75" s="3124"/>
    </row>
    <row r="76" spans="1:29">
      <c r="A76" s="3124">
        <v>75</v>
      </c>
      <c r="B76" s="3124" t="s">
        <v>1764</v>
      </c>
      <c r="C76" s="3124" t="s">
        <v>829</v>
      </c>
      <c r="D76" s="3124" t="s">
        <v>830</v>
      </c>
      <c r="E76" t="s">
        <v>831</v>
      </c>
      <c r="F76" s="3234" t="s">
        <v>1924</v>
      </c>
      <c r="G76" s="3124" t="s">
        <v>1925</v>
      </c>
      <c r="H76" s="3124">
        <v>6</v>
      </c>
      <c r="I76" s="3124">
        <v>6</v>
      </c>
      <c r="J76" s="3124"/>
      <c r="K76" s="3124">
        <v>0</v>
      </c>
      <c r="L76" s="3124">
        <v>2180.0000000000005</v>
      </c>
      <c r="M76" s="3124" t="s">
        <v>813</v>
      </c>
      <c r="N76" s="3192">
        <v>43831</v>
      </c>
      <c r="O76" s="3192">
        <v>43983</v>
      </c>
      <c r="P76" s="3192">
        <v>43831</v>
      </c>
      <c r="Q76" s="3192">
        <v>43983</v>
      </c>
      <c r="R76" s="3124" t="s">
        <v>432</v>
      </c>
      <c r="S76" s="3124" t="s">
        <v>1917</v>
      </c>
      <c r="T76" s="3124" t="s">
        <v>1838</v>
      </c>
      <c r="U76" t="s">
        <v>1761</v>
      </c>
      <c r="V76" s="3124">
        <v>5000</v>
      </c>
      <c r="W76" s="3193">
        <v>0.56399999999999995</v>
      </c>
      <c r="X76" s="3124">
        <v>2819.9999999999995</v>
      </c>
      <c r="Y76" s="3124">
        <v>0</v>
      </c>
      <c r="Z76" s="3124">
        <v>6000</v>
      </c>
      <c r="AA76" s="3124">
        <v>23000</v>
      </c>
      <c r="AB76" t="s">
        <v>1195</v>
      </c>
      <c r="AC76" s="3124"/>
    </row>
    <row r="77" spans="1:29">
      <c r="A77" s="3124">
        <v>76</v>
      </c>
      <c r="B77" s="3124" t="s">
        <v>1621</v>
      </c>
      <c r="C77" s="3124" t="s">
        <v>832</v>
      </c>
      <c r="D77" s="3124" t="s">
        <v>833</v>
      </c>
      <c r="E77" s="3128" t="s">
        <v>4526</v>
      </c>
      <c r="F77" s="3234">
        <v>9381065964</v>
      </c>
      <c r="G77" s="3124" t="s">
        <v>1926</v>
      </c>
      <c r="H77" s="3124">
        <v>20</v>
      </c>
      <c r="I77" s="3124">
        <v>20</v>
      </c>
      <c r="J77" s="3124"/>
      <c r="K77" s="3124">
        <v>2000</v>
      </c>
      <c r="L77" s="3124">
        <v>2180.0000000000005</v>
      </c>
      <c r="M77" s="3124" t="s">
        <v>813</v>
      </c>
      <c r="N77" s="3192">
        <v>43831</v>
      </c>
      <c r="O77" s="3192">
        <v>44409</v>
      </c>
      <c r="P77" s="3192">
        <v>43831</v>
      </c>
      <c r="Q77" s="3192">
        <v>44409</v>
      </c>
      <c r="R77" s="3124" t="s">
        <v>432</v>
      </c>
      <c r="S77" s="3124" t="s">
        <v>1640</v>
      </c>
      <c r="T77" s="3124" t="s">
        <v>1838</v>
      </c>
      <c r="U77" t="s">
        <v>1195</v>
      </c>
      <c r="V77" s="3124">
        <v>5000</v>
      </c>
      <c r="W77" s="3193">
        <v>0.56399999999999995</v>
      </c>
      <c r="X77" s="3124">
        <v>2819.9999999999995</v>
      </c>
      <c r="Y77" s="3124">
        <v>2</v>
      </c>
      <c r="Z77" s="3124">
        <v>0</v>
      </c>
      <c r="AA77" s="3124">
        <v>25000</v>
      </c>
      <c r="AB77" t="s">
        <v>1195</v>
      </c>
      <c r="AC77" s="3124"/>
    </row>
    <row r="78" spans="1:29">
      <c r="A78" s="3124">
        <v>77</v>
      </c>
      <c r="B78" s="3124" t="s">
        <v>1621</v>
      </c>
      <c r="C78" s="3124" t="s">
        <v>834</v>
      </c>
      <c r="D78" s="3124" t="s">
        <v>835</v>
      </c>
      <c r="E78" t="s">
        <v>836</v>
      </c>
      <c r="F78" s="3234">
        <v>9381723665</v>
      </c>
      <c r="G78" s="3124" t="s">
        <v>1927</v>
      </c>
      <c r="H78" s="3124">
        <v>20</v>
      </c>
      <c r="I78" s="3124">
        <v>20</v>
      </c>
      <c r="J78" s="3124"/>
      <c r="K78" s="3124">
        <v>2000</v>
      </c>
      <c r="L78" s="3124">
        <v>2180.0000000000005</v>
      </c>
      <c r="M78" s="3124" t="s">
        <v>813</v>
      </c>
      <c r="N78" s="3192">
        <v>43831</v>
      </c>
      <c r="O78" s="3192">
        <v>44409</v>
      </c>
      <c r="P78" s="3192">
        <v>43831</v>
      </c>
      <c r="Q78" s="3192">
        <v>44409</v>
      </c>
      <c r="R78" s="3124" t="s">
        <v>432</v>
      </c>
      <c r="S78" s="3124" t="s">
        <v>1640</v>
      </c>
      <c r="T78" s="3124" t="s">
        <v>1838</v>
      </c>
      <c r="U78" t="s">
        <v>1195</v>
      </c>
      <c r="V78" s="3124">
        <v>5000</v>
      </c>
      <c r="W78" s="3193">
        <v>0.56399999999999995</v>
      </c>
      <c r="X78" s="3124">
        <v>2819.9999999999995</v>
      </c>
      <c r="Y78" s="3124">
        <v>2</v>
      </c>
      <c r="Z78" s="3124">
        <v>0</v>
      </c>
      <c r="AA78" s="3124">
        <v>25000</v>
      </c>
      <c r="AB78" t="s">
        <v>1195</v>
      </c>
      <c r="AC78" s="3124"/>
    </row>
    <row r="79" spans="1:29">
      <c r="A79" s="3124">
        <v>78</v>
      </c>
      <c r="B79" s="3124" t="s">
        <v>1621</v>
      </c>
      <c r="C79" s="3124" t="s">
        <v>1928</v>
      </c>
      <c r="D79" s="3124" t="s">
        <v>1929</v>
      </c>
      <c r="E79" t="s">
        <v>1930</v>
      </c>
      <c r="F79" s="3234">
        <v>9981975469</v>
      </c>
      <c r="G79" s="3124" t="s">
        <v>1931</v>
      </c>
      <c r="H79" s="3124">
        <v>20</v>
      </c>
      <c r="I79" s="3124">
        <v>20</v>
      </c>
      <c r="J79" s="3124"/>
      <c r="K79" s="3124">
        <v>2000</v>
      </c>
      <c r="L79" s="3124">
        <v>2180.0000000000005</v>
      </c>
      <c r="M79" s="3124" t="s">
        <v>813</v>
      </c>
      <c r="N79" s="3192">
        <v>43831</v>
      </c>
      <c r="O79" s="3192">
        <v>44409</v>
      </c>
      <c r="P79" s="3192">
        <v>43831</v>
      </c>
      <c r="Q79" s="3192">
        <v>44409</v>
      </c>
      <c r="R79" s="3124" t="s">
        <v>432</v>
      </c>
      <c r="S79" s="3124" t="s">
        <v>1640</v>
      </c>
      <c r="T79" s="3124" t="s">
        <v>1838</v>
      </c>
      <c r="U79" t="s">
        <v>1869</v>
      </c>
      <c r="V79" s="3124">
        <v>5000</v>
      </c>
      <c r="W79" s="3193">
        <v>0.56399999999999995</v>
      </c>
      <c r="X79" s="3124">
        <v>2819.9999999999995</v>
      </c>
      <c r="Y79" s="3124">
        <v>2</v>
      </c>
      <c r="Z79" s="3124">
        <v>0</v>
      </c>
      <c r="AA79" s="3124">
        <v>25000</v>
      </c>
      <c r="AB79" t="s">
        <v>1869</v>
      </c>
      <c r="AC79" s="3124"/>
    </row>
    <row r="80" spans="1:29">
      <c r="A80" s="3124">
        <v>79</v>
      </c>
      <c r="B80" s="3124" t="s">
        <v>1621</v>
      </c>
      <c r="C80" s="3124" t="s">
        <v>837</v>
      </c>
      <c r="D80" s="3124" t="s">
        <v>838</v>
      </c>
      <c r="E80" t="s">
        <v>839</v>
      </c>
      <c r="F80" s="3234">
        <v>9985028816</v>
      </c>
      <c r="G80" s="3124" t="s">
        <v>1932</v>
      </c>
      <c r="H80" s="3124">
        <v>20</v>
      </c>
      <c r="I80" s="3124">
        <v>20</v>
      </c>
      <c r="J80" s="3124"/>
      <c r="K80" s="3124">
        <v>2000</v>
      </c>
      <c r="L80" s="3124">
        <v>2180.0000000000005</v>
      </c>
      <c r="M80" s="3124" t="s">
        <v>813</v>
      </c>
      <c r="N80" s="3192">
        <v>43831</v>
      </c>
      <c r="O80" s="3192">
        <v>44409</v>
      </c>
      <c r="P80" s="3192">
        <v>43831</v>
      </c>
      <c r="Q80" s="3192">
        <v>44409</v>
      </c>
      <c r="R80" s="3124" t="s">
        <v>432</v>
      </c>
      <c r="S80" s="3124" t="s">
        <v>1640</v>
      </c>
      <c r="T80" s="3124" t="s">
        <v>1838</v>
      </c>
      <c r="U80" t="s">
        <v>1195</v>
      </c>
      <c r="V80" s="3124">
        <v>5000</v>
      </c>
      <c r="W80" s="3193">
        <v>0.56399999999999995</v>
      </c>
      <c r="X80" s="3124">
        <v>2819.9999999999995</v>
      </c>
      <c r="Y80" s="3124">
        <v>2</v>
      </c>
      <c r="Z80" s="3124">
        <v>0</v>
      </c>
      <c r="AA80" s="3124">
        <v>25000</v>
      </c>
      <c r="AB80" t="s">
        <v>1195</v>
      </c>
      <c r="AC80" s="3124"/>
    </row>
    <row r="81" spans="1:29">
      <c r="A81" s="3124">
        <v>80</v>
      </c>
      <c r="B81" s="3124" t="s">
        <v>1839</v>
      </c>
      <c r="C81" s="3124" t="s">
        <v>1561</v>
      </c>
      <c r="D81" s="3124" t="s">
        <v>1559</v>
      </c>
      <c r="E81" t="s">
        <v>4527</v>
      </c>
      <c r="F81" s="3234">
        <v>9997052940</v>
      </c>
      <c r="G81" s="3124" t="s">
        <v>1933</v>
      </c>
      <c r="H81" s="3124">
        <v>8</v>
      </c>
      <c r="I81" s="3124">
        <v>8</v>
      </c>
      <c r="J81" s="3124"/>
      <c r="K81" s="3124">
        <v>0</v>
      </c>
      <c r="L81" s="3124">
        <v>2180</v>
      </c>
      <c r="M81" s="3124" t="s">
        <v>1493</v>
      </c>
      <c r="N81" s="3192">
        <v>44378</v>
      </c>
      <c r="O81" s="3192">
        <v>44593</v>
      </c>
      <c r="P81" s="3192">
        <v>44645</v>
      </c>
      <c r="Q81" s="3192">
        <v>44859</v>
      </c>
      <c r="R81" s="3124" t="s">
        <v>433</v>
      </c>
      <c r="S81" s="3124" t="s">
        <v>1842</v>
      </c>
      <c r="T81" s="3124" t="s">
        <v>1850</v>
      </c>
      <c r="U81" t="s">
        <v>1195</v>
      </c>
      <c r="V81" s="3124">
        <v>5000</v>
      </c>
      <c r="W81" s="3193">
        <v>0.56399999999999995</v>
      </c>
      <c r="X81" s="3124">
        <v>2820</v>
      </c>
      <c r="Y81" s="3124">
        <v>2</v>
      </c>
      <c r="Z81" s="3124">
        <v>0</v>
      </c>
      <c r="AA81" s="3124">
        <v>18000</v>
      </c>
      <c r="AB81" t="s">
        <v>1195</v>
      </c>
      <c r="AC81" s="3124"/>
    </row>
    <row r="82" spans="1:29">
      <c r="A82" s="3124">
        <v>81</v>
      </c>
      <c r="B82" s="3124" t="s">
        <v>1621</v>
      </c>
      <c r="C82" s="3124" t="s">
        <v>842</v>
      </c>
      <c r="D82" s="3124" t="s">
        <v>843</v>
      </c>
      <c r="E82" s="3132" t="s">
        <v>844</v>
      </c>
      <c r="F82" s="3234" t="s">
        <v>1934</v>
      </c>
      <c r="G82" s="3124" t="s">
        <v>1935</v>
      </c>
      <c r="H82" s="3124">
        <v>20</v>
      </c>
      <c r="I82" s="3124">
        <v>20</v>
      </c>
      <c r="J82" s="3124"/>
      <c r="K82" s="3124">
        <v>2000</v>
      </c>
      <c r="L82" s="3124">
        <v>2180.0000000000005</v>
      </c>
      <c r="M82" s="3124" t="s">
        <v>813</v>
      </c>
      <c r="N82" s="3192">
        <v>43831</v>
      </c>
      <c r="O82" s="3192">
        <v>44409</v>
      </c>
      <c r="P82" s="3192">
        <v>43831</v>
      </c>
      <c r="Q82" s="3192">
        <v>44409</v>
      </c>
      <c r="R82" s="3124" t="s">
        <v>432</v>
      </c>
      <c r="S82" s="3124" t="s">
        <v>1640</v>
      </c>
      <c r="T82" s="3124" t="s">
        <v>1838</v>
      </c>
      <c r="U82" t="s">
        <v>1195</v>
      </c>
      <c r="V82" s="3124">
        <v>5000</v>
      </c>
      <c r="W82" s="3193">
        <v>0.56399999999999995</v>
      </c>
      <c r="X82" s="3124">
        <v>2819.9999999999995</v>
      </c>
      <c r="Y82" s="3124">
        <v>2</v>
      </c>
      <c r="Z82" s="3124">
        <v>0</v>
      </c>
      <c r="AA82" s="3124">
        <v>25000</v>
      </c>
      <c r="AB82" t="s">
        <v>1195</v>
      </c>
      <c r="AC82" s="3124"/>
    </row>
    <row r="83" spans="1:29">
      <c r="A83" s="3124">
        <v>82</v>
      </c>
      <c r="B83" s="3124" t="s">
        <v>1625</v>
      </c>
      <c r="C83" s="3124" t="s">
        <v>1210</v>
      </c>
      <c r="D83" s="3124" t="s">
        <v>1202</v>
      </c>
      <c r="E83" t="s">
        <v>1211</v>
      </c>
      <c r="F83" s="3234" t="s">
        <v>1936</v>
      </c>
      <c r="G83" s="3124" t="s">
        <v>1937</v>
      </c>
      <c r="H83" s="3124">
        <v>20</v>
      </c>
      <c r="I83" s="3124">
        <v>20</v>
      </c>
      <c r="J83" s="3124"/>
      <c r="K83" s="3124">
        <v>3000</v>
      </c>
      <c r="L83" s="3124">
        <v>3350</v>
      </c>
      <c r="M83" s="3124" t="s">
        <v>1207</v>
      </c>
      <c r="N83" s="3192">
        <v>44287</v>
      </c>
      <c r="O83" s="3192">
        <v>44866</v>
      </c>
      <c r="P83" s="3192">
        <v>44287</v>
      </c>
      <c r="Q83" s="3192">
        <v>44866</v>
      </c>
      <c r="R83" s="3124" t="s">
        <v>433</v>
      </c>
      <c r="S83" s="3124" t="s">
        <v>1690</v>
      </c>
      <c r="T83" s="3124" t="s">
        <v>1850</v>
      </c>
      <c r="U83" t="s">
        <v>1195</v>
      </c>
      <c r="V83" s="3124">
        <v>5000</v>
      </c>
      <c r="W83" s="3193">
        <v>0.33</v>
      </c>
      <c r="X83" s="3124">
        <v>1650</v>
      </c>
      <c r="Y83" s="3124">
        <v>1</v>
      </c>
      <c r="Z83" s="3124">
        <v>0</v>
      </c>
      <c r="AA83" s="3124">
        <v>29000</v>
      </c>
      <c r="AB83" t="s">
        <v>1195</v>
      </c>
      <c r="AC83" s="3124"/>
    </row>
    <row r="84" spans="1:29">
      <c r="A84" s="3124">
        <v>83</v>
      </c>
      <c r="B84" s="3124" t="s">
        <v>1123</v>
      </c>
      <c r="C84" s="3124" t="s">
        <v>1339</v>
      </c>
      <c r="D84" s="3124" t="s">
        <v>1938</v>
      </c>
      <c r="E84" t="s">
        <v>4528</v>
      </c>
      <c r="F84" s="3234" t="s">
        <v>4529</v>
      </c>
      <c r="G84" s="3124" t="s">
        <v>4530</v>
      </c>
      <c r="H84" s="3124">
        <v>4</v>
      </c>
      <c r="I84" s="3124">
        <v>4</v>
      </c>
      <c r="J84" s="3124"/>
      <c r="K84" s="3124"/>
      <c r="L84" s="3124">
        <v>3350</v>
      </c>
      <c r="M84" s="3124" t="s">
        <v>1207</v>
      </c>
      <c r="N84" s="3192">
        <v>44440</v>
      </c>
      <c r="O84" s="3192">
        <v>44531</v>
      </c>
      <c r="P84" s="3192">
        <v>44440</v>
      </c>
      <c r="Q84" s="3192">
        <v>44531</v>
      </c>
      <c r="R84" s="3124" t="s">
        <v>432</v>
      </c>
      <c r="S84" s="3124" t="s">
        <v>1939</v>
      </c>
      <c r="T84" s="3124" t="s">
        <v>1850</v>
      </c>
      <c r="U84" t="s">
        <v>1195</v>
      </c>
      <c r="V84" s="3124">
        <v>5000</v>
      </c>
      <c r="W84" s="3193">
        <v>0.33</v>
      </c>
      <c r="X84" s="3124">
        <v>1650</v>
      </c>
      <c r="Y84" s="3124">
        <v>2</v>
      </c>
      <c r="Z84" s="3124">
        <v>0</v>
      </c>
      <c r="AA84" s="3124">
        <v>25000</v>
      </c>
      <c r="AB84" t="s">
        <v>1195</v>
      </c>
      <c r="AC84" s="3124"/>
    </row>
    <row r="85" spans="1:29">
      <c r="A85" s="3124">
        <v>84</v>
      </c>
      <c r="B85" s="3124" t="s">
        <v>1621</v>
      </c>
      <c r="C85" s="3124" t="s">
        <v>851</v>
      </c>
      <c r="D85" s="3124" t="s">
        <v>852</v>
      </c>
      <c r="E85" s="3131" t="s">
        <v>853</v>
      </c>
      <c r="F85" s="3234">
        <v>9381028279</v>
      </c>
      <c r="G85" s="3124" t="s">
        <v>1940</v>
      </c>
      <c r="H85" s="3124">
        <v>20</v>
      </c>
      <c r="I85" s="3124">
        <v>20</v>
      </c>
      <c r="J85" s="3124"/>
      <c r="K85" s="3124">
        <v>2000</v>
      </c>
      <c r="L85" s="3124">
        <v>2180.0000000000005</v>
      </c>
      <c r="M85" s="3124" t="s">
        <v>813</v>
      </c>
      <c r="N85" s="3192">
        <v>43831</v>
      </c>
      <c r="O85" s="3192">
        <v>44409</v>
      </c>
      <c r="P85" s="3192">
        <v>43831</v>
      </c>
      <c r="Q85" s="3192">
        <v>44409</v>
      </c>
      <c r="R85" s="3124" t="s">
        <v>432</v>
      </c>
      <c r="S85" s="3124" t="s">
        <v>1640</v>
      </c>
      <c r="T85" s="3124" t="s">
        <v>1838</v>
      </c>
      <c r="U85" t="s">
        <v>1195</v>
      </c>
      <c r="V85" s="3124">
        <v>5000</v>
      </c>
      <c r="W85" s="3193">
        <v>0.56399999999999995</v>
      </c>
      <c r="X85" s="3124">
        <v>2819.9999999999995</v>
      </c>
      <c r="Y85" s="3124">
        <v>2</v>
      </c>
      <c r="Z85" s="3124">
        <v>0</v>
      </c>
      <c r="AA85" s="3124">
        <v>25000</v>
      </c>
      <c r="AB85" t="s">
        <v>1195</v>
      </c>
      <c r="AC85" s="3124"/>
    </row>
    <row r="86" spans="1:29">
      <c r="A86" s="3124">
        <v>85</v>
      </c>
      <c r="B86" s="3124" t="s">
        <v>1621</v>
      </c>
      <c r="C86" s="3124" t="s">
        <v>854</v>
      </c>
      <c r="D86" s="3124" t="s">
        <v>855</v>
      </c>
      <c r="E86" t="s">
        <v>4531</v>
      </c>
      <c r="F86" s="3234" t="s">
        <v>1941</v>
      </c>
      <c r="G86" s="3124" t="s">
        <v>1942</v>
      </c>
      <c r="H86" s="3124">
        <v>20</v>
      </c>
      <c r="I86" s="3124">
        <v>20</v>
      </c>
      <c r="J86" s="3124"/>
      <c r="K86" s="3124">
        <v>2000</v>
      </c>
      <c r="L86" s="3124">
        <v>2180.0000000000005</v>
      </c>
      <c r="M86" s="3124" t="s">
        <v>813</v>
      </c>
      <c r="N86" s="3192">
        <v>43831</v>
      </c>
      <c r="O86" s="3192">
        <v>44409</v>
      </c>
      <c r="P86" s="3192">
        <v>43831</v>
      </c>
      <c r="Q86" s="3192">
        <v>44409</v>
      </c>
      <c r="R86" s="3124" t="s">
        <v>433</v>
      </c>
      <c r="S86" s="3124" t="s">
        <v>1640</v>
      </c>
      <c r="T86" s="3124" t="s">
        <v>1838</v>
      </c>
      <c r="U86" t="s">
        <v>1195</v>
      </c>
      <c r="V86" s="3124">
        <v>5000</v>
      </c>
      <c r="W86" s="3193">
        <v>0.56399999999999995</v>
      </c>
      <c r="X86" s="3124">
        <v>2819.9999999999995</v>
      </c>
      <c r="Y86" s="3124">
        <v>2</v>
      </c>
      <c r="Z86" s="3124">
        <v>0</v>
      </c>
      <c r="AA86" s="3124">
        <v>25000</v>
      </c>
      <c r="AB86" t="s">
        <v>1195</v>
      </c>
      <c r="AC86" s="3124"/>
    </row>
    <row r="87" spans="1:29">
      <c r="A87" s="3124">
        <v>86</v>
      </c>
      <c r="B87" s="3124" t="s">
        <v>1621</v>
      </c>
      <c r="C87" s="3124" t="s">
        <v>856</v>
      </c>
      <c r="D87" s="3124" t="s">
        <v>857</v>
      </c>
      <c r="E87" t="s">
        <v>1943</v>
      </c>
      <c r="F87" s="3234" t="s">
        <v>1944</v>
      </c>
      <c r="G87" s="3124" t="s">
        <v>1945</v>
      </c>
      <c r="H87" s="3124">
        <v>20</v>
      </c>
      <c r="I87" s="3124">
        <v>20</v>
      </c>
      <c r="J87" s="3124"/>
      <c r="K87" s="3124">
        <v>2000</v>
      </c>
      <c r="L87" s="3124">
        <v>2180.0000000000005</v>
      </c>
      <c r="M87" s="3124" t="s">
        <v>813</v>
      </c>
      <c r="N87" s="3192">
        <v>43831</v>
      </c>
      <c r="O87" s="3192">
        <v>44409</v>
      </c>
      <c r="P87" s="3192">
        <v>43831</v>
      </c>
      <c r="Q87" s="3192">
        <v>44409</v>
      </c>
      <c r="R87" s="3124" t="s">
        <v>432</v>
      </c>
      <c r="S87" s="3124" t="s">
        <v>1640</v>
      </c>
      <c r="T87" s="3124" t="s">
        <v>1838</v>
      </c>
      <c r="U87" t="s">
        <v>1761</v>
      </c>
      <c r="V87" s="3124">
        <v>5000</v>
      </c>
      <c r="W87" s="3193">
        <v>0.56399999999999995</v>
      </c>
      <c r="X87" s="3124">
        <v>2819.9999999999995</v>
      </c>
      <c r="Y87" s="3124">
        <v>2</v>
      </c>
      <c r="Z87" s="3124">
        <v>0</v>
      </c>
      <c r="AA87" s="3124">
        <v>25000</v>
      </c>
      <c r="AB87" t="s">
        <v>1195</v>
      </c>
      <c r="AC87" s="3124"/>
    </row>
    <row r="88" spans="1:29">
      <c r="A88" s="3124">
        <v>87</v>
      </c>
      <c r="B88" s="3124" t="s">
        <v>1691</v>
      </c>
      <c r="C88" s="3124" t="s">
        <v>1561</v>
      </c>
      <c r="D88" s="3124" t="s">
        <v>2625</v>
      </c>
      <c r="E88" t="s">
        <v>1563</v>
      </c>
      <c r="F88" s="3234">
        <v>9997052940</v>
      </c>
      <c r="G88" s="3124" t="s">
        <v>1947</v>
      </c>
      <c r="H88" s="3124">
        <v>16</v>
      </c>
      <c r="I88" s="3124">
        <v>16</v>
      </c>
      <c r="J88" s="3124" t="s">
        <v>1948</v>
      </c>
      <c r="K88" s="3124">
        <v>1000</v>
      </c>
      <c r="L88" s="3124">
        <v>2180</v>
      </c>
      <c r="M88" s="3124" t="s">
        <v>407</v>
      </c>
      <c r="N88" s="3192">
        <v>44653</v>
      </c>
      <c r="O88" s="3192">
        <v>45109</v>
      </c>
      <c r="P88" s="3192">
        <v>44645</v>
      </c>
      <c r="Q88" s="3192">
        <v>45102</v>
      </c>
      <c r="R88" s="3124" t="s">
        <v>433</v>
      </c>
      <c r="S88" s="3124" t="s">
        <v>1949</v>
      </c>
      <c r="T88" s="3124" t="s">
        <v>1850</v>
      </c>
      <c r="U88" t="s">
        <v>1195</v>
      </c>
      <c r="V88" s="3124">
        <v>5000</v>
      </c>
      <c r="W88" s="3193">
        <v>0.56399999999999995</v>
      </c>
      <c r="X88" s="3124">
        <v>2820</v>
      </c>
      <c r="Y88" s="3124">
        <v>2</v>
      </c>
      <c r="Z88" s="3124">
        <v>0</v>
      </c>
      <c r="AA88" s="3124">
        <v>25000</v>
      </c>
      <c r="AB88" t="s">
        <v>1195</v>
      </c>
      <c r="AC88" s="3124"/>
    </row>
    <row r="89" spans="1:29">
      <c r="A89" s="3124">
        <v>88</v>
      </c>
      <c r="B89" s="3124" t="s">
        <v>1621</v>
      </c>
      <c r="C89" s="3124" t="s">
        <v>872</v>
      </c>
      <c r="D89" s="3124" t="s">
        <v>1950</v>
      </c>
      <c r="E89" t="s">
        <v>873</v>
      </c>
      <c r="F89" s="3234">
        <v>9381407683</v>
      </c>
      <c r="G89" s="3124" t="s">
        <v>1951</v>
      </c>
      <c r="H89" s="3124">
        <v>20</v>
      </c>
      <c r="I89" s="3124">
        <v>20</v>
      </c>
      <c r="J89" s="3124"/>
      <c r="K89" s="3124">
        <v>2000</v>
      </c>
      <c r="L89" s="3124">
        <v>2180.0000000000005</v>
      </c>
      <c r="M89" s="3124" t="s">
        <v>813</v>
      </c>
      <c r="N89" s="3192">
        <v>43831</v>
      </c>
      <c r="O89" s="3192">
        <v>44409</v>
      </c>
      <c r="P89" s="3192">
        <v>43831</v>
      </c>
      <c r="Q89" s="3192">
        <v>44409</v>
      </c>
      <c r="R89" s="3124" t="s">
        <v>432</v>
      </c>
      <c r="S89" s="3124" t="s">
        <v>1640</v>
      </c>
      <c r="T89" s="3124" t="s">
        <v>1838</v>
      </c>
      <c r="U89" t="s">
        <v>1195</v>
      </c>
      <c r="V89" s="3124">
        <v>5000</v>
      </c>
      <c r="W89" s="3193">
        <v>0.56399999999999995</v>
      </c>
      <c r="X89" s="3124">
        <v>2819.9999999999995</v>
      </c>
      <c r="Y89" s="3124">
        <v>2</v>
      </c>
      <c r="Z89" s="3124">
        <v>0</v>
      </c>
      <c r="AA89" s="3124">
        <v>25000</v>
      </c>
      <c r="AB89" t="s">
        <v>1195</v>
      </c>
      <c r="AC89" s="3124"/>
    </row>
    <row r="90" spans="1:29">
      <c r="A90" s="3124">
        <v>89</v>
      </c>
      <c r="B90" s="3124" t="s">
        <v>1621</v>
      </c>
      <c r="C90" s="3124" t="s">
        <v>874</v>
      </c>
      <c r="D90" s="3124" t="s">
        <v>1952</v>
      </c>
      <c r="E90" t="s">
        <v>875</v>
      </c>
      <c r="F90" s="3234" t="s">
        <v>1953</v>
      </c>
      <c r="G90" s="3124" t="s">
        <v>1954</v>
      </c>
      <c r="H90" s="3124">
        <v>20</v>
      </c>
      <c r="I90" s="3124">
        <v>20</v>
      </c>
      <c r="J90" s="3124"/>
      <c r="K90" s="3124">
        <v>2000</v>
      </c>
      <c r="L90" s="3124">
        <v>2180.0000000000005</v>
      </c>
      <c r="M90" s="3124" t="s">
        <v>813</v>
      </c>
      <c r="N90" s="3192">
        <v>43831</v>
      </c>
      <c r="O90" s="3192">
        <v>44409</v>
      </c>
      <c r="P90" s="3192">
        <v>43831</v>
      </c>
      <c r="Q90" s="3192">
        <v>44409</v>
      </c>
      <c r="R90" s="3124" t="s">
        <v>433</v>
      </c>
      <c r="S90" s="3124" t="s">
        <v>1640</v>
      </c>
      <c r="T90" s="3124" t="s">
        <v>1838</v>
      </c>
      <c r="U90" t="s">
        <v>1195</v>
      </c>
      <c r="V90" s="3124">
        <v>5000</v>
      </c>
      <c r="W90" s="3193">
        <v>0.56399999999999995</v>
      </c>
      <c r="X90" s="3124">
        <v>2819.9999999999995</v>
      </c>
      <c r="Y90" s="3124">
        <v>2</v>
      </c>
      <c r="Z90" s="3124">
        <v>0</v>
      </c>
      <c r="AA90" s="3124">
        <v>25000</v>
      </c>
      <c r="AB90" t="s">
        <v>1195</v>
      </c>
      <c r="AC90" s="3124"/>
    </row>
    <row r="91" spans="1:29">
      <c r="A91" s="3124">
        <v>90</v>
      </c>
      <c r="B91" s="3124" t="s">
        <v>1621</v>
      </c>
      <c r="C91" s="3124" t="s">
        <v>876</v>
      </c>
      <c r="D91" s="3124" t="s">
        <v>1955</v>
      </c>
      <c r="E91" t="s">
        <v>878</v>
      </c>
      <c r="F91" s="3234" t="s">
        <v>1956</v>
      </c>
      <c r="G91" s="3124" t="s">
        <v>1957</v>
      </c>
      <c r="H91" s="3124">
        <v>20</v>
      </c>
      <c r="I91" s="3124">
        <v>20</v>
      </c>
      <c r="J91" s="3124"/>
      <c r="K91" s="3124">
        <v>2000</v>
      </c>
      <c r="L91" s="3124">
        <v>2180.0000000000005</v>
      </c>
      <c r="M91" s="3124" t="s">
        <v>813</v>
      </c>
      <c r="N91" s="3192">
        <v>43831</v>
      </c>
      <c r="O91" s="3192">
        <v>44409</v>
      </c>
      <c r="P91" s="3192">
        <v>43831</v>
      </c>
      <c r="Q91" s="3192">
        <v>44409</v>
      </c>
      <c r="R91" s="3124" t="s">
        <v>432</v>
      </c>
      <c r="S91" s="3124" t="s">
        <v>1640</v>
      </c>
      <c r="T91" s="3124" t="s">
        <v>1838</v>
      </c>
      <c r="U91" t="s">
        <v>1761</v>
      </c>
      <c r="V91" s="3124">
        <v>5000</v>
      </c>
      <c r="W91" s="3193">
        <v>0.56399999999999995</v>
      </c>
      <c r="X91" s="3124">
        <v>2819.9999999999995</v>
      </c>
      <c r="Y91" s="3124">
        <v>2</v>
      </c>
      <c r="Z91" s="3124">
        <v>0</v>
      </c>
      <c r="AA91" s="3124">
        <v>25000</v>
      </c>
      <c r="AB91" t="s">
        <v>1195</v>
      </c>
      <c r="AC91" s="3124"/>
    </row>
    <row r="92" spans="1:29">
      <c r="A92" s="3124">
        <v>91</v>
      </c>
      <c r="B92" s="3124" t="s">
        <v>1621</v>
      </c>
      <c r="C92" s="3124" t="s">
        <v>881</v>
      </c>
      <c r="D92" s="3124" t="s">
        <v>1958</v>
      </c>
      <c r="E92" t="s">
        <v>882</v>
      </c>
      <c r="F92" s="3234" t="s">
        <v>1959</v>
      </c>
      <c r="G92" s="3124" t="s">
        <v>1960</v>
      </c>
      <c r="H92" s="3124">
        <v>20</v>
      </c>
      <c r="I92" s="3124">
        <v>20</v>
      </c>
      <c r="J92" s="3124"/>
      <c r="K92" s="3124">
        <v>2000</v>
      </c>
      <c r="L92" s="3124">
        <v>2180.0000000000005</v>
      </c>
      <c r="M92" s="3124" t="s">
        <v>813</v>
      </c>
      <c r="N92" s="3192">
        <v>43831</v>
      </c>
      <c r="O92" s="3192">
        <v>44409</v>
      </c>
      <c r="P92" s="3192">
        <v>43831</v>
      </c>
      <c r="Q92" s="3192">
        <v>44409</v>
      </c>
      <c r="R92" s="3124" t="s">
        <v>432</v>
      </c>
      <c r="S92" s="3124" t="s">
        <v>1640</v>
      </c>
      <c r="T92" s="3124" t="s">
        <v>1838</v>
      </c>
      <c r="U92" t="s">
        <v>1195</v>
      </c>
      <c r="V92" s="3124">
        <v>5000</v>
      </c>
      <c r="W92" s="3193">
        <v>0.56399999999999995</v>
      </c>
      <c r="X92" s="3124">
        <v>2819.9999999999995</v>
      </c>
      <c r="Y92" s="3124">
        <v>2</v>
      </c>
      <c r="Z92" s="3124">
        <v>0</v>
      </c>
      <c r="AA92" s="3124">
        <v>25000</v>
      </c>
      <c r="AB92" t="s">
        <v>1195</v>
      </c>
      <c r="AC92" s="3124"/>
    </row>
    <row r="93" spans="1:29">
      <c r="A93" s="3124">
        <v>92</v>
      </c>
      <c r="B93" s="3124" t="s">
        <v>1625</v>
      </c>
      <c r="C93" s="3124" t="s">
        <v>1234</v>
      </c>
      <c r="D93" s="3124" t="s">
        <v>1052</v>
      </c>
      <c r="E93" t="s">
        <v>4532</v>
      </c>
      <c r="F93" s="3234" t="s">
        <v>1961</v>
      </c>
      <c r="G93" s="3124" t="s">
        <v>1962</v>
      </c>
      <c r="H93" s="3124">
        <v>20</v>
      </c>
      <c r="I93" s="3124">
        <v>20</v>
      </c>
      <c r="J93" s="3124"/>
      <c r="K93" s="3124"/>
      <c r="L93" s="3124">
        <v>3350</v>
      </c>
      <c r="M93" s="3124" t="s">
        <v>1207</v>
      </c>
      <c r="N93" s="3192">
        <v>44440</v>
      </c>
      <c r="O93" s="3192">
        <v>45017</v>
      </c>
      <c r="P93" s="3192">
        <v>44440</v>
      </c>
      <c r="Q93" s="3192">
        <v>45017</v>
      </c>
      <c r="R93" s="3124" t="s">
        <v>432</v>
      </c>
      <c r="S93" s="3124" t="s">
        <v>1690</v>
      </c>
      <c r="T93" s="3124" t="s">
        <v>1850</v>
      </c>
      <c r="U93" t="s">
        <v>1195</v>
      </c>
      <c r="V93" s="3124">
        <v>5000</v>
      </c>
      <c r="W93" s="3193">
        <v>0.33</v>
      </c>
      <c r="X93" s="3124">
        <v>1650</v>
      </c>
      <c r="Y93" s="3124">
        <v>2</v>
      </c>
      <c r="Z93" s="3124">
        <v>0</v>
      </c>
      <c r="AA93" s="3124">
        <v>25000</v>
      </c>
      <c r="AB93" t="s">
        <v>1195</v>
      </c>
      <c r="AC93" s="3124"/>
    </row>
    <row r="94" spans="1:29">
      <c r="A94" s="3124">
        <v>93</v>
      </c>
      <c r="B94" s="3124" t="s">
        <v>1621</v>
      </c>
      <c r="C94" s="3124" t="s">
        <v>617</v>
      </c>
      <c r="D94" s="3124" t="s">
        <v>618</v>
      </c>
      <c r="E94" t="s">
        <v>619</v>
      </c>
      <c r="F94" s="3234" t="s">
        <v>1963</v>
      </c>
      <c r="G94" s="3124" t="s">
        <v>1964</v>
      </c>
      <c r="H94" s="3124">
        <v>24</v>
      </c>
      <c r="I94" s="3124">
        <v>20</v>
      </c>
      <c r="J94" s="3124"/>
      <c r="K94" s="3124">
        <v>2000</v>
      </c>
      <c r="L94" s="3124">
        <v>1800</v>
      </c>
      <c r="M94" s="3124" t="s">
        <v>564</v>
      </c>
      <c r="N94" s="3192">
        <v>43952</v>
      </c>
      <c r="O94" s="3192">
        <v>44531</v>
      </c>
      <c r="P94" s="3192">
        <v>43952</v>
      </c>
      <c r="Q94" s="3192">
        <v>44652</v>
      </c>
      <c r="R94" s="3124" t="s">
        <v>432</v>
      </c>
      <c r="S94" s="3124" t="s">
        <v>1640</v>
      </c>
      <c r="T94" s="3124" t="s">
        <v>1850</v>
      </c>
      <c r="U94" t="s">
        <v>1195</v>
      </c>
      <c r="V94" s="3124">
        <v>5000</v>
      </c>
      <c r="W94" s="3193">
        <v>0.64</v>
      </c>
      <c r="X94" s="3124">
        <v>3200</v>
      </c>
      <c r="Y94" s="3124">
        <v>2</v>
      </c>
      <c r="Z94" s="3124">
        <v>0</v>
      </c>
      <c r="AA94" s="3124">
        <v>25000</v>
      </c>
      <c r="AB94" t="s">
        <v>1195</v>
      </c>
      <c r="AC94" s="3124"/>
    </row>
    <row r="95" spans="1:29">
      <c r="A95" s="3124">
        <v>94</v>
      </c>
      <c r="B95" s="3124" t="s">
        <v>1621</v>
      </c>
      <c r="C95" s="3124" t="s">
        <v>884</v>
      </c>
      <c r="D95" s="3124" t="s">
        <v>1965</v>
      </c>
      <c r="E95" t="s">
        <v>4533</v>
      </c>
      <c r="F95" s="3234">
        <v>9981099199</v>
      </c>
      <c r="G95" s="3124" t="s">
        <v>1966</v>
      </c>
      <c r="H95" s="3124">
        <v>20</v>
      </c>
      <c r="I95" s="3124">
        <v>20</v>
      </c>
      <c r="J95" s="3124"/>
      <c r="K95" s="3124">
        <v>2000</v>
      </c>
      <c r="L95" s="3124">
        <v>2180.0000000000005</v>
      </c>
      <c r="M95" s="3124" t="s">
        <v>564</v>
      </c>
      <c r="N95" s="3192">
        <v>43891</v>
      </c>
      <c r="O95" s="3192">
        <v>44470</v>
      </c>
      <c r="P95" s="3192">
        <v>43891</v>
      </c>
      <c r="Q95" s="3192">
        <v>44470</v>
      </c>
      <c r="R95" s="3124" t="s">
        <v>433</v>
      </c>
      <c r="S95" s="3124" t="s">
        <v>1640</v>
      </c>
      <c r="T95" s="3124" t="s">
        <v>1850</v>
      </c>
      <c r="U95" t="s">
        <v>1195</v>
      </c>
      <c r="V95" s="3124">
        <v>5000</v>
      </c>
      <c r="W95" s="3193">
        <v>0.56399999999999995</v>
      </c>
      <c r="X95" s="3124">
        <v>2819.9999999999995</v>
      </c>
      <c r="Y95" s="3124">
        <v>2</v>
      </c>
      <c r="Z95" s="3124">
        <v>0</v>
      </c>
      <c r="AA95" s="3124">
        <v>25000</v>
      </c>
      <c r="AB95" t="s">
        <v>1195</v>
      </c>
      <c r="AC95" s="3124"/>
    </row>
    <row r="96" spans="1:29">
      <c r="A96" s="3124">
        <v>95</v>
      </c>
      <c r="B96" s="3124" t="s">
        <v>1625</v>
      </c>
      <c r="C96" s="3124" t="s">
        <v>1208</v>
      </c>
      <c r="D96" s="3124" t="s">
        <v>1199</v>
      </c>
      <c r="E96" t="s">
        <v>1209</v>
      </c>
      <c r="F96" s="3234" t="s">
        <v>4534</v>
      </c>
      <c r="G96" s="3124" t="s">
        <v>1967</v>
      </c>
      <c r="H96" s="3124">
        <v>20</v>
      </c>
      <c r="I96" s="3124">
        <v>20</v>
      </c>
      <c r="J96" s="3124"/>
      <c r="K96" s="3124">
        <v>3000</v>
      </c>
      <c r="L96" s="3124">
        <v>2800</v>
      </c>
      <c r="M96" s="3124" t="s">
        <v>1207</v>
      </c>
      <c r="N96" s="3192">
        <v>44287</v>
      </c>
      <c r="O96" s="3192">
        <v>44866</v>
      </c>
      <c r="P96" s="3192">
        <v>44287</v>
      </c>
      <c r="Q96" s="3192">
        <v>44866</v>
      </c>
      <c r="R96" s="3124" t="s">
        <v>433</v>
      </c>
      <c r="S96" s="3124" t="s">
        <v>1690</v>
      </c>
      <c r="T96" s="3124" t="s">
        <v>1850</v>
      </c>
      <c r="U96" t="s">
        <v>1195</v>
      </c>
      <c r="V96" s="3124">
        <v>5000</v>
      </c>
      <c r="W96" s="3193">
        <v>0.44</v>
      </c>
      <c r="X96" s="3124">
        <v>2200</v>
      </c>
      <c r="Y96" s="3124">
        <v>2</v>
      </c>
      <c r="Z96" s="3124">
        <v>0</v>
      </c>
      <c r="AA96" s="3124">
        <v>25000</v>
      </c>
      <c r="AB96" t="s">
        <v>1195</v>
      </c>
      <c r="AC96" s="3124"/>
    </row>
    <row r="97" spans="1:29">
      <c r="A97" s="3124">
        <v>96</v>
      </c>
      <c r="B97" s="3124" t="s">
        <v>1625</v>
      </c>
      <c r="C97" s="3124" t="s">
        <v>1205</v>
      </c>
      <c r="D97" s="3124" t="s">
        <v>1968</v>
      </c>
      <c r="E97" t="s">
        <v>1206</v>
      </c>
      <c r="F97" s="3234" t="s">
        <v>4535</v>
      </c>
      <c r="G97" s="3124" t="s">
        <v>1969</v>
      </c>
      <c r="H97" s="3124">
        <v>20</v>
      </c>
      <c r="I97" s="3124">
        <v>20</v>
      </c>
      <c r="J97" s="3124"/>
      <c r="K97" s="3124">
        <v>3000</v>
      </c>
      <c r="L97" s="3124">
        <v>3350</v>
      </c>
      <c r="M97" s="3124" t="s">
        <v>1207</v>
      </c>
      <c r="N97" s="3192">
        <v>44287</v>
      </c>
      <c r="O97" s="3192">
        <v>44866</v>
      </c>
      <c r="P97" s="3192">
        <v>44287</v>
      </c>
      <c r="Q97" s="3192">
        <v>44866</v>
      </c>
      <c r="R97" s="3124" t="s">
        <v>432</v>
      </c>
      <c r="S97" s="3124" t="s">
        <v>1690</v>
      </c>
      <c r="T97" s="3124" t="s">
        <v>1850</v>
      </c>
      <c r="U97" t="s">
        <v>1195</v>
      </c>
      <c r="V97" s="3124">
        <v>5000</v>
      </c>
      <c r="W97" s="3193">
        <v>0.33</v>
      </c>
      <c r="X97" s="3124">
        <v>1650</v>
      </c>
      <c r="Y97" s="3124">
        <v>1</v>
      </c>
      <c r="Z97" s="3124">
        <v>0</v>
      </c>
      <c r="AA97" s="3124">
        <v>25000</v>
      </c>
      <c r="AB97" t="s">
        <v>1195</v>
      </c>
      <c r="AC97" s="3124"/>
    </row>
    <row r="98" spans="1:29">
      <c r="A98" s="3124">
        <v>97</v>
      </c>
      <c r="B98" s="3124" t="s">
        <v>1621</v>
      </c>
      <c r="C98" s="3124" t="s">
        <v>1970</v>
      </c>
      <c r="D98" s="3124" t="s">
        <v>863</v>
      </c>
      <c r="E98" t="s">
        <v>864</v>
      </c>
      <c r="F98" s="3234">
        <v>5511235522</v>
      </c>
      <c r="G98" s="3124" t="s">
        <v>1971</v>
      </c>
      <c r="H98" s="3124">
        <v>13</v>
      </c>
      <c r="I98" s="3124">
        <v>20</v>
      </c>
      <c r="J98" s="3124"/>
      <c r="K98" s="3124">
        <v>2000</v>
      </c>
      <c r="L98" s="3124">
        <v>2200</v>
      </c>
      <c r="M98" s="3124" t="s">
        <v>564</v>
      </c>
      <c r="N98" s="3192">
        <v>43647</v>
      </c>
      <c r="O98" s="3192">
        <v>44228</v>
      </c>
      <c r="P98" s="3192">
        <v>43647</v>
      </c>
      <c r="Q98" s="3192">
        <v>44013</v>
      </c>
      <c r="R98" s="3124" t="s">
        <v>433</v>
      </c>
      <c r="S98" s="3124" t="s">
        <v>1640</v>
      </c>
      <c r="T98" s="3124" t="s">
        <v>1850</v>
      </c>
      <c r="U98" t="s">
        <v>1195</v>
      </c>
      <c r="V98" s="3124">
        <v>5000</v>
      </c>
      <c r="W98" s="3193">
        <v>0.56000000000000005</v>
      </c>
      <c r="X98" s="3124">
        <v>2800</v>
      </c>
      <c r="Y98" s="3124">
        <v>2</v>
      </c>
      <c r="Z98" s="3124">
        <v>0</v>
      </c>
      <c r="AA98" s="3124">
        <v>25000</v>
      </c>
      <c r="AB98" t="s">
        <v>1195</v>
      </c>
      <c r="AC98" s="3124"/>
    </row>
    <row r="99" spans="1:29">
      <c r="A99" s="3124">
        <v>98</v>
      </c>
      <c r="B99" s="3124" t="s">
        <v>1623</v>
      </c>
      <c r="C99" s="3124" t="s">
        <v>933</v>
      </c>
      <c r="D99" s="3124" t="s">
        <v>936</v>
      </c>
      <c r="E99" t="s">
        <v>934</v>
      </c>
      <c r="F99" s="3234" t="s">
        <v>1972</v>
      </c>
      <c r="G99" s="3124" t="s">
        <v>1973</v>
      </c>
      <c r="H99" s="3124">
        <v>24</v>
      </c>
      <c r="I99" s="3124">
        <v>20</v>
      </c>
      <c r="J99" s="3124"/>
      <c r="K99" s="3124"/>
      <c r="L99" s="3124">
        <v>2800</v>
      </c>
      <c r="M99" s="3124" t="s">
        <v>1746</v>
      </c>
      <c r="N99" s="3192">
        <v>44501</v>
      </c>
      <c r="O99" s="3192">
        <v>45078</v>
      </c>
      <c r="P99" s="3192">
        <v>44501</v>
      </c>
      <c r="Q99" s="3192">
        <v>45200</v>
      </c>
      <c r="R99" s="3124" t="s">
        <v>432</v>
      </c>
      <c r="S99" s="3124" t="s">
        <v>1974</v>
      </c>
      <c r="T99" s="3124" t="s">
        <v>1850</v>
      </c>
      <c r="U99" t="s">
        <v>1869</v>
      </c>
      <c r="V99" s="3124">
        <v>5000</v>
      </c>
      <c r="W99" s="3193">
        <v>0.44</v>
      </c>
      <c r="X99" s="3124">
        <v>2200</v>
      </c>
      <c r="Y99" s="3124">
        <v>2</v>
      </c>
      <c r="Z99" s="3124">
        <v>0</v>
      </c>
      <c r="AA99" s="3124">
        <v>25000</v>
      </c>
      <c r="AB99" t="s">
        <v>1869</v>
      </c>
      <c r="AC99" s="3124"/>
    </row>
    <row r="100" spans="1:29">
      <c r="A100" s="3124">
        <v>99</v>
      </c>
      <c r="B100" s="3124" t="s">
        <v>1621</v>
      </c>
      <c r="C100" s="3124" t="s">
        <v>659</v>
      </c>
      <c r="D100" s="3124" t="s">
        <v>660</v>
      </c>
      <c r="E100" t="s">
        <v>4536</v>
      </c>
      <c r="F100" s="3234">
        <v>5528985077</v>
      </c>
      <c r="G100" s="3124" t="s">
        <v>1975</v>
      </c>
      <c r="H100" s="3124">
        <v>20</v>
      </c>
      <c r="I100" s="3124">
        <v>20</v>
      </c>
      <c r="J100" s="3124"/>
      <c r="K100" s="3124">
        <v>2000</v>
      </c>
      <c r="L100" s="3124">
        <v>2180.0000000000005</v>
      </c>
      <c r="M100" s="3124" t="s">
        <v>1976</v>
      </c>
      <c r="N100" s="3192">
        <v>44075</v>
      </c>
      <c r="O100" s="3192">
        <v>44652</v>
      </c>
      <c r="P100" s="3192">
        <v>44075</v>
      </c>
      <c r="Q100" s="3192">
        <v>44652</v>
      </c>
      <c r="R100" s="3124" t="s">
        <v>433</v>
      </c>
      <c r="S100" s="3124" t="s">
        <v>1640</v>
      </c>
      <c r="T100" s="3124" t="s">
        <v>1850</v>
      </c>
      <c r="U100" t="s">
        <v>1869</v>
      </c>
      <c r="V100" s="3124">
        <v>5000</v>
      </c>
      <c r="W100" s="3193">
        <v>0.56399999999999995</v>
      </c>
      <c r="X100" s="3124">
        <v>2819.9999999999995</v>
      </c>
      <c r="Y100" s="3124">
        <v>2</v>
      </c>
      <c r="Z100" s="3124">
        <v>0</v>
      </c>
      <c r="AA100" s="3124">
        <v>25000</v>
      </c>
      <c r="AB100" t="s">
        <v>1869</v>
      </c>
      <c r="AC100" s="3124"/>
    </row>
    <row r="101" spans="1:29">
      <c r="A101" s="3124">
        <v>100</v>
      </c>
      <c r="B101" s="3124" t="s">
        <v>1621</v>
      </c>
      <c r="C101" s="3124" t="s">
        <v>1977</v>
      </c>
      <c r="D101" s="3124" t="s">
        <v>1978</v>
      </c>
      <c r="E101" t="s">
        <v>4537</v>
      </c>
      <c r="F101" s="3234">
        <v>55411815476</v>
      </c>
      <c r="G101" s="3124" t="s">
        <v>1979</v>
      </c>
      <c r="H101" s="3124">
        <v>20</v>
      </c>
      <c r="I101" s="3124">
        <v>20</v>
      </c>
      <c r="J101" s="3124"/>
      <c r="K101" s="3124">
        <v>2000</v>
      </c>
      <c r="L101" s="3124">
        <v>2180.0000000000005</v>
      </c>
      <c r="M101" s="3124" t="s">
        <v>1976</v>
      </c>
      <c r="N101" s="3192"/>
      <c r="O101" s="3192">
        <v>578</v>
      </c>
      <c r="P101" s="3192">
        <v>0</v>
      </c>
      <c r="Q101" s="3192">
        <v>578</v>
      </c>
      <c r="R101" s="3124" t="s">
        <v>432</v>
      </c>
      <c r="S101" s="3124" t="s">
        <v>1640</v>
      </c>
      <c r="T101" s="3124" t="s">
        <v>1850</v>
      </c>
      <c r="U101" t="s">
        <v>1869</v>
      </c>
      <c r="V101" s="3124">
        <v>5000</v>
      </c>
      <c r="W101" s="3193">
        <v>0.56399999999999995</v>
      </c>
      <c r="X101" s="3124">
        <v>2819.9999999999995</v>
      </c>
      <c r="Y101" s="3124">
        <v>2</v>
      </c>
      <c r="Z101" s="3124">
        <v>0</v>
      </c>
      <c r="AA101" s="3124">
        <v>25000</v>
      </c>
      <c r="AB101" t="s">
        <v>1195</v>
      </c>
      <c r="AC101" s="3124"/>
    </row>
    <row r="102" spans="1:29">
      <c r="A102" s="3124">
        <v>101</v>
      </c>
      <c r="B102" s="3124" t="s">
        <v>1625</v>
      </c>
      <c r="C102" s="3124" t="s">
        <v>1045</v>
      </c>
      <c r="D102" s="3124" t="s">
        <v>1046</v>
      </c>
      <c r="E102" t="s">
        <v>1980</v>
      </c>
      <c r="F102" s="3234" t="s">
        <v>1981</v>
      </c>
      <c r="G102" s="3124" t="s">
        <v>1982</v>
      </c>
      <c r="H102" s="3124">
        <v>24</v>
      </c>
      <c r="I102" s="3124">
        <v>20</v>
      </c>
      <c r="J102" s="3124"/>
      <c r="K102" s="3124">
        <v>3000</v>
      </c>
      <c r="L102" s="3124">
        <v>2800</v>
      </c>
      <c r="M102" s="3124" t="s">
        <v>1983</v>
      </c>
      <c r="N102" s="3192">
        <v>43831</v>
      </c>
      <c r="O102" s="3192">
        <v>44409</v>
      </c>
      <c r="P102" s="3192">
        <v>43831</v>
      </c>
      <c r="Q102" s="3192">
        <v>44531</v>
      </c>
      <c r="R102" s="3124" t="s">
        <v>433</v>
      </c>
      <c r="S102" s="3124" t="s">
        <v>1690</v>
      </c>
      <c r="T102" s="3124" t="s">
        <v>1838</v>
      </c>
      <c r="U102" t="s">
        <v>1195</v>
      </c>
      <c r="V102" s="3124">
        <v>5000</v>
      </c>
      <c r="W102" s="3193">
        <v>0.44</v>
      </c>
      <c r="X102" s="3124">
        <v>2200</v>
      </c>
      <c r="Y102" s="3124">
        <v>2</v>
      </c>
      <c r="Z102" s="3124">
        <v>0</v>
      </c>
      <c r="AA102" s="3124">
        <v>25000</v>
      </c>
      <c r="AB102" t="s">
        <v>1195</v>
      </c>
      <c r="AC102" s="3124"/>
    </row>
    <row r="103" spans="1:29">
      <c r="A103" s="3124">
        <v>102</v>
      </c>
      <c r="B103" s="3124" t="s">
        <v>1621</v>
      </c>
      <c r="C103" s="3124" t="s">
        <v>913</v>
      </c>
      <c r="D103" s="3124" t="s">
        <v>1984</v>
      </c>
      <c r="E103" t="s">
        <v>914</v>
      </c>
      <c r="F103" s="3234">
        <v>9988451496</v>
      </c>
      <c r="G103" s="3124" t="s">
        <v>1985</v>
      </c>
      <c r="H103" s="3124">
        <v>20</v>
      </c>
      <c r="I103" s="3124">
        <v>20</v>
      </c>
      <c r="J103" s="3124"/>
      <c r="K103" s="3124">
        <v>0</v>
      </c>
      <c r="L103" s="3124">
        <v>0</v>
      </c>
      <c r="M103" s="3124" t="s">
        <v>1896</v>
      </c>
      <c r="N103" s="3192">
        <v>43617</v>
      </c>
      <c r="O103" s="3192">
        <v>44197</v>
      </c>
      <c r="P103" s="3192">
        <v>43617</v>
      </c>
      <c r="Q103" s="3192">
        <v>44197</v>
      </c>
      <c r="R103" s="3124" t="s">
        <v>432</v>
      </c>
      <c r="S103" s="3124" t="s">
        <v>1640</v>
      </c>
      <c r="T103" s="3124" t="s">
        <v>1850</v>
      </c>
      <c r="U103" t="s">
        <v>1195</v>
      </c>
      <c r="V103" s="3124">
        <v>5000</v>
      </c>
      <c r="W103" s="3193">
        <v>1</v>
      </c>
      <c r="X103" s="3124">
        <v>5000</v>
      </c>
      <c r="Y103" s="3124">
        <v>2</v>
      </c>
      <c r="Z103" s="3124">
        <v>0</v>
      </c>
      <c r="AA103" s="3124">
        <v>25000</v>
      </c>
      <c r="AB103" t="s">
        <v>1195</v>
      </c>
      <c r="AC103" s="3124"/>
    </row>
    <row r="104" spans="1:29">
      <c r="A104" s="3124">
        <v>103</v>
      </c>
      <c r="B104" s="3124" t="s">
        <v>1621</v>
      </c>
      <c r="C104" s="3233" t="s">
        <v>1986</v>
      </c>
      <c r="D104" s="3124" t="s">
        <v>1987</v>
      </c>
      <c r="E104" t="s">
        <v>1988</v>
      </c>
      <c r="F104" s="3234">
        <v>9831323522</v>
      </c>
      <c r="G104" s="3124" t="s">
        <v>1989</v>
      </c>
      <c r="H104" s="3124">
        <v>20</v>
      </c>
      <c r="I104" s="3124">
        <v>20</v>
      </c>
      <c r="J104" s="3124"/>
      <c r="K104" s="3124">
        <v>2000</v>
      </c>
      <c r="L104" s="3124">
        <v>1600</v>
      </c>
      <c r="M104" s="3124" t="s">
        <v>1896</v>
      </c>
      <c r="N104" s="3192">
        <v>43617</v>
      </c>
      <c r="O104" s="3192">
        <v>44197</v>
      </c>
      <c r="P104" s="3192">
        <v>43617</v>
      </c>
      <c r="Q104" s="3192">
        <v>44197</v>
      </c>
      <c r="R104" s="3124" t="s">
        <v>432</v>
      </c>
      <c r="S104" s="3124" t="s">
        <v>1640</v>
      </c>
      <c r="T104" s="3124" t="s">
        <v>1990</v>
      </c>
      <c r="U104" t="s">
        <v>1195</v>
      </c>
      <c r="V104" s="3124">
        <v>5000</v>
      </c>
      <c r="W104" s="3193">
        <v>0.68</v>
      </c>
      <c r="X104" s="3124">
        <v>3400</v>
      </c>
      <c r="Y104" s="3124">
        <v>2</v>
      </c>
      <c r="Z104" s="3124">
        <v>0</v>
      </c>
      <c r="AA104" s="3124">
        <v>25000</v>
      </c>
      <c r="AB104" t="s">
        <v>1195</v>
      </c>
      <c r="AC104" s="3124"/>
    </row>
    <row r="105" spans="1:29">
      <c r="A105" s="3124">
        <v>104</v>
      </c>
      <c r="B105" s="3124" t="s">
        <v>1621</v>
      </c>
      <c r="C105" s="3124" t="s">
        <v>1991</v>
      </c>
      <c r="D105" s="3124" t="s">
        <v>1992</v>
      </c>
      <c r="E105" t="s">
        <v>1993</v>
      </c>
      <c r="F105" s="3234">
        <v>9981483701</v>
      </c>
      <c r="G105" s="3124" t="s">
        <v>1994</v>
      </c>
      <c r="H105" s="3124">
        <v>20</v>
      </c>
      <c r="I105" s="3124">
        <v>20</v>
      </c>
      <c r="J105" s="3124"/>
      <c r="K105" s="3124">
        <v>2000</v>
      </c>
      <c r="L105" s="3124">
        <v>2180.0000000000005</v>
      </c>
      <c r="M105" s="3124" t="s">
        <v>1896</v>
      </c>
      <c r="N105" s="3192">
        <v>43617</v>
      </c>
      <c r="O105" s="3192">
        <v>44197</v>
      </c>
      <c r="P105" s="3192">
        <v>43617</v>
      </c>
      <c r="Q105" s="3192">
        <v>44197</v>
      </c>
      <c r="R105" s="3124" t="s">
        <v>432</v>
      </c>
      <c r="S105" s="3124" t="s">
        <v>1640</v>
      </c>
      <c r="T105" s="3124" t="s">
        <v>1850</v>
      </c>
      <c r="U105" t="s">
        <v>1761</v>
      </c>
      <c r="V105" s="3124">
        <v>5000</v>
      </c>
      <c r="W105" s="3193">
        <v>0.56399999999999995</v>
      </c>
      <c r="X105" s="3124">
        <v>2819.9999999999995</v>
      </c>
      <c r="Y105" s="3124">
        <v>2</v>
      </c>
      <c r="Z105" s="3124">
        <v>0</v>
      </c>
      <c r="AA105" s="3124">
        <v>25000</v>
      </c>
      <c r="AB105" t="s">
        <v>1195</v>
      </c>
      <c r="AC105" s="3124"/>
    </row>
    <row r="106" spans="1:29">
      <c r="A106" s="3124">
        <v>105</v>
      </c>
      <c r="B106" s="3124" t="s">
        <v>1621</v>
      </c>
      <c r="C106" s="3124" t="s">
        <v>1185</v>
      </c>
      <c r="D106" s="3124" t="s">
        <v>1995</v>
      </c>
      <c r="E106" t="s">
        <v>1187</v>
      </c>
      <c r="F106" s="3234" t="s">
        <v>1996</v>
      </c>
      <c r="G106" s="3124" t="s">
        <v>1997</v>
      </c>
      <c r="H106" s="3124">
        <v>20</v>
      </c>
      <c r="I106" s="3124">
        <v>20</v>
      </c>
      <c r="J106" s="3124"/>
      <c r="K106" s="3124">
        <v>2000</v>
      </c>
      <c r="L106" s="3124">
        <v>1600</v>
      </c>
      <c r="M106" s="3124" t="s">
        <v>1896</v>
      </c>
      <c r="N106" s="3192">
        <v>43617</v>
      </c>
      <c r="O106" s="3192">
        <v>44197</v>
      </c>
      <c r="P106" s="3192">
        <v>43617</v>
      </c>
      <c r="Q106" s="3192">
        <v>44197</v>
      </c>
      <c r="R106" s="3124" t="s">
        <v>432</v>
      </c>
      <c r="S106" s="3124" t="s">
        <v>1640</v>
      </c>
      <c r="T106" s="3124" t="s">
        <v>1850</v>
      </c>
      <c r="U106" t="s">
        <v>1195</v>
      </c>
      <c r="V106" s="3124">
        <v>5000</v>
      </c>
      <c r="W106" s="3193">
        <v>0.68</v>
      </c>
      <c r="X106" s="3124">
        <v>3400</v>
      </c>
      <c r="Y106" s="3124">
        <v>2</v>
      </c>
      <c r="Z106" s="3124">
        <v>0</v>
      </c>
      <c r="AA106" s="3124">
        <v>25000</v>
      </c>
      <c r="AB106" t="s">
        <v>1195</v>
      </c>
      <c r="AC106" s="3124"/>
    </row>
    <row r="107" spans="1:29">
      <c r="A107" s="3124">
        <v>106</v>
      </c>
      <c r="B107" s="3124" t="s">
        <v>1621</v>
      </c>
      <c r="C107" s="3124" t="s">
        <v>1998</v>
      </c>
      <c r="D107" s="3124" t="s">
        <v>1999</v>
      </c>
      <c r="E107" t="s">
        <v>2000</v>
      </c>
      <c r="F107" s="3234" t="s">
        <v>2001</v>
      </c>
      <c r="G107" s="3124" t="s">
        <v>2002</v>
      </c>
      <c r="H107" s="3124">
        <v>20</v>
      </c>
      <c r="I107" s="3124">
        <v>20</v>
      </c>
      <c r="J107" s="3124"/>
      <c r="K107" s="3124">
        <v>2000</v>
      </c>
      <c r="L107" s="3124">
        <v>2180.0000000000005</v>
      </c>
      <c r="M107" s="3124" t="s">
        <v>1896</v>
      </c>
      <c r="N107" s="3192">
        <v>43617</v>
      </c>
      <c r="O107" s="3192">
        <v>44197</v>
      </c>
      <c r="P107" s="3192">
        <v>43617</v>
      </c>
      <c r="Q107" s="3192">
        <v>44197</v>
      </c>
      <c r="R107" s="3124" t="s">
        <v>433</v>
      </c>
      <c r="S107" s="3124" t="s">
        <v>1640</v>
      </c>
      <c r="T107" s="3124" t="s">
        <v>1850</v>
      </c>
      <c r="U107" t="s">
        <v>1761</v>
      </c>
      <c r="V107" s="3124">
        <v>5000</v>
      </c>
      <c r="W107" s="3193">
        <v>0.56399999999999995</v>
      </c>
      <c r="X107" s="3124">
        <v>2819.9999999999995</v>
      </c>
      <c r="Y107" s="3124">
        <v>2</v>
      </c>
      <c r="Z107" s="3124">
        <v>0</v>
      </c>
      <c r="AA107" s="3124">
        <v>25000</v>
      </c>
      <c r="AB107" t="s">
        <v>1195</v>
      </c>
      <c r="AC107" s="3124"/>
    </row>
    <row r="108" spans="1:29">
      <c r="A108" s="3124">
        <v>107</v>
      </c>
      <c r="B108" s="3124" t="s">
        <v>1621</v>
      </c>
      <c r="C108" s="3124" t="s">
        <v>2003</v>
      </c>
      <c r="D108" s="3124" t="s">
        <v>2004</v>
      </c>
      <c r="E108" t="s">
        <v>4538</v>
      </c>
      <c r="F108" s="3234">
        <v>9831041657</v>
      </c>
      <c r="G108" s="3124" t="s">
        <v>2005</v>
      </c>
      <c r="H108" s="3124">
        <v>20</v>
      </c>
      <c r="I108" s="3124">
        <v>20</v>
      </c>
      <c r="J108" s="3124"/>
      <c r="K108" s="3124">
        <v>0</v>
      </c>
      <c r="L108" s="3124">
        <v>1400</v>
      </c>
      <c r="M108" s="3124" t="s">
        <v>1896</v>
      </c>
      <c r="N108" s="3192">
        <v>43586</v>
      </c>
      <c r="O108" s="3192">
        <v>44166</v>
      </c>
      <c r="P108" s="3192">
        <v>43586</v>
      </c>
      <c r="Q108" s="3192">
        <v>44166</v>
      </c>
      <c r="R108" s="3124" t="s">
        <v>433</v>
      </c>
      <c r="S108" s="3124" t="s">
        <v>1640</v>
      </c>
      <c r="T108" s="3124" t="s">
        <v>1990</v>
      </c>
      <c r="U108" t="s">
        <v>1195</v>
      </c>
      <c r="V108" s="3124">
        <v>5000</v>
      </c>
      <c r="W108" s="3193">
        <v>0.72</v>
      </c>
      <c r="X108" s="3124">
        <v>3600</v>
      </c>
      <c r="Y108" s="3124">
        <v>2</v>
      </c>
      <c r="Z108" s="3124">
        <v>0</v>
      </c>
      <c r="AA108" s="3124">
        <v>25000</v>
      </c>
      <c r="AB108" t="s">
        <v>1195</v>
      </c>
      <c r="AC108" s="3124"/>
    </row>
    <row r="109" spans="1:29">
      <c r="A109" s="3124">
        <v>108</v>
      </c>
      <c r="B109" s="3124" t="s">
        <v>1621</v>
      </c>
      <c r="C109" s="3124" t="s">
        <v>2006</v>
      </c>
      <c r="D109" s="3124" t="s">
        <v>2007</v>
      </c>
      <c r="E109" t="s">
        <v>4539</v>
      </c>
      <c r="F109" s="3234">
        <v>9983642195</v>
      </c>
      <c r="G109" s="3124" t="s">
        <v>5492</v>
      </c>
      <c r="H109" s="3124">
        <v>20</v>
      </c>
      <c r="I109" s="3124">
        <v>20</v>
      </c>
      <c r="J109" s="3124"/>
      <c r="K109" s="3124">
        <v>2000</v>
      </c>
      <c r="L109" s="3124">
        <v>2180.0000000000005</v>
      </c>
      <c r="M109" s="3124" t="s">
        <v>1896</v>
      </c>
      <c r="N109" s="3192">
        <v>43617</v>
      </c>
      <c r="O109" s="3192">
        <v>44197</v>
      </c>
      <c r="P109" s="3192">
        <v>43617</v>
      </c>
      <c r="Q109" s="3192">
        <v>44197</v>
      </c>
      <c r="R109" s="3124" t="s">
        <v>432</v>
      </c>
      <c r="S109" s="3124" t="s">
        <v>1640</v>
      </c>
      <c r="T109" s="3124" t="s">
        <v>1850</v>
      </c>
      <c r="U109" t="s">
        <v>1195</v>
      </c>
      <c r="V109" s="3124">
        <v>5000</v>
      </c>
      <c r="W109" s="3193">
        <v>0.56399999999999995</v>
      </c>
      <c r="X109" s="3124">
        <v>2819.9999999999995</v>
      </c>
      <c r="Y109" s="3124">
        <v>2</v>
      </c>
      <c r="Z109" s="3124">
        <v>0</v>
      </c>
      <c r="AA109" s="3124">
        <v>25000</v>
      </c>
      <c r="AB109" t="s">
        <v>1195</v>
      </c>
      <c r="AC109" s="3124"/>
    </row>
    <row r="110" spans="1:29">
      <c r="A110" s="3124">
        <v>109</v>
      </c>
      <c r="B110" s="3124" t="s">
        <v>1621</v>
      </c>
      <c r="C110" s="3124" t="s">
        <v>1208</v>
      </c>
      <c r="D110" s="3124" t="s">
        <v>2008</v>
      </c>
      <c r="E110" t="s">
        <v>4540</v>
      </c>
      <c r="F110" s="3234" t="s">
        <v>2009</v>
      </c>
      <c r="G110" s="3124" t="s">
        <v>1967</v>
      </c>
      <c r="H110" s="3124">
        <v>20</v>
      </c>
      <c r="I110" s="3124">
        <v>20</v>
      </c>
      <c r="J110" s="3124"/>
      <c r="K110" s="3124">
        <v>2000</v>
      </c>
      <c r="L110" s="3124">
        <v>1600</v>
      </c>
      <c r="M110" s="3124" t="s">
        <v>1896</v>
      </c>
      <c r="N110" s="3192">
        <v>43617</v>
      </c>
      <c r="O110" s="3192">
        <v>44197</v>
      </c>
      <c r="P110" s="3192">
        <v>43617</v>
      </c>
      <c r="Q110" s="3192">
        <v>44197</v>
      </c>
      <c r="R110" s="3124" t="s">
        <v>433</v>
      </c>
      <c r="S110" s="3124" t="s">
        <v>1640</v>
      </c>
      <c r="T110" s="3124" t="s">
        <v>1850</v>
      </c>
      <c r="U110" t="s">
        <v>1195</v>
      </c>
      <c r="V110" s="3124">
        <v>5000</v>
      </c>
      <c r="W110" s="3193">
        <v>0.68</v>
      </c>
      <c r="X110" s="3124">
        <v>3400</v>
      </c>
      <c r="Y110" s="3124">
        <v>2</v>
      </c>
      <c r="Z110" s="3124">
        <v>0</v>
      </c>
      <c r="AA110" s="3124">
        <v>25000</v>
      </c>
      <c r="AB110" t="s">
        <v>1195</v>
      </c>
      <c r="AC110" s="3124"/>
    </row>
    <row r="111" spans="1:29">
      <c r="A111" s="3124">
        <v>110</v>
      </c>
      <c r="B111" s="3124" t="s">
        <v>1621</v>
      </c>
      <c r="C111" s="3124" t="s">
        <v>2010</v>
      </c>
      <c r="D111" s="3124" t="s">
        <v>2011</v>
      </c>
      <c r="E111" t="s">
        <v>2012</v>
      </c>
      <c r="F111" s="3234">
        <v>9831079580</v>
      </c>
      <c r="G111" s="3124" t="s">
        <v>2013</v>
      </c>
      <c r="H111" s="3124">
        <v>20</v>
      </c>
      <c r="I111" s="3124">
        <v>20</v>
      </c>
      <c r="J111" s="3124"/>
      <c r="K111" s="3124">
        <v>2000</v>
      </c>
      <c r="L111" s="3124">
        <v>1600</v>
      </c>
      <c r="M111" s="3124" t="s">
        <v>1896</v>
      </c>
      <c r="N111" s="3192">
        <v>43586</v>
      </c>
      <c r="O111" s="3192">
        <v>44166</v>
      </c>
      <c r="P111" s="3192">
        <v>43586</v>
      </c>
      <c r="Q111" s="3192">
        <v>44166</v>
      </c>
      <c r="R111" s="3124" t="s">
        <v>432</v>
      </c>
      <c r="S111" s="3124" t="s">
        <v>1640</v>
      </c>
      <c r="T111" s="3124" t="s">
        <v>1990</v>
      </c>
      <c r="U111" t="s">
        <v>1195</v>
      </c>
      <c r="V111" s="3124">
        <v>5000</v>
      </c>
      <c r="W111" s="3193">
        <v>0.68</v>
      </c>
      <c r="X111" s="3124">
        <v>3400</v>
      </c>
      <c r="Y111" s="3124">
        <v>2</v>
      </c>
      <c r="Z111" s="3124">
        <v>0</v>
      </c>
      <c r="AA111" s="3124">
        <v>25000</v>
      </c>
      <c r="AB111" t="s">
        <v>1195</v>
      </c>
      <c r="AC111" s="3124"/>
    </row>
    <row r="112" spans="1:29">
      <c r="A112" s="3124">
        <v>111</v>
      </c>
      <c r="B112" s="3124" t="s">
        <v>1123</v>
      </c>
      <c r="C112" s="3124" t="s">
        <v>1338</v>
      </c>
      <c r="D112" s="3124" t="s">
        <v>1332</v>
      </c>
      <c r="E112" t="s">
        <v>2014</v>
      </c>
      <c r="F112" s="3234" t="s">
        <v>4541</v>
      </c>
      <c r="G112" s="3124" t="s">
        <v>2015</v>
      </c>
      <c r="H112" s="3124">
        <v>6</v>
      </c>
      <c r="I112" s="3124">
        <v>4</v>
      </c>
      <c r="J112" s="3124"/>
      <c r="K112" s="3124"/>
      <c r="L112" s="3124">
        <v>5333</v>
      </c>
      <c r="M112" s="3124" t="s">
        <v>1207</v>
      </c>
      <c r="N112" s="3192">
        <v>44440</v>
      </c>
      <c r="O112" s="3192">
        <v>44531</v>
      </c>
      <c r="P112" s="3192">
        <v>44440</v>
      </c>
      <c r="Q112" s="3192">
        <v>44593</v>
      </c>
      <c r="R112" s="3124" t="s">
        <v>433</v>
      </c>
      <c r="S112" s="3124" t="s">
        <v>1939</v>
      </c>
      <c r="T112" s="3124" t="s">
        <v>1850</v>
      </c>
      <c r="U112" t="s">
        <v>1195</v>
      </c>
      <c r="V112" s="3124">
        <v>5000</v>
      </c>
      <c r="W112" s="3193">
        <v>-6.6600000000000006E-2</v>
      </c>
      <c r="X112" s="3124">
        <v>-333</v>
      </c>
      <c r="Y112" s="3124">
        <v>2</v>
      </c>
      <c r="Z112" s="3124">
        <v>0</v>
      </c>
      <c r="AA112" s="3124">
        <v>25000</v>
      </c>
      <c r="AB112" t="s">
        <v>1195</v>
      </c>
      <c r="AC112" s="3124"/>
    </row>
    <row r="113" spans="1:29">
      <c r="A113" s="3124">
        <v>112</v>
      </c>
      <c r="B113" s="3124" t="s">
        <v>1623</v>
      </c>
      <c r="C113" s="3124" t="s">
        <v>931</v>
      </c>
      <c r="D113" s="3124" t="s">
        <v>932</v>
      </c>
      <c r="E113" t="s">
        <v>4542</v>
      </c>
      <c r="F113" s="3234" t="s">
        <v>2016</v>
      </c>
      <c r="G113" s="3124" t="s">
        <v>2017</v>
      </c>
      <c r="H113" s="3124">
        <v>24</v>
      </c>
      <c r="I113" s="3124">
        <v>20</v>
      </c>
      <c r="J113" s="3124"/>
      <c r="K113" s="3124"/>
      <c r="L113" s="3124">
        <v>2800</v>
      </c>
      <c r="M113" s="3124" t="s">
        <v>1746</v>
      </c>
      <c r="N113" s="3192">
        <v>44501</v>
      </c>
      <c r="O113" s="3192">
        <v>45078</v>
      </c>
      <c r="P113" s="3192">
        <v>44501</v>
      </c>
      <c r="Q113" s="3192">
        <v>45200</v>
      </c>
      <c r="R113" s="3124" t="s">
        <v>432</v>
      </c>
      <c r="S113" s="3124" t="s">
        <v>1974</v>
      </c>
      <c r="T113" s="3124" t="s">
        <v>1850</v>
      </c>
      <c r="U113" t="s">
        <v>1869</v>
      </c>
      <c r="V113" s="3124">
        <v>5000</v>
      </c>
      <c r="W113" s="3193">
        <v>0.44</v>
      </c>
      <c r="X113" s="3124">
        <v>2200</v>
      </c>
      <c r="Y113" s="3124">
        <v>2</v>
      </c>
      <c r="Z113" s="3124">
        <v>0</v>
      </c>
      <c r="AA113" s="3124">
        <v>25000</v>
      </c>
      <c r="AB113" t="s">
        <v>1869</v>
      </c>
      <c r="AC113" s="3124"/>
    </row>
    <row r="114" spans="1:29">
      <c r="A114" s="3124">
        <v>113</v>
      </c>
      <c r="B114" s="3124" t="s">
        <v>1625</v>
      </c>
      <c r="C114" s="3124" t="s">
        <v>2018</v>
      </c>
      <c r="D114" s="3124" t="s">
        <v>2019</v>
      </c>
      <c r="E114" t="s">
        <v>2020</v>
      </c>
      <c r="F114" s="3234">
        <v>9831235695</v>
      </c>
      <c r="G114" s="3124" t="s">
        <v>2021</v>
      </c>
      <c r="H114" s="3124">
        <v>20</v>
      </c>
      <c r="I114" s="3124">
        <v>20</v>
      </c>
      <c r="J114" s="3124"/>
      <c r="K114" s="3124">
        <v>3000</v>
      </c>
      <c r="L114" s="3124">
        <v>3150</v>
      </c>
      <c r="M114" s="3124" t="s">
        <v>1098</v>
      </c>
      <c r="N114" s="3192">
        <v>43617</v>
      </c>
      <c r="O114" s="3192">
        <v>44197</v>
      </c>
      <c r="P114" s="3192">
        <v>43617</v>
      </c>
      <c r="Q114" s="3192">
        <v>44197</v>
      </c>
      <c r="R114" s="3124" t="s">
        <v>432</v>
      </c>
      <c r="S114" s="3124" t="s">
        <v>1690</v>
      </c>
      <c r="T114" s="3124" t="s">
        <v>1990</v>
      </c>
      <c r="U114" t="s">
        <v>1195</v>
      </c>
      <c r="V114" s="3124">
        <v>5000</v>
      </c>
      <c r="W114" s="3193">
        <v>0.37</v>
      </c>
      <c r="X114" s="3124">
        <v>1850</v>
      </c>
      <c r="Y114" s="3124">
        <v>2</v>
      </c>
      <c r="Z114" s="3124">
        <v>0</v>
      </c>
      <c r="AA114" s="3124">
        <v>25000</v>
      </c>
      <c r="AB114" t="s">
        <v>1195</v>
      </c>
      <c r="AC114" s="3124"/>
    </row>
    <row r="115" spans="1:29">
      <c r="A115" s="3124">
        <v>114</v>
      </c>
      <c r="B115" s="3124" t="s">
        <v>1625</v>
      </c>
      <c r="C115" s="3124" t="s">
        <v>1118</v>
      </c>
      <c r="D115" s="3124" t="s">
        <v>1119</v>
      </c>
      <c r="E115" t="s">
        <v>2022</v>
      </c>
      <c r="F115" s="3234" t="s">
        <v>2023</v>
      </c>
      <c r="G115" s="3124" t="s">
        <v>4543</v>
      </c>
      <c r="H115" s="3124">
        <v>24</v>
      </c>
      <c r="I115" s="3124">
        <v>20</v>
      </c>
      <c r="J115" s="3124"/>
      <c r="K115" s="3124">
        <v>3000</v>
      </c>
      <c r="L115" s="3124">
        <v>2800</v>
      </c>
      <c r="M115" s="3124" t="s">
        <v>1094</v>
      </c>
      <c r="N115" s="3192">
        <v>43952</v>
      </c>
      <c r="O115" s="3192">
        <v>44531</v>
      </c>
      <c r="P115" s="3192">
        <v>43952</v>
      </c>
      <c r="Q115" s="3192">
        <v>44652</v>
      </c>
      <c r="R115" s="3124" t="s">
        <v>433</v>
      </c>
      <c r="S115" s="3124" t="s">
        <v>1690</v>
      </c>
      <c r="T115" s="3124" t="s">
        <v>1850</v>
      </c>
      <c r="U115" t="s">
        <v>1195</v>
      </c>
      <c r="V115" s="3124">
        <v>5000</v>
      </c>
      <c r="W115" s="3193">
        <v>0.44</v>
      </c>
      <c r="X115" s="3124">
        <v>2200</v>
      </c>
      <c r="Y115" s="3124">
        <v>2</v>
      </c>
      <c r="Z115" s="3124">
        <v>0</v>
      </c>
      <c r="AA115" s="3124">
        <v>25000</v>
      </c>
      <c r="AB115" t="s">
        <v>1195</v>
      </c>
      <c r="AC115" s="3124"/>
    </row>
    <row r="116" spans="1:29">
      <c r="A116" s="3124">
        <v>115</v>
      </c>
      <c r="B116" s="3124" t="s">
        <v>1621</v>
      </c>
      <c r="C116" s="3124" t="s">
        <v>737</v>
      </c>
      <c r="D116" s="3124" t="s">
        <v>1719</v>
      </c>
      <c r="E116" t="s">
        <v>2024</v>
      </c>
      <c r="F116" s="3234" t="s">
        <v>4544</v>
      </c>
      <c r="G116" s="3124" t="s">
        <v>2025</v>
      </c>
      <c r="H116" s="3124">
        <v>20</v>
      </c>
      <c r="I116" s="3124">
        <v>20</v>
      </c>
      <c r="J116" s="3124"/>
      <c r="K116" s="3124">
        <v>0</v>
      </c>
      <c r="L116" s="3124">
        <v>0</v>
      </c>
      <c r="M116" s="3124" t="s">
        <v>1694</v>
      </c>
      <c r="N116" s="3192">
        <v>44185</v>
      </c>
      <c r="O116" s="3192">
        <v>44762</v>
      </c>
      <c r="P116" s="3192">
        <v>44185</v>
      </c>
      <c r="Q116" s="3192">
        <v>44762</v>
      </c>
      <c r="R116" s="3124" t="s">
        <v>433</v>
      </c>
      <c r="S116" s="3124" t="s">
        <v>1640</v>
      </c>
      <c r="T116" s="3124" t="s">
        <v>1850</v>
      </c>
      <c r="U116" t="s">
        <v>1195</v>
      </c>
      <c r="V116" s="3124">
        <v>5000</v>
      </c>
      <c r="W116" s="3193">
        <v>1</v>
      </c>
      <c r="X116" s="3124">
        <v>5000</v>
      </c>
      <c r="Y116" s="3124">
        <v>2</v>
      </c>
      <c r="Z116" s="3124">
        <v>0</v>
      </c>
      <c r="AA116" s="3124">
        <v>25000</v>
      </c>
      <c r="AB116" t="s">
        <v>1195</v>
      </c>
      <c r="AC116" s="3124"/>
    </row>
    <row r="117" spans="1:29">
      <c r="A117" s="3124">
        <v>116</v>
      </c>
      <c r="B117" s="3124" t="s">
        <v>1621</v>
      </c>
      <c r="C117" s="3124" t="s">
        <v>738</v>
      </c>
      <c r="D117" s="3124" t="s">
        <v>1719</v>
      </c>
      <c r="E117" t="s">
        <v>2026</v>
      </c>
      <c r="F117" s="3234" t="s">
        <v>2027</v>
      </c>
      <c r="G117" s="3124" t="s">
        <v>2028</v>
      </c>
      <c r="H117" s="3124">
        <v>20</v>
      </c>
      <c r="I117" s="3124">
        <v>20</v>
      </c>
      <c r="J117" s="3124"/>
      <c r="K117" s="3124">
        <v>2000</v>
      </c>
      <c r="L117" s="3124">
        <v>2180.0000000000005</v>
      </c>
      <c r="M117" s="3124" t="s">
        <v>1694</v>
      </c>
      <c r="N117" s="3192">
        <v>44166</v>
      </c>
      <c r="O117" s="3192">
        <v>44743</v>
      </c>
      <c r="P117" s="3192">
        <v>44166</v>
      </c>
      <c r="Q117" s="3192">
        <v>44743</v>
      </c>
      <c r="R117" s="3124" t="s">
        <v>432</v>
      </c>
      <c r="S117" s="3124" t="s">
        <v>1640</v>
      </c>
      <c r="T117" s="3124" t="s">
        <v>1850</v>
      </c>
      <c r="U117" t="s">
        <v>1761</v>
      </c>
      <c r="V117" s="3124">
        <v>5000</v>
      </c>
      <c r="W117" s="3193">
        <v>0.56399999999999995</v>
      </c>
      <c r="X117" s="3124">
        <v>2819.9999999999995</v>
      </c>
      <c r="Y117" s="3124">
        <v>2</v>
      </c>
      <c r="Z117" s="3124">
        <v>0</v>
      </c>
      <c r="AA117" s="3124">
        <v>25000</v>
      </c>
      <c r="AB117" t="s">
        <v>1195</v>
      </c>
      <c r="AC117" s="3124"/>
    </row>
    <row r="118" spans="1:29">
      <c r="A118" s="3124">
        <v>117</v>
      </c>
      <c r="B118" s="3124" t="s">
        <v>1621</v>
      </c>
      <c r="C118" s="3124" t="s">
        <v>2029</v>
      </c>
      <c r="D118" s="3124" t="s">
        <v>1720</v>
      </c>
      <c r="E118" t="s">
        <v>2030</v>
      </c>
      <c r="F118" s="3234" t="s">
        <v>2031</v>
      </c>
      <c r="G118" s="3124" t="s">
        <v>2032</v>
      </c>
      <c r="H118" s="3124">
        <v>20</v>
      </c>
      <c r="I118" s="3124">
        <v>20</v>
      </c>
      <c r="J118" s="3124"/>
      <c r="K118" s="3124">
        <v>2000</v>
      </c>
      <c r="L118" s="3124">
        <v>2180.0000000000005</v>
      </c>
      <c r="M118" s="3124" t="s">
        <v>1694</v>
      </c>
      <c r="N118" s="3192">
        <v>44185</v>
      </c>
      <c r="O118" s="3192">
        <v>44762</v>
      </c>
      <c r="P118" s="3192">
        <v>44185</v>
      </c>
      <c r="Q118" s="3192">
        <v>44762</v>
      </c>
      <c r="R118" s="3124" t="s">
        <v>433</v>
      </c>
      <c r="S118" s="3124" t="s">
        <v>1640</v>
      </c>
      <c r="T118" s="3124" t="s">
        <v>1850</v>
      </c>
      <c r="U118" t="s">
        <v>1869</v>
      </c>
      <c r="V118" s="3124">
        <v>5000</v>
      </c>
      <c r="W118" s="3193">
        <v>0.56399999999999995</v>
      </c>
      <c r="X118" s="3124">
        <v>2819.9999999999995</v>
      </c>
      <c r="Y118" s="3124">
        <v>2</v>
      </c>
      <c r="Z118" s="3124">
        <v>0</v>
      </c>
      <c r="AA118" s="3124">
        <v>25000</v>
      </c>
      <c r="AB118" t="s">
        <v>1869</v>
      </c>
      <c r="AC118" s="3124"/>
    </row>
    <row r="119" spans="1:29">
      <c r="A119" s="3124">
        <v>118</v>
      </c>
      <c r="B119" s="3124" t="s">
        <v>1621</v>
      </c>
      <c r="C119" s="3124" t="s">
        <v>750</v>
      </c>
      <c r="D119" s="3124" t="s">
        <v>1721</v>
      </c>
      <c r="E119" t="s">
        <v>751</v>
      </c>
      <c r="F119" s="3234" t="s">
        <v>4545</v>
      </c>
      <c r="G119" s="3124" t="s">
        <v>2033</v>
      </c>
      <c r="H119" s="3124">
        <v>20</v>
      </c>
      <c r="I119" s="3124">
        <v>20</v>
      </c>
      <c r="J119" s="3124"/>
      <c r="K119" s="3124">
        <v>2000</v>
      </c>
      <c r="L119" s="3124">
        <v>2180.0000000000005</v>
      </c>
      <c r="M119" s="3124" t="s">
        <v>1694</v>
      </c>
      <c r="N119" s="3192">
        <v>44228</v>
      </c>
      <c r="O119" s="3192">
        <v>44805</v>
      </c>
      <c r="P119" s="3192">
        <v>44228</v>
      </c>
      <c r="Q119" s="3192">
        <v>44805</v>
      </c>
      <c r="R119" s="3124" t="s">
        <v>433</v>
      </c>
      <c r="S119" s="3124" t="s">
        <v>1640</v>
      </c>
      <c r="T119" s="3124" t="s">
        <v>1850</v>
      </c>
      <c r="U119" t="s">
        <v>629</v>
      </c>
      <c r="V119" s="3124">
        <v>5000</v>
      </c>
      <c r="W119" s="3193">
        <v>0.56399999999999995</v>
      </c>
      <c r="X119" s="3124">
        <v>2819.9999999999995</v>
      </c>
      <c r="Y119" s="3124">
        <v>2</v>
      </c>
      <c r="Z119" s="3124">
        <v>0</v>
      </c>
      <c r="AA119" s="3124">
        <v>25000</v>
      </c>
      <c r="AB119" t="s">
        <v>2653</v>
      </c>
      <c r="AC119" s="3124"/>
    </row>
    <row r="120" spans="1:29">
      <c r="A120" s="3124">
        <v>119</v>
      </c>
      <c r="B120" s="3124" t="s">
        <v>1625</v>
      </c>
      <c r="C120" s="3124" t="s">
        <v>1212</v>
      </c>
      <c r="D120" s="3124" t="s">
        <v>1193</v>
      </c>
      <c r="E120" t="s">
        <v>2034</v>
      </c>
      <c r="F120" s="3234" t="s">
        <v>4546</v>
      </c>
      <c r="G120" s="3124" t="s">
        <v>1907</v>
      </c>
      <c r="H120" s="3124">
        <v>20</v>
      </c>
      <c r="I120" s="3124">
        <v>20</v>
      </c>
      <c r="J120" s="3124"/>
      <c r="K120" s="3124">
        <v>3000</v>
      </c>
      <c r="L120" s="3124">
        <v>2800</v>
      </c>
      <c r="M120" s="3124" t="s">
        <v>1207</v>
      </c>
      <c r="N120" s="3192">
        <v>44228</v>
      </c>
      <c r="O120" s="3192">
        <v>44805</v>
      </c>
      <c r="P120" s="3192">
        <v>44228</v>
      </c>
      <c r="Q120" s="3192">
        <v>44805</v>
      </c>
      <c r="R120" s="3124" t="s">
        <v>432</v>
      </c>
      <c r="S120" s="3124" t="s">
        <v>1690</v>
      </c>
      <c r="T120" s="3124" t="s">
        <v>1850</v>
      </c>
      <c r="U120" t="s">
        <v>1869</v>
      </c>
      <c r="V120" s="3124">
        <v>5000</v>
      </c>
      <c r="W120" s="3193">
        <v>0.44</v>
      </c>
      <c r="X120" s="3124">
        <v>2200</v>
      </c>
      <c r="Y120" s="3124">
        <v>2</v>
      </c>
      <c r="Z120" s="3124">
        <v>0</v>
      </c>
      <c r="AA120" s="3124">
        <v>25000</v>
      </c>
      <c r="AB120" t="s">
        <v>1869</v>
      </c>
      <c r="AC120" s="3124"/>
    </row>
    <row r="121" spans="1:29">
      <c r="A121" s="3124">
        <v>120</v>
      </c>
      <c r="B121" s="3124" t="s">
        <v>1621</v>
      </c>
      <c r="C121" s="3124" t="s">
        <v>885</v>
      </c>
      <c r="D121" s="3124" t="s">
        <v>886</v>
      </c>
      <c r="E121" t="s">
        <v>887</v>
      </c>
      <c r="F121" s="3234" t="s">
        <v>2035</v>
      </c>
      <c r="G121" s="3124" t="s">
        <v>2036</v>
      </c>
      <c r="H121" s="3124">
        <v>20</v>
      </c>
      <c r="I121" s="3124">
        <v>20</v>
      </c>
      <c r="J121" s="3124"/>
      <c r="K121" s="3124">
        <v>2000</v>
      </c>
      <c r="L121" s="3124">
        <v>2180.0000000000005</v>
      </c>
      <c r="M121" s="3124" t="s">
        <v>564</v>
      </c>
      <c r="N121" s="3192">
        <v>43862</v>
      </c>
      <c r="O121" s="3192">
        <v>44440</v>
      </c>
      <c r="P121" s="3192">
        <v>43862</v>
      </c>
      <c r="Q121" s="3192">
        <v>44440</v>
      </c>
      <c r="R121" s="3124" t="s">
        <v>432</v>
      </c>
      <c r="S121" s="3124" t="s">
        <v>1640</v>
      </c>
      <c r="T121" s="3124" t="s">
        <v>1850</v>
      </c>
      <c r="U121" t="s">
        <v>1195</v>
      </c>
      <c r="V121" s="3124">
        <v>6700</v>
      </c>
      <c r="W121" s="3193">
        <v>0.67462686567164176</v>
      </c>
      <c r="X121" s="3124">
        <v>4520</v>
      </c>
      <c r="Y121" s="3124">
        <v>1</v>
      </c>
      <c r="Z121" s="3124">
        <v>0</v>
      </c>
      <c r="AA121" s="3124">
        <v>29000</v>
      </c>
      <c r="AB121" t="s">
        <v>1195</v>
      </c>
      <c r="AC121" s="3124"/>
    </row>
    <row r="122" spans="1:29">
      <c r="A122" s="3124">
        <v>121</v>
      </c>
      <c r="B122" s="3124" t="s">
        <v>1625</v>
      </c>
      <c r="C122" s="3124" t="s">
        <v>1033</v>
      </c>
      <c r="D122" s="3124" t="s">
        <v>2037</v>
      </c>
      <c r="E122" t="s">
        <v>1035</v>
      </c>
      <c r="F122" s="3234">
        <v>9381201025</v>
      </c>
      <c r="G122" s="3124" t="s">
        <v>2038</v>
      </c>
      <c r="H122" s="3124">
        <v>20</v>
      </c>
      <c r="I122" s="3124">
        <v>20</v>
      </c>
      <c r="J122" s="3124"/>
      <c r="K122" s="3124">
        <v>3000</v>
      </c>
      <c r="L122" s="3124">
        <v>2800</v>
      </c>
      <c r="M122" s="3124" t="s">
        <v>2039</v>
      </c>
      <c r="N122" s="3192">
        <v>43789</v>
      </c>
      <c r="O122" s="3192">
        <v>44367</v>
      </c>
      <c r="P122" s="3192">
        <v>43789</v>
      </c>
      <c r="Q122" s="3192">
        <v>44367</v>
      </c>
      <c r="R122" s="3124" t="s">
        <v>433</v>
      </c>
      <c r="S122" s="3124" t="s">
        <v>1690</v>
      </c>
      <c r="T122" s="3124" t="s">
        <v>1838</v>
      </c>
      <c r="U122" t="s">
        <v>1195</v>
      </c>
      <c r="V122" s="3124">
        <v>6700</v>
      </c>
      <c r="W122" s="3193">
        <v>0.58208955223880599</v>
      </c>
      <c r="X122" s="3124">
        <v>3900</v>
      </c>
      <c r="Y122" s="3124">
        <v>1</v>
      </c>
      <c r="Z122" s="3124">
        <v>0</v>
      </c>
      <c r="AA122" s="3124">
        <v>29000</v>
      </c>
      <c r="AB122" t="s">
        <v>1195</v>
      </c>
      <c r="AC122" s="3124"/>
    </row>
    <row r="123" spans="1:29">
      <c r="A123" s="3124">
        <v>122</v>
      </c>
      <c r="B123" s="3124" t="s">
        <v>1625</v>
      </c>
      <c r="C123" s="3124" t="s">
        <v>931</v>
      </c>
      <c r="D123" s="3124" t="s">
        <v>2040</v>
      </c>
      <c r="E123" t="s">
        <v>4542</v>
      </c>
      <c r="F123" s="3234" t="s">
        <v>2016</v>
      </c>
      <c r="G123" s="3124" t="s">
        <v>2017</v>
      </c>
      <c r="H123" s="3124">
        <v>20</v>
      </c>
      <c r="I123" s="3124">
        <v>20</v>
      </c>
      <c r="J123" s="3124"/>
      <c r="K123" s="3124">
        <v>3000</v>
      </c>
      <c r="L123" s="3124">
        <v>3350</v>
      </c>
      <c r="M123" s="3124" t="s">
        <v>2041</v>
      </c>
      <c r="N123" s="3192">
        <v>44075</v>
      </c>
      <c r="O123" s="3192">
        <v>44652</v>
      </c>
      <c r="P123" s="3192">
        <v>44075</v>
      </c>
      <c r="Q123" s="3192">
        <v>44652</v>
      </c>
      <c r="R123" s="3124" t="s">
        <v>432</v>
      </c>
      <c r="S123" s="3124" t="s">
        <v>1690</v>
      </c>
      <c r="T123" s="3124" t="s">
        <v>1850</v>
      </c>
      <c r="U123" t="s">
        <v>1195</v>
      </c>
      <c r="V123" s="3124">
        <v>6700</v>
      </c>
      <c r="W123" s="3193">
        <v>0.5</v>
      </c>
      <c r="X123" s="3124">
        <v>3350</v>
      </c>
      <c r="Y123" s="3124">
        <v>1</v>
      </c>
      <c r="Z123" s="3124">
        <v>0</v>
      </c>
      <c r="AA123" s="3124">
        <v>29000</v>
      </c>
      <c r="AB123" t="s">
        <v>1195</v>
      </c>
      <c r="AC123" s="3124"/>
    </row>
    <row r="124" spans="1:29">
      <c r="A124" s="3124">
        <v>123</v>
      </c>
      <c r="B124" s="3124" t="s">
        <v>1625</v>
      </c>
      <c r="C124" s="3124" t="s">
        <v>2042</v>
      </c>
      <c r="D124" s="3124" t="s">
        <v>2043</v>
      </c>
      <c r="E124" t="s">
        <v>2044</v>
      </c>
      <c r="F124" s="3234" t="s">
        <v>2045</v>
      </c>
      <c r="G124" s="3124" t="s">
        <v>2046</v>
      </c>
      <c r="H124" s="3124">
        <v>20</v>
      </c>
      <c r="I124" s="3124">
        <v>20</v>
      </c>
      <c r="J124" s="3124"/>
      <c r="K124" s="3124">
        <v>3000</v>
      </c>
      <c r="L124" s="3124">
        <v>2700</v>
      </c>
      <c r="M124" s="3124" t="s">
        <v>2041</v>
      </c>
      <c r="N124" s="3192">
        <v>44075</v>
      </c>
      <c r="O124" s="3192">
        <v>44652</v>
      </c>
      <c r="P124" s="3192">
        <v>44075</v>
      </c>
      <c r="Q124" s="3192">
        <v>44652</v>
      </c>
      <c r="R124" s="3124" t="s">
        <v>433</v>
      </c>
      <c r="S124" s="3124" t="s">
        <v>1690</v>
      </c>
      <c r="T124" s="3124" t="s">
        <v>1850</v>
      </c>
      <c r="U124" t="s">
        <v>1761</v>
      </c>
      <c r="V124" s="3124">
        <v>6700</v>
      </c>
      <c r="W124" s="3193">
        <v>0.59701492537313428</v>
      </c>
      <c r="X124" s="3124">
        <v>4000</v>
      </c>
      <c r="Y124" s="3124">
        <v>1</v>
      </c>
      <c r="Z124" s="3124">
        <v>0</v>
      </c>
      <c r="AA124" s="3124">
        <v>29000</v>
      </c>
      <c r="AB124" t="s">
        <v>1195</v>
      </c>
      <c r="AC124" s="3124"/>
    </row>
    <row r="125" spans="1:29">
      <c r="A125" s="3124">
        <v>124</v>
      </c>
      <c r="B125" s="3124" t="s">
        <v>1625</v>
      </c>
      <c r="C125" s="3124" t="s">
        <v>2047</v>
      </c>
      <c r="D125" s="3124" t="s">
        <v>2048</v>
      </c>
      <c r="E125" t="s">
        <v>2049</v>
      </c>
      <c r="F125" s="3234" t="s">
        <v>2050</v>
      </c>
      <c r="G125" s="3124" t="s">
        <v>2051</v>
      </c>
      <c r="H125" s="3124">
        <v>20</v>
      </c>
      <c r="I125" s="3124">
        <v>20</v>
      </c>
      <c r="J125" s="3124"/>
      <c r="K125" s="3124">
        <v>3000</v>
      </c>
      <c r="L125" s="3124">
        <v>2000</v>
      </c>
      <c r="M125" s="3124" t="s">
        <v>2041</v>
      </c>
      <c r="N125" s="3192">
        <v>44458</v>
      </c>
      <c r="O125" s="3192">
        <v>45035</v>
      </c>
      <c r="P125" s="3192">
        <v>44458</v>
      </c>
      <c r="Q125" s="3192">
        <v>45035</v>
      </c>
      <c r="R125" s="3124" t="s">
        <v>432</v>
      </c>
      <c r="S125" s="3124" t="s">
        <v>1690</v>
      </c>
      <c r="T125" s="3124" t="s">
        <v>1850</v>
      </c>
      <c r="U125" t="s">
        <v>1195</v>
      </c>
      <c r="V125" s="3124">
        <v>6700</v>
      </c>
      <c r="W125" s="3193">
        <v>0.70149253731343286</v>
      </c>
      <c r="X125" s="3124">
        <v>4700</v>
      </c>
      <c r="Y125" s="3124">
        <v>1</v>
      </c>
      <c r="Z125" s="3124">
        <v>0</v>
      </c>
      <c r="AA125" s="3124">
        <v>29000</v>
      </c>
      <c r="AB125" t="s">
        <v>1195</v>
      </c>
      <c r="AC125" s="3124"/>
    </row>
    <row r="126" spans="1:29">
      <c r="A126" s="3124">
        <v>125</v>
      </c>
      <c r="B126" s="3124" t="s">
        <v>1123</v>
      </c>
      <c r="C126" s="3124" t="s">
        <v>2052</v>
      </c>
      <c r="D126" s="3124" t="s">
        <v>2053</v>
      </c>
      <c r="E126" t="s">
        <v>4547</v>
      </c>
      <c r="F126" s="3234" t="s">
        <v>2054</v>
      </c>
      <c r="G126" s="3124" t="s">
        <v>2055</v>
      </c>
      <c r="H126" s="3124">
        <v>4</v>
      </c>
      <c r="I126" s="3124">
        <v>4</v>
      </c>
      <c r="J126" s="3124"/>
      <c r="K126" s="3124">
        <v>3000</v>
      </c>
      <c r="L126" s="3124">
        <v>3350</v>
      </c>
      <c r="M126" s="3124" t="s">
        <v>1983</v>
      </c>
      <c r="N126" s="3192">
        <v>44044</v>
      </c>
      <c r="O126" s="3192">
        <v>44136</v>
      </c>
      <c r="P126" s="3192">
        <v>44044</v>
      </c>
      <c r="Q126" s="3192">
        <v>44136</v>
      </c>
      <c r="R126" s="3124" t="s">
        <v>433</v>
      </c>
      <c r="S126" s="3124" t="s">
        <v>1939</v>
      </c>
      <c r="T126" s="3124" t="s">
        <v>1850</v>
      </c>
      <c r="U126" t="s">
        <v>1195</v>
      </c>
      <c r="V126" s="3124">
        <v>6700</v>
      </c>
      <c r="W126" s="3193">
        <v>0.5</v>
      </c>
      <c r="X126" s="3124">
        <v>3350</v>
      </c>
      <c r="Y126" s="3124">
        <v>0</v>
      </c>
      <c r="Z126" s="3124">
        <v>8000</v>
      </c>
      <c r="AA126" s="3124">
        <v>25000</v>
      </c>
      <c r="AB126" t="s">
        <v>1195</v>
      </c>
      <c r="AC126" s="3124"/>
    </row>
    <row r="127" spans="1:29">
      <c r="A127" s="3124">
        <v>126</v>
      </c>
      <c r="B127" s="3124" t="s">
        <v>1123</v>
      </c>
      <c r="C127" s="3124" t="s">
        <v>4548</v>
      </c>
      <c r="D127" s="3124" t="s">
        <v>991</v>
      </c>
      <c r="E127" t="s">
        <v>4549</v>
      </c>
      <c r="F127" s="3234" t="s">
        <v>2056</v>
      </c>
      <c r="G127" s="3124" t="s">
        <v>2057</v>
      </c>
      <c r="H127" s="3124">
        <v>4</v>
      </c>
      <c r="I127" s="3124">
        <v>4</v>
      </c>
      <c r="J127" s="3124"/>
      <c r="K127" s="3124">
        <v>3000</v>
      </c>
      <c r="L127" s="3124">
        <v>3350</v>
      </c>
      <c r="M127" s="3124" t="s">
        <v>1274</v>
      </c>
      <c r="N127" s="3192">
        <v>44197</v>
      </c>
      <c r="O127" s="3192">
        <v>44287</v>
      </c>
      <c r="P127" s="3192">
        <v>44197</v>
      </c>
      <c r="Q127" s="3192">
        <v>44287</v>
      </c>
      <c r="R127" s="3124" t="s">
        <v>433</v>
      </c>
      <c r="S127" s="3124" t="s">
        <v>1939</v>
      </c>
      <c r="T127" s="3124" t="s">
        <v>1850</v>
      </c>
      <c r="U127" t="s">
        <v>1195</v>
      </c>
      <c r="V127" s="3124">
        <v>6700</v>
      </c>
      <c r="W127" s="3193">
        <v>0.5</v>
      </c>
      <c r="X127" s="3124">
        <v>3350</v>
      </c>
      <c r="Y127" s="3124">
        <v>0</v>
      </c>
      <c r="Z127" s="3124">
        <v>8000</v>
      </c>
      <c r="AA127" s="3124">
        <v>25000</v>
      </c>
      <c r="AB127" t="s">
        <v>1195</v>
      </c>
      <c r="AC127" s="3124"/>
    </row>
    <row r="128" spans="1:29">
      <c r="A128" s="3124">
        <v>127</v>
      </c>
      <c r="B128" s="3124" t="s">
        <v>1625</v>
      </c>
      <c r="C128" s="3124" t="s">
        <v>1028</v>
      </c>
      <c r="D128" s="3124" t="s">
        <v>2058</v>
      </c>
      <c r="E128" s="3134" t="s">
        <v>2581</v>
      </c>
      <c r="F128" s="3234" t="s">
        <v>2059</v>
      </c>
      <c r="G128" s="3124" t="s">
        <v>2060</v>
      </c>
      <c r="H128" s="3124">
        <v>22</v>
      </c>
      <c r="I128" s="3124">
        <v>20</v>
      </c>
      <c r="J128" s="3124"/>
      <c r="K128" s="3124">
        <v>3000</v>
      </c>
      <c r="L128" s="3124">
        <v>3150</v>
      </c>
      <c r="M128" s="3124" t="s">
        <v>2039</v>
      </c>
      <c r="N128" s="3192">
        <v>44155</v>
      </c>
      <c r="O128" s="3192">
        <v>44732</v>
      </c>
      <c r="P128" s="3192">
        <v>44155</v>
      </c>
      <c r="Q128" s="3192">
        <v>44793</v>
      </c>
      <c r="R128" s="3124" t="s">
        <v>433</v>
      </c>
      <c r="S128" s="3124" t="s">
        <v>1690</v>
      </c>
      <c r="T128" s="3124" t="s">
        <v>1838</v>
      </c>
      <c r="U128" t="s">
        <v>1195</v>
      </c>
      <c r="V128" s="3124">
        <v>6700</v>
      </c>
      <c r="W128" s="3193">
        <v>0.52985074626865669</v>
      </c>
      <c r="X128" s="3124">
        <v>3550</v>
      </c>
      <c r="Y128" s="3124">
        <v>0</v>
      </c>
      <c r="Z128" s="3124">
        <v>8000</v>
      </c>
      <c r="AA128" s="3124">
        <v>25000</v>
      </c>
      <c r="AB128" t="s">
        <v>1195</v>
      </c>
      <c r="AC128" s="3124"/>
    </row>
    <row r="129" spans="1:29">
      <c r="A129" s="3124">
        <v>128</v>
      </c>
      <c r="B129" s="3124" t="s">
        <v>1625</v>
      </c>
      <c r="C129" s="3124" t="s">
        <v>2061</v>
      </c>
      <c r="D129" s="3124" t="s">
        <v>2062</v>
      </c>
      <c r="E129" t="s">
        <v>2063</v>
      </c>
      <c r="F129" s="3234" t="s">
        <v>2064</v>
      </c>
      <c r="G129" s="3124" t="s">
        <v>2065</v>
      </c>
      <c r="H129" s="3124">
        <v>20</v>
      </c>
      <c r="I129" s="3124">
        <v>20</v>
      </c>
      <c r="J129" s="3124"/>
      <c r="K129" s="3124">
        <v>3000</v>
      </c>
      <c r="L129" s="3124">
        <v>0</v>
      </c>
      <c r="M129" s="3124" t="s">
        <v>1983</v>
      </c>
      <c r="N129" s="3192">
        <v>43831</v>
      </c>
      <c r="O129" s="3192">
        <v>44409</v>
      </c>
      <c r="P129" s="3192">
        <v>43831</v>
      </c>
      <c r="Q129" s="3192">
        <v>44409</v>
      </c>
      <c r="R129" s="3124" t="s">
        <v>432</v>
      </c>
      <c r="S129" s="3124" t="s">
        <v>1690</v>
      </c>
      <c r="T129" s="3124" t="s">
        <v>1850</v>
      </c>
      <c r="U129" t="s">
        <v>1195</v>
      </c>
      <c r="V129" s="3124">
        <v>6700</v>
      </c>
      <c r="W129" s="3193">
        <v>1</v>
      </c>
      <c r="X129" s="3124">
        <v>6700</v>
      </c>
      <c r="Y129" s="3124">
        <v>1</v>
      </c>
      <c r="Z129" s="3124">
        <v>0</v>
      </c>
      <c r="AA129" s="3124">
        <v>29000</v>
      </c>
      <c r="AB129" t="s">
        <v>1195</v>
      </c>
      <c r="AC129" s="3124"/>
    </row>
    <row r="130" spans="1:29">
      <c r="A130" s="3124">
        <v>129</v>
      </c>
      <c r="B130" s="3124" t="s">
        <v>1625</v>
      </c>
      <c r="C130" s="3124" t="s">
        <v>2066</v>
      </c>
      <c r="D130" s="3124" t="s">
        <v>2067</v>
      </c>
      <c r="E130" t="s">
        <v>2068</v>
      </c>
      <c r="F130" s="3234" t="s">
        <v>2069</v>
      </c>
      <c r="G130" s="3124" t="s">
        <v>2070</v>
      </c>
      <c r="H130" s="3124">
        <v>20</v>
      </c>
      <c r="I130" s="3124">
        <v>20</v>
      </c>
      <c r="J130" s="3124"/>
      <c r="K130" s="3124">
        <v>3000</v>
      </c>
      <c r="L130" s="3124">
        <v>3350</v>
      </c>
      <c r="M130" s="3124" t="s">
        <v>1983</v>
      </c>
      <c r="N130" s="3192">
        <v>43831</v>
      </c>
      <c r="O130" s="3192">
        <v>44409</v>
      </c>
      <c r="P130" s="3192">
        <v>43831</v>
      </c>
      <c r="Q130" s="3192">
        <v>44409</v>
      </c>
      <c r="R130" s="3124" t="s">
        <v>432</v>
      </c>
      <c r="S130" s="3124" t="s">
        <v>1690</v>
      </c>
      <c r="T130" s="3124" t="s">
        <v>1838</v>
      </c>
      <c r="U130" t="s">
        <v>1195</v>
      </c>
      <c r="V130" s="3124">
        <v>6700</v>
      </c>
      <c r="W130" s="3193">
        <v>0.5</v>
      </c>
      <c r="X130" s="3124">
        <v>3350</v>
      </c>
      <c r="Y130" s="3124">
        <v>1</v>
      </c>
      <c r="Z130" s="3124">
        <v>0</v>
      </c>
      <c r="AA130" s="3124">
        <v>29000</v>
      </c>
      <c r="AB130" t="s">
        <v>1195</v>
      </c>
      <c r="AC130" s="3124"/>
    </row>
    <row r="131" spans="1:29">
      <c r="A131" s="3124">
        <v>130</v>
      </c>
      <c r="B131" s="3124" t="s">
        <v>1123</v>
      </c>
      <c r="C131" s="3124" t="s">
        <v>2071</v>
      </c>
      <c r="D131" s="3124" t="s">
        <v>2072</v>
      </c>
      <c r="E131" t="s">
        <v>2073</v>
      </c>
      <c r="F131" s="3234" t="s">
        <v>2074</v>
      </c>
      <c r="G131" s="3124" t="s">
        <v>2075</v>
      </c>
      <c r="H131" s="3124">
        <v>4</v>
      </c>
      <c r="I131" s="3124">
        <v>4</v>
      </c>
      <c r="J131" s="3124"/>
      <c r="K131" s="3124">
        <v>3000</v>
      </c>
      <c r="L131" s="3124">
        <v>3350</v>
      </c>
      <c r="M131" s="3124" t="s">
        <v>1983</v>
      </c>
      <c r="N131" s="3192">
        <v>44044</v>
      </c>
      <c r="O131" s="3192">
        <v>44136</v>
      </c>
      <c r="P131" s="3192">
        <v>44044</v>
      </c>
      <c r="Q131" s="3192">
        <v>44136</v>
      </c>
      <c r="R131" s="3124" t="s">
        <v>433</v>
      </c>
      <c r="S131" s="3124" t="s">
        <v>1939</v>
      </c>
      <c r="T131" s="3124" t="s">
        <v>1850</v>
      </c>
      <c r="U131" t="s">
        <v>1195</v>
      </c>
      <c r="V131" s="3124">
        <v>6700</v>
      </c>
      <c r="W131" s="3193">
        <v>0.5</v>
      </c>
      <c r="X131" s="3124">
        <v>3350</v>
      </c>
      <c r="Y131" s="3124">
        <v>0</v>
      </c>
      <c r="Z131" s="3124">
        <v>8000</v>
      </c>
      <c r="AA131" s="3124">
        <v>25000</v>
      </c>
      <c r="AB131" t="s">
        <v>1195</v>
      </c>
      <c r="AC131" s="3124"/>
    </row>
    <row r="132" spans="1:29">
      <c r="A132" s="3124">
        <v>131</v>
      </c>
      <c r="B132" s="3124" t="s">
        <v>1764</v>
      </c>
      <c r="C132" s="3124" t="s">
        <v>1273</v>
      </c>
      <c r="D132" s="3124" t="s">
        <v>4550</v>
      </c>
      <c r="E132" t="s">
        <v>871</v>
      </c>
      <c r="F132" s="3234" t="s">
        <v>2076</v>
      </c>
      <c r="G132" s="3124" t="s">
        <v>2077</v>
      </c>
      <c r="H132" s="3124">
        <v>0</v>
      </c>
      <c r="I132" s="3124">
        <v>6</v>
      </c>
      <c r="J132" s="3124"/>
      <c r="K132" s="3124">
        <v>0</v>
      </c>
      <c r="L132" s="3124">
        <v>0</v>
      </c>
      <c r="M132" s="3124" t="s">
        <v>813</v>
      </c>
      <c r="N132" s="3192">
        <v>44337</v>
      </c>
      <c r="O132" s="3192">
        <v>44490</v>
      </c>
      <c r="P132" s="3192">
        <v>44337</v>
      </c>
      <c r="Q132" s="3192">
        <v>44307</v>
      </c>
      <c r="R132" s="3124" t="s">
        <v>433</v>
      </c>
      <c r="S132" s="3124" t="s">
        <v>1917</v>
      </c>
      <c r="T132" s="3124" t="s">
        <v>1850</v>
      </c>
      <c r="U132" t="s">
        <v>1195</v>
      </c>
      <c r="V132" s="3124">
        <v>6700</v>
      </c>
      <c r="W132" s="3193">
        <v>1</v>
      </c>
      <c r="X132" s="3124">
        <v>6700</v>
      </c>
      <c r="Y132" s="3124">
        <v>1</v>
      </c>
      <c r="Z132" s="3124">
        <v>0</v>
      </c>
      <c r="AA132" s="3124">
        <v>29000</v>
      </c>
      <c r="AB132" t="s">
        <v>1195</v>
      </c>
      <c r="AC132" s="3124"/>
    </row>
    <row r="133" spans="1:29">
      <c r="A133" s="3124">
        <v>132</v>
      </c>
      <c r="B133" s="3124" t="s">
        <v>1625</v>
      </c>
      <c r="C133" s="3124" t="s">
        <v>1036</v>
      </c>
      <c r="D133" s="3124" t="s">
        <v>1037</v>
      </c>
      <c r="E133" t="s">
        <v>1038</v>
      </c>
      <c r="F133" s="3234" t="s">
        <v>2078</v>
      </c>
      <c r="G133" s="3124" t="s">
        <v>2079</v>
      </c>
      <c r="H133" s="3124">
        <v>24</v>
      </c>
      <c r="I133" s="3124">
        <v>20</v>
      </c>
      <c r="J133" s="3124"/>
      <c r="K133" s="3124">
        <v>3000</v>
      </c>
      <c r="L133" s="3124">
        <v>2800</v>
      </c>
      <c r="M133" s="3124" t="s">
        <v>1983</v>
      </c>
      <c r="N133" s="3192">
        <v>43831</v>
      </c>
      <c r="O133" s="3192">
        <v>44409</v>
      </c>
      <c r="P133" s="3192">
        <v>43831</v>
      </c>
      <c r="Q133" s="3192">
        <v>44531</v>
      </c>
      <c r="R133" s="3124" t="s">
        <v>432</v>
      </c>
      <c r="S133" s="3124" t="s">
        <v>1690</v>
      </c>
      <c r="T133" s="3124" t="s">
        <v>1838</v>
      </c>
      <c r="U133" t="s">
        <v>1195</v>
      </c>
      <c r="V133" s="3124">
        <v>6700</v>
      </c>
      <c r="W133" s="3193">
        <v>0.58208955223880599</v>
      </c>
      <c r="X133" s="3124">
        <v>3900</v>
      </c>
      <c r="Y133" s="3124">
        <v>1</v>
      </c>
      <c r="Z133" s="3124">
        <v>0</v>
      </c>
      <c r="AA133" s="3124">
        <v>29000</v>
      </c>
      <c r="AB133" t="s">
        <v>1195</v>
      </c>
      <c r="AC133" s="3124"/>
    </row>
    <row r="134" spans="1:29">
      <c r="A134" s="3124">
        <v>133</v>
      </c>
      <c r="B134" s="3124" t="s">
        <v>1625</v>
      </c>
      <c r="C134" s="3124" t="s">
        <v>1039</v>
      </c>
      <c r="D134" s="3124" t="s">
        <v>1040</v>
      </c>
      <c r="E134" t="s">
        <v>1041</v>
      </c>
      <c r="F134" s="3234" t="s">
        <v>2080</v>
      </c>
      <c r="G134" s="3124" t="s">
        <v>2081</v>
      </c>
      <c r="H134" s="3124">
        <v>20</v>
      </c>
      <c r="I134" s="3124">
        <v>20</v>
      </c>
      <c r="J134" s="3124"/>
      <c r="K134" s="3124">
        <v>3000</v>
      </c>
      <c r="L134" s="3124">
        <v>2800</v>
      </c>
      <c r="M134" s="3124" t="s">
        <v>1983</v>
      </c>
      <c r="N134" s="3192">
        <v>43831</v>
      </c>
      <c r="O134" s="3192">
        <v>44409</v>
      </c>
      <c r="P134" s="3192">
        <v>43831</v>
      </c>
      <c r="Q134" s="3192">
        <v>44409</v>
      </c>
      <c r="R134" s="3124" t="s">
        <v>432</v>
      </c>
      <c r="S134" s="3124" t="s">
        <v>1690</v>
      </c>
      <c r="T134" s="3124" t="s">
        <v>1850</v>
      </c>
      <c r="U134" t="s">
        <v>1195</v>
      </c>
      <c r="V134" s="3124">
        <v>6700</v>
      </c>
      <c r="W134" s="3193">
        <v>0.58208955223880599</v>
      </c>
      <c r="X134" s="3124">
        <v>3900</v>
      </c>
      <c r="Y134" s="3124">
        <v>1</v>
      </c>
      <c r="Z134" s="3124">
        <v>0</v>
      </c>
      <c r="AA134" s="3124">
        <v>29000</v>
      </c>
      <c r="AB134" t="s">
        <v>1195</v>
      </c>
      <c r="AC134" s="3124"/>
    </row>
    <row r="135" spans="1:29">
      <c r="A135" s="3124">
        <v>134</v>
      </c>
      <c r="B135" s="3124" t="s">
        <v>1625</v>
      </c>
      <c r="C135" s="3124" t="s">
        <v>1042</v>
      </c>
      <c r="D135" s="3124" t="s">
        <v>1043</v>
      </c>
      <c r="E135" t="s">
        <v>2082</v>
      </c>
      <c r="F135" s="3234">
        <v>9381379572</v>
      </c>
      <c r="G135" s="3124" t="s">
        <v>2083</v>
      </c>
      <c r="H135" s="3124">
        <v>20</v>
      </c>
      <c r="I135" s="3124">
        <v>20</v>
      </c>
      <c r="J135" s="3124"/>
      <c r="K135" s="3124">
        <v>3000</v>
      </c>
      <c r="L135" s="3124">
        <v>0</v>
      </c>
      <c r="M135" s="3124" t="s">
        <v>1983</v>
      </c>
      <c r="N135" s="3192">
        <v>43831</v>
      </c>
      <c r="O135" s="3192">
        <v>44409</v>
      </c>
      <c r="P135" s="3192">
        <v>43831</v>
      </c>
      <c r="Q135" s="3192">
        <v>44409</v>
      </c>
      <c r="R135" s="3124" t="s">
        <v>433</v>
      </c>
      <c r="S135" s="3124" t="s">
        <v>1690</v>
      </c>
      <c r="T135" s="3124" t="s">
        <v>1838</v>
      </c>
      <c r="U135" t="s">
        <v>1195</v>
      </c>
      <c r="V135" s="3124">
        <v>6700</v>
      </c>
      <c r="W135" s="3193">
        <v>1</v>
      </c>
      <c r="X135" s="3124">
        <v>6700</v>
      </c>
      <c r="Y135" s="3124">
        <v>1</v>
      </c>
      <c r="Z135" s="3124">
        <v>0</v>
      </c>
      <c r="AA135" s="3124">
        <v>29000</v>
      </c>
      <c r="AB135" t="s">
        <v>1195</v>
      </c>
      <c r="AC135" s="3124"/>
    </row>
    <row r="136" spans="1:29">
      <c r="A136" s="3124">
        <v>135</v>
      </c>
      <c r="B136" s="3124" t="s">
        <v>1621</v>
      </c>
      <c r="C136" s="3124" t="s">
        <v>621</v>
      </c>
      <c r="D136" s="3124" t="s">
        <v>622</v>
      </c>
      <c r="E136" t="s">
        <v>623</v>
      </c>
      <c r="F136" s="3234">
        <v>9982060119</v>
      </c>
      <c r="G136" s="3124" t="s">
        <v>2084</v>
      </c>
      <c r="H136" s="3124">
        <v>20</v>
      </c>
      <c r="I136" s="3124">
        <v>20</v>
      </c>
      <c r="J136" s="3124"/>
      <c r="K136" s="3124">
        <v>2000</v>
      </c>
      <c r="L136" s="3124">
        <v>2180.0000000000005</v>
      </c>
      <c r="M136" s="3124" t="s">
        <v>564</v>
      </c>
      <c r="N136" s="3192">
        <v>43862</v>
      </c>
      <c r="O136" s="3192">
        <v>44440</v>
      </c>
      <c r="P136" s="3192">
        <v>43862</v>
      </c>
      <c r="Q136" s="3192">
        <v>44440</v>
      </c>
      <c r="R136" s="3124" t="s">
        <v>433</v>
      </c>
      <c r="S136" s="3124" t="s">
        <v>1640</v>
      </c>
      <c r="T136" s="3124" t="s">
        <v>1850</v>
      </c>
      <c r="U136" t="s">
        <v>1761</v>
      </c>
      <c r="V136" s="3124">
        <v>6700</v>
      </c>
      <c r="W136" s="3193">
        <v>0.67462686567164176</v>
      </c>
      <c r="X136" s="3124">
        <v>4520</v>
      </c>
      <c r="Y136" s="3124">
        <v>1</v>
      </c>
      <c r="Z136" s="3124">
        <v>0</v>
      </c>
      <c r="AA136" s="3124">
        <v>29000</v>
      </c>
      <c r="AB136" t="s">
        <v>1195</v>
      </c>
      <c r="AC136" s="3124"/>
    </row>
    <row r="137" spans="1:29">
      <c r="A137" s="3124">
        <v>136</v>
      </c>
      <c r="B137" s="3124" t="s">
        <v>1625</v>
      </c>
      <c r="C137" s="3124" t="s">
        <v>1047</v>
      </c>
      <c r="D137" s="3124" t="s">
        <v>1048</v>
      </c>
      <c r="E137" t="s">
        <v>2085</v>
      </c>
      <c r="F137" s="3234">
        <v>9381366513</v>
      </c>
      <c r="G137" s="3124" t="s">
        <v>2086</v>
      </c>
      <c r="H137" s="3124">
        <v>24</v>
      </c>
      <c r="I137" s="3124">
        <v>20</v>
      </c>
      <c r="J137" s="3124"/>
      <c r="K137" s="3124">
        <v>3000</v>
      </c>
      <c r="L137" s="3124">
        <v>2800</v>
      </c>
      <c r="M137" s="3124" t="s">
        <v>1983</v>
      </c>
      <c r="N137" s="3192">
        <v>43831</v>
      </c>
      <c r="O137" s="3192">
        <v>44409</v>
      </c>
      <c r="P137" s="3192">
        <v>43831</v>
      </c>
      <c r="Q137" s="3192">
        <v>44531</v>
      </c>
      <c r="R137" s="3124" t="s">
        <v>432</v>
      </c>
      <c r="S137" s="3124" t="s">
        <v>1690</v>
      </c>
      <c r="T137" s="3124" t="s">
        <v>1838</v>
      </c>
      <c r="U137" t="s">
        <v>1195</v>
      </c>
      <c r="V137" s="3124">
        <v>6700</v>
      </c>
      <c r="W137" s="3193">
        <v>0.58208955223880599</v>
      </c>
      <c r="X137" s="3124">
        <v>3900</v>
      </c>
      <c r="Y137" s="3124">
        <v>1</v>
      </c>
      <c r="Z137" s="3124">
        <v>0</v>
      </c>
      <c r="AA137" s="3124">
        <v>29000</v>
      </c>
      <c r="AB137" t="s">
        <v>1195</v>
      </c>
      <c r="AC137" s="3124"/>
    </row>
    <row r="138" spans="1:29">
      <c r="A138" s="3124">
        <v>137</v>
      </c>
      <c r="B138" s="3124" t="s">
        <v>1625</v>
      </c>
      <c r="C138" s="3124" t="s">
        <v>1050</v>
      </c>
      <c r="D138" s="3124" t="s">
        <v>221</v>
      </c>
      <c r="E138" t="s">
        <v>1051</v>
      </c>
      <c r="F138" s="3234" t="s">
        <v>2087</v>
      </c>
      <c r="G138" s="3124" t="s">
        <v>2088</v>
      </c>
      <c r="H138" s="3124">
        <v>24</v>
      </c>
      <c r="I138" s="3124">
        <v>20</v>
      </c>
      <c r="J138" s="3124"/>
      <c r="K138" s="3124">
        <v>3000</v>
      </c>
      <c r="L138" s="3124">
        <v>2800</v>
      </c>
      <c r="M138" s="3124" t="s">
        <v>1983</v>
      </c>
      <c r="N138" s="3192">
        <v>43831</v>
      </c>
      <c r="O138" s="3192">
        <v>44409</v>
      </c>
      <c r="P138" s="3192">
        <v>43831</v>
      </c>
      <c r="Q138" s="3192">
        <v>44531</v>
      </c>
      <c r="R138" s="3124" t="s">
        <v>433</v>
      </c>
      <c r="S138" s="3124" t="s">
        <v>1690</v>
      </c>
      <c r="T138" s="3124" t="s">
        <v>1838</v>
      </c>
      <c r="U138" t="s">
        <v>1761</v>
      </c>
      <c r="V138" s="3124">
        <v>6700</v>
      </c>
      <c r="W138" s="3193">
        <v>0.58208955223880599</v>
      </c>
      <c r="X138" s="3124">
        <v>3900</v>
      </c>
      <c r="Y138" s="3124">
        <v>1</v>
      </c>
      <c r="Z138" s="3124">
        <v>0</v>
      </c>
      <c r="AA138" s="3124">
        <v>29000</v>
      </c>
      <c r="AB138" t="s">
        <v>1195</v>
      </c>
      <c r="AC138" s="3124"/>
    </row>
    <row r="139" spans="1:29">
      <c r="A139" s="3124">
        <v>138</v>
      </c>
      <c r="B139" s="3124" t="s">
        <v>1625</v>
      </c>
      <c r="C139" s="3124" t="s">
        <v>985</v>
      </c>
      <c r="D139" s="3124" t="s">
        <v>986</v>
      </c>
      <c r="E139" t="s">
        <v>4551</v>
      </c>
      <c r="F139" s="3234">
        <v>9381044583</v>
      </c>
      <c r="G139" s="3124" t="s">
        <v>2089</v>
      </c>
      <c r="H139" s="3124">
        <v>24</v>
      </c>
      <c r="I139" s="3124">
        <v>20</v>
      </c>
      <c r="J139" s="3124"/>
      <c r="K139" s="3124">
        <v>3000</v>
      </c>
      <c r="L139" s="3124">
        <v>2800</v>
      </c>
      <c r="M139" s="3124" t="s">
        <v>2039</v>
      </c>
      <c r="N139" s="3192">
        <v>43831</v>
      </c>
      <c r="O139" s="3192">
        <v>44409</v>
      </c>
      <c r="P139" s="3192">
        <v>43831</v>
      </c>
      <c r="Q139" s="3192">
        <v>44531</v>
      </c>
      <c r="R139" s="3124" t="s">
        <v>433</v>
      </c>
      <c r="S139" s="3124" t="s">
        <v>1690</v>
      </c>
      <c r="T139" s="3124" t="s">
        <v>1838</v>
      </c>
      <c r="U139" t="s">
        <v>1195</v>
      </c>
      <c r="V139" s="3124">
        <v>6700</v>
      </c>
      <c r="W139" s="3193">
        <v>0.58208955223880599</v>
      </c>
      <c r="X139" s="3124">
        <v>3900</v>
      </c>
      <c r="Y139" s="3124">
        <v>1</v>
      </c>
      <c r="Z139" s="3124">
        <v>0</v>
      </c>
      <c r="AA139" s="3124">
        <v>29000</v>
      </c>
      <c r="AB139" t="s">
        <v>1195</v>
      </c>
      <c r="AC139" s="3124"/>
    </row>
    <row r="140" spans="1:29">
      <c r="A140" s="3124">
        <v>139</v>
      </c>
      <c r="B140" s="3124" t="s">
        <v>1625</v>
      </c>
      <c r="C140" s="3124" t="s">
        <v>987</v>
      </c>
      <c r="D140" s="3124" t="s">
        <v>988</v>
      </c>
      <c r="E140" t="s">
        <v>989</v>
      </c>
      <c r="F140" s="3234">
        <v>9381199138</v>
      </c>
      <c r="G140" s="3124" t="s">
        <v>2090</v>
      </c>
      <c r="H140" s="3124">
        <v>20</v>
      </c>
      <c r="I140" s="3124">
        <v>20</v>
      </c>
      <c r="J140" s="3124"/>
      <c r="K140" s="3124">
        <v>3000</v>
      </c>
      <c r="L140" s="3124">
        <v>2800</v>
      </c>
      <c r="M140" s="3124" t="s">
        <v>2039</v>
      </c>
      <c r="N140" s="3192">
        <v>43831</v>
      </c>
      <c r="O140" s="3192">
        <v>44409</v>
      </c>
      <c r="P140" s="3192">
        <v>43831</v>
      </c>
      <c r="Q140" s="3192">
        <v>44409</v>
      </c>
      <c r="R140" s="3124" t="s">
        <v>433</v>
      </c>
      <c r="S140" s="3124" t="s">
        <v>1690</v>
      </c>
      <c r="T140" s="3124" t="s">
        <v>1838</v>
      </c>
      <c r="U140" t="s">
        <v>1195</v>
      </c>
      <c r="V140" s="3124">
        <v>6700</v>
      </c>
      <c r="W140" s="3193">
        <v>0.58208955223880599</v>
      </c>
      <c r="X140" s="3124">
        <v>3900</v>
      </c>
      <c r="Y140" s="3124">
        <v>1</v>
      </c>
      <c r="Z140" s="3124">
        <v>0</v>
      </c>
      <c r="AA140" s="3124">
        <v>29000</v>
      </c>
      <c r="AB140" t="s">
        <v>1195</v>
      </c>
      <c r="AC140" s="3124"/>
    </row>
    <row r="141" spans="1:29">
      <c r="A141" s="3124">
        <v>140</v>
      </c>
      <c r="B141" s="3124" t="s">
        <v>1625</v>
      </c>
      <c r="C141" s="3124" t="s">
        <v>990</v>
      </c>
      <c r="D141" s="3124" t="s">
        <v>994</v>
      </c>
      <c r="E141" t="s">
        <v>992</v>
      </c>
      <c r="F141" s="3234" t="s">
        <v>2091</v>
      </c>
      <c r="G141" s="3124" t="s">
        <v>2092</v>
      </c>
      <c r="H141" s="3124">
        <v>24</v>
      </c>
      <c r="I141" s="3124">
        <v>20</v>
      </c>
      <c r="J141" s="3124"/>
      <c r="K141" s="3124">
        <v>3000</v>
      </c>
      <c r="L141" s="3124">
        <v>2800</v>
      </c>
      <c r="M141" s="3124" t="s">
        <v>2039</v>
      </c>
      <c r="N141" s="3192">
        <v>43831</v>
      </c>
      <c r="O141" s="3192">
        <v>44409</v>
      </c>
      <c r="P141" s="3192">
        <v>43831</v>
      </c>
      <c r="Q141" s="3192">
        <v>44531</v>
      </c>
      <c r="R141" s="3124" t="s">
        <v>433</v>
      </c>
      <c r="S141" s="3124" t="s">
        <v>1690</v>
      </c>
      <c r="T141" s="3124" t="s">
        <v>1838</v>
      </c>
      <c r="U141" t="s">
        <v>1195</v>
      </c>
      <c r="V141" s="3124">
        <v>6700</v>
      </c>
      <c r="W141" s="3193">
        <v>0.58208955223880599</v>
      </c>
      <c r="X141" s="3124">
        <v>3900</v>
      </c>
      <c r="Y141" s="3124">
        <v>1</v>
      </c>
      <c r="Z141" s="3124">
        <v>0</v>
      </c>
      <c r="AA141" s="3124">
        <v>29000</v>
      </c>
      <c r="AB141" t="s">
        <v>1195</v>
      </c>
      <c r="AC141" s="3124"/>
    </row>
    <row r="142" spans="1:29">
      <c r="A142" s="3124">
        <v>141</v>
      </c>
      <c r="B142" s="3124" t="s">
        <v>1625</v>
      </c>
      <c r="C142" s="3124" t="s">
        <v>993</v>
      </c>
      <c r="D142" s="3124" t="s">
        <v>999</v>
      </c>
      <c r="E142" t="s">
        <v>995</v>
      </c>
      <c r="F142" s="3234">
        <v>9932068145</v>
      </c>
      <c r="G142" s="3124" t="s">
        <v>2093</v>
      </c>
      <c r="H142" s="3124">
        <v>20</v>
      </c>
      <c r="I142" s="3124">
        <v>20</v>
      </c>
      <c r="J142" s="3124"/>
      <c r="K142" s="3124">
        <v>2500</v>
      </c>
      <c r="L142" s="3124">
        <v>2800</v>
      </c>
      <c r="M142" s="3124" t="s">
        <v>2039</v>
      </c>
      <c r="N142" s="3192">
        <v>43831</v>
      </c>
      <c r="O142" s="3192">
        <v>44409</v>
      </c>
      <c r="P142" s="3192">
        <v>43831</v>
      </c>
      <c r="Q142" s="3192">
        <v>44409</v>
      </c>
      <c r="R142" s="3124" t="s">
        <v>433</v>
      </c>
      <c r="S142" s="3124" t="s">
        <v>1690</v>
      </c>
      <c r="T142" s="3124" t="s">
        <v>1838</v>
      </c>
      <c r="U142" t="s">
        <v>1195</v>
      </c>
      <c r="V142" s="3124">
        <v>6700</v>
      </c>
      <c r="W142" s="3193">
        <v>0.58208955223880599</v>
      </c>
      <c r="X142" s="3124">
        <v>3900</v>
      </c>
      <c r="Y142" s="3124">
        <v>1</v>
      </c>
      <c r="Z142" s="3124">
        <v>0</v>
      </c>
      <c r="AA142" s="3124">
        <v>29000</v>
      </c>
      <c r="AB142" t="s">
        <v>1195</v>
      </c>
      <c r="AC142" s="3124"/>
    </row>
    <row r="143" spans="1:29">
      <c r="A143" s="3124">
        <v>142</v>
      </c>
      <c r="B143" s="3124" t="s">
        <v>1625</v>
      </c>
      <c r="C143" s="3124" t="s">
        <v>2094</v>
      </c>
      <c r="D143" s="3124" t="s">
        <v>2095</v>
      </c>
      <c r="E143" t="s">
        <v>2096</v>
      </c>
      <c r="F143" s="3234" t="s">
        <v>2045</v>
      </c>
      <c r="G143" s="3124" t="s">
        <v>2046</v>
      </c>
      <c r="H143" s="3124">
        <v>20</v>
      </c>
      <c r="I143" s="3124">
        <v>20</v>
      </c>
      <c r="J143" s="3124"/>
      <c r="K143" s="3124">
        <v>3000</v>
      </c>
      <c r="L143" s="3124">
        <v>3150</v>
      </c>
      <c r="M143" s="3124" t="s">
        <v>1098</v>
      </c>
      <c r="N143" s="3192">
        <v>43617</v>
      </c>
      <c r="O143" s="3192">
        <v>44197</v>
      </c>
      <c r="P143" s="3192">
        <v>43617</v>
      </c>
      <c r="Q143" s="3192">
        <v>44197</v>
      </c>
      <c r="R143" s="3124" t="s">
        <v>433</v>
      </c>
      <c r="S143" s="3124" t="s">
        <v>1690</v>
      </c>
      <c r="T143" s="3124" t="s">
        <v>1990</v>
      </c>
      <c r="U143" t="s">
        <v>1195</v>
      </c>
      <c r="V143" s="3124">
        <v>6700</v>
      </c>
      <c r="W143" s="3193">
        <v>0.52985074626865669</v>
      </c>
      <c r="X143" s="3124">
        <v>3550</v>
      </c>
      <c r="Y143" s="3124">
        <v>1</v>
      </c>
      <c r="Z143" s="3124">
        <v>0</v>
      </c>
      <c r="AA143" s="3124">
        <v>29000</v>
      </c>
      <c r="AB143" t="s">
        <v>1195</v>
      </c>
      <c r="AC143" s="3124"/>
    </row>
    <row r="144" spans="1:29">
      <c r="A144" s="3124">
        <v>143</v>
      </c>
      <c r="B144" s="3124" t="s">
        <v>1621</v>
      </c>
      <c r="C144" s="3124" t="s">
        <v>2097</v>
      </c>
      <c r="D144" s="3124" t="s">
        <v>2098</v>
      </c>
      <c r="E144" t="s">
        <v>2099</v>
      </c>
      <c r="F144" s="3234" t="s">
        <v>2100</v>
      </c>
      <c r="G144" s="3124" t="s">
        <v>2101</v>
      </c>
      <c r="H144" s="3124">
        <v>20</v>
      </c>
      <c r="I144" s="3124">
        <v>20</v>
      </c>
      <c r="J144" s="3124"/>
      <c r="K144" s="3124">
        <v>2000</v>
      </c>
      <c r="L144" s="3124">
        <v>2180.0000000000005</v>
      </c>
      <c r="M144" s="3124" t="s">
        <v>2102</v>
      </c>
      <c r="N144" s="3192">
        <v>43709</v>
      </c>
      <c r="O144" s="3192">
        <v>44287</v>
      </c>
      <c r="P144" s="3192">
        <v>43709</v>
      </c>
      <c r="Q144" s="3192">
        <v>44287</v>
      </c>
      <c r="R144" s="3124" t="s">
        <v>433</v>
      </c>
      <c r="S144" s="3124" t="s">
        <v>1640</v>
      </c>
      <c r="T144" s="3124" t="s">
        <v>1990</v>
      </c>
      <c r="U144" t="s">
        <v>1195</v>
      </c>
      <c r="V144" s="3124">
        <v>6700</v>
      </c>
      <c r="W144" s="3193">
        <v>0.67462686567164176</v>
      </c>
      <c r="X144" s="3124">
        <v>4520</v>
      </c>
      <c r="Y144" s="3124">
        <v>1</v>
      </c>
      <c r="Z144" s="3124">
        <v>0</v>
      </c>
      <c r="AA144" s="3124">
        <v>29000</v>
      </c>
      <c r="AB144" t="s">
        <v>1195</v>
      </c>
      <c r="AC144" s="3124"/>
    </row>
    <row r="145" spans="1:29">
      <c r="A145" s="3124">
        <v>144</v>
      </c>
      <c r="B145" s="3124" t="s">
        <v>1625</v>
      </c>
      <c r="C145" s="3124" t="s">
        <v>1010</v>
      </c>
      <c r="D145" s="3124" t="s">
        <v>1022</v>
      </c>
      <c r="E145" t="s">
        <v>2103</v>
      </c>
      <c r="F145" s="3234" t="s">
        <v>2104</v>
      </c>
      <c r="G145" s="3124" t="s">
        <v>2105</v>
      </c>
      <c r="H145" s="3124">
        <v>24</v>
      </c>
      <c r="I145" s="3124">
        <v>20</v>
      </c>
      <c r="J145" s="3124"/>
      <c r="K145" s="3124">
        <v>3000</v>
      </c>
      <c r="L145" s="3124">
        <v>2800</v>
      </c>
      <c r="M145" s="3124" t="s">
        <v>2039</v>
      </c>
      <c r="N145" s="3192">
        <v>43831</v>
      </c>
      <c r="O145" s="3192">
        <v>44409</v>
      </c>
      <c r="P145" s="3192">
        <v>43831</v>
      </c>
      <c r="Q145" s="3192">
        <v>44531</v>
      </c>
      <c r="R145" s="3124" t="s">
        <v>433</v>
      </c>
      <c r="S145" s="3124" t="s">
        <v>1690</v>
      </c>
      <c r="T145" s="3124" t="s">
        <v>1838</v>
      </c>
      <c r="U145" t="s">
        <v>1195</v>
      </c>
      <c r="V145" s="3124">
        <v>6700</v>
      </c>
      <c r="W145" s="3193">
        <v>0.58208955223880599</v>
      </c>
      <c r="X145" s="3124">
        <v>3900</v>
      </c>
      <c r="Y145" s="3124">
        <v>1</v>
      </c>
      <c r="Z145" s="3124">
        <v>0</v>
      </c>
      <c r="AA145" s="3124">
        <v>29000</v>
      </c>
      <c r="AB145" t="s">
        <v>1195</v>
      </c>
      <c r="AC145" s="3124"/>
    </row>
    <row r="146" spans="1:29">
      <c r="A146" s="3124">
        <v>145</v>
      </c>
      <c r="B146" s="3124" t="s">
        <v>1625</v>
      </c>
      <c r="C146" s="3124" t="s">
        <v>1012</v>
      </c>
      <c r="D146" s="3124" t="s">
        <v>1024</v>
      </c>
      <c r="E146" t="s">
        <v>4552</v>
      </c>
      <c r="F146" s="3234">
        <v>9381327019</v>
      </c>
      <c r="G146" s="3124" t="s">
        <v>2106</v>
      </c>
      <c r="H146" s="3124">
        <v>24</v>
      </c>
      <c r="I146" s="3124">
        <v>20</v>
      </c>
      <c r="J146" s="3124"/>
      <c r="K146" s="3124">
        <v>3000</v>
      </c>
      <c r="L146" s="3124">
        <v>2800</v>
      </c>
      <c r="M146" s="3124" t="s">
        <v>2039</v>
      </c>
      <c r="N146" s="3192">
        <v>43831</v>
      </c>
      <c r="O146" s="3192">
        <v>44409</v>
      </c>
      <c r="P146" s="3192">
        <v>43831</v>
      </c>
      <c r="Q146" s="3192">
        <v>44531</v>
      </c>
      <c r="R146" s="3124" t="s">
        <v>433</v>
      </c>
      <c r="S146" s="3124" t="s">
        <v>1690</v>
      </c>
      <c r="T146" s="3124" t="s">
        <v>1838</v>
      </c>
      <c r="U146" t="s">
        <v>1195</v>
      </c>
      <c r="V146" s="3124">
        <v>6700</v>
      </c>
      <c r="W146" s="3193">
        <v>0.58208955223880599</v>
      </c>
      <c r="X146" s="3124">
        <v>3900</v>
      </c>
      <c r="Y146" s="3124">
        <v>1</v>
      </c>
      <c r="Z146" s="3124">
        <v>0</v>
      </c>
      <c r="AA146" s="3124">
        <v>29000</v>
      </c>
      <c r="AB146" t="s">
        <v>1195</v>
      </c>
      <c r="AC146" s="3124"/>
    </row>
    <row r="147" spans="1:29">
      <c r="A147" s="3124">
        <v>146</v>
      </c>
      <c r="B147" s="3124" t="s">
        <v>1625</v>
      </c>
      <c r="C147" s="3124" t="s">
        <v>1014</v>
      </c>
      <c r="D147" s="3124" t="s">
        <v>1027</v>
      </c>
      <c r="E147" t="s">
        <v>1015</v>
      </c>
      <c r="F147" s="3234" t="s">
        <v>2107</v>
      </c>
      <c r="G147" s="3124" t="s">
        <v>2108</v>
      </c>
      <c r="H147" s="3124">
        <v>20</v>
      </c>
      <c r="I147" s="3124">
        <v>20</v>
      </c>
      <c r="J147" s="3124"/>
      <c r="K147" s="3124">
        <v>3000</v>
      </c>
      <c r="L147" s="3124">
        <v>2800</v>
      </c>
      <c r="M147" s="3124" t="s">
        <v>2039</v>
      </c>
      <c r="N147" s="3192">
        <v>43831</v>
      </c>
      <c r="O147" s="3192">
        <v>44409</v>
      </c>
      <c r="P147" s="3192">
        <v>43831</v>
      </c>
      <c r="Q147" s="3192">
        <v>44409</v>
      </c>
      <c r="R147" s="3124" t="s">
        <v>433</v>
      </c>
      <c r="S147" s="3124" t="s">
        <v>1690</v>
      </c>
      <c r="T147" s="3124" t="s">
        <v>1838</v>
      </c>
      <c r="U147" t="s">
        <v>1195</v>
      </c>
      <c r="V147" s="3124">
        <v>6700</v>
      </c>
      <c r="W147" s="3193">
        <v>0.58208955223880599</v>
      </c>
      <c r="X147" s="3124">
        <v>3900</v>
      </c>
      <c r="Y147" s="3124">
        <v>1</v>
      </c>
      <c r="Z147" s="3124">
        <v>0</v>
      </c>
      <c r="AA147" s="3124">
        <v>29000</v>
      </c>
      <c r="AB147" t="s">
        <v>1195</v>
      </c>
      <c r="AC147" s="3124"/>
    </row>
    <row r="148" spans="1:29">
      <c r="A148" s="3124">
        <v>147</v>
      </c>
      <c r="B148" s="3124" t="s">
        <v>1625</v>
      </c>
      <c r="C148" s="3124" t="s">
        <v>1016</v>
      </c>
      <c r="D148" s="3124" t="s">
        <v>2109</v>
      </c>
      <c r="E148" t="s">
        <v>1017</v>
      </c>
      <c r="F148" s="3234" t="s">
        <v>2110</v>
      </c>
      <c r="G148" s="3124" t="s">
        <v>2111</v>
      </c>
      <c r="H148" s="3124">
        <v>20</v>
      </c>
      <c r="I148" s="3124">
        <v>20</v>
      </c>
      <c r="J148" s="3124"/>
      <c r="K148" s="3124">
        <v>3000</v>
      </c>
      <c r="L148" s="3124">
        <v>1800</v>
      </c>
      <c r="M148" s="3124" t="s">
        <v>2039</v>
      </c>
      <c r="N148" s="3192">
        <v>43831</v>
      </c>
      <c r="O148" s="3192">
        <v>44409</v>
      </c>
      <c r="P148" s="3192">
        <v>43831</v>
      </c>
      <c r="Q148" s="3192">
        <v>44409</v>
      </c>
      <c r="R148" s="3124" t="s">
        <v>432</v>
      </c>
      <c r="S148" s="3124" t="s">
        <v>1690</v>
      </c>
      <c r="T148" s="3124" t="s">
        <v>1838</v>
      </c>
      <c r="U148" t="s">
        <v>1195</v>
      </c>
      <c r="V148" s="3124">
        <v>6700</v>
      </c>
      <c r="W148" s="3193">
        <v>0.73134328358208955</v>
      </c>
      <c r="X148" s="3124">
        <v>4900</v>
      </c>
      <c r="Y148" s="3124">
        <v>1</v>
      </c>
      <c r="Z148" s="3124">
        <v>0</v>
      </c>
      <c r="AA148" s="3124">
        <v>29000</v>
      </c>
      <c r="AB148" t="s">
        <v>1195</v>
      </c>
      <c r="AC148" s="3124"/>
    </row>
    <row r="149" spans="1:29">
      <c r="A149" s="3124">
        <v>148</v>
      </c>
      <c r="B149" s="3124" t="s">
        <v>1625</v>
      </c>
      <c r="C149" s="3124" t="s">
        <v>1018</v>
      </c>
      <c r="D149" s="3124" t="s">
        <v>1029</v>
      </c>
      <c r="E149" t="s">
        <v>1019</v>
      </c>
      <c r="F149" s="3234" t="s">
        <v>2112</v>
      </c>
      <c r="G149" s="3124" t="s">
        <v>2113</v>
      </c>
      <c r="H149" s="3124">
        <v>24</v>
      </c>
      <c r="I149" s="3124">
        <v>20</v>
      </c>
      <c r="J149" s="3124"/>
      <c r="K149" s="3124">
        <v>3000</v>
      </c>
      <c r="L149" s="3124">
        <v>2800</v>
      </c>
      <c r="M149" s="3124" t="s">
        <v>2039</v>
      </c>
      <c r="N149" s="3192">
        <v>43831</v>
      </c>
      <c r="O149" s="3192">
        <v>44409</v>
      </c>
      <c r="P149" s="3192">
        <v>43831</v>
      </c>
      <c r="Q149" s="3192">
        <v>44531</v>
      </c>
      <c r="R149" s="3124" t="s">
        <v>433</v>
      </c>
      <c r="S149" s="3124" t="s">
        <v>1690</v>
      </c>
      <c r="T149" s="3124" t="s">
        <v>1838</v>
      </c>
      <c r="U149" t="s">
        <v>1195</v>
      </c>
      <c r="V149" s="3124">
        <v>6700</v>
      </c>
      <c r="W149" s="3193">
        <v>0.58208955223880599</v>
      </c>
      <c r="X149" s="3124">
        <v>3900</v>
      </c>
      <c r="Y149" s="3124">
        <v>1</v>
      </c>
      <c r="Z149" s="3124">
        <v>0</v>
      </c>
      <c r="AA149" s="3124">
        <v>29000</v>
      </c>
      <c r="AB149" t="s">
        <v>1195</v>
      </c>
      <c r="AC149" s="3124"/>
    </row>
    <row r="150" spans="1:29">
      <c r="A150" s="3124">
        <v>149</v>
      </c>
      <c r="B150" s="3124" t="s">
        <v>1625</v>
      </c>
      <c r="C150" s="3124" t="s">
        <v>2114</v>
      </c>
      <c r="D150" s="3124" t="s">
        <v>1031</v>
      </c>
      <c r="E150" s="3129" t="s">
        <v>4553</v>
      </c>
      <c r="F150" s="3234">
        <v>4441264836</v>
      </c>
      <c r="G150" s="3124" t="s">
        <v>2115</v>
      </c>
      <c r="H150" s="3124">
        <v>20</v>
      </c>
      <c r="I150" s="3124">
        <v>20</v>
      </c>
      <c r="J150" s="3124"/>
      <c r="K150" s="3124">
        <v>3000</v>
      </c>
      <c r="L150" s="3124">
        <v>2800</v>
      </c>
      <c r="M150" s="3124" t="s">
        <v>2039</v>
      </c>
      <c r="N150" s="3192">
        <v>43831</v>
      </c>
      <c r="O150" s="3192">
        <v>44409</v>
      </c>
      <c r="P150" s="3192">
        <v>43831</v>
      </c>
      <c r="Q150" s="3192">
        <v>44409</v>
      </c>
      <c r="R150" s="3124" t="s">
        <v>433</v>
      </c>
      <c r="S150" s="3124" t="s">
        <v>1690</v>
      </c>
      <c r="T150" s="3124" t="s">
        <v>1850</v>
      </c>
      <c r="U150" t="s">
        <v>1195</v>
      </c>
      <c r="V150" s="3124">
        <v>6700</v>
      </c>
      <c r="W150" s="3193">
        <v>0.58208955223880599</v>
      </c>
      <c r="X150" s="3124">
        <v>3900</v>
      </c>
      <c r="Y150" s="3124">
        <v>1</v>
      </c>
      <c r="Z150" s="3124">
        <v>0</v>
      </c>
      <c r="AA150" s="3124">
        <v>29000</v>
      </c>
      <c r="AB150" t="s">
        <v>1195</v>
      </c>
      <c r="AC150" s="3124"/>
    </row>
    <row r="151" spans="1:29">
      <c r="A151" s="3124">
        <v>150</v>
      </c>
      <c r="B151" s="3124" t="s">
        <v>1625</v>
      </c>
      <c r="C151" s="3124" t="s">
        <v>1021</v>
      </c>
      <c r="D151" s="3124" t="s">
        <v>1034</v>
      </c>
      <c r="E151" t="s">
        <v>4554</v>
      </c>
      <c r="F151" s="3234">
        <v>9382550020</v>
      </c>
      <c r="G151" s="3124" t="s">
        <v>2116</v>
      </c>
      <c r="H151" s="3124">
        <v>20</v>
      </c>
      <c r="I151" s="3124">
        <v>20</v>
      </c>
      <c r="J151" s="3124"/>
      <c r="K151" s="3124">
        <v>3000</v>
      </c>
      <c r="L151" s="3124">
        <v>2800</v>
      </c>
      <c r="M151" s="3124" t="s">
        <v>2039</v>
      </c>
      <c r="N151" s="3192">
        <v>44155</v>
      </c>
      <c r="O151" s="3192">
        <v>44732</v>
      </c>
      <c r="P151" s="3192">
        <v>44155</v>
      </c>
      <c r="Q151" s="3192">
        <v>44732</v>
      </c>
      <c r="R151" s="3124" t="s">
        <v>433</v>
      </c>
      <c r="S151" s="3124" t="s">
        <v>1690</v>
      </c>
      <c r="T151" s="3124" t="s">
        <v>1838</v>
      </c>
      <c r="U151" t="s">
        <v>1195</v>
      </c>
      <c r="V151" s="3124">
        <v>6700</v>
      </c>
      <c r="W151" s="3193">
        <v>0.58208955223880599</v>
      </c>
      <c r="X151" s="3124">
        <v>3900</v>
      </c>
      <c r="Y151" s="3124">
        <v>1</v>
      </c>
      <c r="Z151" s="3124">
        <v>0</v>
      </c>
      <c r="AA151" s="3124">
        <v>29000</v>
      </c>
      <c r="AB151" t="s">
        <v>1195</v>
      </c>
      <c r="AC151" s="3124"/>
    </row>
    <row r="152" spans="1:29">
      <c r="A152" s="3124">
        <v>151</v>
      </c>
      <c r="B152" s="3124" t="s">
        <v>1625</v>
      </c>
      <c r="C152" s="3124" t="s">
        <v>2117</v>
      </c>
      <c r="D152" s="3124" t="s">
        <v>2118</v>
      </c>
      <c r="E152" t="s">
        <v>4555</v>
      </c>
      <c r="F152" s="3234" t="s">
        <v>2119</v>
      </c>
      <c r="G152" s="3124" t="s">
        <v>2120</v>
      </c>
      <c r="H152" s="3124">
        <v>20</v>
      </c>
      <c r="I152" s="3124">
        <v>20</v>
      </c>
      <c r="J152" s="3124"/>
      <c r="K152" s="3124">
        <v>3000</v>
      </c>
      <c r="L152" s="3124">
        <v>3150</v>
      </c>
      <c r="M152" s="3124" t="s">
        <v>1098</v>
      </c>
      <c r="N152" s="3192">
        <v>43617</v>
      </c>
      <c r="O152" s="3192">
        <v>44197</v>
      </c>
      <c r="P152" s="3192">
        <v>43617</v>
      </c>
      <c r="Q152" s="3192">
        <v>44197</v>
      </c>
      <c r="R152" s="3124" t="s">
        <v>433</v>
      </c>
      <c r="S152" s="3124" t="s">
        <v>1690</v>
      </c>
      <c r="T152" s="3124" t="s">
        <v>1990</v>
      </c>
      <c r="U152" t="s">
        <v>1195</v>
      </c>
      <c r="V152" s="3124">
        <v>6700</v>
      </c>
      <c r="W152" s="3193">
        <v>0.52985074626865669</v>
      </c>
      <c r="X152" s="3124">
        <v>3550</v>
      </c>
      <c r="Y152" s="3124">
        <v>1</v>
      </c>
      <c r="Z152" s="3124">
        <v>0</v>
      </c>
      <c r="AA152" s="3124">
        <v>29000</v>
      </c>
      <c r="AB152" t="s">
        <v>1195</v>
      </c>
      <c r="AC152" s="3124"/>
    </row>
    <row r="153" spans="1:29">
      <c r="A153" s="3124">
        <v>152</v>
      </c>
      <c r="B153" s="3124" t="s">
        <v>1625</v>
      </c>
      <c r="C153" s="3124" t="s">
        <v>1026</v>
      </c>
      <c r="D153" s="3124" t="s">
        <v>2121</v>
      </c>
      <c r="E153" t="s">
        <v>2122</v>
      </c>
      <c r="F153" s="3234">
        <v>9381191199</v>
      </c>
      <c r="G153" s="3124" t="s">
        <v>2123</v>
      </c>
      <c r="H153" s="3124">
        <v>24</v>
      </c>
      <c r="I153" s="3124">
        <v>20</v>
      </c>
      <c r="J153" s="3124"/>
      <c r="K153" s="3124">
        <v>3000</v>
      </c>
      <c r="L153" s="3124">
        <v>2800</v>
      </c>
      <c r="M153" s="3124" t="s">
        <v>2039</v>
      </c>
      <c r="N153" s="3192">
        <v>43831</v>
      </c>
      <c r="O153" s="3192">
        <v>44409</v>
      </c>
      <c r="P153" s="3192">
        <v>43831</v>
      </c>
      <c r="Q153" s="3192">
        <v>44531</v>
      </c>
      <c r="R153" s="3124" t="s">
        <v>433</v>
      </c>
      <c r="S153" s="3124" t="s">
        <v>1690</v>
      </c>
      <c r="T153" s="3124" t="s">
        <v>1838</v>
      </c>
      <c r="U153" t="s">
        <v>1195</v>
      </c>
      <c r="V153" s="3124">
        <v>6700</v>
      </c>
      <c r="W153" s="3193">
        <v>0.58208955223880599</v>
      </c>
      <c r="X153" s="3124">
        <v>3900</v>
      </c>
      <c r="Y153" s="3124">
        <v>1</v>
      </c>
      <c r="Z153" s="3124">
        <v>0</v>
      </c>
      <c r="AA153" s="3124">
        <v>29000</v>
      </c>
      <c r="AB153" t="s">
        <v>1195</v>
      </c>
      <c r="AC153" s="3124"/>
    </row>
    <row r="154" spans="1:29">
      <c r="A154" s="3124">
        <v>153</v>
      </c>
      <c r="B154" s="3124" t="s">
        <v>1625</v>
      </c>
      <c r="C154" s="3124" t="s">
        <v>1273</v>
      </c>
      <c r="D154" s="3124" t="s">
        <v>2627</v>
      </c>
      <c r="E154" t="s">
        <v>871</v>
      </c>
      <c r="F154" s="3234">
        <v>9381232066</v>
      </c>
      <c r="G154" s="3124" t="s">
        <v>2077</v>
      </c>
      <c r="H154" s="3124">
        <v>24</v>
      </c>
      <c r="I154" s="3124">
        <v>20</v>
      </c>
      <c r="J154" s="3124"/>
      <c r="K154" s="3124">
        <v>3000</v>
      </c>
      <c r="L154" s="3124">
        <v>2800</v>
      </c>
      <c r="M154" s="3124" t="s">
        <v>2039</v>
      </c>
      <c r="N154" s="3192">
        <v>43831</v>
      </c>
      <c r="O154" s="3192">
        <v>44409</v>
      </c>
      <c r="P154" s="3192">
        <v>43831</v>
      </c>
      <c r="Q154" s="3192">
        <v>44531</v>
      </c>
      <c r="R154" s="3124" t="s">
        <v>433</v>
      </c>
      <c r="S154" s="3124" t="s">
        <v>1690</v>
      </c>
      <c r="T154" s="3124" t="s">
        <v>1838</v>
      </c>
      <c r="U154" t="s">
        <v>1195</v>
      </c>
      <c r="V154" s="3124">
        <v>6700</v>
      </c>
      <c r="W154" s="3193">
        <v>0.58208955223880599</v>
      </c>
      <c r="X154" s="3124">
        <v>3900</v>
      </c>
      <c r="Y154" s="3124">
        <v>1</v>
      </c>
      <c r="Z154" s="3124">
        <v>0</v>
      </c>
      <c r="AA154" s="3124">
        <v>29000</v>
      </c>
      <c r="AB154" t="s">
        <v>1195</v>
      </c>
      <c r="AC154" s="3124"/>
    </row>
    <row r="155" spans="1:29">
      <c r="A155" s="3124">
        <v>154</v>
      </c>
      <c r="B155" s="3124" t="s">
        <v>1621</v>
      </c>
      <c r="C155" s="3124" t="s">
        <v>1432</v>
      </c>
      <c r="D155" s="3124" t="s">
        <v>2628</v>
      </c>
      <c r="E155" t="s">
        <v>1434</v>
      </c>
      <c r="F155" s="3234" t="s">
        <v>2124</v>
      </c>
      <c r="G155" s="3124" t="s">
        <v>1862</v>
      </c>
      <c r="H155" s="3124">
        <v>20</v>
      </c>
      <c r="I155" s="3124">
        <v>20</v>
      </c>
      <c r="J155" s="3124"/>
      <c r="K155" s="3124">
        <v>2000</v>
      </c>
      <c r="L155" s="3124">
        <v>2180</v>
      </c>
      <c r="M155" s="3124" t="s">
        <v>1896</v>
      </c>
      <c r="N155" s="3192">
        <v>43604</v>
      </c>
      <c r="O155" s="3192">
        <v>44184</v>
      </c>
      <c r="P155" s="3192">
        <v>43604</v>
      </c>
      <c r="Q155" s="3192">
        <v>44184</v>
      </c>
      <c r="R155" s="3124" t="s">
        <v>433</v>
      </c>
      <c r="S155" s="3124" t="s">
        <v>1640</v>
      </c>
      <c r="T155" s="3124" t="s">
        <v>1850</v>
      </c>
      <c r="U155" t="s">
        <v>1195</v>
      </c>
      <c r="V155" s="3124">
        <v>6700</v>
      </c>
      <c r="W155" s="3193">
        <v>0.67462686567164176</v>
      </c>
      <c r="X155" s="3124">
        <v>4520</v>
      </c>
      <c r="Y155" s="3124">
        <v>1</v>
      </c>
      <c r="Z155" s="3124">
        <v>0</v>
      </c>
      <c r="AA155" s="3124">
        <v>25000</v>
      </c>
      <c r="AB155" t="s">
        <v>1195</v>
      </c>
      <c r="AC155" s="3124"/>
    </row>
    <row r="156" spans="1:29">
      <c r="A156" s="3124">
        <v>155</v>
      </c>
      <c r="B156" s="3124" t="s">
        <v>1625</v>
      </c>
      <c r="C156" s="3124" t="s">
        <v>1030</v>
      </c>
      <c r="D156" s="3124" t="s">
        <v>2126</v>
      </c>
      <c r="E156" t="s">
        <v>1032</v>
      </c>
      <c r="F156" s="3234" t="s">
        <v>2127</v>
      </c>
      <c r="G156" s="3124" t="s">
        <v>2128</v>
      </c>
      <c r="H156" s="3124">
        <v>24</v>
      </c>
      <c r="I156" s="3124">
        <v>20</v>
      </c>
      <c r="J156" s="3124"/>
      <c r="K156" s="3124">
        <v>3000</v>
      </c>
      <c r="L156" s="3124">
        <v>2800</v>
      </c>
      <c r="M156" s="3124" t="s">
        <v>2039</v>
      </c>
      <c r="N156" s="3192">
        <v>43831</v>
      </c>
      <c r="O156" s="3192">
        <v>44409</v>
      </c>
      <c r="P156" s="3192">
        <v>43831</v>
      </c>
      <c r="Q156" s="3192">
        <v>44531</v>
      </c>
      <c r="R156" s="3124" t="s">
        <v>432</v>
      </c>
      <c r="S156" s="3124" t="s">
        <v>1690</v>
      </c>
      <c r="T156" s="3124" t="s">
        <v>1838</v>
      </c>
      <c r="U156" t="s">
        <v>1195</v>
      </c>
      <c r="V156" s="3124">
        <v>6700</v>
      </c>
      <c r="W156" s="3193">
        <v>0.58208955223880599</v>
      </c>
      <c r="X156" s="3124">
        <v>3900</v>
      </c>
      <c r="Y156" s="3124">
        <v>1</v>
      </c>
      <c r="Z156" s="3124">
        <v>0</v>
      </c>
      <c r="AA156" s="3124">
        <v>29000</v>
      </c>
      <c r="AB156" t="s">
        <v>1195</v>
      </c>
      <c r="AC156" s="3124"/>
    </row>
    <row r="157" spans="1:29">
      <c r="A157" s="3124">
        <v>156</v>
      </c>
      <c r="B157" s="3124" t="s">
        <v>1625</v>
      </c>
      <c r="C157" s="3124" t="s">
        <v>1023</v>
      </c>
      <c r="D157" s="3124" t="s">
        <v>2129</v>
      </c>
      <c r="E157" t="s">
        <v>1025</v>
      </c>
      <c r="F157" s="3234" t="s">
        <v>2130</v>
      </c>
      <c r="G157" s="3124" t="s">
        <v>2131</v>
      </c>
      <c r="H157" s="3124">
        <v>24</v>
      </c>
      <c r="I157" s="3124">
        <v>20</v>
      </c>
      <c r="J157" s="3124"/>
      <c r="K157" s="3124">
        <v>3000</v>
      </c>
      <c r="L157" s="3124">
        <v>2800</v>
      </c>
      <c r="M157" s="3124" t="s">
        <v>2039</v>
      </c>
      <c r="N157" s="3192">
        <v>43831</v>
      </c>
      <c r="O157" s="3192">
        <v>44409</v>
      </c>
      <c r="P157" s="3192">
        <v>43831</v>
      </c>
      <c r="Q157" s="3192">
        <v>44531</v>
      </c>
      <c r="R157" s="3124" t="s">
        <v>433</v>
      </c>
      <c r="S157" s="3124" t="s">
        <v>1690</v>
      </c>
      <c r="T157" s="3124" t="s">
        <v>1838</v>
      </c>
      <c r="U157" t="s">
        <v>1195</v>
      </c>
      <c r="V157" s="3124">
        <v>6700</v>
      </c>
      <c r="W157" s="3193">
        <v>0.58208955223880599</v>
      </c>
      <c r="X157" s="3124">
        <v>3900</v>
      </c>
      <c r="Y157" s="3124">
        <v>1</v>
      </c>
      <c r="Z157" s="3124">
        <v>0</v>
      </c>
      <c r="AA157" s="3124">
        <v>29000</v>
      </c>
      <c r="AB157" t="s">
        <v>1195</v>
      </c>
      <c r="AC157" s="3124"/>
    </row>
    <row r="158" spans="1:29">
      <c r="A158" s="3124">
        <v>157</v>
      </c>
      <c r="B158" s="3124" t="s">
        <v>1625</v>
      </c>
      <c r="C158" s="3124" t="s">
        <v>2132</v>
      </c>
      <c r="D158" s="3124" t="s">
        <v>2133</v>
      </c>
      <c r="E158" t="s">
        <v>2134</v>
      </c>
      <c r="F158" s="3234">
        <v>9831391813</v>
      </c>
      <c r="G158" s="3124" t="s">
        <v>2135</v>
      </c>
      <c r="H158" s="3124">
        <v>20</v>
      </c>
      <c r="I158" s="3124">
        <v>20</v>
      </c>
      <c r="J158" s="3124"/>
      <c r="K158" s="3124">
        <v>3000</v>
      </c>
      <c r="L158" s="3124">
        <v>3150</v>
      </c>
      <c r="M158" s="3124" t="s">
        <v>1098</v>
      </c>
      <c r="N158" s="3192">
        <v>43617</v>
      </c>
      <c r="O158" s="3192">
        <v>44197</v>
      </c>
      <c r="P158" s="3192">
        <v>43617</v>
      </c>
      <c r="Q158" s="3192">
        <v>44197</v>
      </c>
      <c r="R158" s="3124" t="s">
        <v>433</v>
      </c>
      <c r="S158" s="3124" t="s">
        <v>1690</v>
      </c>
      <c r="T158" s="3124" t="s">
        <v>1990</v>
      </c>
      <c r="U158" t="s">
        <v>1195</v>
      </c>
      <c r="V158" s="3124">
        <v>6700</v>
      </c>
      <c r="W158" s="3193">
        <v>0.52985074626865669</v>
      </c>
      <c r="X158" s="3124">
        <v>3550</v>
      </c>
      <c r="Y158" s="3124">
        <v>1</v>
      </c>
      <c r="Z158" s="3124">
        <v>0</v>
      </c>
      <c r="AA158" s="3124">
        <v>29000</v>
      </c>
      <c r="AB158" t="s">
        <v>1195</v>
      </c>
      <c r="AC158" s="3124"/>
    </row>
    <row r="159" spans="1:29">
      <c r="A159" s="3124">
        <v>158</v>
      </c>
      <c r="B159" s="3124" t="s">
        <v>1625</v>
      </c>
      <c r="C159" s="3124" t="s">
        <v>2136</v>
      </c>
      <c r="D159" s="3124" t="s">
        <v>2137</v>
      </c>
      <c r="E159" t="s">
        <v>2138</v>
      </c>
      <c r="F159" s="3234">
        <v>9831124545</v>
      </c>
      <c r="G159" s="3124" t="s">
        <v>2139</v>
      </c>
      <c r="H159" s="3124">
        <v>20</v>
      </c>
      <c r="I159" s="3124">
        <v>20</v>
      </c>
      <c r="J159" s="3124"/>
      <c r="K159" s="3124">
        <v>3000</v>
      </c>
      <c r="L159" s="3124">
        <v>3150</v>
      </c>
      <c r="M159" s="3124" t="s">
        <v>1098</v>
      </c>
      <c r="N159" s="3192">
        <v>43617</v>
      </c>
      <c r="O159" s="3192">
        <v>44197</v>
      </c>
      <c r="P159" s="3192">
        <v>43617</v>
      </c>
      <c r="Q159" s="3192">
        <v>44197</v>
      </c>
      <c r="R159" s="3124" t="s">
        <v>432</v>
      </c>
      <c r="S159" s="3124" t="s">
        <v>1690</v>
      </c>
      <c r="T159" s="3124" t="s">
        <v>1990</v>
      </c>
      <c r="U159" t="s">
        <v>1195</v>
      </c>
      <c r="V159" s="3124">
        <v>6700</v>
      </c>
      <c r="W159" s="3193">
        <v>0.52985074626865669</v>
      </c>
      <c r="X159" s="3124">
        <v>3550</v>
      </c>
      <c r="Y159" s="3124">
        <v>1</v>
      </c>
      <c r="Z159" s="3124">
        <v>0</v>
      </c>
      <c r="AA159" s="3124">
        <v>29000</v>
      </c>
      <c r="AB159" t="s">
        <v>1195</v>
      </c>
      <c r="AC159" s="3124"/>
    </row>
    <row r="160" spans="1:29">
      <c r="A160" s="3124">
        <v>159</v>
      </c>
      <c r="B160" s="3124" t="s">
        <v>1625</v>
      </c>
      <c r="C160" s="3124" t="s">
        <v>2140</v>
      </c>
      <c r="D160" s="3124" t="s">
        <v>2141</v>
      </c>
      <c r="E160" t="s">
        <v>2142</v>
      </c>
      <c r="F160" s="3234">
        <v>9841690727</v>
      </c>
      <c r="G160" s="3124" t="s">
        <v>2143</v>
      </c>
      <c r="H160" s="3124">
        <v>20</v>
      </c>
      <c r="I160" s="3124">
        <v>20</v>
      </c>
      <c r="J160" s="3124"/>
      <c r="K160" s="3124">
        <v>3000</v>
      </c>
      <c r="L160" s="3124">
        <v>3150</v>
      </c>
      <c r="M160" s="3124" t="s">
        <v>1098</v>
      </c>
      <c r="N160" s="3192">
        <v>43617</v>
      </c>
      <c r="O160" s="3192">
        <v>44197</v>
      </c>
      <c r="P160" s="3192">
        <v>43617</v>
      </c>
      <c r="Q160" s="3192">
        <v>44197</v>
      </c>
      <c r="R160" s="3124" t="s">
        <v>432</v>
      </c>
      <c r="S160" s="3124" t="s">
        <v>1690</v>
      </c>
      <c r="T160" s="3124" t="s">
        <v>1990</v>
      </c>
      <c r="U160" t="s">
        <v>1195</v>
      </c>
      <c r="V160" s="3124">
        <v>6700</v>
      </c>
      <c r="W160" s="3193">
        <v>0.52985074626865669</v>
      </c>
      <c r="X160" s="3124">
        <v>3550</v>
      </c>
      <c r="Y160" s="3124">
        <v>1</v>
      </c>
      <c r="Z160" s="3124">
        <v>0</v>
      </c>
      <c r="AA160" s="3124">
        <v>29000</v>
      </c>
      <c r="AB160" t="s">
        <v>1195</v>
      </c>
      <c r="AC160" s="3124"/>
    </row>
    <row r="161" spans="1:29">
      <c r="A161" s="3124">
        <v>160</v>
      </c>
      <c r="B161" s="3124" t="s">
        <v>1625</v>
      </c>
      <c r="C161" s="3124" t="s">
        <v>2144</v>
      </c>
      <c r="D161" s="3124" t="s">
        <v>2145</v>
      </c>
      <c r="E161" t="s">
        <v>2146</v>
      </c>
      <c r="F161" s="3234">
        <v>9831542791</v>
      </c>
      <c r="G161" s="3124" t="s">
        <v>2147</v>
      </c>
      <c r="H161" s="3124">
        <v>20</v>
      </c>
      <c r="I161" s="3124">
        <v>20</v>
      </c>
      <c r="J161" s="3124"/>
      <c r="K161" s="3124">
        <v>3000</v>
      </c>
      <c r="L161" s="3124">
        <v>3150</v>
      </c>
      <c r="M161" s="3124" t="s">
        <v>1098</v>
      </c>
      <c r="N161" s="3192">
        <v>43617</v>
      </c>
      <c r="O161" s="3192">
        <v>44197</v>
      </c>
      <c r="P161" s="3192">
        <v>43617</v>
      </c>
      <c r="Q161" s="3192">
        <v>44197</v>
      </c>
      <c r="R161" s="3124" t="s">
        <v>433</v>
      </c>
      <c r="S161" s="3124" t="s">
        <v>1690</v>
      </c>
      <c r="T161" s="3124" t="s">
        <v>1990</v>
      </c>
      <c r="U161" t="s">
        <v>1195</v>
      </c>
      <c r="V161" s="3124">
        <v>6700</v>
      </c>
      <c r="W161" s="3193">
        <v>0.52985074626865669</v>
      </c>
      <c r="X161" s="3124">
        <v>3550</v>
      </c>
      <c r="Y161" s="3124">
        <v>1</v>
      </c>
      <c r="Z161" s="3124">
        <v>0</v>
      </c>
      <c r="AA161" s="3124">
        <v>29000</v>
      </c>
      <c r="AB161" t="s">
        <v>1195</v>
      </c>
      <c r="AC161" s="3124"/>
    </row>
    <row r="162" spans="1:29">
      <c r="A162" s="3124">
        <v>161</v>
      </c>
      <c r="B162" s="3124" t="s">
        <v>1621</v>
      </c>
      <c r="C162" s="3124" t="s">
        <v>490</v>
      </c>
      <c r="D162" s="3124" t="s">
        <v>495</v>
      </c>
      <c r="E162" t="s">
        <v>1425</v>
      </c>
      <c r="F162" s="3234">
        <v>9381517541</v>
      </c>
      <c r="G162" s="3124" t="s">
        <v>1858</v>
      </c>
      <c r="H162" s="3124">
        <v>20</v>
      </c>
      <c r="I162" s="3124">
        <v>20</v>
      </c>
      <c r="J162" s="3124">
        <v>0</v>
      </c>
      <c r="K162" s="3124">
        <v>2180</v>
      </c>
      <c r="L162" s="3124">
        <v>2180</v>
      </c>
      <c r="M162" s="3124" t="s">
        <v>2148</v>
      </c>
      <c r="N162" s="3192">
        <v>44603</v>
      </c>
      <c r="O162" s="3192">
        <v>45180</v>
      </c>
      <c r="P162" s="3192">
        <v>44603</v>
      </c>
      <c r="Q162" s="3192">
        <v>45180</v>
      </c>
      <c r="R162" s="3124" t="s">
        <v>432</v>
      </c>
      <c r="S162" s="3124" t="s">
        <v>1640</v>
      </c>
      <c r="T162" s="3124" t="s">
        <v>1850</v>
      </c>
      <c r="U162" t="s">
        <v>1869</v>
      </c>
      <c r="V162" s="3124">
        <v>6700</v>
      </c>
      <c r="W162" s="3193">
        <v>0.67462686567164176</v>
      </c>
      <c r="X162" s="3124">
        <v>4520</v>
      </c>
      <c r="Y162" s="3124">
        <v>1</v>
      </c>
      <c r="Z162" s="3124">
        <v>0</v>
      </c>
      <c r="AA162" s="3124">
        <v>29000</v>
      </c>
      <c r="AB162" t="s">
        <v>1869</v>
      </c>
      <c r="AC162" s="3124"/>
    </row>
    <row r="163" spans="1:29">
      <c r="A163" s="3124">
        <v>162</v>
      </c>
      <c r="B163" s="3124" t="s">
        <v>1625</v>
      </c>
      <c r="C163" s="3124" t="s">
        <v>2149</v>
      </c>
      <c r="D163" s="3124" t="s">
        <v>2150</v>
      </c>
      <c r="E163" t="s">
        <v>2151</v>
      </c>
      <c r="F163" s="3234" t="s">
        <v>2152</v>
      </c>
      <c r="G163" s="3124" t="s">
        <v>2153</v>
      </c>
      <c r="H163" s="3124">
        <v>20</v>
      </c>
      <c r="I163" s="3124">
        <v>20</v>
      </c>
      <c r="J163" s="3124"/>
      <c r="K163" s="3124">
        <v>3000</v>
      </c>
      <c r="L163" s="3124">
        <v>3150</v>
      </c>
      <c r="M163" s="3124" t="s">
        <v>1098</v>
      </c>
      <c r="N163" s="3192">
        <v>43617</v>
      </c>
      <c r="O163" s="3192">
        <v>44197</v>
      </c>
      <c r="P163" s="3192">
        <v>43617</v>
      </c>
      <c r="Q163" s="3192">
        <v>44197</v>
      </c>
      <c r="R163" s="3124" t="s">
        <v>433</v>
      </c>
      <c r="S163" s="3124" t="s">
        <v>1690</v>
      </c>
      <c r="T163" s="3124" t="s">
        <v>1990</v>
      </c>
      <c r="U163" t="s">
        <v>1195</v>
      </c>
      <c r="V163" s="3124">
        <v>6700</v>
      </c>
      <c r="W163" s="3193">
        <v>0.52985074626865669</v>
      </c>
      <c r="X163" s="3124">
        <v>3550</v>
      </c>
      <c r="Y163" s="3124">
        <v>1</v>
      </c>
      <c r="Z163" s="3124">
        <v>0</v>
      </c>
      <c r="AA163" s="3124">
        <v>29000</v>
      </c>
      <c r="AB163" t="s">
        <v>1195</v>
      </c>
      <c r="AC163" s="3124"/>
    </row>
    <row r="164" spans="1:29">
      <c r="A164" s="3124">
        <v>163</v>
      </c>
      <c r="B164" s="3124" t="s">
        <v>1123</v>
      </c>
      <c r="C164" s="3124" t="s">
        <v>1328</v>
      </c>
      <c r="D164" s="3124" t="s">
        <v>1327</v>
      </c>
      <c r="E164" t="s">
        <v>1330</v>
      </c>
      <c r="F164" s="3234" t="s">
        <v>2154</v>
      </c>
      <c r="G164" s="3124" t="s">
        <v>2155</v>
      </c>
      <c r="H164" s="3124">
        <v>4</v>
      </c>
      <c r="I164" s="3124">
        <v>4</v>
      </c>
      <c r="J164" s="3124"/>
      <c r="K164" s="3124"/>
      <c r="L164" s="3124">
        <v>3350</v>
      </c>
      <c r="M164" s="3124" t="s">
        <v>1207</v>
      </c>
      <c r="N164" s="3192">
        <v>44440</v>
      </c>
      <c r="O164" s="3192">
        <v>44531</v>
      </c>
      <c r="P164" s="3192">
        <v>44440</v>
      </c>
      <c r="Q164" s="3192">
        <v>44531</v>
      </c>
      <c r="R164" s="3124" t="s">
        <v>432</v>
      </c>
      <c r="S164" s="3124" t="s">
        <v>1939</v>
      </c>
      <c r="T164" s="3124" t="s">
        <v>1850</v>
      </c>
      <c r="U164" t="s">
        <v>1195</v>
      </c>
      <c r="V164" s="3124">
        <v>6700</v>
      </c>
      <c r="W164" s="3193">
        <v>0.5</v>
      </c>
      <c r="X164" s="3124">
        <v>3350</v>
      </c>
      <c r="Y164" s="3124">
        <v>1</v>
      </c>
      <c r="Z164" s="3124">
        <v>0</v>
      </c>
      <c r="AA164" s="3124">
        <v>29000</v>
      </c>
      <c r="AB164" t="s">
        <v>1195</v>
      </c>
      <c r="AC164" s="3124"/>
    </row>
    <row r="165" spans="1:29">
      <c r="A165" s="3124">
        <v>164</v>
      </c>
      <c r="B165" s="3124" t="s">
        <v>1123</v>
      </c>
      <c r="C165" s="3124" t="s">
        <v>2156</v>
      </c>
      <c r="D165" s="3124" t="s">
        <v>1116</v>
      </c>
      <c r="E165" t="s">
        <v>4556</v>
      </c>
      <c r="F165" s="3234" t="s">
        <v>2157</v>
      </c>
      <c r="G165" s="3124" t="s">
        <v>2158</v>
      </c>
      <c r="H165" s="3124">
        <v>4</v>
      </c>
      <c r="I165" s="3124">
        <v>4</v>
      </c>
      <c r="J165" s="3124"/>
      <c r="K165" s="3124"/>
      <c r="L165" s="3124">
        <v>3350</v>
      </c>
      <c r="M165" s="3843" t="s">
        <v>1207</v>
      </c>
      <c r="N165" s="3192">
        <v>44440</v>
      </c>
      <c r="O165" s="3192">
        <v>44531</v>
      </c>
      <c r="P165" s="3192">
        <v>44440</v>
      </c>
      <c r="Q165" s="3192">
        <v>44531</v>
      </c>
      <c r="R165" s="3124" t="s">
        <v>433</v>
      </c>
      <c r="S165" s="3124" t="s">
        <v>1939</v>
      </c>
      <c r="T165" s="3124" t="s">
        <v>1918</v>
      </c>
      <c r="U165" t="s">
        <v>1195</v>
      </c>
      <c r="V165" s="3124">
        <v>6700</v>
      </c>
      <c r="W165" s="3193">
        <v>0.5</v>
      </c>
      <c r="X165" s="3124">
        <v>3350</v>
      </c>
      <c r="Y165" s="3124">
        <v>1</v>
      </c>
      <c r="Z165" s="3124">
        <v>0</v>
      </c>
      <c r="AA165" s="3124">
        <v>29000</v>
      </c>
      <c r="AB165" t="s">
        <v>1195</v>
      </c>
      <c r="AC165" s="3124"/>
    </row>
    <row r="166" spans="1:29">
      <c r="A166" s="3124">
        <v>165</v>
      </c>
      <c r="B166" s="3124" t="s">
        <v>1625</v>
      </c>
      <c r="C166" s="3124" t="s">
        <v>1201</v>
      </c>
      <c r="D166" s="3124" t="s">
        <v>1199</v>
      </c>
      <c r="E166" t="s">
        <v>4557</v>
      </c>
      <c r="F166" s="3234" t="s">
        <v>2159</v>
      </c>
      <c r="G166" s="3124" t="s">
        <v>2160</v>
      </c>
      <c r="H166" s="3124">
        <v>20</v>
      </c>
      <c r="I166" s="3124">
        <v>20</v>
      </c>
      <c r="J166" s="3124"/>
      <c r="K166" s="3124">
        <v>0</v>
      </c>
      <c r="L166" s="3124">
        <v>3350</v>
      </c>
      <c r="M166" s="3124" t="s">
        <v>1207</v>
      </c>
      <c r="N166" s="3192">
        <v>44360</v>
      </c>
      <c r="O166" s="3192">
        <v>44939</v>
      </c>
      <c r="P166" s="3192">
        <v>44360</v>
      </c>
      <c r="Q166" s="3192">
        <v>44939</v>
      </c>
      <c r="R166" s="3124" t="s">
        <v>432</v>
      </c>
      <c r="S166" s="3124" t="s">
        <v>1690</v>
      </c>
      <c r="T166" s="3124" t="s">
        <v>1918</v>
      </c>
      <c r="U166" t="s">
        <v>1195</v>
      </c>
      <c r="V166" s="3124">
        <v>6700</v>
      </c>
      <c r="W166" s="3193">
        <v>0.5</v>
      </c>
      <c r="X166" s="3124">
        <v>3350</v>
      </c>
      <c r="Y166" s="3124">
        <v>1</v>
      </c>
      <c r="Z166" s="3124">
        <v>0</v>
      </c>
      <c r="AA166" s="3124">
        <v>29000</v>
      </c>
      <c r="AB166" t="s">
        <v>1195</v>
      </c>
      <c r="AC166" s="3124"/>
    </row>
    <row r="167" spans="1:29">
      <c r="A167" s="3124">
        <v>166</v>
      </c>
      <c r="B167" s="3124" t="s">
        <v>1625</v>
      </c>
      <c r="C167" s="3124" t="s">
        <v>2161</v>
      </c>
      <c r="D167" s="3124" t="s">
        <v>2162</v>
      </c>
      <c r="E167" t="s">
        <v>2163</v>
      </c>
      <c r="F167" s="3234" t="s">
        <v>2164</v>
      </c>
      <c r="G167" s="3124" t="s">
        <v>2165</v>
      </c>
      <c r="H167" s="3124">
        <v>20</v>
      </c>
      <c r="I167" s="3124">
        <v>20</v>
      </c>
      <c r="J167" s="3124"/>
      <c r="K167" s="3124">
        <v>3000</v>
      </c>
      <c r="L167" s="3124">
        <v>3150</v>
      </c>
      <c r="M167" s="3124" t="s">
        <v>1098</v>
      </c>
      <c r="N167" s="3192">
        <v>43617</v>
      </c>
      <c r="O167" s="3192">
        <v>44197</v>
      </c>
      <c r="P167" s="3192">
        <v>43617</v>
      </c>
      <c r="Q167" s="3192">
        <v>44197</v>
      </c>
      <c r="R167" s="3124" t="s">
        <v>433</v>
      </c>
      <c r="S167" s="3124" t="s">
        <v>1690</v>
      </c>
      <c r="T167" s="3124" t="s">
        <v>1990</v>
      </c>
      <c r="U167" t="s">
        <v>1195</v>
      </c>
      <c r="V167" s="3124">
        <v>6700</v>
      </c>
      <c r="W167" s="3193">
        <v>0.52985074626865669</v>
      </c>
      <c r="X167" s="3124">
        <v>3550</v>
      </c>
      <c r="Y167" s="3124">
        <v>1</v>
      </c>
      <c r="Z167" s="3124">
        <v>0</v>
      </c>
      <c r="AA167" s="3124">
        <v>29000</v>
      </c>
      <c r="AB167" t="s">
        <v>1195</v>
      </c>
      <c r="AC167" s="3124"/>
    </row>
    <row r="168" spans="1:29">
      <c r="A168" s="3124">
        <v>167</v>
      </c>
      <c r="B168" s="3124" t="s">
        <v>1625</v>
      </c>
      <c r="C168" s="3124" t="s">
        <v>1092</v>
      </c>
      <c r="D168" s="3124" t="s">
        <v>1093</v>
      </c>
      <c r="E168" t="s">
        <v>2166</v>
      </c>
      <c r="F168" s="3234" t="s">
        <v>4558</v>
      </c>
      <c r="G168" s="3124" t="s">
        <v>2167</v>
      </c>
      <c r="H168" s="3124">
        <v>20</v>
      </c>
      <c r="I168" s="3124">
        <v>20</v>
      </c>
      <c r="J168" s="3124"/>
      <c r="K168" s="3124">
        <v>3000</v>
      </c>
      <c r="L168" s="3124">
        <v>3350</v>
      </c>
      <c r="M168" s="3124" t="s">
        <v>1094</v>
      </c>
      <c r="N168" s="3192">
        <v>43952</v>
      </c>
      <c r="O168" s="3192">
        <v>44531</v>
      </c>
      <c r="P168" s="3192">
        <v>43952</v>
      </c>
      <c r="Q168" s="3192">
        <v>44531</v>
      </c>
      <c r="R168" s="3124" t="s">
        <v>433</v>
      </c>
      <c r="S168" s="3124" t="s">
        <v>1690</v>
      </c>
      <c r="T168" s="3124" t="s">
        <v>1850</v>
      </c>
      <c r="U168" t="s">
        <v>1195</v>
      </c>
      <c r="V168" s="3124">
        <v>6700</v>
      </c>
      <c r="W168" s="3193">
        <v>0.5</v>
      </c>
      <c r="X168" s="3124">
        <v>3350</v>
      </c>
      <c r="Y168" s="3124">
        <v>1</v>
      </c>
      <c r="Z168" s="3124">
        <v>0</v>
      </c>
      <c r="AA168" s="3124">
        <v>29000</v>
      </c>
      <c r="AB168" t="s">
        <v>1195</v>
      </c>
      <c r="AC168" s="3124"/>
    </row>
    <row r="169" spans="1:29">
      <c r="A169" s="3124">
        <v>168</v>
      </c>
      <c r="B169" s="3124" t="s">
        <v>1625</v>
      </c>
      <c r="C169" s="3124" t="s">
        <v>1096</v>
      </c>
      <c r="D169" s="3124" t="s">
        <v>1097</v>
      </c>
      <c r="E169" t="s">
        <v>2168</v>
      </c>
      <c r="F169" s="3234" t="s">
        <v>2169</v>
      </c>
      <c r="G169" s="3124" t="s">
        <v>2170</v>
      </c>
      <c r="H169" s="3124">
        <v>20</v>
      </c>
      <c r="I169" s="3124">
        <v>20</v>
      </c>
      <c r="J169" s="3124"/>
      <c r="K169" s="3124">
        <v>3000</v>
      </c>
      <c r="L169" s="3124">
        <v>2800</v>
      </c>
      <c r="M169" s="3124" t="s">
        <v>1098</v>
      </c>
      <c r="N169" s="3192">
        <v>44458</v>
      </c>
      <c r="O169" s="3192">
        <v>45035</v>
      </c>
      <c r="P169" s="3192">
        <v>44458</v>
      </c>
      <c r="Q169" s="3192">
        <v>45035</v>
      </c>
      <c r="R169" s="3124" t="s">
        <v>433</v>
      </c>
      <c r="S169" s="3124" t="s">
        <v>1690</v>
      </c>
      <c r="T169" s="3124" t="s">
        <v>1990</v>
      </c>
      <c r="U169" t="s">
        <v>1195</v>
      </c>
      <c r="V169" s="3124">
        <v>6700</v>
      </c>
      <c r="W169" s="3193">
        <v>0.58208955223880599</v>
      </c>
      <c r="X169" s="3124">
        <v>3900</v>
      </c>
      <c r="Y169" s="3124">
        <v>1</v>
      </c>
      <c r="Z169" s="3124">
        <v>0</v>
      </c>
      <c r="AA169" s="3124">
        <v>29000</v>
      </c>
      <c r="AB169" t="s">
        <v>1195</v>
      </c>
      <c r="AC169" s="3124"/>
    </row>
    <row r="170" spans="1:29">
      <c r="A170" s="3124">
        <v>169</v>
      </c>
      <c r="B170" s="3124" t="s">
        <v>1625</v>
      </c>
      <c r="C170" s="3124" t="s">
        <v>913</v>
      </c>
      <c r="D170" s="3124" t="s">
        <v>1099</v>
      </c>
      <c r="E170" t="s">
        <v>914</v>
      </c>
      <c r="F170" s="3234">
        <v>9988451496</v>
      </c>
      <c r="G170" s="3124" t="s">
        <v>2423</v>
      </c>
      <c r="H170" s="3124">
        <v>20</v>
      </c>
      <c r="I170" s="3124">
        <v>20</v>
      </c>
      <c r="J170" s="3124"/>
      <c r="K170" s="3124">
        <v>0</v>
      </c>
      <c r="L170" s="3124">
        <v>0</v>
      </c>
      <c r="M170" s="3124" t="s">
        <v>1094</v>
      </c>
      <c r="N170" s="3192">
        <v>43586</v>
      </c>
      <c r="O170" s="3192">
        <v>44166</v>
      </c>
      <c r="P170" s="3192">
        <v>43586</v>
      </c>
      <c r="Q170" s="3192">
        <v>44166</v>
      </c>
      <c r="R170" s="3124" t="s">
        <v>432</v>
      </c>
      <c r="S170" s="3124" t="s">
        <v>1690</v>
      </c>
      <c r="T170" s="3124" t="s">
        <v>1850</v>
      </c>
      <c r="U170" t="s">
        <v>1195</v>
      </c>
      <c r="V170" s="3124">
        <v>6700</v>
      </c>
      <c r="W170" s="3193">
        <v>1</v>
      </c>
      <c r="X170" s="3124">
        <v>6700</v>
      </c>
      <c r="Y170" s="3124">
        <v>1</v>
      </c>
      <c r="Z170" s="3124">
        <v>0</v>
      </c>
      <c r="AA170" s="3124">
        <v>29000</v>
      </c>
      <c r="AB170" t="s">
        <v>1195</v>
      </c>
      <c r="AC170" s="3124"/>
    </row>
    <row r="171" spans="1:29">
      <c r="A171" s="3124">
        <v>170</v>
      </c>
      <c r="B171" s="3124" t="s">
        <v>1625</v>
      </c>
      <c r="C171" s="3124" t="s">
        <v>2171</v>
      </c>
      <c r="D171" s="3124" t="s">
        <v>1101</v>
      </c>
      <c r="E171" t="s">
        <v>2172</v>
      </c>
      <c r="F171" s="3234" t="s">
        <v>2173</v>
      </c>
      <c r="G171" s="3124" t="s">
        <v>2174</v>
      </c>
      <c r="H171" s="3124">
        <v>24</v>
      </c>
      <c r="I171" s="3124">
        <v>20</v>
      </c>
      <c r="J171" s="3124"/>
      <c r="K171" s="3124">
        <v>3000</v>
      </c>
      <c r="L171" s="3124">
        <v>2800</v>
      </c>
      <c r="M171" s="3124" t="s">
        <v>1094</v>
      </c>
      <c r="N171" s="3192">
        <v>44044</v>
      </c>
      <c r="O171" s="3192">
        <v>44621</v>
      </c>
      <c r="P171" s="3192">
        <v>44044</v>
      </c>
      <c r="Q171" s="3192">
        <v>44743</v>
      </c>
      <c r="R171" s="3124" t="s">
        <v>432</v>
      </c>
      <c r="S171" s="3124" t="s">
        <v>1690</v>
      </c>
      <c r="T171" s="3124" t="s">
        <v>1850</v>
      </c>
      <c r="U171" t="s">
        <v>1761</v>
      </c>
      <c r="V171" s="3124">
        <v>6700</v>
      </c>
      <c r="W171" s="3193">
        <v>0.58208955223880599</v>
      </c>
      <c r="X171" s="3124">
        <v>3900</v>
      </c>
      <c r="Y171" s="3124">
        <v>1</v>
      </c>
      <c r="Z171" s="3124">
        <v>0</v>
      </c>
      <c r="AA171" s="3124">
        <v>29000</v>
      </c>
      <c r="AB171" t="s">
        <v>1195</v>
      </c>
      <c r="AC171" s="3124"/>
    </row>
    <row r="172" spans="1:29">
      <c r="A172" s="3124">
        <v>171</v>
      </c>
      <c r="B172" s="3124" t="s">
        <v>1625</v>
      </c>
      <c r="C172" s="3124" t="s">
        <v>1108</v>
      </c>
      <c r="D172" s="3124" t="s">
        <v>1104</v>
      </c>
      <c r="E172" t="s">
        <v>2175</v>
      </c>
      <c r="F172" s="3234" t="s">
        <v>4559</v>
      </c>
      <c r="G172" s="3124" t="s">
        <v>2176</v>
      </c>
      <c r="H172" s="3124">
        <v>24</v>
      </c>
      <c r="I172" s="3124">
        <v>20</v>
      </c>
      <c r="J172" s="3124"/>
      <c r="K172" s="3124">
        <v>3000</v>
      </c>
      <c r="L172" s="3124">
        <v>2800</v>
      </c>
      <c r="M172" s="3124" t="s">
        <v>1094</v>
      </c>
      <c r="N172" s="3192">
        <v>43952</v>
      </c>
      <c r="O172" s="3192">
        <v>44531</v>
      </c>
      <c r="P172" s="3192">
        <v>43952</v>
      </c>
      <c r="Q172" s="3192">
        <v>44652</v>
      </c>
      <c r="R172" s="3124" t="s">
        <v>433</v>
      </c>
      <c r="S172" s="3124" t="s">
        <v>1690</v>
      </c>
      <c r="T172" s="3124" t="s">
        <v>1850</v>
      </c>
      <c r="U172" t="s">
        <v>1195</v>
      </c>
      <c r="V172" s="3124">
        <v>6700</v>
      </c>
      <c r="W172" s="3193">
        <v>0.58208955223880599</v>
      </c>
      <c r="X172" s="3124">
        <v>3900</v>
      </c>
      <c r="Y172" s="3124">
        <v>1</v>
      </c>
      <c r="Z172" s="3124">
        <v>0</v>
      </c>
      <c r="AA172" s="3124">
        <v>29000</v>
      </c>
      <c r="AB172" t="s">
        <v>1195</v>
      </c>
      <c r="AC172" s="3124"/>
    </row>
    <row r="173" spans="1:29">
      <c r="A173" s="3124">
        <v>172</v>
      </c>
      <c r="B173" s="3124" t="s">
        <v>1839</v>
      </c>
      <c r="C173" s="3124" t="s">
        <v>1555</v>
      </c>
      <c r="D173" s="3124" t="s">
        <v>1554</v>
      </c>
      <c r="E173" t="s">
        <v>1557</v>
      </c>
      <c r="F173" s="3234" t="s">
        <v>2177</v>
      </c>
      <c r="G173" s="3190" t="s">
        <v>2178</v>
      </c>
      <c r="H173" s="3124">
        <v>8</v>
      </c>
      <c r="I173" s="3124">
        <v>8</v>
      </c>
      <c r="J173" s="3124"/>
      <c r="K173" s="3124"/>
      <c r="L173" s="3124">
        <v>2180</v>
      </c>
      <c r="M173" s="3124" t="s">
        <v>1493</v>
      </c>
      <c r="N173" s="3192">
        <v>44378</v>
      </c>
      <c r="O173" s="3192">
        <v>44593</v>
      </c>
      <c r="P173" s="3192">
        <v>44378</v>
      </c>
      <c r="Q173" s="3192">
        <v>44593</v>
      </c>
      <c r="R173" s="3124" t="s">
        <v>432</v>
      </c>
      <c r="S173" s="3124" t="s">
        <v>1842</v>
      </c>
      <c r="T173" s="3124" t="s">
        <v>1850</v>
      </c>
      <c r="U173" t="s">
        <v>1195</v>
      </c>
      <c r="V173" s="3124">
        <v>6700</v>
      </c>
      <c r="W173" s="3193">
        <v>0.67462686567164176</v>
      </c>
      <c r="X173" s="3124">
        <v>4520</v>
      </c>
      <c r="Y173" s="3124">
        <v>1</v>
      </c>
      <c r="Z173" s="3124">
        <v>0</v>
      </c>
      <c r="AA173" s="3124">
        <v>29000</v>
      </c>
      <c r="AB173" t="s">
        <v>1195</v>
      </c>
      <c r="AC173" s="3124"/>
    </row>
    <row r="174" spans="1:29">
      <c r="A174" s="3124">
        <v>173</v>
      </c>
      <c r="B174" s="3124" t="s">
        <v>1625</v>
      </c>
      <c r="C174" s="3124" t="s">
        <v>1110</v>
      </c>
      <c r="D174" s="3124" t="s">
        <v>1109</v>
      </c>
      <c r="E174" t="s">
        <v>1111</v>
      </c>
      <c r="F174" s="3234" t="s">
        <v>2179</v>
      </c>
      <c r="G174" s="3124" t="s">
        <v>2180</v>
      </c>
      <c r="H174" s="3124">
        <v>20</v>
      </c>
      <c r="I174" s="3124">
        <v>20</v>
      </c>
      <c r="J174" s="3124"/>
      <c r="K174" s="3124">
        <v>3000</v>
      </c>
      <c r="L174" s="3124">
        <v>3350</v>
      </c>
      <c r="M174" s="3124" t="s">
        <v>1094</v>
      </c>
      <c r="N174" s="3192">
        <v>43952</v>
      </c>
      <c r="O174" s="3192">
        <v>44531</v>
      </c>
      <c r="P174" s="3192">
        <v>43952</v>
      </c>
      <c r="Q174" s="3192">
        <v>44531</v>
      </c>
      <c r="R174" s="3124" t="s">
        <v>433</v>
      </c>
      <c r="S174" s="3124" t="s">
        <v>1690</v>
      </c>
      <c r="T174" s="3124" t="s">
        <v>1850</v>
      </c>
      <c r="U174" t="s">
        <v>1195</v>
      </c>
      <c r="V174" s="3124">
        <v>6700</v>
      </c>
      <c r="W174" s="3193">
        <v>0.5</v>
      </c>
      <c r="X174" s="3124">
        <v>3350</v>
      </c>
      <c r="Y174" s="3124">
        <v>1</v>
      </c>
      <c r="Z174" s="3124">
        <v>0</v>
      </c>
      <c r="AA174" s="3124">
        <v>29000</v>
      </c>
      <c r="AB174" t="s">
        <v>1195</v>
      </c>
      <c r="AC174" s="3124"/>
    </row>
    <row r="175" spans="1:29">
      <c r="A175" s="3124">
        <v>174</v>
      </c>
      <c r="B175" s="3124" t="s">
        <v>1625</v>
      </c>
      <c r="C175" s="3124" t="s">
        <v>1112</v>
      </c>
      <c r="D175" s="3124" t="s">
        <v>1052</v>
      </c>
      <c r="E175" t="s">
        <v>1132</v>
      </c>
      <c r="F175" s="3234" t="s">
        <v>2181</v>
      </c>
      <c r="G175" s="3124" t="s">
        <v>2182</v>
      </c>
      <c r="H175" s="3124">
        <v>20</v>
      </c>
      <c r="I175" s="3124">
        <v>20</v>
      </c>
      <c r="J175" s="3124"/>
      <c r="K175" s="3124">
        <v>3000</v>
      </c>
      <c r="L175" s="3124">
        <v>3350</v>
      </c>
      <c r="M175" s="3124" t="s">
        <v>1094</v>
      </c>
      <c r="N175" s="3192">
        <v>44105</v>
      </c>
      <c r="O175" s="3192">
        <v>44682</v>
      </c>
      <c r="P175" s="3192">
        <v>44105</v>
      </c>
      <c r="Q175" s="3192">
        <v>44682</v>
      </c>
      <c r="R175" s="3124" t="s">
        <v>433</v>
      </c>
      <c r="S175" s="3124" t="s">
        <v>1690</v>
      </c>
      <c r="T175" s="3124" t="s">
        <v>1850</v>
      </c>
      <c r="U175" t="s">
        <v>1761</v>
      </c>
      <c r="V175" s="3124">
        <v>6700</v>
      </c>
      <c r="W175" s="3193">
        <v>0.5</v>
      </c>
      <c r="X175" s="3124">
        <v>3350</v>
      </c>
      <c r="Y175" s="3124">
        <v>1</v>
      </c>
      <c r="Z175" s="3124">
        <v>0</v>
      </c>
      <c r="AA175" s="3124">
        <v>29000</v>
      </c>
      <c r="AB175" t="s">
        <v>1195</v>
      </c>
      <c r="AC175" s="3124"/>
    </row>
    <row r="176" spans="1:29">
      <c r="A176" s="3124">
        <v>175</v>
      </c>
      <c r="B176" s="3124" t="s">
        <v>1625</v>
      </c>
      <c r="C176" s="3124" t="s">
        <v>664</v>
      </c>
      <c r="D176" s="3124" t="s">
        <v>2629</v>
      </c>
      <c r="E176" t="s">
        <v>666</v>
      </c>
      <c r="F176" s="3234" t="s">
        <v>2183</v>
      </c>
      <c r="G176" s="3124" t="s">
        <v>1852</v>
      </c>
      <c r="H176" s="3124">
        <v>20</v>
      </c>
      <c r="I176" s="3124">
        <v>20</v>
      </c>
      <c r="J176" s="3124"/>
      <c r="K176" s="3124">
        <v>3000</v>
      </c>
      <c r="L176" s="3124">
        <v>2800</v>
      </c>
      <c r="M176" s="3124" t="s">
        <v>1094</v>
      </c>
      <c r="N176" s="3192">
        <v>43983</v>
      </c>
      <c r="O176" s="3192">
        <v>44562</v>
      </c>
      <c r="P176" s="3192">
        <v>43983</v>
      </c>
      <c r="Q176" s="3192">
        <v>44562</v>
      </c>
      <c r="R176" s="3124" t="s">
        <v>432</v>
      </c>
      <c r="S176" s="3124" t="s">
        <v>1690</v>
      </c>
      <c r="T176" s="3124" t="s">
        <v>1850</v>
      </c>
      <c r="U176" t="s">
        <v>1869</v>
      </c>
      <c r="V176" s="3124">
        <v>6700</v>
      </c>
      <c r="W176" s="3193">
        <v>0.58208955223880599</v>
      </c>
      <c r="X176" s="3124">
        <v>3900</v>
      </c>
      <c r="Y176" s="3124">
        <v>1</v>
      </c>
      <c r="Z176" s="3124">
        <v>0</v>
      </c>
      <c r="AA176" s="3124">
        <v>29000</v>
      </c>
      <c r="AB176" t="s">
        <v>1869</v>
      </c>
      <c r="AC176" s="3124"/>
    </row>
    <row r="177" spans="1:29">
      <c r="A177" s="3124">
        <v>176</v>
      </c>
      <c r="B177" s="3124" t="s">
        <v>1625</v>
      </c>
      <c r="C177" s="3124" t="s">
        <v>1115</v>
      </c>
      <c r="D177" s="3124" t="s">
        <v>1116</v>
      </c>
      <c r="E177" t="s">
        <v>1117</v>
      </c>
      <c r="F177" s="3234" t="s">
        <v>2184</v>
      </c>
      <c r="G177" s="3124" t="s">
        <v>2630</v>
      </c>
      <c r="H177" s="3124">
        <v>24</v>
      </c>
      <c r="I177" s="3124">
        <v>20</v>
      </c>
      <c r="J177" s="3124"/>
      <c r="K177" s="3124">
        <v>3000</v>
      </c>
      <c r="L177" s="3124">
        <v>2800</v>
      </c>
      <c r="M177" s="3124" t="s">
        <v>1094</v>
      </c>
      <c r="N177" s="3192">
        <v>43952</v>
      </c>
      <c r="O177" s="3192">
        <v>44531</v>
      </c>
      <c r="P177" s="3192">
        <v>43952</v>
      </c>
      <c r="Q177" s="3192">
        <v>44652</v>
      </c>
      <c r="R177" s="3124" t="s">
        <v>433</v>
      </c>
      <c r="S177" s="3124" t="s">
        <v>1690</v>
      </c>
      <c r="T177" s="3124" t="s">
        <v>1850</v>
      </c>
      <c r="U177" t="s">
        <v>1195</v>
      </c>
      <c r="V177" s="3124">
        <v>6700</v>
      </c>
      <c r="W177" s="3193">
        <v>0.58208955223880599</v>
      </c>
      <c r="X177" s="3124">
        <v>3900</v>
      </c>
      <c r="Y177" s="3124">
        <v>1</v>
      </c>
      <c r="Z177" s="3124">
        <v>0</v>
      </c>
      <c r="AA177" s="3124">
        <v>29000</v>
      </c>
      <c r="AB177" t="s">
        <v>1195</v>
      </c>
      <c r="AC177" s="3124"/>
    </row>
    <row r="178" spans="1:29">
      <c r="A178" s="3124">
        <v>177</v>
      </c>
      <c r="B178" s="3124" t="s">
        <v>1621</v>
      </c>
      <c r="C178" s="3124" t="s">
        <v>734</v>
      </c>
      <c r="D178" s="3124" t="s">
        <v>1718</v>
      </c>
      <c r="E178" t="s">
        <v>735</v>
      </c>
      <c r="F178" s="3234" t="s">
        <v>4560</v>
      </c>
      <c r="G178" s="3124" t="s">
        <v>2185</v>
      </c>
      <c r="H178" s="3124">
        <v>20</v>
      </c>
      <c r="I178" s="3124">
        <v>20</v>
      </c>
      <c r="J178" s="3124"/>
      <c r="K178" s="3124">
        <v>2000</v>
      </c>
      <c r="L178" s="3124">
        <v>2180.0000000000005</v>
      </c>
      <c r="M178" s="3124" t="s">
        <v>1694</v>
      </c>
      <c r="N178" s="3192">
        <v>44166</v>
      </c>
      <c r="O178" s="3192">
        <v>44743</v>
      </c>
      <c r="P178" s="3192">
        <v>44166</v>
      </c>
      <c r="Q178" s="3192">
        <v>44743</v>
      </c>
      <c r="R178" s="3124" t="s">
        <v>433</v>
      </c>
      <c r="S178" s="3124" t="s">
        <v>1640</v>
      </c>
      <c r="T178" s="3124" t="s">
        <v>1850</v>
      </c>
      <c r="U178" t="s">
        <v>1761</v>
      </c>
      <c r="V178" s="3124">
        <v>6700</v>
      </c>
      <c r="W178" s="3193">
        <v>0.67462686567164176</v>
      </c>
      <c r="X178" s="3124">
        <v>4520</v>
      </c>
      <c r="Y178" s="3124">
        <v>1</v>
      </c>
      <c r="Z178" s="3124">
        <v>0</v>
      </c>
      <c r="AA178" s="3124">
        <v>25000</v>
      </c>
      <c r="AB178" t="s">
        <v>1195</v>
      </c>
      <c r="AC178" s="3124"/>
    </row>
    <row r="179" spans="1:29">
      <c r="A179" s="3124">
        <v>178</v>
      </c>
      <c r="B179" s="3124" t="s">
        <v>1625</v>
      </c>
      <c r="C179" s="3124" t="s">
        <v>1135</v>
      </c>
      <c r="D179" s="3124" t="s">
        <v>1121</v>
      </c>
      <c r="E179" t="s">
        <v>1136</v>
      </c>
      <c r="F179" s="3234" t="s">
        <v>2186</v>
      </c>
      <c r="G179" s="3124" t="s">
        <v>2187</v>
      </c>
      <c r="H179" s="3124">
        <v>24</v>
      </c>
      <c r="I179" s="3124">
        <v>20</v>
      </c>
      <c r="J179" s="3124"/>
      <c r="K179" s="3124">
        <v>3000</v>
      </c>
      <c r="L179" s="3124">
        <v>2800</v>
      </c>
      <c r="M179" s="3124" t="s">
        <v>1247</v>
      </c>
      <c r="N179" s="3192">
        <v>44044</v>
      </c>
      <c r="O179" s="3192">
        <v>44621</v>
      </c>
      <c r="P179" s="3192">
        <v>44044</v>
      </c>
      <c r="Q179" s="3192">
        <v>44743</v>
      </c>
      <c r="R179" s="3124" t="s">
        <v>432</v>
      </c>
      <c r="S179" s="3124" t="s">
        <v>1690</v>
      </c>
      <c r="T179" s="3124" t="s">
        <v>1850</v>
      </c>
      <c r="U179" t="s">
        <v>1195</v>
      </c>
      <c r="V179" s="3124">
        <v>6700</v>
      </c>
      <c r="W179" s="3193">
        <v>0.58208955223880599</v>
      </c>
      <c r="X179" s="3124">
        <v>3900</v>
      </c>
      <c r="Y179" s="3124">
        <v>1</v>
      </c>
      <c r="Z179" s="3124">
        <v>0</v>
      </c>
      <c r="AA179" s="3124">
        <v>29000</v>
      </c>
      <c r="AB179" t="s">
        <v>1195</v>
      </c>
      <c r="AC179" s="3124"/>
    </row>
    <row r="180" spans="1:29">
      <c r="A180" s="3124">
        <v>179</v>
      </c>
      <c r="B180" s="3124" t="s">
        <v>1625</v>
      </c>
      <c r="C180" s="3124" t="s">
        <v>1120</v>
      </c>
      <c r="D180" s="3124" t="s">
        <v>1126</v>
      </c>
      <c r="E180" t="s">
        <v>1122</v>
      </c>
      <c r="F180" s="3234" t="s">
        <v>2188</v>
      </c>
      <c r="G180" s="3124" t="s">
        <v>1881</v>
      </c>
      <c r="H180" s="3124">
        <v>20</v>
      </c>
      <c r="I180" s="3124">
        <v>20</v>
      </c>
      <c r="J180" s="3124"/>
      <c r="K180" s="3124">
        <v>3000</v>
      </c>
      <c r="L180" s="3124">
        <v>3350</v>
      </c>
      <c r="M180" s="3124" t="s">
        <v>1094</v>
      </c>
      <c r="N180" s="3192">
        <v>44044</v>
      </c>
      <c r="O180" s="3192">
        <v>44621</v>
      </c>
      <c r="P180" s="3192">
        <v>44044</v>
      </c>
      <c r="Q180" s="3192">
        <v>44621</v>
      </c>
      <c r="R180" s="3124" t="s">
        <v>432</v>
      </c>
      <c r="S180" s="3124" t="s">
        <v>1690</v>
      </c>
      <c r="T180" s="3124" t="s">
        <v>1850</v>
      </c>
      <c r="U180" t="s">
        <v>1195</v>
      </c>
      <c r="V180" s="3124">
        <v>6700</v>
      </c>
      <c r="W180" s="3193">
        <v>0.5</v>
      </c>
      <c r="X180" s="3124">
        <v>3350</v>
      </c>
      <c r="Y180" s="3124">
        <v>1</v>
      </c>
      <c r="Z180" s="3124">
        <v>0</v>
      </c>
      <c r="AA180" s="3124">
        <v>29000</v>
      </c>
      <c r="AB180" t="s">
        <v>1195</v>
      </c>
      <c r="AC180" s="3124"/>
    </row>
    <row r="181" spans="1:29">
      <c r="A181" s="3124">
        <v>180</v>
      </c>
      <c r="B181" s="3124" t="s">
        <v>1621</v>
      </c>
      <c r="C181" s="3124" t="s">
        <v>848</v>
      </c>
      <c r="D181" s="3124" t="s">
        <v>849</v>
      </c>
      <c r="E181" t="s">
        <v>850</v>
      </c>
      <c r="F181" s="3234">
        <v>9381028586</v>
      </c>
      <c r="G181" s="3124" t="s">
        <v>2189</v>
      </c>
      <c r="H181" s="3124">
        <v>20</v>
      </c>
      <c r="I181" s="3124">
        <v>20</v>
      </c>
      <c r="J181" s="3124"/>
      <c r="K181" s="3124">
        <v>2000</v>
      </c>
      <c r="L181" s="3124">
        <v>2180.0000000000005</v>
      </c>
      <c r="M181" s="3124" t="s">
        <v>813</v>
      </c>
      <c r="N181" s="3192">
        <v>43831</v>
      </c>
      <c r="O181" s="3192">
        <v>44409</v>
      </c>
      <c r="P181" s="3192">
        <v>43831</v>
      </c>
      <c r="Q181" s="3192">
        <v>44409</v>
      </c>
      <c r="R181" s="3124" t="s">
        <v>432</v>
      </c>
      <c r="S181" s="3124" t="s">
        <v>1640</v>
      </c>
      <c r="T181" s="3124" t="s">
        <v>1838</v>
      </c>
      <c r="U181" t="s">
        <v>1195</v>
      </c>
      <c r="V181" s="3124">
        <v>6700</v>
      </c>
      <c r="W181" s="3193">
        <v>0.67462686567164176</v>
      </c>
      <c r="X181" s="3124">
        <v>4520</v>
      </c>
      <c r="Y181" s="3124">
        <v>1</v>
      </c>
      <c r="Z181" s="3124">
        <v>0</v>
      </c>
      <c r="AA181" s="3124">
        <v>29000</v>
      </c>
      <c r="AB181" t="s">
        <v>1195</v>
      </c>
      <c r="AC181" s="3124"/>
    </row>
    <row r="182" spans="1:29">
      <c r="A182" s="3124">
        <v>181</v>
      </c>
      <c r="B182" s="3124" t="s">
        <v>1625</v>
      </c>
      <c r="C182" s="3124" t="s">
        <v>935</v>
      </c>
      <c r="D182" s="3124" t="s">
        <v>1938</v>
      </c>
      <c r="E182" t="s">
        <v>1128</v>
      </c>
      <c r="F182" s="3234" t="s">
        <v>4561</v>
      </c>
      <c r="G182" s="3124" t="s">
        <v>2190</v>
      </c>
      <c r="H182" s="3124">
        <v>20</v>
      </c>
      <c r="I182" s="3124">
        <v>20</v>
      </c>
      <c r="J182" s="3124"/>
      <c r="K182" s="3124">
        <v>3000</v>
      </c>
      <c r="L182" s="3124">
        <v>3350</v>
      </c>
      <c r="M182" s="3124" t="s">
        <v>1094</v>
      </c>
      <c r="N182" s="3192">
        <v>43952</v>
      </c>
      <c r="O182" s="3192">
        <v>44531</v>
      </c>
      <c r="P182" s="3192">
        <v>43952</v>
      </c>
      <c r="Q182" s="3192">
        <v>44531</v>
      </c>
      <c r="R182" s="3124" t="s">
        <v>432</v>
      </c>
      <c r="S182" s="3124" t="s">
        <v>1690</v>
      </c>
      <c r="T182" s="3124" t="s">
        <v>1850</v>
      </c>
      <c r="U182" t="s">
        <v>1195</v>
      </c>
      <c r="V182" s="3124">
        <v>6700</v>
      </c>
      <c r="W182" s="3193">
        <v>0.5</v>
      </c>
      <c r="X182" s="3124">
        <v>3350</v>
      </c>
      <c r="Y182" s="3124">
        <v>1</v>
      </c>
      <c r="Z182" s="3124">
        <v>0</v>
      </c>
      <c r="AA182" s="3124">
        <v>29000</v>
      </c>
      <c r="AB182" t="s">
        <v>1195</v>
      </c>
      <c r="AC182" s="3124"/>
    </row>
    <row r="183" spans="1:29">
      <c r="A183" s="3124">
        <v>182</v>
      </c>
      <c r="B183" s="3124" t="s">
        <v>1621</v>
      </c>
      <c r="C183" s="3124" t="s">
        <v>2191</v>
      </c>
      <c r="D183" s="3124" t="s">
        <v>2192</v>
      </c>
      <c r="E183" t="s">
        <v>2193</v>
      </c>
      <c r="F183" s="3234" t="s">
        <v>2194</v>
      </c>
      <c r="G183" s="3124" t="s">
        <v>2195</v>
      </c>
      <c r="H183" s="3124">
        <v>20</v>
      </c>
      <c r="I183" s="3124">
        <v>20</v>
      </c>
      <c r="J183" s="3124"/>
      <c r="K183" s="3124">
        <v>2000</v>
      </c>
      <c r="L183" s="3124">
        <v>2180.0000000000005</v>
      </c>
      <c r="M183" s="3124" t="s">
        <v>2102</v>
      </c>
      <c r="N183" s="3192">
        <v>43709</v>
      </c>
      <c r="O183" s="3192">
        <v>44287</v>
      </c>
      <c r="P183" s="3192">
        <v>43680</v>
      </c>
      <c r="Q183" s="3192">
        <v>44258</v>
      </c>
      <c r="R183" s="3124" t="s">
        <v>432</v>
      </c>
      <c r="S183" s="3124" t="s">
        <v>1640</v>
      </c>
      <c r="T183" s="3124" t="s">
        <v>1850</v>
      </c>
      <c r="U183" t="s">
        <v>1195</v>
      </c>
      <c r="V183" s="3124">
        <v>5000</v>
      </c>
      <c r="W183" s="3193">
        <v>0.56399999999999995</v>
      </c>
      <c r="X183" s="3124">
        <v>2819.9999999999995</v>
      </c>
      <c r="Y183" s="3124">
        <v>2</v>
      </c>
      <c r="Z183" s="3124">
        <v>0</v>
      </c>
      <c r="AA183" s="3124">
        <v>25000</v>
      </c>
      <c r="AB183" t="s">
        <v>1195</v>
      </c>
      <c r="AC183" s="3124"/>
    </row>
    <row r="184" spans="1:29">
      <c r="A184" s="3124">
        <v>183</v>
      </c>
      <c r="B184" s="3124" t="s">
        <v>1621</v>
      </c>
      <c r="C184" s="3124" t="s">
        <v>2196</v>
      </c>
      <c r="D184" s="3124" t="s">
        <v>2197</v>
      </c>
      <c r="E184" t="s">
        <v>2198</v>
      </c>
      <c r="F184" s="3234" t="s">
        <v>2199</v>
      </c>
      <c r="G184" s="3124" t="s">
        <v>2200</v>
      </c>
      <c r="H184" s="3124">
        <v>20</v>
      </c>
      <c r="I184" s="3124">
        <v>20</v>
      </c>
      <c r="J184" s="3124"/>
      <c r="K184" s="3124">
        <v>2000</v>
      </c>
      <c r="L184" s="3124">
        <v>2180.0000000000005</v>
      </c>
      <c r="M184" s="3124" t="s">
        <v>2102</v>
      </c>
      <c r="N184" s="3192">
        <v>43709</v>
      </c>
      <c r="O184" s="3192">
        <v>44287</v>
      </c>
      <c r="P184" s="3192">
        <v>43709</v>
      </c>
      <c r="Q184" s="3192">
        <v>44287</v>
      </c>
      <c r="R184" s="3124" t="s">
        <v>432</v>
      </c>
      <c r="S184" s="3124" t="s">
        <v>1640</v>
      </c>
      <c r="T184" s="3124" t="s">
        <v>1850</v>
      </c>
      <c r="U184" t="s">
        <v>1195</v>
      </c>
      <c r="V184" s="3124">
        <v>5000</v>
      </c>
      <c r="W184" s="3193">
        <v>0.56399999999999995</v>
      </c>
      <c r="X184" s="3124">
        <v>2819.9999999999995</v>
      </c>
      <c r="Y184" s="3124">
        <v>2</v>
      </c>
      <c r="Z184" s="3124">
        <v>0</v>
      </c>
      <c r="AA184" s="3124">
        <v>25000</v>
      </c>
      <c r="AB184" t="s">
        <v>1195</v>
      </c>
      <c r="AC184" s="3124"/>
    </row>
    <row r="185" spans="1:29">
      <c r="A185" s="3124">
        <v>184</v>
      </c>
      <c r="B185" s="3124" t="s">
        <v>1621</v>
      </c>
      <c r="C185" s="3124" t="s">
        <v>845</v>
      </c>
      <c r="D185" s="3124" t="s">
        <v>846</v>
      </c>
      <c r="E185" t="s">
        <v>847</v>
      </c>
      <c r="F185" s="3234">
        <v>9381788046</v>
      </c>
      <c r="G185" s="3124" t="s">
        <v>2201</v>
      </c>
      <c r="H185" s="3124">
        <v>20</v>
      </c>
      <c r="I185" s="3124">
        <v>20</v>
      </c>
      <c r="J185" s="3124"/>
      <c r="K185" s="3124">
        <v>2000</v>
      </c>
      <c r="L185" s="3124">
        <v>2180.0000000000005</v>
      </c>
      <c r="M185" s="3124" t="s">
        <v>813</v>
      </c>
      <c r="N185" s="3192">
        <v>43831</v>
      </c>
      <c r="O185" s="3192">
        <v>44409</v>
      </c>
      <c r="P185" s="3192">
        <v>43831</v>
      </c>
      <c r="Q185" s="3192">
        <v>44409</v>
      </c>
      <c r="R185" s="3124" t="s">
        <v>432</v>
      </c>
      <c r="S185" s="3124" t="s">
        <v>1640</v>
      </c>
      <c r="T185" s="3124" t="s">
        <v>1838</v>
      </c>
      <c r="U185" t="s">
        <v>1195</v>
      </c>
      <c r="V185" s="3124">
        <v>5000</v>
      </c>
      <c r="W185" s="3193">
        <v>0.56399999999999995</v>
      </c>
      <c r="X185" s="3124">
        <v>2819.9999999999995</v>
      </c>
      <c r="Y185" s="3124">
        <v>2</v>
      </c>
      <c r="Z185" s="3124">
        <v>0</v>
      </c>
      <c r="AA185" s="3124">
        <v>25000</v>
      </c>
      <c r="AB185" t="s">
        <v>1195</v>
      </c>
      <c r="AC185" s="3124"/>
    </row>
    <row r="186" spans="1:29">
      <c r="A186" s="3124">
        <v>185</v>
      </c>
      <c r="B186" s="3124" t="s">
        <v>1621</v>
      </c>
      <c r="C186" s="3124" t="s">
        <v>1225</v>
      </c>
      <c r="D186" s="3124" t="s">
        <v>2202</v>
      </c>
      <c r="E186" t="s">
        <v>1227</v>
      </c>
      <c r="F186" s="3234" t="s">
        <v>2203</v>
      </c>
      <c r="G186" s="3124" t="s">
        <v>2204</v>
      </c>
      <c r="H186" s="3124">
        <v>22</v>
      </c>
      <c r="I186" s="3124">
        <v>20</v>
      </c>
      <c r="J186" s="3124"/>
      <c r="K186" s="3124">
        <v>2000</v>
      </c>
      <c r="L186" s="3124">
        <v>2000</v>
      </c>
      <c r="M186" s="3124" t="s">
        <v>2102</v>
      </c>
      <c r="N186" s="3192">
        <v>43709</v>
      </c>
      <c r="O186" s="3192">
        <v>44287</v>
      </c>
      <c r="P186" s="3192">
        <v>43709</v>
      </c>
      <c r="Q186" s="3192">
        <v>44348</v>
      </c>
      <c r="R186" s="3124" t="s">
        <v>432</v>
      </c>
      <c r="S186" s="3124" t="s">
        <v>1640</v>
      </c>
      <c r="T186" s="3124" t="s">
        <v>1850</v>
      </c>
      <c r="U186" t="s">
        <v>1195</v>
      </c>
      <c r="V186" s="3124">
        <v>5000</v>
      </c>
      <c r="W186" s="3193">
        <v>0.6</v>
      </c>
      <c r="X186" s="3124">
        <v>3000</v>
      </c>
      <c r="Y186" s="3124">
        <v>2</v>
      </c>
      <c r="Z186" s="3124">
        <v>0</v>
      </c>
      <c r="AA186" s="3124">
        <v>25000</v>
      </c>
      <c r="AB186" t="s">
        <v>1195</v>
      </c>
      <c r="AC186" s="3124"/>
    </row>
    <row r="187" spans="1:29">
      <c r="A187" s="3124">
        <v>186</v>
      </c>
      <c r="B187" s="3124" t="s">
        <v>1621</v>
      </c>
      <c r="C187" s="3124" t="s">
        <v>2205</v>
      </c>
      <c r="D187" s="3124" t="s">
        <v>2206</v>
      </c>
      <c r="E187" t="s">
        <v>2207</v>
      </c>
      <c r="F187" s="3234" t="s">
        <v>2208</v>
      </c>
      <c r="G187" s="3124" t="s">
        <v>2209</v>
      </c>
      <c r="H187" s="3124">
        <v>20</v>
      </c>
      <c r="I187" s="3124">
        <v>20</v>
      </c>
      <c r="J187" s="3124"/>
      <c r="K187" s="3124">
        <v>2000</v>
      </c>
      <c r="L187" s="3124">
        <v>2000</v>
      </c>
      <c r="M187" s="3124" t="s">
        <v>2102</v>
      </c>
      <c r="N187" s="3192">
        <v>43709</v>
      </c>
      <c r="O187" s="3192">
        <v>44287</v>
      </c>
      <c r="P187" s="3192">
        <v>43709</v>
      </c>
      <c r="Q187" s="3192">
        <v>44287</v>
      </c>
      <c r="R187" s="3124" t="s">
        <v>433</v>
      </c>
      <c r="S187" s="3124" t="s">
        <v>1640</v>
      </c>
      <c r="T187" s="3124" t="s">
        <v>1850</v>
      </c>
      <c r="U187" t="s">
        <v>1195</v>
      </c>
      <c r="V187" s="3124">
        <v>5000</v>
      </c>
      <c r="W187" s="3193">
        <v>0.6</v>
      </c>
      <c r="X187" s="3124">
        <v>3000</v>
      </c>
      <c r="Y187" s="3124">
        <v>2</v>
      </c>
      <c r="Z187" s="3124">
        <v>0</v>
      </c>
      <c r="AA187" s="3124">
        <v>25000</v>
      </c>
      <c r="AB187" t="s">
        <v>1195</v>
      </c>
      <c r="AC187" s="3124"/>
    </row>
    <row r="188" spans="1:29">
      <c r="A188" s="3124">
        <v>187</v>
      </c>
      <c r="B188" s="3124" t="s">
        <v>1621</v>
      </c>
      <c r="C188" s="3124" t="s">
        <v>486</v>
      </c>
      <c r="D188" s="3124" t="s">
        <v>2210</v>
      </c>
      <c r="E188" t="s">
        <v>4562</v>
      </c>
      <c r="F188" s="3234">
        <v>2223780929</v>
      </c>
      <c r="G188" s="3124" t="s">
        <v>2211</v>
      </c>
      <c r="H188" s="3124">
        <v>20</v>
      </c>
      <c r="I188" s="3124">
        <v>20</v>
      </c>
      <c r="J188" s="3124"/>
      <c r="K188" s="3124">
        <v>2000</v>
      </c>
      <c r="L188" s="3124">
        <v>2180</v>
      </c>
      <c r="M188" s="3124" t="s">
        <v>2631</v>
      </c>
      <c r="N188" s="3192">
        <v>44575</v>
      </c>
      <c r="O188" s="3192">
        <v>45152</v>
      </c>
      <c r="P188" s="3192">
        <v>44575</v>
      </c>
      <c r="Q188" s="3192">
        <v>45152</v>
      </c>
      <c r="R188" s="3124" t="s">
        <v>432</v>
      </c>
      <c r="S188" s="3124" t="s">
        <v>1640</v>
      </c>
      <c r="T188" s="3124" t="s">
        <v>1850</v>
      </c>
      <c r="U188" t="s">
        <v>1195</v>
      </c>
      <c r="V188" s="3124">
        <v>5000</v>
      </c>
      <c r="W188" s="3193">
        <v>0.56399999999999995</v>
      </c>
      <c r="X188" s="3124">
        <v>2820</v>
      </c>
      <c r="Y188" s="3124">
        <v>2</v>
      </c>
      <c r="Z188" s="3124">
        <v>0</v>
      </c>
      <c r="AA188" s="3124">
        <v>25000</v>
      </c>
      <c r="AB188" t="s">
        <v>1195</v>
      </c>
      <c r="AC188" s="3124"/>
    </row>
    <row r="189" spans="1:29">
      <c r="A189" s="3124">
        <v>188</v>
      </c>
      <c r="B189" s="3124" t="s">
        <v>1621</v>
      </c>
      <c r="C189" s="3124" t="s">
        <v>2212</v>
      </c>
      <c r="D189" s="3124" t="s">
        <v>2213</v>
      </c>
      <c r="E189" t="s">
        <v>2214</v>
      </c>
      <c r="F189" s="3234" t="s">
        <v>2215</v>
      </c>
      <c r="G189" s="3124" t="s">
        <v>2216</v>
      </c>
      <c r="H189" s="3124">
        <v>20</v>
      </c>
      <c r="I189" s="3124">
        <v>20</v>
      </c>
      <c r="J189" s="3124"/>
      <c r="K189" s="3124">
        <v>2000</v>
      </c>
      <c r="L189" s="3124">
        <v>2000</v>
      </c>
      <c r="M189" s="3124" t="s">
        <v>2102</v>
      </c>
      <c r="N189" s="3192">
        <v>43709</v>
      </c>
      <c r="O189" s="3192">
        <v>44287</v>
      </c>
      <c r="P189" s="3192">
        <v>43709</v>
      </c>
      <c r="Q189" s="3192">
        <v>44287</v>
      </c>
      <c r="R189" s="3124" t="s">
        <v>432</v>
      </c>
      <c r="S189" s="3124" t="s">
        <v>1640</v>
      </c>
      <c r="T189" s="3124" t="s">
        <v>1850</v>
      </c>
      <c r="U189" t="s">
        <v>1195</v>
      </c>
      <c r="V189" s="3124">
        <v>5000</v>
      </c>
      <c r="W189" s="3193">
        <v>0.6</v>
      </c>
      <c r="X189" s="3124">
        <v>3000</v>
      </c>
      <c r="Y189" s="3124">
        <v>2</v>
      </c>
      <c r="Z189" s="3124">
        <v>0</v>
      </c>
      <c r="AA189" s="3124">
        <v>25000</v>
      </c>
      <c r="AB189" t="s">
        <v>1195</v>
      </c>
      <c r="AC189" s="3124"/>
    </row>
    <row r="190" spans="1:29">
      <c r="A190" s="3124">
        <v>189</v>
      </c>
      <c r="B190" s="3124" t="s">
        <v>1621</v>
      </c>
      <c r="C190" s="3124" t="s">
        <v>2217</v>
      </c>
      <c r="D190" s="3124" t="s">
        <v>2218</v>
      </c>
      <c r="E190" t="s">
        <v>2219</v>
      </c>
      <c r="F190" s="3234" t="s">
        <v>2220</v>
      </c>
      <c r="G190" s="3124" t="s">
        <v>2221</v>
      </c>
      <c r="H190" s="3124">
        <v>20</v>
      </c>
      <c r="I190" s="3124">
        <v>20</v>
      </c>
      <c r="J190" s="3124"/>
      <c r="K190" s="3124">
        <v>2000</v>
      </c>
      <c r="L190" s="3124">
        <v>2000</v>
      </c>
      <c r="M190" s="3124" t="s">
        <v>2102</v>
      </c>
      <c r="N190" s="3192">
        <v>43709</v>
      </c>
      <c r="O190" s="3192">
        <v>44287</v>
      </c>
      <c r="P190" s="3192">
        <v>43709</v>
      </c>
      <c r="Q190" s="3192">
        <v>44287</v>
      </c>
      <c r="R190" s="3124" t="s">
        <v>432</v>
      </c>
      <c r="S190" s="3124" t="s">
        <v>1640</v>
      </c>
      <c r="T190" s="3124" t="s">
        <v>1850</v>
      </c>
      <c r="U190" t="s">
        <v>1195</v>
      </c>
      <c r="V190" s="3124">
        <v>5000</v>
      </c>
      <c r="W190" s="3193">
        <v>0.6</v>
      </c>
      <c r="X190" s="3124">
        <v>3000</v>
      </c>
      <c r="Y190" s="3124">
        <v>2</v>
      </c>
      <c r="Z190" s="3124">
        <v>0</v>
      </c>
      <c r="AA190" s="3124">
        <v>25000</v>
      </c>
      <c r="AB190" t="s">
        <v>1195</v>
      </c>
      <c r="AC190" s="3124"/>
    </row>
    <row r="191" spans="1:29">
      <c r="A191" s="3124">
        <v>190</v>
      </c>
      <c r="B191" s="3124" t="s">
        <v>1625</v>
      </c>
      <c r="C191" s="3124" t="s">
        <v>1169</v>
      </c>
      <c r="D191" s="3124" t="s">
        <v>1170</v>
      </c>
      <c r="E191" t="s">
        <v>1171</v>
      </c>
      <c r="F191" s="3234" t="s">
        <v>4563</v>
      </c>
      <c r="G191" s="3124" t="s">
        <v>2222</v>
      </c>
      <c r="H191" s="3124">
        <v>24</v>
      </c>
      <c r="I191" s="3124">
        <v>20</v>
      </c>
      <c r="J191" s="3124"/>
      <c r="K191" s="3124">
        <v>3000</v>
      </c>
      <c r="L191" s="3124">
        <v>2350</v>
      </c>
      <c r="M191" s="3124" t="s">
        <v>1207</v>
      </c>
      <c r="N191" s="3192">
        <v>44228</v>
      </c>
      <c r="O191" s="3192">
        <v>44805</v>
      </c>
      <c r="P191" s="3192">
        <v>44228</v>
      </c>
      <c r="Q191" s="3192">
        <v>44927</v>
      </c>
      <c r="R191" s="3124" t="s">
        <v>432</v>
      </c>
      <c r="S191" s="3124" t="s">
        <v>1690</v>
      </c>
      <c r="T191" s="3124" t="s">
        <v>1850</v>
      </c>
      <c r="U191" t="s">
        <v>1195</v>
      </c>
      <c r="V191" s="3124">
        <v>6700</v>
      </c>
      <c r="W191" s="3193">
        <v>0.64925373134328357</v>
      </c>
      <c r="X191" s="3124">
        <v>4350</v>
      </c>
      <c r="Y191" s="3124">
        <v>1</v>
      </c>
      <c r="Z191" s="3124">
        <v>0</v>
      </c>
      <c r="AA191" s="3124">
        <v>29000</v>
      </c>
      <c r="AB191" t="s">
        <v>1195</v>
      </c>
      <c r="AC191" s="3124"/>
    </row>
    <row r="192" spans="1:29">
      <c r="A192" s="3124">
        <v>191</v>
      </c>
      <c r="B192" s="3124" t="s">
        <v>1625</v>
      </c>
      <c r="C192" s="3124" t="s">
        <v>1225</v>
      </c>
      <c r="D192" s="3124" t="s">
        <v>1224</v>
      </c>
      <c r="E192" t="s">
        <v>1227</v>
      </c>
      <c r="F192" s="3234" t="s">
        <v>2223</v>
      </c>
      <c r="G192" s="3124" t="s">
        <v>2204</v>
      </c>
      <c r="H192" s="3124">
        <v>24</v>
      </c>
      <c r="I192" s="3124">
        <v>20</v>
      </c>
      <c r="J192" s="3124"/>
      <c r="K192" s="3124">
        <v>2500</v>
      </c>
      <c r="L192" s="3124">
        <v>2334</v>
      </c>
      <c r="M192" s="3124" t="s">
        <v>1207</v>
      </c>
      <c r="N192" s="3192">
        <v>44228</v>
      </c>
      <c r="O192" s="3192">
        <v>44805</v>
      </c>
      <c r="P192" s="3192">
        <v>44228</v>
      </c>
      <c r="Q192" s="3192">
        <v>44927</v>
      </c>
      <c r="R192" s="3124" t="s">
        <v>432</v>
      </c>
      <c r="S192" s="3124" t="s">
        <v>1690</v>
      </c>
      <c r="T192" s="3124" t="s">
        <v>1850</v>
      </c>
      <c r="U192" t="s">
        <v>1761</v>
      </c>
      <c r="V192" s="3124">
        <v>6700</v>
      </c>
      <c r="W192" s="3193">
        <v>0.65164179104477615</v>
      </c>
      <c r="X192" s="3124">
        <v>4366</v>
      </c>
      <c r="Y192" s="3124">
        <v>1</v>
      </c>
      <c r="Z192" s="3124">
        <v>0</v>
      </c>
      <c r="AA192" s="3124">
        <v>29000</v>
      </c>
      <c r="AB192" t="s">
        <v>1195</v>
      </c>
      <c r="AC192" s="3124"/>
    </row>
    <row r="193" spans="1:29">
      <c r="A193" s="3124">
        <v>192</v>
      </c>
      <c r="B193" s="3124" t="s">
        <v>1621</v>
      </c>
      <c r="C193" s="3124" t="s">
        <v>2224</v>
      </c>
      <c r="D193" s="3124" t="s">
        <v>840</v>
      </c>
      <c r="E193" t="s">
        <v>841</v>
      </c>
      <c r="F193" s="3234" t="s">
        <v>2225</v>
      </c>
      <c r="G193" s="3124" t="s">
        <v>2226</v>
      </c>
      <c r="H193" s="3124">
        <v>20</v>
      </c>
      <c r="I193" s="3124">
        <v>20</v>
      </c>
      <c r="J193" s="3124"/>
      <c r="K193" s="3124">
        <v>2000</v>
      </c>
      <c r="L193" s="3124">
        <v>2180.0000000000005</v>
      </c>
      <c r="M193" s="3124" t="s">
        <v>813</v>
      </c>
      <c r="N193" s="3192">
        <v>43831</v>
      </c>
      <c r="O193" s="3192">
        <v>44409</v>
      </c>
      <c r="P193" s="3192">
        <v>43831</v>
      </c>
      <c r="Q193" s="3192">
        <v>44409</v>
      </c>
      <c r="R193" s="3124" t="s">
        <v>432</v>
      </c>
      <c r="S193" s="3124" t="s">
        <v>1640</v>
      </c>
      <c r="T193" s="3124" t="s">
        <v>1838</v>
      </c>
      <c r="U193" t="s">
        <v>1195</v>
      </c>
      <c r="V193" s="3124">
        <v>6700</v>
      </c>
      <c r="W193" s="3193">
        <v>0.67462686567164176</v>
      </c>
      <c r="X193" s="3124">
        <v>4520</v>
      </c>
      <c r="Y193" s="3124">
        <v>1</v>
      </c>
      <c r="Z193" s="3124">
        <v>0</v>
      </c>
      <c r="AA193" s="3124">
        <v>29000</v>
      </c>
      <c r="AB193" t="s">
        <v>1195</v>
      </c>
      <c r="AC193" s="3124"/>
    </row>
    <row r="194" spans="1:29">
      <c r="A194" s="3124">
        <v>193</v>
      </c>
      <c r="B194" s="3124" t="s">
        <v>1625</v>
      </c>
      <c r="C194" s="3124" t="s">
        <v>1179</v>
      </c>
      <c r="D194" s="3124" t="s">
        <v>1180</v>
      </c>
      <c r="E194" t="s">
        <v>1181</v>
      </c>
      <c r="F194" s="3234" t="s">
        <v>4564</v>
      </c>
      <c r="G194" s="3124" t="s">
        <v>4565</v>
      </c>
      <c r="H194" s="3124">
        <v>20</v>
      </c>
      <c r="I194" s="3124">
        <v>20</v>
      </c>
      <c r="J194" s="3124"/>
      <c r="K194" s="3124">
        <v>3000</v>
      </c>
      <c r="L194" s="3124">
        <v>3350</v>
      </c>
      <c r="M194" s="3124" t="s">
        <v>1207</v>
      </c>
      <c r="N194" s="3192">
        <v>44287</v>
      </c>
      <c r="O194" s="3192">
        <v>44866</v>
      </c>
      <c r="P194" s="3192">
        <v>44287</v>
      </c>
      <c r="Q194" s="3192">
        <v>44866</v>
      </c>
      <c r="R194" s="3124" t="s">
        <v>432</v>
      </c>
      <c r="S194" s="3124" t="s">
        <v>1690</v>
      </c>
      <c r="T194" s="3124" t="s">
        <v>1850</v>
      </c>
      <c r="U194" t="s">
        <v>1195</v>
      </c>
      <c r="V194" s="3124">
        <v>6700</v>
      </c>
      <c r="W194" s="3193">
        <v>0.5</v>
      </c>
      <c r="X194" s="3124">
        <v>3350</v>
      </c>
      <c r="Y194" s="3124">
        <v>1</v>
      </c>
      <c r="Z194" s="3124">
        <v>0</v>
      </c>
      <c r="AA194" s="3124">
        <v>29000</v>
      </c>
      <c r="AB194" t="s">
        <v>1195</v>
      </c>
      <c r="AC194" s="3124"/>
    </row>
    <row r="195" spans="1:29">
      <c r="A195" s="3124">
        <v>194</v>
      </c>
      <c r="B195" s="3124" t="s">
        <v>1625</v>
      </c>
      <c r="C195" s="3124" t="s">
        <v>1185</v>
      </c>
      <c r="D195" s="3124" t="s">
        <v>1183</v>
      </c>
      <c r="E195" t="s">
        <v>1187</v>
      </c>
      <c r="F195" s="3234" t="s">
        <v>1996</v>
      </c>
      <c r="G195" s="3124" t="s">
        <v>4566</v>
      </c>
      <c r="H195" s="3124">
        <v>20</v>
      </c>
      <c r="I195" s="3124">
        <v>20</v>
      </c>
      <c r="J195" s="3124"/>
      <c r="K195" s="3124">
        <v>3000</v>
      </c>
      <c r="L195" s="3124">
        <v>2800</v>
      </c>
      <c r="M195" s="3124" t="s">
        <v>1207</v>
      </c>
      <c r="N195" s="3192">
        <v>44287</v>
      </c>
      <c r="O195" s="3192">
        <v>44866</v>
      </c>
      <c r="P195" s="3192">
        <v>44287</v>
      </c>
      <c r="Q195" s="3192">
        <v>44866</v>
      </c>
      <c r="R195" s="3124" t="s">
        <v>432</v>
      </c>
      <c r="S195" s="3124" t="s">
        <v>1690</v>
      </c>
      <c r="T195" s="3124" t="s">
        <v>1850</v>
      </c>
      <c r="U195" t="s">
        <v>1195</v>
      </c>
      <c r="V195" s="3124">
        <v>6700</v>
      </c>
      <c r="W195" s="3193">
        <v>0.58208955223880599</v>
      </c>
      <c r="X195" s="3124">
        <v>3900</v>
      </c>
      <c r="Y195" s="3124">
        <v>1</v>
      </c>
      <c r="Z195" s="3124">
        <v>0</v>
      </c>
      <c r="AA195" s="3124">
        <v>29000</v>
      </c>
      <c r="AB195" t="s">
        <v>1195</v>
      </c>
      <c r="AC195" s="3124"/>
    </row>
    <row r="196" spans="1:29">
      <c r="A196" s="3124">
        <v>195</v>
      </c>
      <c r="B196" s="3124" t="s">
        <v>1625</v>
      </c>
      <c r="C196" s="3124" t="s">
        <v>1189</v>
      </c>
      <c r="D196" s="3124" t="s">
        <v>1186</v>
      </c>
      <c r="E196" t="s">
        <v>1191</v>
      </c>
      <c r="F196" s="3234" t="s">
        <v>4567</v>
      </c>
      <c r="G196" s="3124" t="s">
        <v>2227</v>
      </c>
      <c r="H196" s="3124">
        <v>20</v>
      </c>
      <c r="I196" s="3124">
        <v>20</v>
      </c>
      <c r="J196" s="3124"/>
      <c r="K196" s="3124">
        <v>3000</v>
      </c>
      <c r="L196" s="3124">
        <v>2800</v>
      </c>
      <c r="M196" s="3124" t="s">
        <v>1207</v>
      </c>
      <c r="N196" s="3192">
        <v>44256</v>
      </c>
      <c r="O196" s="3192">
        <v>44835</v>
      </c>
      <c r="P196" s="3192">
        <v>44364</v>
      </c>
      <c r="Q196" s="3192">
        <v>44943</v>
      </c>
      <c r="R196" s="3124" t="s">
        <v>433</v>
      </c>
      <c r="S196" s="3124" t="s">
        <v>1690</v>
      </c>
      <c r="T196" s="3124" t="s">
        <v>1850</v>
      </c>
      <c r="U196" t="s">
        <v>1195</v>
      </c>
      <c r="V196" s="3124">
        <v>6700</v>
      </c>
      <c r="W196" s="3193">
        <v>0.58208955223880599</v>
      </c>
      <c r="X196" s="3124">
        <v>3900</v>
      </c>
      <c r="Y196" s="3124">
        <v>1</v>
      </c>
      <c r="Z196" s="3124">
        <v>0</v>
      </c>
      <c r="AA196" s="3124">
        <v>29000</v>
      </c>
      <c r="AB196" t="s">
        <v>1195</v>
      </c>
      <c r="AC196" s="3124"/>
    </row>
    <row r="197" spans="1:29">
      <c r="A197" s="3124">
        <v>196</v>
      </c>
      <c r="B197" s="3124" t="s">
        <v>1625</v>
      </c>
      <c r="C197" s="3124" t="s">
        <v>1192</v>
      </c>
      <c r="D197" s="3124" t="s">
        <v>1190</v>
      </c>
      <c r="E197" t="s">
        <v>1194</v>
      </c>
      <c r="F197" s="3234" t="s">
        <v>2228</v>
      </c>
      <c r="G197" s="3124" t="s">
        <v>2229</v>
      </c>
      <c r="H197" s="3124">
        <v>20</v>
      </c>
      <c r="I197" s="3124">
        <v>20</v>
      </c>
      <c r="J197" s="3124"/>
      <c r="K197" s="3124">
        <v>3000</v>
      </c>
      <c r="L197" s="3124">
        <v>3350</v>
      </c>
      <c r="M197" s="3124" t="s">
        <v>1207</v>
      </c>
      <c r="N197" s="3192">
        <v>44228</v>
      </c>
      <c r="O197" s="3192">
        <v>44805</v>
      </c>
      <c r="P197" s="3192">
        <v>44228</v>
      </c>
      <c r="Q197" s="3192">
        <v>44805</v>
      </c>
      <c r="R197" s="3124" t="s">
        <v>433</v>
      </c>
      <c r="S197" s="3124" t="s">
        <v>1690</v>
      </c>
      <c r="T197" s="3124" t="s">
        <v>1850</v>
      </c>
      <c r="U197" t="s">
        <v>1195</v>
      </c>
      <c r="V197" s="3124">
        <v>6700</v>
      </c>
      <c r="W197" s="3193">
        <v>0.5</v>
      </c>
      <c r="X197" s="3124">
        <v>3350</v>
      </c>
      <c r="Y197" s="3124">
        <v>1</v>
      </c>
      <c r="Z197" s="3124">
        <v>0</v>
      </c>
      <c r="AA197" s="3124">
        <v>29000</v>
      </c>
      <c r="AB197" t="s">
        <v>1195</v>
      </c>
      <c r="AC197" s="3124"/>
    </row>
    <row r="198" spans="1:29">
      <c r="A198" s="3124">
        <v>197</v>
      </c>
      <c r="B198" s="3124" t="s">
        <v>1123</v>
      </c>
      <c r="C198" s="3124" t="s">
        <v>2230</v>
      </c>
      <c r="D198" s="3124" t="s">
        <v>1008</v>
      </c>
      <c r="E198" t="s">
        <v>1009</v>
      </c>
      <c r="F198" s="3234" t="s">
        <v>2231</v>
      </c>
      <c r="G198" s="3124" t="s">
        <v>4568</v>
      </c>
      <c r="H198" s="3124">
        <v>4</v>
      </c>
      <c r="I198" s="3124">
        <v>4</v>
      </c>
      <c r="J198" s="3124"/>
      <c r="K198" s="3124">
        <v>0</v>
      </c>
      <c r="L198" s="3124">
        <v>3350</v>
      </c>
      <c r="M198" s="3124" t="s">
        <v>1207</v>
      </c>
      <c r="N198" s="3192">
        <v>44348</v>
      </c>
      <c r="O198" s="3192">
        <v>44440</v>
      </c>
      <c r="P198" s="3192">
        <v>44348</v>
      </c>
      <c r="Q198" s="3192">
        <v>44440</v>
      </c>
      <c r="R198" s="3124" t="s">
        <v>433</v>
      </c>
      <c r="S198" s="3124" t="s">
        <v>1939</v>
      </c>
      <c r="T198" s="3124" t="s">
        <v>1850</v>
      </c>
      <c r="U198" t="s">
        <v>1195</v>
      </c>
      <c r="V198" s="3124">
        <v>6700</v>
      </c>
      <c r="W198" s="3193">
        <v>0.5</v>
      </c>
      <c r="X198" s="3124">
        <v>3350</v>
      </c>
      <c r="Y198" s="3124">
        <v>1</v>
      </c>
      <c r="Z198" s="3124">
        <v>0</v>
      </c>
      <c r="AA198" s="3124">
        <v>29000</v>
      </c>
      <c r="AB198" t="s">
        <v>1195</v>
      </c>
      <c r="AC198" s="3124"/>
    </row>
    <row r="199" spans="1:29">
      <c r="A199" s="3124">
        <v>198</v>
      </c>
      <c r="B199" s="3124" t="s">
        <v>1625</v>
      </c>
      <c r="C199" s="3124" t="s">
        <v>1196</v>
      </c>
      <c r="D199" s="3124" t="s">
        <v>2632</v>
      </c>
      <c r="E199" t="s">
        <v>1197</v>
      </c>
      <c r="F199" s="3234" t="s">
        <v>2232</v>
      </c>
      <c r="G199" s="3124" t="s">
        <v>2233</v>
      </c>
      <c r="H199" s="3124">
        <v>20</v>
      </c>
      <c r="I199" s="3124">
        <v>20</v>
      </c>
      <c r="J199" s="3124"/>
      <c r="K199" s="3124">
        <v>3000</v>
      </c>
      <c r="L199" s="3124">
        <v>3350</v>
      </c>
      <c r="M199" s="3124" t="s">
        <v>1094</v>
      </c>
      <c r="N199" s="3192">
        <v>43952</v>
      </c>
      <c r="O199" s="3192">
        <v>44531</v>
      </c>
      <c r="P199" s="3192">
        <v>43952</v>
      </c>
      <c r="Q199" s="3192">
        <v>44531</v>
      </c>
      <c r="R199" s="3124" t="s">
        <v>433</v>
      </c>
      <c r="S199" s="3124" t="s">
        <v>1690</v>
      </c>
      <c r="T199" s="3124" t="s">
        <v>1850</v>
      </c>
      <c r="U199" t="s">
        <v>1761</v>
      </c>
      <c r="V199" s="3124">
        <v>6700</v>
      </c>
      <c r="W199" s="3193">
        <v>0.5</v>
      </c>
      <c r="X199" s="3124">
        <v>3350</v>
      </c>
      <c r="Y199" s="3124">
        <v>1</v>
      </c>
      <c r="Z199" s="3124">
        <v>0</v>
      </c>
      <c r="AA199" s="3124">
        <v>29000</v>
      </c>
      <c r="AB199" t="s">
        <v>1195</v>
      </c>
      <c r="AC199" s="3124"/>
    </row>
    <row r="200" spans="1:29">
      <c r="A200" s="3124">
        <v>199</v>
      </c>
      <c r="B200" s="3124" t="s">
        <v>1839</v>
      </c>
      <c r="C200" s="3124" t="s">
        <v>1478</v>
      </c>
      <c r="D200" s="3124" t="s">
        <v>1479</v>
      </c>
      <c r="E200" t="s">
        <v>1480</v>
      </c>
      <c r="F200" s="3234" t="s">
        <v>2234</v>
      </c>
      <c r="G200" s="3124" t="s">
        <v>2235</v>
      </c>
      <c r="H200" s="3124">
        <v>8</v>
      </c>
      <c r="I200" s="3124">
        <v>8</v>
      </c>
      <c r="J200" s="3124"/>
      <c r="K200" s="3124">
        <v>750</v>
      </c>
      <c r="L200" s="3124">
        <v>2180</v>
      </c>
      <c r="M200" s="3124" t="s">
        <v>1439</v>
      </c>
      <c r="N200" s="3192">
        <v>44075</v>
      </c>
      <c r="O200" s="3192">
        <v>44287</v>
      </c>
      <c r="P200" s="3192">
        <v>44075</v>
      </c>
      <c r="Q200" s="3192">
        <v>44287</v>
      </c>
      <c r="R200" s="3124" t="s">
        <v>433</v>
      </c>
      <c r="S200" s="3124" t="s">
        <v>1842</v>
      </c>
      <c r="T200" s="3124" t="s">
        <v>1850</v>
      </c>
      <c r="U200" t="s">
        <v>1195</v>
      </c>
      <c r="V200" s="3124">
        <v>6700</v>
      </c>
      <c r="W200" s="3193">
        <v>0.67462686567164176</v>
      </c>
      <c r="X200" s="3124">
        <v>4520</v>
      </c>
      <c r="Y200" s="3124">
        <v>1</v>
      </c>
      <c r="Z200" s="3124">
        <v>0</v>
      </c>
      <c r="AA200" s="3124">
        <v>29000</v>
      </c>
      <c r="AB200" t="s">
        <v>1195</v>
      </c>
      <c r="AC200" s="3124"/>
    </row>
    <row r="201" spans="1:29">
      <c r="A201" s="3124">
        <v>200</v>
      </c>
      <c r="B201" s="3124" t="s">
        <v>1630</v>
      </c>
      <c r="C201" s="3124" t="s">
        <v>220</v>
      </c>
      <c r="D201" s="3124" t="s">
        <v>2236</v>
      </c>
      <c r="E201" t="s">
        <v>4569</v>
      </c>
      <c r="F201" s="3234" t="s">
        <v>2237</v>
      </c>
      <c r="G201" s="3124" t="s">
        <v>2238</v>
      </c>
      <c r="H201" s="3124">
        <v>36</v>
      </c>
      <c r="I201" s="3124">
        <v>36</v>
      </c>
      <c r="J201" s="3124"/>
      <c r="K201" s="3124">
        <v>1000</v>
      </c>
      <c r="L201" s="3124">
        <v>1400</v>
      </c>
      <c r="M201" s="3124" t="s">
        <v>1707</v>
      </c>
      <c r="N201" s="3192">
        <v>44256</v>
      </c>
      <c r="O201" s="3192">
        <v>45323</v>
      </c>
      <c r="P201" s="3192">
        <v>44256</v>
      </c>
      <c r="Q201" s="3192">
        <v>45323</v>
      </c>
      <c r="R201" s="3124" t="s">
        <v>432</v>
      </c>
      <c r="S201" s="3124" t="s">
        <v>1658</v>
      </c>
      <c r="T201" s="3124" t="s">
        <v>1850</v>
      </c>
      <c r="U201" t="s">
        <v>1195</v>
      </c>
      <c r="V201" s="3124">
        <v>6700</v>
      </c>
      <c r="W201" s="3193">
        <v>0.79104477611940294</v>
      </c>
      <c r="X201" s="3124">
        <v>5300</v>
      </c>
      <c r="Y201" s="3124">
        <v>4</v>
      </c>
      <c r="Z201" s="3124">
        <v>0</v>
      </c>
      <c r="AA201" s="3124">
        <v>21000</v>
      </c>
      <c r="AB201" t="s">
        <v>1195</v>
      </c>
      <c r="AC201" s="3124"/>
    </row>
    <row r="202" spans="1:29">
      <c r="A202" s="3124">
        <v>201</v>
      </c>
      <c r="B202" s="3124" t="s">
        <v>1621</v>
      </c>
      <c r="C202" s="3124" t="s">
        <v>732</v>
      </c>
      <c r="D202" s="3124" t="s">
        <v>1717</v>
      </c>
      <c r="E202" t="s">
        <v>733</v>
      </c>
      <c r="F202" s="3234" t="s">
        <v>4570</v>
      </c>
      <c r="G202" s="3124" t="s">
        <v>2239</v>
      </c>
      <c r="H202" s="3124">
        <v>20</v>
      </c>
      <c r="I202" s="3124">
        <v>20</v>
      </c>
      <c r="J202" s="3124"/>
      <c r="K202" s="3124">
        <v>2000</v>
      </c>
      <c r="L202" s="3124">
        <v>2180.0000000000005</v>
      </c>
      <c r="M202" s="3124" t="s">
        <v>1694</v>
      </c>
      <c r="N202" s="3192">
        <v>44166</v>
      </c>
      <c r="O202" s="3192">
        <v>44743</v>
      </c>
      <c r="P202" s="3192">
        <v>44166</v>
      </c>
      <c r="Q202" s="3192">
        <v>44743</v>
      </c>
      <c r="R202" s="3124" t="s">
        <v>432</v>
      </c>
      <c r="S202" s="3124" t="s">
        <v>1640</v>
      </c>
      <c r="T202" s="3124" t="s">
        <v>1850</v>
      </c>
      <c r="U202" t="s">
        <v>1195</v>
      </c>
      <c r="V202" s="3124">
        <v>3150</v>
      </c>
      <c r="W202" s="3193">
        <v>0.30793650793650779</v>
      </c>
      <c r="X202" s="3124">
        <v>969.99999999999955</v>
      </c>
      <c r="Y202" s="3124">
        <v>2</v>
      </c>
      <c r="Z202" s="3124">
        <v>0</v>
      </c>
      <c r="AA202" s="3124">
        <v>18000</v>
      </c>
      <c r="AB202" t="s">
        <v>1195</v>
      </c>
      <c r="AC202" s="3124"/>
    </row>
    <row r="203" spans="1:29">
      <c r="A203" s="3124">
        <v>202</v>
      </c>
      <c r="B203" s="3124" t="s">
        <v>1839</v>
      </c>
      <c r="C203" s="3124" t="s">
        <v>1465</v>
      </c>
      <c r="D203" s="3124" t="s">
        <v>1466</v>
      </c>
      <c r="E203" t="s">
        <v>1467</v>
      </c>
      <c r="F203" s="3234" t="s">
        <v>2240</v>
      </c>
      <c r="G203" s="3124" t="s">
        <v>2241</v>
      </c>
      <c r="H203" s="3124">
        <v>8</v>
      </c>
      <c r="I203" s="3124">
        <v>8</v>
      </c>
      <c r="J203" s="3124"/>
      <c r="K203" s="3124">
        <v>750</v>
      </c>
      <c r="L203" s="3124">
        <v>2180</v>
      </c>
      <c r="M203" s="3124" t="s">
        <v>1515</v>
      </c>
      <c r="N203" s="3192">
        <v>44256</v>
      </c>
      <c r="O203" s="3192">
        <v>44470</v>
      </c>
      <c r="P203" s="3192">
        <v>44256</v>
      </c>
      <c r="Q203" s="3192">
        <v>44470</v>
      </c>
      <c r="R203" s="3124" t="s">
        <v>433</v>
      </c>
      <c r="S203" s="3124" t="s">
        <v>1842</v>
      </c>
      <c r="T203" s="3124" t="s">
        <v>1850</v>
      </c>
      <c r="U203" t="s">
        <v>1195</v>
      </c>
      <c r="V203" s="3124">
        <v>3150</v>
      </c>
      <c r="W203" s="3193">
        <v>0.30793650793650795</v>
      </c>
      <c r="X203" s="3124">
        <v>970</v>
      </c>
      <c r="Y203" s="3124">
        <v>0</v>
      </c>
      <c r="Z203" s="3124">
        <v>5000</v>
      </c>
      <c r="AA203" s="3124">
        <v>18000</v>
      </c>
      <c r="AB203" t="s">
        <v>1195</v>
      </c>
      <c r="AC203" s="3124"/>
    </row>
    <row r="204" spans="1:29">
      <c r="A204" s="3124">
        <v>203</v>
      </c>
      <c r="B204" s="3124" t="s">
        <v>1839</v>
      </c>
      <c r="C204" s="3124" t="s">
        <v>746</v>
      </c>
      <c r="D204" s="3124" t="s">
        <v>1526</v>
      </c>
      <c r="E204" t="s">
        <v>747</v>
      </c>
      <c r="F204" s="3234" t="s">
        <v>2242</v>
      </c>
      <c r="G204" s="3124" t="s">
        <v>2243</v>
      </c>
      <c r="H204" s="3124">
        <v>4</v>
      </c>
      <c r="I204" s="3124">
        <v>8</v>
      </c>
      <c r="J204" s="3124"/>
      <c r="K204" s="3124">
        <v>750</v>
      </c>
      <c r="L204" s="3124">
        <v>1800</v>
      </c>
      <c r="M204" s="3124" t="s">
        <v>1515</v>
      </c>
      <c r="N204" s="3192">
        <v>44228</v>
      </c>
      <c r="O204" s="3192">
        <v>44440</v>
      </c>
      <c r="P204" s="3192">
        <v>44228</v>
      </c>
      <c r="Q204" s="3192">
        <v>44317</v>
      </c>
      <c r="R204" s="3124" t="s">
        <v>433</v>
      </c>
      <c r="S204" s="3124" t="s">
        <v>1842</v>
      </c>
      <c r="T204" s="3124" t="s">
        <v>1850</v>
      </c>
      <c r="U204" t="s">
        <v>1195</v>
      </c>
      <c r="V204" s="3124">
        <v>3150</v>
      </c>
      <c r="W204" s="3193">
        <v>0.42857142857142855</v>
      </c>
      <c r="X204" s="3124">
        <v>1350</v>
      </c>
      <c r="Y204" s="3124">
        <v>0</v>
      </c>
      <c r="Z204" s="3124">
        <v>5000</v>
      </c>
      <c r="AA204" s="3124">
        <v>18000</v>
      </c>
      <c r="AB204" t="s">
        <v>1195</v>
      </c>
      <c r="AC204" s="3124"/>
    </row>
    <row r="205" spans="1:29">
      <c r="A205" s="3124">
        <v>204</v>
      </c>
      <c r="B205" s="3124" t="s">
        <v>1839</v>
      </c>
      <c r="C205" s="3124" t="s">
        <v>1525</v>
      </c>
      <c r="D205" s="3124" t="s">
        <v>1529</v>
      </c>
      <c r="E205" s="3129" t="s">
        <v>1527</v>
      </c>
      <c r="F205" s="3234" t="s">
        <v>629</v>
      </c>
      <c r="G205" s="3124" t="s">
        <v>629</v>
      </c>
      <c r="H205" s="3124">
        <v>8</v>
      </c>
      <c r="I205" s="3124">
        <v>8</v>
      </c>
      <c r="J205" s="3124"/>
      <c r="K205" s="3124">
        <v>1000</v>
      </c>
      <c r="L205" s="3124">
        <v>2180</v>
      </c>
      <c r="M205" s="3124" t="s">
        <v>1515</v>
      </c>
      <c r="N205" s="3192">
        <v>44256</v>
      </c>
      <c r="O205" s="3192">
        <v>44470</v>
      </c>
      <c r="P205" s="3192">
        <v>44256</v>
      </c>
      <c r="Q205" s="3192">
        <v>44470</v>
      </c>
      <c r="R205" s="3124" t="s">
        <v>433</v>
      </c>
      <c r="S205" s="3124" t="s">
        <v>1842</v>
      </c>
      <c r="T205" s="3124" t="s">
        <v>1850</v>
      </c>
      <c r="U205" t="s">
        <v>629</v>
      </c>
      <c r="V205" s="3124">
        <v>3150</v>
      </c>
      <c r="W205" s="3193">
        <v>0.30793650793650795</v>
      </c>
      <c r="X205" s="3124">
        <v>970</v>
      </c>
      <c r="Y205" s="3124">
        <v>0</v>
      </c>
      <c r="Z205" s="3124">
        <v>5000</v>
      </c>
      <c r="AA205" s="3124">
        <v>18000</v>
      </c>
      <c r="AB205" t="s">
        <v>1869</v>
      </c>
      <c r="AC205" s="3124"/>
    </row>
    <row r="206" spans="1:29">
      <c r="A206" s="3124">
        <v>205</v>
      </c>
      <c r="B206" s="3124" t="s">
        <v>1839</v>
      </c>
      <c r="C206" s="3124" t="s">
        <v>1535</v>
      </c>
      <c r="D206" s="3124" t="s">
        <v>1539</v>
      </c>
      <c r="E206" t="s">
        <v>1537</v>
      </c>
      <c r="F206" s="3234">
        <v>8131182494</v>
      </c>
      <c r="G206" s="3124" t="s">
        <v>2244</v>
      </c>
      <c r="H206" s="3124">
        <v>8</v>
      </c>
      <c r="I206" s="3124">
        <v>8</v>
      </c>
      <c r="J206" s="3124"/>
      <c r="K206" s="3124">
        <v>750</v>
      </c>
      <c r="L206" s="3124">
        <v>1500</v>
      </c>
      <c r="M206" s="3124" t="s">
        <v>1515</v>
      </c>
      <c r="N206" s="3192">
        <v>44287</v>
      </c>
      <c r="O206" s="3192">
        <v>44501</v>
      </c>
      <c r="P206" s="3192">
        <v>44287</v>
      </c>
      <c r="Q206" s="3192">
        <v>44501</v>
      </c>
      <c r="R206" s="3124" t="s">
        <v>432</v>
      </c>
      <c r="S206" s="3124" t="s">
        <v>1842</v>
      </c>
      <c r="T206" s="3124" t="s">
        <v>1850</v>
      </c>
      <c r="U206" t="s">
        <v>629</v>
      </c>
      <c r="V206" s="3124">
        <v>3150</v>
      </c>
      <c r="W206" s="3193">
        <v>0.52380952380952384</v>
      </c>
      <c r="X206" s="3124">
        <v>1650</v>
      </c>
      <c r="Y206" s="3124">
        <v>0</v>
      </c>
      <c r="Z206" s="3124">
        <v>5000</v>
      </c>
      <c r="AA206" s="3124">
        <v>18000</v>
      </c>
      <c r="AB206" t="s">
        <v>1869</v>
      </c>
      <c r="AC206" s="3124"/>
    </row>
    <row r="207" spans="1:29">
      <c r="A207" s="3124">
        <v>206</v>
      </c>
      <c r="B207" s="3124" t="s">
        <v>1625</v>
      </c>
      <c r="C207" s="3124" t="s">
        <v>2245</v>
      </c>
      <c r="D207" s="3124" t="s">
        <v>2246</v>
      </c>
      <c r="E207" t="s">
        <v>2247</v>
      </c>
      <c r="F207" s="3234">
        <v>9982286761</v>
      </c>
      <c r="G207" s="3124" t="s">
        <v>2248</v>
      </c>
      <c r="H207" s="3124">
        <v>20</v>
      </c>
      <c r="I207" s="3124">
        <v>20</v>
      </c>
      <c r="J207" s="3124"/>
      <c r="K207" s="3124">
        <v>3000</v>
      </c>
      <c r="L207" s="3124">
        <v>3350</v>
      </c>
      <c r="M207" s="3124" t="s">
        <v>2041</v>
      </c>
      <c r="N207" s="3192">
        <v>44075</v>
      </c>
      <c r="O207" s="3192">
        <v>44652</v>
      </c>
      <c r="P207" s="3192">
        <v>44075</v>
      </c>
      <c r="Q207" s="3192">
        <v>44652</v>
      </c>
      <c r="R207" s="3124" t="s">
        <v>432</v>
      </c>
      <c r="S207" s="3124" t="s">
        <v>1690</v>
      </c>
      <c r="T207" s="3124" t="s">
        <v>1850</v>
      </c>
      <c r="U207" t="s">
        <v>1195</v>
      </c>
      <c r="V207" s="3124">
        <v>6700</v>
      </c>
      <c r="W207" s="3193">
        <v>0.5</v>
      </c>
      <c r="X207" s="3124">
        <v>3350</v>
      </c>
      <c r="Y207" s="3124">
        <v>1</v>
      </c>
      <c r="Z207" s="3124">
        <v>0</v>
      </c>
      <c r="AA207" s="3124">
        <v>29000</v>
      </c>
      <c r="AB207" t="s">
        <v>1195</v>
      </c>
      <c r="AC207" s="3124"/>
    </row>
    <row r="208" spans="1:29">
      <c r="A208" s="3124">
        <v>207</v>
      </c>
      <c r="B208" s="3124" t="s">
        <v>1839</v>
      </c>
      <c r="C208" s="3124" t="s">
        <v>1519</v>
      </c>
      <c r="D208" s="3124" t="s">
        <v>2633</v>
      </c>
      <c r="E208" t="s">
        <v>1521</v>
      </c>
      <c r="F208" s="3234" t="s">
        <v>2634</v>
      </c>
      <c r="G208" s="3124" t="s">
        <v>2635</v>
      </c>
      <c r="H208" s="3124">
        <v>12</v>
      </c>
      <c r="I208" s="3124">
        <v>8</v>
      </c>
      <c r="J208" s="3124"/>
      <c r="K208" s="3124">
        <v>1500</v>
      </c>
      <c r="L208" s="3124">
        <v>2175</v>
      </c>
      <c r="M208" s="3124" t="s">
        <v>134</v>
      </c>
      <c r="N208" s="3192">
        <v>44287</v>
      </c>
      <c r="O208" s="3192">
        <v>44501</v>
      </c>
      <c r="P208" s="3192">
        <v>44287</v>
      </c>
      <c r="Q208" s="3192">
        <v>44621</v>
      </c>
      <c r="R208" s="3124" t="s">
        <v>432</v>
      </c>
      <c r="S208" s="3124" t="s">
        <v>1842</v>
      </c>
      <c r="T208" s="3124" t="s">
        <v>1850</v>
      </c>
      <c r="U208" t="s">
        <v>1761</v>
      </c>
      <c r="V208" s="3124">
        <v>3150</v>
      </c>
      <c r="W208" s="3193">
        <v>0.30952380952380953</v>
      </c>
      <c r="X208" s="3124">
        <v>975</v>
      </c>
      <c r="Y208" s="3124">
        <v>0</v>
      </c>
      <c r="Z208" s="3124">
        <v>5000</v>
      </c>
      <c r="AA208" s="3124">
        <v>18000</v>
      </c>
      <c r="AB208" t="s">
        <v>1195</v>
      </c>
      <c r="AC208" s="3124"/>
    </row>
    <row r="209" spans="1:29">
      <c r="A209" s="3124">
        <v>208</v>
      </c>
      <c r="B209" s="3124" t="s">
        <v>1630</v>
      </c>
      <c r="C209" s="3124" t="s">
        <v>231</v>
      </c>
      <c r="D209" s="3124" t="s">
        <v>629</v>
      </c>
      <c r="E209" t="s">
        <v>2249</v>
      </c>
      <c r="F209" s="3234" t="s">
        <v>629</v>
      </c>
      <c r="G209" s="3124" t="s">
        <v>629</v>
      </c>
      <c r="H209" s="3124">
        <v>36</v>
      </c>
      <c r="I209" s="3124">
        <v>36</v>
      </c>
      <c r="J209" s="3124"/>
      <c r="K209" s="3124">
        <v>1000</v>
      </c>
      <c r="L209" s="3124">
        <v>1600</v>
      </c>
      <c r="M209" s="3124" t="s">
        <v>1707</v>
      </c>
      <c r="N209" s="3192">
        <v>44256</v>
      </c>
      <c r="O209" s="3192">
        <v>45323</v>
      </c>
      <c r="P209" s="3192">
        <v>44256</v>
      </c>
      <c r="Q209" s="3192">
        <v>45323</v>
      </c>
      <c r="R209" s="3124" t="s">
        <v>432</v>
      </c>
      <c r="S209" s="3124" t="s">
        <v>1658</v>
      </c>
      <c r="T209" s="3124" t="s">
        <v>1850</v>
      </c>
      <c r="U209" t="s">
        <v>629</v>
      </c>
      <c r="V209" s="3124">
        <v>3150</v>
      </c>
      <c r="W209" s="3193">
        <v>0.49206349206349204</v>
      </c>
      <c r="X209" s="3124">
        <v>1550</v>
      </c>
      <c r="Y209" s="3124">
        <v>4</v>
      </c>
      <c r="Z209" s="3124">
        <v>0</v>
      </c>
      <c r="AA209" s="3124">
        <v>18000</v>
      </c>
      <c r="AB209" t="s">
        <v>1869</v>
      </c>
      <c r="AC209" s="3124"/>
    </row>
    <row r="210" spans="1:29">
      <c r="A210" s="3124">
        <v>209</v>
      </c>
      <c r="B210" s="3124" t="s">
        <v>1630</v>
      </c>
      <c r="C210" s="3124" t="s">
        <v>224</v>
      </c>
      <c r="D210" s="3124" t="s">
        <v>629</v>
      </c>
      <c r="E210" s="3165" t="s">
        <v>226</v>
      </c>
      <c r="F210" s="3234" t="s">
        <v>629</v>
      </c>
      <c r="G210" s="3124" t="s">
        <v>629</v>
      </c>
      <c r="H210" s="3124">
        <v>36</v>
      </c>
      <c r="I210" s="3124">
        <v>36</v>
      </c>
      <c r="J210" s="3124"/>
      <c r="K210" s="3124">
        <v>1000</v>
      </c>
      <c r="L210" s="3124">
        <v>1600</v>
      </c>
      <c r="M210" s="3124" t="s">
        <v>1707</v>
      </c>
      <c r="N210" s="3192">
        <v>44256</v>
      </c>
      <c r="O210" s="3192">
        <v>45323</v>
      </c>
      <c r="P210" s="3192">
        <v>44256</v>
      </c>
      <c r="Q210" s="3192">
        <v>45323</v>
      </c>
      <c r="R210" s="3124" t="s">
        <v>433</v>
      </c>
      <c r="S210" s="3124" t="s">
        <v>1658</v>
      </c>
      <c r="T210" s="3124" t="s">
        <v>1850</v>
      </c>
      <c r="U210" t="s">
        <v>629</v>
      </c>
      <c r="V210" s="3124">
        <v>3150</v>
      </c>
      <c r="W210" s="3193">
        <v>0.49206349206349204</v>
      </c>
      <c r="X210" s="3124">
        <v>1550</v>
      </c>
      <c r="Y210" s="3124">
        <v>4</v>
      </c>
      <c r="Z210" s="3124">
        <v>0</v>
      </c>
      <c r="AA210" s="3124">
        <v>18000</v>
      </c>
      <c r="AB210" t="s">
        <v>1869</v>
      </c>
      <c r="AC210" s="3124"/>
    </row>
    <row r="211" spans="1:29">
      <c r="A211" s="3124">
        <v>210</v>
      </c>
      <c r="B211" s="3124" t="s">
        <v>1839</v>
      </c>
      <c r="C211" s="3124"/>
      <c r="D211" s="3124" t="s">
        <v>2636</v>
      </c>
      <c r="E211" t="s">
        <v>228</v>
      </c>
      <c r="F211" s="3234" t="s">
        <v>629</v>
      </c>
      <c r="G211" s="3124" t="s">
        <v>629</v>
      </c>
      <c r="H211" s="3124">
        <v>36</v>
      </c>
      <c r="I211" s="3124">
        <v>36</v>
      </c>
      <c r="J211" s="3124"/>
      <c r="K211" s="3124">
        <v>1000</v>
      </c>
      <c r="L211" s="3124">
        <v>1600</v>
      </c>
      <c r="M211" s="3124" t="s">
        <v>1707</v>
      </c>
      <c r="N211" s="3192">
        <v>44256</v>
      </c>
      <c r="O211" s="3192">
        <v>45323</v>
      </c>
      <c r="P211" s="3192">
        <v>44256</v>
      </c>
      <c r="Q211" s="3192">
        <v>45323</v>
      </c>
      <c r="R211" s="3124" t="s">
        <v>2573</v>
      </c>
      <c r="S211" s="3124" t="s">
        <v>1842</v>
      </c>
      <c r="T211" s="3124" t="s">
        <v>1850</v>
      </c>
      <c r="U211" t="s">
        <v>629</v>
      </c>
      <c r="V211" s="3124">
        <v>3150</v>
      </c>
      <c r="W211" s="3193">
        <v>0.49206349206349204</v>
      </c>
      <c r="X211" s="3124">
        <v>1550</v>
      </c>
      <c r="Y211" s="3124">
        <v>4</v>
      </c>
      <c r="Z211" s="3124">
        <v>0</v>
      </c>
      <c r="AA211" s="3124">
        <v>18000</v>
      </c>
      <c r="AB211" t="s">
        <v>1869</v>
      </c>
      <c r="AC211" s="3124"/>
    </row>
    <row r="212" spans="1:29">
      <c r="A212" s="3124">
        <v>211</v>
      </c>
      <c r="B212" s="3124" t="s">
        <v>1625</v>
      </c>
      <c r="C212" s="3124" t="s">
        <v>1228</v>
      </c>
      <c r="D212" s="3124" t="s">
        <v>1226</v>
      </c>
      <c r="E212" t="s">
        <v>2250</v>
      </c>
      <c r="F212" s="3234" t="s">
        <v>2251</v>
      </c>
      <c r="G212" s="3124" t="s">
        <v>2252</v>
      </c>
      <c r="H212" s="3124">
        <v>20</v>
      </c>
      <c r="I212" s="3124">
        <v>20</v>
      </c>
      <c r="J212" s="3124"/>
      <c r="K212" s="3124">
        <v>3000</v>
      </c>
      <c r="L212" s="3124">
        <v>3350</v>
      </c>
      <c r="M212" s="3124" t="s">
        <v>1207</v>
      </c>
      <c r="N212" s="3192">
        <v>44348</v>
      </c>
      <c r="O212" s="3192">
        <v>44927</v>
      </c>
      <c r="P212" s="3192">
        <v>44348</v>
      </c>
      <c r="Q212" s="3192">
        <v>44927</v>
      </c>
      <c r="R212" s="3124" t="s">
        <v>432</v>
      </c>
      <c r="S212" s="3124" t="s">
        <v>1690</v>
      </c>
      <c r="T212" s="3124" t="s">
        <v>1850</v>
      </c>
      <c r="U212" t="s">
        <v>1761</v>
      </c>
      <c r="V212" s="3124">
        <v>3150</v>
      </c>
      <c r="W212" s="3193">
        <v>-6.3492063492063489E-2</v>
      </c>
      <c r="X212" s="3124">
        <v>-200</v>
      </c>
      <c r="Y212" s="3124">
        <v>4</v>
      </c>
      <c r="Z212" s="3124">
        <v>0</v>
      </c>
      <c r="AA212" s="3124">
        <v>18000</v>
      </c>
      <c r="AB212" t="s">
        <v>1195</v>
      </c>
      <c r="AC212" s="3124"/>
    </row>
    <row r="213" spans="1:29">
      <c r="A213" s="3124">
        <v>212</v>
      </c>
      <c r="B213" s="3124" t="s">
        <v>1630</v>
      </c>
      <c r="C213" s="3124" t="s">
        <v>209</v>
      </c>
      <c r="D213" s="3124" t="s">
        <v>1566</v>
      </c>
      <c r="E213" t="s">
        <v>210</v>
      </c>
      <c r="F213" s="3234" t="s">
        <v>2253</v>
      </c>
      <c r="G213" s="3124" t="s">
        <v>2254</v>
      </c>
      <c r="H213" s="3124">
        <v>36</v>
      </c>
      <c r="I213" s="3124">
        <v>36</v>
      </c>
      <c r="J213" s="3124"/>
      <c r="K213" s="3124">
        <v>1000</v>
      </c>
      <c r="L213" s="3124">
        <v>1600</v>
      </c>
      <c r="M213" s="3124" t="s">
        <v>1707</v>
      </c>
      <c r="N213" s="3192">
        <v>44256</v>
      </c>
      <c r="O213" s="3192">
        <v>45323</v>
      </c>
      <c r="P213" s="3192">
        <v>44256</v>
      </c>
      <c r="Q213" s="3192">
        <v>45323</v>
      </c>
      <c r="R213" s="3124" t="s">
        <v>433</v>
      </c>
      <c r="S213" s="3124" t="s">
        <v>1658</v>
      </c>
      <c r="T213" s="3124" t="s">
        <v>1850</v>
      </c>
      <c r="U213" t="s">
        <v>1869</v>
      </c>
      <c r="V213" s="3124">
        <v>3150</v>
      </c>
      <c r="W213" s="3193">
        <v>0.49206349206349204</v>
      </c>
      <c r="X213" s="3124">
        <v>1550</v>
      </c>
      <c r="Y213" s="3124">
        <v>4</v>
      </c>
      <c r="Z213" s="3124">
        <v>0</v>
      </c>
      <c r="AA213" s="3124">
        <v>18000</v>
      </c>
      <c r="AB213" t="s">
        <v>1869</v>
      </c>
      <c r="AC213" s="3124"/>
    </row>
    <row r="214" spans="1:29">
      <c r="A214" s="3124">
        <v>213</v>
      </c>
      <c r="B214" s="3124" t="s">
        <v>1630</v>
      </c>
      <c r="C214" s="3124" t="s">
        <v>211</v>
      </c>
      <c r="D214" s="3124" t="s">
        <v>214</v>
      </c>
      <c r="E214" t="s">
        <v>212</v>
      </c>
      <c r="F214" s="3234" t="s">
        <v>2255</v>
      </c>
      <c r="G214" s="3124" t="s">
        <v>2256</v>
      </c>
      <c r="H214" s="3124">
        <v>36</v>
      </c>
      <c r="I214" s="3124">
        <v>36</v>
      </c>
      <c r="J214" s="3124">
        <v>1000</v>
      </c>
      <c r="K214" s="3124">
        <v>1000</v>
      </c>
      <c r="L214" s="3124">
        <v>1600</v>
      </c>
      <c r="M214" s="3124" t="s">
        <v>1707</v>
      </c>
      <c r="N214" s="3192">
        <v>44228</v>
      </c>
      <c r="O214" s="3192">
        <v>45292</v>
      </c>
      <c r="P214" s="3192">
        <v>44228</v>
      </c>
      <c r="Q214" s="3192">
        <v>45292</v>
      </c>
      <c r="R214" s="3124" t="s">
        <v>433</v>
      </c>
      <c r="S214" s="3124" t="s">
        <v>1658</v>
      </c>
      <c r="T214" s="3124" t="s">
        <v>1850</v>
      </c>
      <c r="U214" t="s">
        <v>1195</v>
      </c>
      <c r="V214" s="3124">
        <v>3150</v>
      </c>
      <c r="W214" s="3193">
        <v>0.49206349206349204</v>
      </c>
      <c r="X214" s="3124">
        <v>1550</v>
      </c>
      <c r="Y214" s="3124">
        <v>4</v>
      </c>
      <c r="Z214" s="3124">
        <v>0</v>
      </c>
      <c r="AA214" s="3124">
        <v>18000</v>
      </c>
      <c r="AB214" t="s">
        <v>1195</v>
      </c>
      <c r="AC214" s="3124"/>
    </row>
    <row r="215" spans="1:29">
      <c r="A215" s="3124">
        <v>214</v>
      </c>
      <c r="B215" s="3124" t="s">
        <v>1630</v>
      </c>
      <c r="C215" s="3124" t="s">
        <v>213</v>
      </c>
      <c r="D215" s="3124" t="s">
        <v>2257</v>
      </c>
      <c r="E215" t="s">
        <v>215</v>
      </c>
      <c r="F215" s="3234">
        <v>9982707786</v>
      </c>
      <c r="G215" s="3124" t="s">
        <v>2258</v>
      </c>
      <c r="H215" s="3124">
        <v>36</v>
      </c>
      <c r="I215" s="3124">
        <v>36</v>
      </c>
      <c r="J215" s="3124"/>
      <c r="K215" s="3124">
        <v>1000</v>
      </c>
      <c r="L215" s="3124">
        <v>1300</v>
      </c>
      <c r="M215" s="3124" t="s">
        <v>1707</v>
      </c>
      <c r="N215" s="3192">
        <v>44228</v>
      </c>
      <c r="O215" s="3192">
        <v>45292</v>
      </c>
      <c r="P215" s="3192">
        <v>44228</v>
      </c>
      <c r="Q215" s="3192">
        <v>45292</v>
      </c>
      <c r="R215" s="3124" t="s">
        <v>433</v>
      </c>
      <c r="S215" s="3124" t="s">
        <v>1658</v>
      </c>
      <c r="T215" s="3124" t="s">
        <v>1850</v>
      </c>
      <c r="U215" t="s">
        <v>1869</v>
      </c>
      <c r="V215" s="3124">
        <v>3150</v>
      </c>
      <c r="W215" s="3193">
        <v>0.58730158730158732</v>
      </c>
      <c r="X215" s="3124">
        <v>1850</v>
      </c>
      <c r="Y215" s="3124">
        <v>4</v>
      </c>
      <c r="Z215" s="3124">
        <v>0</v>
      </c>
      <c r="AA215" s="3124">
        <v>18000</v>
      </c>
      <c r="AB215" t="s">
        <v>1869</v>
      </c>
      <c r="AC215" s="3124"/>
    </row>
    <row r="216" spans="1:29">
      <c r="A216" s="3124">
        <v>215</v>
      </c>
      <c r="B216" s="3124" t="s">
        <v>1630</v>
      </c>
      <c r="C216" s="3124" t="s">
        <v>229</v>
      </c>
      <c r="D216" s="3124" t="s">
        <v>629</v>
      </c>
      <c r="E216" s="3155" t="s">
        <v>230</v>
      </c>
      <c r="F216" s="3234" t="s">
        <v>629</v>
      </c>
      <c r="G216" s="3124" t="s">
        <v>629</v>
      </c>
      <c r="H216" s="3124">
        <v>36</v>
      </c>
      <c r="I216" s="3124">
        <v>36</v>
      </c>
      <c r="J216" s="3124"/>
      <c r="K216" s="3124">
        <v>1000</v>
      </c>
      <c r="L216" s="3124">
        <v>1600</v>
      </c>
      <c r="M216" s="3124" t="s">
        <v>1707</v>
      </c>
      <c r="N216" s="3192">
        <v>44228</v>
      </c>
      <c r="O216" s="3192">
        <v>45292</v>
      </c>
      <c r="P216" s="3192">
        <v>44228</v>
      </c>
      <c r="Q216" s="3192">
        <v>45292</v>
      </c>
      <c r="R216" s="3124" t="s">
        <v>433</v>
      </c>
      <c r="S216" s="3124" t="s">
        <v>1658</v>
      </c>
      <c r="T216" s="3124" t="s">
        <v>1850</v>
      </c>
      <c r="U216" t="s">
        <v>629</v>
      </c>
      <c r="V216" s="3124">
        <v>3150</v>
      </c>
      <c r="W216" s="3193">
        <v>0.49206349206349204</v>
      </c>
      <c r="X216" s="3124">
        <v>1550</v>
      </c>
      <c r="Y216" s="3124">
        <v>4</v>
      </c>
      <c r="Z216" s="3124">
        <v>0</v>
      </c>
      <c r="AA216" s="3124">
        <v>18000</v>
      </c>
      <c r="AB216" t="s">
        <v>1869</v>
      </c>
      <c r="AC216" s="3124"/>
    </row>
    <row r="217" spans="1:29">
      <c r="A217" s="3124">
        <v>216</v>
      </c>
      <c r="B217" s="3124" t="s">
        <v>1630</v>
      </c>
      <c r="C217" s="3124" t="s">
        <v>203</v>
      </c>
      <c r="D217" s="3124" t="s">
        <v>214</v>
      </c>
      <c r="E217" t="s">
        <v>204</v>
      </c>
      <c r="F217" s="3234" t="s">
        <v>2637</v>
      </c>
      <c r="G217" s="3124" t="s">
        <v>2638</v>
      </c>
      <c r="H217" s="3124">
        <v>36</v>
      </c>
      <c r="I217" s="3124">
        <v>36</v>
      </c>
      <c r="J217" s="3124"/>
      <c r="K217" s="3124">
        <v>1000</v>
      </c>
      <c r="L217" s="3124">
        <v>1600</v>
      </c>
      <c r="M217" s="3124" t="s">
        <v>1707</v>
      </c>
      <c r="N217" s="3192">
        <v>44075</v>
      </c>
      <c r="O217" s="3192">
        <v>45139</v>
      </c>
      <c r="P217" s="3192">
        <v>44075</v>
      </c>
      <c r="Q217" s="3192">
        <v>45139</v>
      </c>
      <c r="R217" s="3124" t="s">
        <v>433</v>
      </c>
      <c r="S217" s="3124" t="s">
        <v>1658</v>
      </c>
      <c r="T217" s="3124" t="s">
        <v>1850</v>
      </c>
      <c r="U217" t="s">
        <v>1761</v>
      </c>
      <c r="V217" s="3124">
        <v>3150</v>
      </c>
      <c r="W217" s="3193">
        <v>0.49206349206349204</v>
      </c>
      <c r="X217" s="3124">
        <v>1550</v>
      </c>
      <c r="Y217" s="3124">
        <v>4</v>
      </c>
      <c r="Z217" s="3124">
        <v>0</v>
      </c>
      <c r="AA217" s="3124">
        <v>18000</v>
      </c>
      <c r="AB217" t="s">
        <v>1195</v>
      </c>
      <c r="AC217" s="3124"/>
    </row>
    <row r="218" spans="1:29">
      <c r="A218" s="3124">
        <v>217</v>
      </c>
      <c r="B218" s="3124" t="s">
        <v>1630</v>
      </c>
      <c r="C218" s="3124" t="s">
        <v>216</v>
      </c>
      <c r="D218" s="3124" t="s">
        <v>2259</v>
      </c>
      <c r="E218" t="s">
        <v>217</v>
      </c>
      <c r="F218" s="3234" t="s">
        <v>2260</v>
      </c>
      <c r="G218" s="3124" t="s">
        <v>2261</v>
      </c>
      <c r="H218" s="3124">
        <v>36</v>
      </c>
      <c r="I218" s="3124">
        <v>36</v>
      </c>
      <c r="J218" s="3124"/>
      <c r="K218" s="3124">
        <v>1000</v>
      </c>
      <c r="L218" s="3124">
        <v>1600</v>
      </c>
      <c r="M218" s="3124" t="s">
        <v>1707</v>
      </c>
      <c r="N218" s="3192">
        <v>44075</v>
      </c>
      <c r="O218" s="3192">
        <v>45139</v>
      </c>
      <c r="P218" s="3192">
        <v>44075</v>
      </c>
      <c r="Q218" s="3192">
        <v>45139</v>
      </c>
      <c r="R218" s="3124" t="s">
        <v>432</v>
      </c>
      <c r="S218" s="3124" t="s">
        <v>1658</v>
      </c>
      <c r="T218" s="3124" t="s">
        <v>1850</v>
      </c>
      <c r="U218" t="s">
        <v>1195</v>
      </c>
      <c r="V218" s="3124">
        <v>3150</v>
      </c>
      <c r="W218" s="3193">
        <v>0.49206349206349204</v>
      </c>
      <c r="X218" s="3124">
        <v>1550</v>
      </c>
      <c r="Y218" s="3124">
        <v>4</v>
      </c>
      <c r="Z218" s="3124">
        <v>0</v>
      </c>
      <c r="AA218" s="3124">
        <v>21000</v>
      </c>
      <c r="AB218" t="s">
        <v>1195</v>
      </c>
      <c r="AC218" s="3124"/>
    </row>
    <row r="219" spans="1:29">
      <c r="A219" s="3124">
        <v>218</v>
      </c>
      <c r="B219" s="3124" t="s">
        <v>1630</v>
      </c>
      <c r="C219" s="3124" t="s">
        <v>218</v>
      </c>
      <c r="D219" s="3124" t="s">
        <v>2262</v>
      </c>
      <c r="E219" t="s">
        <v>219</v>
      </c>
      <c r="F219" s="3234" t="s">
        <v>2263</v>
      </c>
      <c r="G219" s="3124" t="s">
        <v>2639</v>
      </c>
      <c r="H219" s="3124">
        <v>36</v>
      </c>
      <c r="I219" s="3124">
        <v>36</v>
      </c>
      <c r="J219" s="3124"/>
      <c r="K219" s="3124">
        <v>1000</v>
      </c>
      <c r="L219" s="3124">
        <v>1850</v>
      </c>
      <c r="M219" s="3124" t="s">
        <v>1707</v>
      </c>
      <c r="N219" s="3192">
        <v>44256</v>
      </c>
      <c r="O219" s="3192">
        <v>45323</v>
      </c>
      <c r="P219" s="3192">
        <v>44256</v>
      </c>
      <c r="Q219" s="3192">
        <v>45323</v>
      </c>
      <c r="R219" s="3124" t="s">
        <v>433</v>
      </c>
      <c r="S219" s="3124" t="s">
        <v>1658</v>
      </c>
      <c r="T219" s="3124" t="s">
        <v>1850</v>
      </c>
      <c r="U219" t="s">
        <v>1195</v>
      </c>
      <c r="V219" s="3124">
        <v>3150</v>
      </c>
      <c r="W219" s="3193">
        <v>0.41269841269841268</v>
      </c>
      <c r="X219" s="3124">
        <v>1300</v>
      </c>
      <c r="Y219" s="3124">
        <v>4</v>
      </c>
      <c r="Z219" s="3124">
        <v>0</v>
      </c>
      <c r="AA219" s="3124">
        <v>18000</v>
      </c>
      <c r="AB219" t="s">
        <v>1195</v>
      </c>
      <c r="AC219" s="3124"/>
    </row>
    <row r="220" spans="1:29">
      <c r="A220" s="3124">
        <v>219</v>
      </c>
      <c r="B220" s="3124" t="s">
        <v>1621</v>
      </c>
      <c r="C220" s="3124" t="s">
        <v>2264</v>
      </c>
      <c r="D220" s="3124" t="s">
        <v>2265</v>
      </c>
      <c r="E220" t="s">
        <v>2266</v>
      </c>
      <c r="F220" s="3234">
        <v>9983908025</v>
      </c>
      <c r="G220" s="3124" t="s">
        <v>2267</v>
      </c>
      <c r="H220" s="3124">
        <v>20</v>
      </c>
      <c r="I220" s="3124">
        <v>20</v>
      </c>
      <c r="J220" s="3124"/>
      <c r="K220" s="3124">
        <v>2000</v>
      </c>
      <c r="L220" s="3124">
        <v>2180.0000000000005</v>
      </c>
      <c r="M220" s="3124" t="s">
        <v>2102</v>
      </c>
      <c r="N220" s="3192">
        <v>43709</v>
      </c>
      <c r="O220" s="3192">
        <v>44287</v>
      </c>
      <c r="P220" s="3192">
        <v>43709</v>
      </c>
      <c r="Q220" s="3192">
        <v>44287</v>
      </c>
      <c r="R220" s="3124" t="s">
        <v>432</v>
      </c>
      <c r="S220" s="3124" t="s">
        <v>1640</v>
      </c>
      <c r="T220" s="3124" t="s">
        <v>1850</v>
      </c>
      <c r="U220" t="s">
        <v>1195</v>
      </c>
      <c r="V220" s="3124">
        <v>3150</v>
      </c>
      <c r="W220" s="3193">
        <v>0.30793650793650779</v>
      </c>
      <c r="X220" s="3124">
        <v>969.99999999999955</v>
      </c>
      <c r="Y220" s="3124">
        <v>4</v>
      </c>
      <c r="Z220" s="3124">
        <v>0</v>
      </c>
      <c r="AA220" s="3124">
        <v>18000</v>
      </c>
      <c r="AB220" t="s">
        <v>1195</v>
      </c>
      <c r="AC220" s="3124"/>
    </row>
    <row r="221" spans="1:29">
      <c r="A221" s="3124">
        <v>220</v>
      </c>
      <c r="B221" s="3124" t="s">
        <v>1621</v>
      </c>
      <c r="C221" s="3124" t="s">
        <v>482</v>
      </c>
      <c r="D221" s="3124" t="s">
        <v>2210</v>
      </c>
      <c r="E221" t="s">
        <v>483</v>
      </c>
      <c r="F221" s="3234">
        <v>2223366863</v>
      </c>
      <c r="G221" s="3124" t="s">
        <v>2268</v>
      </c>
      <c r="H221" s="3124">
        <v>20</v>
      </c>
      <c r="I221" s="3124">
        <v>20</v>
      </c>
      <c r="J221" s="3124"/>
      <c r="K221" s="3124">
        <v>2000</v>
      </c>
      <c r="L221" s="3124">
        <v>2180</v>
      </c>
      <c r="M221" s="3124" t="s">
        <v>2631</v>
      </c>
      <c r="N221" s="3192">
        <v>44571</v>
      </c>
      <c r="O221" s="3192">
        <v>45148</v>
      </c>
      <c r="P221" s="3192">
        <v>44571</v>
      </c>
      <c r="Q221" s="3192">
        <v>45148</v>
      </c>
      <c r="R221" s="3124" t="s">
        <v>433</v>
      </c>
      <c r="S221" s="3124" t="s">
        <v>1640</v>
      </c>
      <c r="T221" s="3124" t="s">
        <v>1850</v>
      </c>
      <c r="U221" t="s">
        <v>1195</v>
      </c>
      <c r="V221" s="3124">
        <v>5000</v>
      </c>
      <c r="W221" s="3193">
        <v>0.56399999999999995</v>
      </c>
      <c r="X221" s="3124">
        <v>2820</v>
      </c>
      <c r="Y221" s="3124">
        <v>2</v>
      </c>
      <c r="Z221" s="3124">
        <v>0</v>
      </c>
      <c r="AA221" s="3124">
        <v>25000</v>
      </c>
      <c r="AB221" t="s">
        <v>1195</v>
      </c>
      <c r="AC221" s="3124"/>
    </row>
    <row r="222" spans="1:29">
      <c r="A222" s="3124">
        <v>221</v>
      </c>
      <c r="B222" s="3124" t="s">
        <v>1621</v>
      </c>
      <c r="C222" s="3124" t="s">
        <v>2269</v>
      </c>
      <c r="D222" s="3124" t="s">
        <v>629</v>
      </c>
      <c r="E222" t="s">
        <v>2270</v>
      </c>
      <c r="F222" s="3234" t="s">
        <v>629</v>
      </c>
      <c r="G222" s="3124" t="s">
        <v>629</v>
      </c>
      <c r="H222" s="3124">
        <v>20</v>
      </c>
      <c r="I222" s="3124">
        <v>20</v>
      </c>
      <c r="J222" s="3124"/>
      <c r="K222" s="3124"/>
      <c r="L222" s="3124">
        <v>2180</v>
      </c>
      <c r="M222" s="3124"/>
      <c r="N222" s="3192">
        <v>44337</v>
      </c>
      <c r="O222" s="3192">
        <v>44916</v>
      </c>
      <c r="P222" s="3192">
        <v>44337</v>
      </c>
      <c r="Q222" s="3192">
        <v>44916</v>
      </c>
      <c r="R222" s="3124" t="s">
        <v>432</v>
      </c>
      <c r="S222" s="3124" t="s">
        <v>1640</v>
      </c>
      <c r="T222" s="3124" t="s">
        <v>1850</v>
      </c>
      <c r="U222" t="s">
        <v>629</v>
      </c>
      <c r="V222" s="3124">
        <v>5000</v>
      </c>
      <c r="W222" s="3193">
        <v>0.56399999999999995</v>
      </c>
      <c r="X222" s="3124">
        <v>2820</v>
      </c>
      <c r="Y222" s="3124">
        <v>2</v>
      </c>
      <c r="Z222" s="3124">
        <v>0</v>
      </c>
      <c r="AA222" s="3124">
        <v>25000</v>
      </c>
      <c r="AB222" t="s">
        <v>1869</v>
      </c>
      <c r="AC222" s="3124"/>
    </row>
    <row r="223" spans="1:29">
      <c r="A223" s="3124">
        <v>222</v>
      </c>
      <c r="B223" s="3124" t="s">
        <v>1621</v>
      </c>
      <c r="C223" s="3124" t="s">
        <v>1395</v>
      </c>
      <c r="D223" s="3124" t="s">
        <v>2640</v>
      </c>
      <c r="E223" s="3220" t="s">
        <v>4571</v>
      </c>
      <c r="F223" s="3234">
        <v>998122053</v>
      </c>
      <c r="G223" s="3124" t="s">
        <v>2271</v>
      </c>
      <c r="H223" s="3124">
        <v>20</v>
      </c>
      <c r="I223" s="3124">
        <v>20</v>
      </c>
      <c r="J223" s="3124"/>
      <c r="K223" s="3124">
        <v>2000</v>
      </c>
      <c r="L223" s="3124">
        <v>2000</v>
      </c>
      <c r="M223" s="3124" t="s">
        <v>1896</v>
      </c>
      <c r="N223" s="3192">
        <v>43604</v>
      </c>
      <c r="O223" s="3192">
        <v>44184</v>
      </c>
      <c r="P223" s="3192">
        <v>43604</v>
      </c>
      <c r="Q223" s="3192">
        <v>44184</v>
      </c>
      <c r="R223" s="3124" t="s">
        <v>433</v>
      </c>
      <c r="S223" s="3124" t="s">
        <v>1640</v>
      </c>
      <c r="T223" s="3124" t="s">
        <v>1850</v>
      </c>
      <c r="U223" t="s">
        <v>1195</v>
      </c>
      <c r="V223" s="3124">
        <v>5000</v>
      </c>
      <c r="W223" s="3193">
        <v>0.6</v>
      </c>
      <c r="X223" s="3124">
        <v>3000</v>
      </c>
      <c r="Y223" s="3124">
        <v>2</v>
      </c>
      <c r="Z223" s="3124">
        <v>0</v>
      </c>
      <c r="AA223" s="3124">
        <v>25000</v>
      </c>
      <c r="AB223" t="s">
        <v>1195</v>
      </c>
      <c r="AC223" s="3124"/>
    </row>
    <row r="224" spans="1:29">
      <c r="A224" s="3124">
        <v>223</v>
      </c>
      <c r="B224" s="3124" t="s">
        <v>1621</v>
      </c>
      <c r="C224" s="3124" t="s">
        <v>1189</v>
      </c>
      <c r="D224" s="3124" t="s">
        <v>2272</v>
      </c>
      <c r="E224" t="s">
        <v>1191</v>
      </c>
      <c r="F224" s="3234" t="s">
        <v>2273</v>
      </c>
      <c r="G224" s="3124" t="s">
        <v>2274</v>
      </c>
      <c r="H224" s="3124">
        <v>20</v>
      </c>
      <c r="I224" s="3124">
        <v>20</v>
      </c>
      <c r="J224" s="3124"/>
      <c r="K224" s="3124">
        <v>2000</v>
      </c>
      <c r="L224" s="3124">
        <v>2180.0000000000005</v>
      </c>
      <c r="M224" s="3124" t="s">
        <v>1896</v>
      </c>
      <c r="N224" s="3192">
        <v>43709</v>
      </c>
      <c r="O224" s="3192">
        <v>44287</v>
      </c>
      <c r="P224" s="3192">
        <v>43709</v>
      </c>
      <c r="Q224" s="3192">
        <v>44287</v>
      </c>
      <c r="R224" s="3124" t="s">
        <v>433</v>
      </c>
      <c r="S224" s="3124" t="s">
        <v>1640</v>
      </c>
      <c r="T224" s="3124" t="s">
        <v>1850</v>
      </c>
      <c r="U224" t="s">
        <v>1195</v>
      </c>
      <c r="V224" s="3124">
        <v>5000</v>
      </c>
      <c r="W224" s="3193">
        <v>0.56399999999999995</v>
      </c>
      <c r="X224" s="3124">
        <v>2819.9999999999995</v>
      </c>
      <c r="Y224" s="3124">
        <v>2</v>
      </c>
      <c r="Z224" s="3124">
        <v>0</v>
      </c>
      <c r="AA224" s="3124">
        <v>25000</v>
      </c>
      <c r="AB224" t="s">
        <v>1195</v>
      </c>
      <c r="AC224" s="3124"/>
    </row>
    <row r="225" spans="1:29">
      <c r="A225" s="3124">
        <v>224</v>
      </c>
      <c r="B225" s="3124" t="s">
        <v>1621</v>
      </c>
      <c r="C225" s="3124" t="s">
        <v>1399</v>
      </c>
      <c r="D225" s="3124" t="s">
        <v>2641</v>
      </c>
      <c r="E225" t="s">
        <v>1401</v>
      </c>
      <c r="F225" s="3234" t="s">
        <v>2275</v>
      </c>
      <c r="G225" s="3124" t="s">
        <v>1845</v>
      </c>
      <c r="H225" s="3124">
        <v>20</v>
      </c>
      <c r="I225" s="3124">
        <v>20</v>
      </c>
      <c r="J225" s="3124"/>
      <c r="K225" s="3124">
        <v>2000</v>
      </c>
      <c r="L225" s="3124">
        <v>2000</v>
      </c>
      <c r="M225" s="3124" t="s">
        <v>2125</v>
      </c>
      <c r="N225" s="3192">
        <v>43604</v>
      </c>
      <c r="O225" s="3192">
        <v>44184</v>
      </c>
      <c r="P225" s="3192">
        <v>43604</v>
      </c>
      <c r="Q225" s="3192">
        <v>44184</v>
      </c>
      <c r="R225" s="3124" t="s">
        <v>433</v>
      </c>
      <c r="S225" s="3124" t="s">
        <v>1640</v>
      </c>
      <c r="T225" s="3124" t="s">
        <v>1850</v>
      </c>
      <c r="U225" t="s">
        <v>1195</v>
      </c>
      <c r="V225" s="3124">
        <v>5000</v>
      </c>
      <c r="W225" s="3193">
        <v>0.6</v>
      </c>
      <c r="X225" s="3124">
        <v>3000</v>
      </c>
      <c r="Y225" s="3124">
        <v>2</v>
      </c>
      <c r="Z225" s="3124">
        <v>0</v>
      </c>
      <c r="AA225" s="3124">
        <v>25000</v>
      </c>
      <c r="AB225" t="s">
        <v>1195</v>
      </c>
      <c r="AC225" s="3124"/>
    </row>
    <row r="226" spans="1:29">
      <c r="A226" s="3124">
        <v>225</v>
      </c>
      <c r="B226" s="3124" t="s">
        <v>1621</v>
      </c>
      <c r="C226" s="3124" t="s">
        <v>1414</v>
      </c>
      <c r="D226" s="3124" t="s">
        <v>2642</v>
      </c>
      <c r="E226" t="s">
        <v>1416</v>
      </c>
      <c r="F226" s="3234" t="s">
        <v>2276</v>
      </c>
      <c r="G226" s="3124" t="s">
        <v>1855</v>
      </c>
      <c r="H226" s="3124">
        <v>20</v>
      </c>
      <c r="I226" s="3124">
        <v>20</v>
      </c>
      <c r="J226" s="3124"/>
      <c r="K226" s="3124">
        <v>2000</v>
      </c>
      <c r="L226" s="3124">
        <v>2000</v>
      </c>
      <c r="M226" s="3124" t="s">
        <v>2125</v>
      </c>
      <c r="N226" s="3192">
        <v>43604</v>
      </c>
      <c r="O226" s="3192">
        <v>44184</v>
      </c>
      <c r="P226" s="3192">
        <v>43604</v>
      </c>
      <c r="Q226" s="3192">
        <v>44184</v>
      </c>
      <c r="R226" s="3124" t="s">
        <v>432</v>
      </c>
      <c r="S226" s="3124" t="s">
        <v>1640</v>
      </c>
      <c r="T226" s="3124" t="s">
        <v>1850</v>
      </c>
      <c r="U226" t="s">
        <v>1761</v>
      </c>
      <c r="V226" s="3124">
        <v>5000</v>
      </c>
      <c r="W226" s="3193">
        <v>0.6</v>
      </c>
      <c r="X226" s="3124">
        <v>3000</v>
      </c>
      <c r="Y226" s="3124">
        <v>2</v>
      </c>
      <c r="Z226" s="3124">
        <v>0</v>
      </c>
      <c r="AA226" s="3124">
        <v>25000</v>
      </c>
      <c r="AB226" t="s">
        <v>1195</v>
      </c>
      <c r="AC226" s="3124"/>
    </row>
    <row r="227" spans="1:29">
      <c r="A227" s="3124">
        <v>226</v>
      </c>
      <c r="B227" s="3124" t="s">
        <v>1621</v>
      </c>
      <c r="C227" s="3124" t="s">
        <v>1429</v>
      </c>
      <c r="D227" s="3124" t="s">
        <v>2643</v>
      </c>
      <c r="E227" t="s">
        <v>2277</v>
      </c>
      <c r="F227" s="3234" t="s">
        <v>2278</v>
      </c>
      <c r="G227" s="3124" t="s">
        <v>1861</v>
      </c>
      <c r="H227" s="3124">
        <v>20</v>
      </c>
      <c r="I227" s="3124">
        <v>20</v>
      </c>
      <c r="J227" s="3124"/>
      <c r="K227" s="3124">
        <v>2000</v>
      </c>
      <c r="L227" s="3124">
        <v>2000</v>
      </c>
      <c r="M227" s="3124" t="s">
        <v>2125</v>
      </c>
      <c r="N227" s="3192">
        <v>43604</v>
      </c>
      <c r="O227" s="3192">
        <v>44184</v>
      </c>
      <c r="P227" s="3192">
        <v>43604</v>
      </c>
      <c r="Q227" s="3192">
        <v>44184</v>
      </c>
      <c r="R227" s="3124" t="s">
        <v>432</v>
      </c>
      <c r="S227" s="3124" t="s">
        <v>1640</v>
      </c>
      <c r="T227" s="3124" t="s">
        <v>1850</v>
      </c>
      <c r="U227" t="s">
        <v>1761</v>
      </c>
      <c r="V227" s="3124">
        <v>5000</v>
      </c>
      <c r="W227" s="3193">
        <v>0.6</v>
      </c>
      <c r="X227" s="3124">
        <v>3000</v>
      </c>
      <c r="Y227" s="3124">
        <v>2</v>
      </c>
      <c r="Z227" s="3124">
        <v>0</v>
      </c>
      <c r="AA227" s="3124">
        <v>25000</v>
      </c>
      <c r="AB227" t="s">
        <v>1195</v>
      </c>
      <c r="AC227" s="3124"/>
    </row>
    <row r="228" spans="1:29">
      <c r="A228" s="3124">
        <v>227</v>
      </c>
      <c r="B228" s="3124" t="s">
        <v>1621</v>
      </c>
      <c r="C228" s="3124" t="s">
        <v>1411</v>
      </c>
      <c r="D228" s="3124" t="s">
        <v>2644</v>
      </c>
      <c r="E228" t="s">
        <v>4572</v>
      </c>
      <c r="F228" s="3234" t="s">
        <v>2279</v>
      </c>
      <c r="G228" s="3124" t="s">
        <v>1853</v>
      </c>
      <c r="H228" s="3124">
        <v>20</v>
      </c>
      <c r="I228" s="3124">
        <v>20</v>
      </c>
      <c r="J228" s="3124"/>
      <c r="K228" s="3124">
        <v>2000</v>
      </c>
      <c r="L228" s="3124">
        <v>2000</v>
      </c>
      <c r="M228" s="3124" t="s">
        <v>2125</v>
      </c>
      <c r="N228" s="3192">
        <v>43604</v>
      </c>
      <c r="O228" s="3192">
        <v>44184</v>
      </c>
      <c r="P228" s="3192">
        <v>43604</v>
      </c>
      <c r="Q228" s="3192">
        <v>44184</v>
      </c>
      <c r="R228" s="3124" t="s">
        <v>433</v>
      </c>
      <c r="S228" s="3124" t="s">
        <v>1640</v>
      </c>
      <c r="T228" s="3124" t="s">
        <v>1850</v>
      </c>
      <c r="U228" t="s">
        <v>1761</v>
      </c>
      <c r="V228" s="3124">
        <v>5000</v>
      </c>
      <c r="W228" s="3193">
        <v>0.6</v>
      </c>
      <c r="X228" s="3124">
        <v>3000</v>
      </c>
      <c r="Y228" s="3124">
        <v>2</v>
      </c>
      <c r="Z228" s="3124">
        <v>0</v>
      </c>
      <c r="AA228" s="3124">
        <v>25000</v>
      </c>
      <c r="AB228" t="s">
        <v>1195</v>
      </c>
      <c r="AC228" s="3124"/>
    </row>
    <row r="229" spans="1:29">
      <c r="A229" s="3124">
        <v>228</v>
      </c>
      <c r="B229" s="3124" t="s">
        <v>1625</v>
      </c>
      <c r="C229" s="3124" t="s">
        <v>998</v>
      </c>
      <c r="D229" s="3124" t="s">
        <v>1013</v>
      </c>
      <c r="E229" t="s">
        <v>1000</v>
      </c>
      <c r="F229" s="3234">
        <v>9381159013</v>
      </c>
      <c r="G229" s="3124" t="s">
        <v>2280</v>
      </c>
      <c r="H229" s="3124">
        <v>20</v>
      </c>
      <c r="I229" s="3124">
        <v>20</v>
      </c>
      <c r="J229" s="3124"/>
      <c r="K229" s="3124">
        <v>3000</v>
      </c>
      <c r="L229" s="3124">
        <v>2800</v>
      </c>
      <c r="M229" s="3124" t="s">
        <v>2039</v>
      </c>
      <c r="N229" s="3192">
        <v>43831</v>
      </c>
      <c r="O229" s="3192">
        <v>44409</v>
      </c>
      <c r="P229" s="3192">
        <v>43831</v>
      </c>
      <c r="Q229" s="3192">
        <v>44409</v>
      </c>
      <c r="R229" s="3124" t="s">
        <v>432</v>
      </c>
      <c r="S229" s="3124" t="s">
        <v>1690</v>
      </c>
      <c r="T229" s="3124" t="s">
        <v>1838</v>
      </c>
      <c r="U229" t="s">
        <v>1761</v>
      </c>
      <c r="V229" s="3124">
        <v>5000</v>
      </c>
      <c r="W229" s="3193">
        <v>0.44</v>
      </c>
      <c r="X229" s="3124">
        <v>2200</v>
      </c>
      <c r="Y229" s="3124">
        <v>2</v>
      </c>
      <c r="Z229" s="3124">
        <v>0</v>
      </c>
      <c r="AA229" s="3124">
        <v>25000</v>
      </c>
      <c r="AB229" t="s">
        <v>1195</v>
      </c>
      <c r="AC229" s="3124"/>
    </row>
    <row r="230" spans="1:29">
      <c r="A230" s="3124">
        <v>229</v>
      </c>
      <c r="B230" s="3124" t="s">
        <v>1621</v>
      </c>
      <c r="C230" s="3124" t="s">
        <v>624</v>
      </c>
      <c r="D230" s="3124" t="s">
        <v>625</v>
      </c>
      <c r="E230" t="s">
        <v>4517</v>
      </c>
      <c r="F230" s="3234">
        <v>9841277706</v>
      </c>
      <c r="G230" s="3124" t="s">
        <v>1846</v>
      </c>
      <c r="H230" s="3124">
        <v>20</v>
      </c>
      <c r="I230" s="3124">
        <v>20</v>
      </c>
      <c r="J230" s="3124"/>
      <c r="K230" s="3124">
        <v>2000</v>
      </c>
      <c r="L230" s="3124">
        <v>2000</v>
      </c>
      <c r="M230" s="3124" t="s">
        <v>564</v>
      </c>
      <c r="N230" s="3192">
        <v>43881</v>
      </c>
      <c r="O230" s="3192">
        <v>44459</v>
      </c>
      <c r="P230" s="3192">
        <v>43881</v>
      </c>
      <c r="Q230" s="3192">
        <v>44459</v>
      </c>
      <c r="R230" s="3124" t="s">
        <v>432</v>
      </c>
      <c r="S230" s="3124" t="s">
        <v>1640</v>
      </c>
      <c r="T230" s="3124" t="s">
        <v>1850</v>
      </c>
      <c r="U230" t="s">
        <v>1761</v>
      </c>
      <c r="V230" s="3124">
        <v>5000</v>
      </c>
      <c r="W230" s="3193">
        <v>0.6</v>
      </c>
      <c r="X230" s="3124">
        <v>3000</v>
      </c>
      <c r="Y230" s="3124">
        <v>2</v>
      </c>
      <c r="Z230" s="3124">
        <v>0</v>
      </c>
      <c r="AA230" s="3124">
        <v>25000</v>
      </c>
      <c r="AB230" t="s">
        <v>1195</v>
      </c>
      <c r="AC230" s="3124"/>
    </row>
    <row r="231" spans="1:29">
      <c r="A231" s="3124">
        <v>230</v>
      </c>
      <c r="B231" s="3124" t="s">
        <v>1621</v>
      </c>
      <c r="C231" s="3124" t="s">
        <v>748</v>
      </c>
      <c r="D231" s="3124" t="s">
        <v>2645</v>
      </c>
      <c r="E231" t="s">
        <v>749</v>
      </c>
      <c r="F231" s="3234" t="s">
        <v>1882</v>
      </c>
      <c r="G231" s="3124" t="s">
        <v>1883</v>
      </c>
      <c r="H231" s="3124">
        <v>20</v>
      </c>
      <c r="I231" s="3124">
        <v>20</v>
      </c>
      <c r="J231" s="3124"/>
      <c r="K231" s="3124">
        <v>2000</v>
      </c>
      <c r="L231" s="3124">
        <v>2180</v>
      </c>
      <c r="M231" s="3124" t="s">
        <v>2646</v>
      </c>
      <c r="N231" s="3192">
        <v>44228</v>
      </c>
      <c r="O231" s="3192">
        <v>44805</v>
      </c>
      <c r="P231" s="3192">
        <v>44562</v>
      </c>
      <c r="Q231" s="3192">
        <v>45139</v>
      </c>
      <c r="R231" s="3124" t="s">
        <v>432</v>
      </c>
      <c r="S231" s="3124" t="s">
        <v>1640</v>
      </c>
      <c r="T231" s="3124" t="s">
        <v>1850</v>
      </c>
      <c r="U231" t="s">
        <v>1195</v>
      </c>
      <c r="V231" s="3124">
        <v>5000</v>
      </c>
      <c r="W231" s="3193">
        <v>0.56399999999999995</v>
      </c>
      <c r="X231" s="3124">
        <v>2820</v>
      </c>
      <c r="Y231" s="3124">
        <v>2</v>
      </c>
      <c r="Z231" s="3124">
        <v>0</v>
      </c>
      <c r="AA231" s="3124">
        <v>25000</v>
      </c>
      <c r="AB231" t="s">
        <v>1195</v>
      </c>
      <c r="AC231" s="3124"/>
    </row>
    <row r="232" spans="1:29">
      <c r="A232" s="3124">
        <v>231</v>
      </c>
      <c r="B232" s="3124" t="s">
        <v>1621</v>
      </c>
      <c r="C232" s="3124" t="s">
        <v>741</v>
      </c>
      <c r="D232" s="3124" t="s">
        <v>742</v>
      </c>
      <c r="E232" t="s">
        <v>762</v>
      </c>
      <c r="F232" s="3234">
        <v>9981305947</v>
      </c>
      <c r="G232" s="3124" t="s">
        <v>2281</v>
      </c>
      <c r="H232" s="3124">
        <v>20</v>
      </c>
      <c r="I232" s="3124">
        <v>20</v>
      </c>
      <c r="J232" s="3124"/>
      <c r="K232" s="3124">
        <v>2000</v>
      </c>
      <c r="L232" s="3124">
        <v>2180.0000000000005</v>
      </c>
      <c r="M232" s="3124" t="s">
        <v>2646</v>
      </c>
      <c r="N232" s="3192">
        <v>44317</v>
      </c>
      <c r="O232" s="3192">
        <v>44896</v>
      </c>
      <c r="P232" s="3192">
        <v>44317</v>
      </c>
      <c r="Q232" s="3192">
        <v>44896</v>
      </c>
      <c r="R232" s="3124" t="s">
        <v>432</v>
      </c>
      <c r="S232" s="3124" t="s">
        <v>1640</v>
      </c>
      <c r="T232" s="3124" t="s">
        <v>1850</v>
      </c>
      <c r="U232" t="s">
        <v>1195</v>
      </c>
      <c r="V232" s="3124">
        <v>5000</v>
      </c>
      <c r="W232" s="3193">
        <v>0.56399999999999995</v>
      </c>
      <c r="X232" s="3124">
        <v>2819.9999999999995</v>
      </c>
      <c r="Y232" s="3124">
        <v>2</v>
      </c>
      <c r="Z232" s="3124">
        <v>0</v>
      </c>
      <c r="AA232" s="3124">
        <v>25000</v>
      </c>
      <c r="AB232" t="s">
        <v>1195</v>
      </c>
      <c r="AC232" s="3124"/>
    </row>
    <row r="233" spans="1:29">
      <c r="A233" s="3124">
        <v>232</v>
      </c>
      <c r="B233" s="3124" t="s">
        <v>1123</v>
      </c>
      <c r="C233" s="3124" t="s">
        <v>1315</v>
      </c>
      <c r="D233" s="3124" t="s">
        <v>1313</v>
      </c>
      <c r="E233" t="s">
        <v>1317</v>
      </c>
      <c r="F233" s="3234" t="s">
        <v>2282</v>
      </c>
      <c r="G233" s="3124" t="s">
        <v>4573</v>
      </c>
      <c r="H233" s="3124">
        <v>6</v>
      </c>
      <c r="I233" s="3124">
        <v>4</v>
      </c>
      <c r="J233" s="3124"/>
      <c r="K233" s="3124"/>
      <c r="L233" s="3124">
        <v>2285</v>
      </c>
      <c r="M233" s="3124" t="s">
        <v>1207</v>
      </c>
      <c r="N233" s="3192">
        <v>44440</v>
      </c>
      <c r="O233" s="3192">
        <v>44531</v>
      </c>
      <c r="P233" s="3192">
        <v>44440</v>
      </c>
      <c r="Q233" s="3192">
        <v>44593</v>
      </c>
      <c r="R233" s="3124" t="s">
        <v>433</v>
      </c>
      <c r="S233" s="3124" t="s">
        <v>1939</v>
      </c>
      <c r="T233" s="3124" t="s">
        <v>1850</v>
      </c>
      <c r="U233" t="s">
        <v>1195</v>
      </c>
      <c r="V233" s="3124">
        <v>5000</v>
      </c>
      <c r="W233" s="3193">
        <v>0.54300000000000004</v>
      </c>
      <c r="X233" s="3124">
        <v>2715</v>
      </c>
      <c r="Y233" s="3124">
        <v>0</v>
      </c>
      <c r="Z233" s="3124">
        <v>6000</v>
      </c>
      <c r="AA233" s="3124">
        <v>23000</v>
      </c>
      <c r="AB233" t="s">
        <v>1195</v>
      </c>
      <c r="AC233" s="3124"/>
    </row>
    <row r="234" spans="1:29">
      <c r="A234" s="3124">
        <v>233</v>
      </c>
      <c r="B234" s="3124" t="s">
        <v>1625</v>
      </c>
      <c r="C234" s="3124" t="s">
        <v>2283</v>
      </c>
      <c r="D234" s="3124" t="s">
        <v>2284</v>
      </c>
      <c r="E234" t="s">
        <v>2285</v>
      </c>
      <c r="F234" s="3234" t="s">
        <v>2286</v>
      </c>
      <c r="G234" s="3124" t="s">
        <v>2287</v>
      </c>
      <c r="H234" s="3124">
        <v>20</v>
      </c>
      <c r="I234" s="3124">
        <v>20</v>
      </c>
      <c r="J234" s="3124"/>
      <c r="K234" s="3124">
        <v>3000</v>
      </c>
      <c r="L234" s="3124">
        <v>3350</v>
      </c>
      <c r="M234" s="3124" t="s">
        <v>2041</v>
      </c>
      <c r="N234" s="3192">
        <v>43831</v>
      </c>
      <c r="O234" s="3192">
        <v>44409</v>
      </c>
      <c r="P234" s="3192">
        <v>43831</v>
      </c>
      <c r="Q234" s="3192">
        <v>44409</v>
      </c>
      <c r="R234" s="3124" t="s">
        <v>433</v>
      </c>
      <c r="S234" s="3124" t="s">
        <v>1690</v>
      </c>
      <c r="T234" s="3124" t="s">
        <v>1850</v>
      </c>
      <c r="U234" t="s">
        <v>1195</v>
      </c>
      <c r="V234" s="3124">
        <v>6700</v>
      </c>
      <c r="W234" s="3193">
        <v>0.5</v>
      </c>
      <c r="X234" s="3124">
        <v>3350</v>
      </c>
      <c r="Y234" s="3124">
        <v>1</v>
      </c>
      <c r="Z234" s="3124">
        <v>0</v>
      </c>
      <c r="AA234" s="3124">
        <v>29000</v>
      </c>
      <c r="AB234" t="s">
        <v>1195</v>
      </c>
      <c r="AC234" s="3124"/>
    </row>
    <row r="235" spans="1:29">
      <c r="A235" s="3124">
        <v>234</v>
      </c>
      <c r="B235" s="3124" t="s">
        <v>1839</v>
      </c>
      <c r="C235" s="3124" t="s">
        <v>1543</v>
      </c>
      <c r="D235" s="3124" t="s">
        <v>2288</v>
      </c>
      <c r="E235" t="s">
        <v>1545</v>
      </c>
      <c r="F235" s="3234" t="s">
        <v>2289</v>
      </c>
      <c r="G235" s="3124" t="s">
        <v>2290</v>
      </c>
      <c r="H235" s="3124">
        <v>8</v>
      </c>
      <c r="I235" s="3124">
        <v>8</v>
      </c>
      <c r="J235" s="3124"/>
      <c r="K235" s="3124"/>
      <c r="L235" s="3124">
        <v>2180</v>
      </c>
      <c r="M235" s="3124" t="s">
        <v>1515</v>
      </c>
      <c r="N235" s="3192">
        <v>44352</v>
      </c>
      <c r="O235" s="3192">
        <v>44566</v>
      </c>
      <c r="P235" s="3192">
        <v>44352</v>
      </c>
      <c r="Q235" s="3192">
        <v>44566</v>
      </c>
      <c r="R235" s="3124" t="s">
        <v>433</v>
      </c>
      <c r="S235" s="3124" t="s">
        <v>1842</v>
      </c>
      <c r="T235" s="3124" t="s">
        <v>1850</v>
      </c>
      <c r="U235" t="s">
        <v>1195</v>
      </c>
      <c r="V235" s="3124">
        <v>3150</v>
      </c>
      <c r="W235" s="3193">
        <v>0.30793650793650795</v>
      </c>
      <c r="X235" s="3124">
        <v>970</v>
      </c>
      <c r="Y235" s="3124">
        <v>0</v>
      </c>
      <c r="Z235" s="3124">
        <v>5000</v>
      </c>
      <c r="AA235" s="3124">
        <v>18000</v>
      </c>
      <c r="AB235" t="s">
        <v>1195</v>
      </c>
      <c r="AC235" s="3124"/>
    </row>
    <row r="236" spans="1:29">
      <c r="A236" s="3124">
        <v>235</v>
      </c>
      <c r="B236" s="3124" t="s">
        <v>1764</v>
      </c>
      <c r="C236" s="3124" t="s">
        <v>865</v>
      </c>
      <c r="D236" s="3124" t="s">
        <v>866</v>
      </c>
      <c r="E236" t="s">
        <v>867</v>
      </c>
      <c r="F236" s="3234" t="s">
        <v>2291</v>
      </c>
      <c r="G236" s="3124" t="s">
        <v>2292</v>
      </c>
      <c r="H236" s="3124">
        <v>6</v>
      </c>
      <c r="I236" s="3124">
        <v>6</v>
      </c>
      <c r="J236" s="3124"/>
      <c r="K236" s="3124"/>
      <c r="L236" s="3124">
        <v>2180</v>
      </c>
      <c r="M236" s="3124" t="s">
        <v>2646</v>
      </c>
      <c r="N236" s="3192">
        <v>44317</v>
      </c>
      <c r="O236" s="3192">
        <v>44470</v>
      </c>
      <c r="P236" s="3192">
        <v>44317</v>
      </c>
      <c r="Q236" s="3192">
        <v>44470</v>
      </c>
      <c r="R236" s="3124" t="s">
        <v>432</v>
      </c>
      <c r="S236" s="3124" t="s">
        <v>1917</v>
      </c>
      <c r="T236" s="3124" t="s">
        <v>1918</v>
      </c>
      <c r="U236" t="s">
        <v>1195</v>
      </c>
      <c r="V236" s="3124">
        <v>5000</v>
      </c>
      <c r="W236" s="3193">
        <v>0.56399999999999995</v>
      </c>
      <c r="X236" s="3124">
        <v>2820</v>
      </c>
      <c r="Y236" s="3124">
        <v>0</v>
      </c>
      <c r="Z236" s="3124">
        <v>6000</v>
      </c>
      <c r="AA236" s="3124">
        <v>23000</v>
      </c>
      <c r="AB236" t="s">
        <v>1195</v>
      </c>
      <c r="AC236" s="3124"/>
    </row>
    <row r="237" spans="1:29">
      <c r="A237" s="3124">
        <v>236</v>
      </c>
      <c r="B237" s="3124" t="s">
        <v>1839</v>
      </c>
      <c r="C237" s="3124" t="s">
        <v>1490</v>
      </c>
      <c r="D237" s="3124" t="s">
        <v>1488</v>
      </c>
      <c r="E237" t="s">
        <v>1492</v>
      </c>
      <c r="F237" s="3234" t="s">
        <v>2293</v>
      </c>
      <c r="G237" s="3124" t="s">
        <v>2294</v>
      </c>
      <c r="H237" s="3124">
        <v>8</v>
      </c>
      <c r="I237" s="3124">
        <v>8</v>
      </c>
      <c r="J237" s="3124"/>
      <c r="K237" s="3124"/>
      <c r="L237" s="3124">
        <v>2180</v>
      </c>
      <c r="M237" s="3124" t="s">
        <v>1515</v>
      </c>
      <c r="N237" s="3192">
        <v>44352</v>
      </c>
      <c r="O237" s="3192">
        <v>44566</v>
      </c>
      <c r="P237" s="3192">
        <v>44352</v>
      </c>
      <c r="Q237" s="3192">
        <v>44566</v>
      </c>
      <c r="R237" s="3124" t="s">
        <v>432</v>
      </c>
      <c r="S237" s="3124" t="s">
        <v>1842</v>
      </c>
      <c r="T237" s="3124" t="s">
        <v>1850</v>
      </c>
      <c r="U237" t="s">
        <v>1195</v>
      </c>
      <c r="V237" s="3124">
        <v>3150</v>
      </c>
      <c r="W237" s="3193">
        <v>0.30793650793650795</v>
      </c>
      <c r="X237" s="3124">
        <v>970</v>
      </c>
      <c r="Y237" s="3124">
        <v>0</v>
      </c>
      <c r="Z237" s="3124">
        <v>5000</v>
      </c>
      <c r="AA237" s="3124">
        <v>18000</v>
      </c>
      <c r="AB237" t="s">
        <v>1195</v>
      </c>
      <c r="AC237" s="3124"/>
    </row>
    <row r="238" spans="1:29">
      <c r="A238" s="3124">
        <v>237</v>
      </c>
      <c r="B238" s="3124" t="s">
        <v>1625</v>
      </c>
      <c r="C238" s="3124" t="s">
        <v>996</v>
      </c>
      <c r="D238" s="3124" t="s">
        <v>1011</v>
      </c>
      <c r="E238" t="s">
        <v>997</v>
      </c>
      <c r="F238" s="3234" t="s">
        <v>2295</v>
      </c>
      <c r="G238" s="3124" t="s">
        <v>2296</v>
      </c>
      <c r="H238" s="3124">
        <v>24</v>
      </c>
      <c r="I238" s="3124">
        <v>20</v>
      </c>
      <c r="J238" s="3124"/>
      <c r="K238" s="3124">
        <v>3000</v>
      </c>
      <c r="L238" s="3124">
        <v>2800</v>
      </c>
      <c r="M238" s="3124" t="s">
        <v>2039</v>
      </c>
      <c r="N238" s="3192">
        <v>43831</v>
      </c>
      <c r="O238" s="3192">
        <v>44409</v>
      </c>
      <c r="P238" s="3192">
        <v>43831</v>
      </c>
      <c r="Q238" s="3192">
        <v>44531</v>
      </c>
      <c r="R238" s="3124" t="s">
        <v>432</v>
      </c>
      <c r="S238" s="3124" t="s">
        <v>1690</v>
      </c>
      <c r="T238" s="3124" t="s">
        <v>1838</v>
      </c>
      <c r="U238" t="s">
        <v>1195</v>
      </c>
      <c r="V238" s="3124">
        <v>5000</v>
      </c>
      <c r="W238" s="3193">
        <v>0.44</v>
      </c>
      <c r="X238" s="3124">
        <v>2200</v>
      </c>
      <c r="Y238" s="3124">
        <v>2</v>
      </c>
      <c r="Z238" s="3124">
        <v>0</v>
      </c>
      <c r="AA238" s="3124">
        <v>25000</v>
      </c>
      <c r="AB238" t="s">
        <v>1195</v>
      </c>
      <c r="AC238" s="3124"/>
    </row>
    <row r="239" spans="1:29">
      <c r="A239" s="3124">
        <v>238</v>
      </c>
      <c r="B239" s="3124" t="s">
        <v>1621</v>
      </c>
      <c r="C239" s="3124" t="s">
        <v>2297</v>
      </c>
      <c r="D239" s="3124" t="s">
        <v>2298</v>
      </c>
      <c r="E239" t="s">
        <v>4574</v>
      </c>
      <c r="F239" s="3234" t="s">
        <v>2299</v>
      </c>
      <c r="G239" s="3124" t="s">
        <v>4575</v>
      </c>
      <c r="H239" s="3124">
        <v>20</v>
      </c>
      <c r="I239" s="3124">
        <v>20</v>
      </c>
      <c r="J239" s="3124"/>
      <c r="K239" s="3124">
        <v>2000</v>
      </c>
      <c r="L239" s="3124">
        <v>2180</v>
      </c>
      <c r="M239" s="3124" t="s">
        <v>1694</v>
      </c>
      <c r="N239" s="3192">
        <v>44317</v>
      </c>
      <c r="O239" s="3192">
        <v>44896</v>
      </c>
      <c r="P239" s="3192">
        <v>44317</v>
      </c>
      <c r="Q239" s="3192">
        <v>44896</v>
      </c>
      <c r="R239" s="3124" t="s">
        <v>432</v>
      </c>
      <c r="S239" s="3124" t="s">
        <v>1640</v>
      </c>
      <c r="T239" s="3124" t="s">
        <v>1918</v>
      </c>
      <c r="U239" t="s">
        <v>1869</v>
      </c>
      <c r="V239" s="3124">
        <v>5000</v>
      </c>
      <c r="W239" s="3193">
        <v>0.56399999999999995</v>
      </c>
      <c r="X239" s="3124">
        <v>2820</v>
      </c>
      <c r="Y239" s="3124">
        <v>2</v>
      </c>
      <c r="Z239" s="3124">
        <v>0</v>
      </c>
      <c r="AA239" s="3124">
        <v>25000</v>
      </c>
      <c r="AB239" t="s">
        <v>1869</v>
      </c>
      <c r="AC239" s="3124"/>
    </row>
    <row r="240" spans="1:29">
      <c r="A240" s="3124">
        <v>239</v>
      </c>
      <c r="B240" s="3124" t="s">
        <v>1123</v>
      </c>
      <c r="C240" s="3124" t="s">
        <v>1304</v>
      </c>
      <c r="D240" s="3124" t="s">
        <v>1305</v>
      </c>
      <c r="E240" t="s">
        <v>4576</v>
      </c>
      <c r="F240" s="3234" t="s">
        <v>2300</v>
      </c>
      <c r="G240" s="3124" t="s">
        <v>2301</v>
      </c>
      <c r="H240" s="3124">
        <v>6</v>
      </c>
      <c r="I240" s="3124">
        <v>4</v>
      </c>
      <c r="J240" s="3124"/>
      <c r="K240" s="3124"/>
      <c r="L240" s="3124">
        <v>5333</v>
      </c>
      <c r="M240" s="3124" t="s">
        <v>1207</v>
      </c>
      <c r="N240" s="3192">
        <v>44440</v>
      </c>
      <c r="O240" s="3192">
        <v>44531</v>
      </c>
      <c r="P240" s="3192">
        <v>44440</v>
      </c>
      <c r="Q240" s="3192">
        <v>44593</v>
      </c>
      <c r="R240" s="3124" t="s">
        <v>433</v>
      </c>
      <c r="S240" s="3124" t="s">
        <v>1939</v>
      </c>
      <c r="T240" s="3124" t="s">
        <v>1850</v>
      </c>
      <c r="U240" t="s">
        <v>1195</v>
      </c>
      <c r="V240" s="3124">
        <v>5000</v>
      </c>
      <c r="W240" s="3193">
        <v>-6.6600000000000006E-2</v>
      </c>
      <c r="X240" s="3124">
        <v>-333</v>
      </c>
      <c r="Y240" s="3124">
        <v>0</v>
      </c>
      <c r="Z240" s="3124">
        <v>6000</v>
      </c>
      <c r="AA240" s="3124">
        <v>23000</v>
      </c>
      <c r="AB240" t="s">
        <v>1195</v>
      </c>
      <c r="AC240" s="3124"/>
    </row>
    <row r="241" spans="1:29">
      <c r="A241" s="3124">
        <v>240</v>
      </c>
      <c r="B241" s="3124" t="s">
        <v>1764</v>
      </c>
      <c r="C241" s="3124" t="s">
        <v>868</v>
      </c>
      <c r="D241" s="3124" t="s">
        <v>870</v>
      </c>
      <c r="E241" t="s">
        <v>869</v>
      </c>
      <c r="F241" s="3234" t="s">
        <v>2303</v>
      </c>
      <c r="G241" s="3124" t="s">
        <v>2304</v>
      </c>
      <c r="H241" s="3124">
        <v>6</v>
      </c>
      <c r="I241" s="3124">
        <v>6</v>
      </c>
      <c r="J241" s="3124"/>
      <c r="K241" s="3124"/>
      <c r="L241" s="3124">
        <v>2180</v>
      </c>
      <c r="M241" s="3124" t="s">
        <v>2646</v>
      </c>
      <c r="N241" s="3192">
        <v>44348</v>
      </c>
      <c r="O241" s="3192">
        <v>44501</v>
      </c>
      <c r="P241" s="3192">
        <v>44348</v>
      </c>
      <c r="Q241" s="3192">
        <v>44501</v>
      </c>
      <c r="R241" s="3124" t="s">
        <v>432</v>
      </c>
      <c r="S241" s="3124" t="s">
        <v>1917</v>
      </c>
      <c r="T241" s="3124" t="s">
        <v>1918</v>
      </c>
      <c r="U241" t="s">
        <v>1195</v>
      </c>
      <c r="V241" s="3124">
        <v>5000</v>
      </c>
      <c r="W241" s="3193">
        <v>0.56399999999999995</v>
      </c>
      <c r="X241" s="3124">
        <v>2820</v>
      </c>
      <c r="Y241" s="3124">
        <v>0</v>
      </c>
      <c r="Z241" s="3124">
        <v>6000</v>
      </c>
      <c r="AA241" s="3124">
        <v>23000</v>
      </c>
      <c r="AB241" t="s">
        <v>1195</v>
      </c>
      <c r="AC241" s="3124"/>
    </row>
    <row r="242" spans="1:29">
      <c r="A242" s="3124">
        <v>241</v>
      </c>
      <c r="B242" s="3124" t="s">
        <v>1621</v>
      </c>
      <c r="C242" s="3124" t="s">
        <v>746</v>
      </c>
      <c r="D242" s="3124" t="s">
        <v>2210</v>
      </c>
      <c r="E242" t="s">
        <v>747</v>
      </c>
      <c r="F242" s="3234" t="s">
        <v>2305</v>
      </c>
      <c r="G242" s="3124" t="s">
        <v>2306</v>
      </c>
      <c r="H242" s="3124">
        <v>20</v>
      </c>
      <c r="I242" s="3124">
        <v>20</v>
      </c>
      <c r="J242" s="3124"/>
      <c r="K242" s="3124">
        <v>2000</v>
      </c>
      <c r="L242" s="3124">
        <v>2180</v>
      </c>
      <c r="M242" s="3124" t="s">
        <v>2631</v>
      </c>
      <c r="N242" s="3192">
        <v>44348</v>
      </c>
      <c r="O242" s="3192">
        <v>44927</v>
      </c>
      <c r="P242" s="3192">
        <v>44348</v>
      </c>
      <c r="Q242" s="3192">
        <v>44927</v>
      </c>
      <c r="R242" s="3124" t="s">
        <v>433</v>
      </c>
      <c r="S242" s="3124" t="s">
        <v>1640</v>
      </c>
      <c r="T242" s="3124" t="s">
        <v>1850</v>
      </c>
      <c r="U242" t="s">
        <v>1761</v>
      </c>
      <c r="V242" s="3124">
        <v>5000</v>
      </c>
      <c r="W242" s="3193">
        <v>0.56399999999999995</v>
      </c>
      <c r="X242" s="3124">
        <v>2820</v>
      </c>
      <c r="Y242" s="3124">
        <v>2</v>
      </c>
      <c r="Z242" s="3124">
        <v>0</v>
      </c>
      <c r="AA242" s="3124">
        <v>25000</v>
      </c>
      <c r="AB242" t="s">
        <v>1195</v>
      </c>
      <c r="AC242" s="3124"/>
    </row>
    <row r="243" spans="1:29">
      <c r="A243" s="3124">
        <v>242</v>
      </c>
      <c r="B243" s="3124" t="s">
        <v>1621</v>
      </c>
      <c r="C243" s="3124" t="s">
        <v>744</v>
      </c>
      <c r="D243" s="3124" t="s">
        <v>492</v>
      </c>
      <c r="E243" t="s">
        <v>1489</v>
      </c>
      <c r="F243" s="3234">
        <v>3313451175</v>
      </c>
      <c r="G243" s="3124" t="s">
        <v>1879</v>
      </c>
      <c r="H243" s="3124">
        <v>20</v>
      </c>
      <c r="I243" s="3124">
        <v>20</v>
      </c>
      <c r="J243" s="3124"/>
      <c r="K243" s="3124">
        <v>2000</v>
      </c>
      <c r="L243" s="3124">
        <v>2180</v>
      </c>
      <c r="M243" s="3124" t="s">
        <v>2631</v>
      </c>
      <c r="N243" s="3192">
        <v>44317</v>
      </c>
      <c r="O243" s="3192">
        <v>44896</v>
      </c>
      <c r="P243" s="3192">
        <v>44317</v>
      </c>
      <c r="Q243" s="3192">
        <v>44896</v>
      </c>
      <c r="R243" s="3124" t="s">
        <v>433</v>
      </c>
      <c r="S243" s="3124" t="s">
        <v>1640</v>
      </c>
      <c r="T243" s="3124" t="s">
        <v>1850</v>
      </c>
      <c r="U243" t="s">
        <v>1195</v>
      </c>
      <c r="V243" s="3124">
        <v>5000</v>
      </c>
      <c r="W243" s="3193">
        <v>0.56399999999999995</v>
      </c>
      <c r="X243" s="3124">
        <v>2820</v>
      </c>
      <c r="Y243" s="3124">
        <v>2</v>
      </c>
      <c r="Z243" s="3124">
        <v>0</v>
      </c>
      <c r="AA243" s="3124">
        <v>25000</v>
      </c>
      <c r="AB243" t="s">
        <v>1195</v>
      </c>
      <c r="AC243" s="3124"/>
    </row>
    <row r="244" spans="1:29">
      <c r="A244" s="3124">
        <v>243</v>
      </c>
      <c r="B244" s="3124" t="s">
        <v>1123</v>
      </c>
      <c r="C244" s="3124" t="s">
        <v>2308</v>
      </c>
      <c r="D244" s="3124" t="s">
        <v>1004</v>
      </c>
      <c r="E244" t="s">
        <v>1005</v>
      </c>
      <c r="F244" s="3234" t="s">
        <v>2309</v>
      </c>
      <c r="G244" s="3124" t="s">
        <v>4577</v>
      </c>
      <c r="H244" s="3124">
        <v>4</v>
      </c>
      <c r="I244" s="3124">
        <v>4</v>
      </c>
      <c r="J244" s="3124"/>
      <c r="K244" s="3124">
        <v>0</v>
      </c>
      <c r="L244" s="3124">
        <v>3350</v>
      </c>
      <c r="M244" s="3221" t="s">
        <v>1207</v>
      </c>
      <c r="N244" s="3192">
        <v>44348</v>
      </c>
      <c r="O244" s="3192">
        <v>44440</v>
      </c>
      <c r="P244" s="3192">
        <v>44348</v>
      </c>
      <c r="Q244" s="3192">
        <v>44440</v>
      </c>
      <c r="R244" s="3124" t="s">
        <v>432</v>
      </c>
      <c r="S244" s="3124" t="s">
        <v>1939</v>
      </c>
      <c r="T244" s="3124" t="s">
        <v>1850</v>
      </c>
      <c r="U244" t="s">
        <v>1195</v>
      </c>
      <c r="V244" s="3124">
        <v>6700</v>
      </c>
      <c r="W244" s="3193">
        <v>0.5</v>
      </c>
      <c r="X244" s="3124">
        <v>3350</v>
      </c>
      <c r="Y244" s="3124">
        <v>0</v>
      </c>
      <c r="Z244" s="3124">
        <v>8000</v>
      </c>
      <c r="AA244" s="3124">
        <v>25000</v>
      </c>
      <c r="AB244" t="s">
        <v>1195</v>
      </c>
      <c r="AC244" s="3124"/>
    </row>
    <row r="245" spans="1:29">
      <c r="A245" s="3124">
        <v>244</v>
      </c>
      <c r="B245" s="3124" t="s">
        <v>1123</v>
      </c>
      <c r="C245" s="3124" t="s">
        <v>2310</v>
      </c>
      <c r="D245" s="3124" t="s">
        <v>1006</v>
      </c>
      <c r="E245" t="s">
        <v>1007</v>
      </c>
      <c r="F245" s="3234" t="s">
        <v>2311</v>
      </c>
      <c r="G245" s="3190" t="s">
        <v>4578</v>
      </c>
      <c r="H245" s="3124">
        <v>4</v>
      </c>
      <c r="I245" s="3124">
        <v>4</v>
      </c>
      <c r="J245" s="3124"/>
      <c r="K245" s="3124">
        <v>0</v>
      </c>
      <c r="L245" s="3124">
        <v>3350</v>
      </c>
      <c r="M245" s="3124" t="s">
        <v>1207</v>
      </c>
      <c r="N245" s="3192">
        <v>44348</v>
      </c>
      <c r="O245" s="3192">
        <v>44440</v>
      </c>
      <c r="P245" s="3192">
        <v>44348</v>
      </c>
      <c r="Q245" s="3192">
        <v>44440</v>
      </c>
      <c r="R245" s="3124" t="s">
        <v>433</v>
      </c>
      <c r="S245" s="3124" t="s">
        <v>1939</v>
      </c>
      <c r="T245" s="3124" t="s">
        <v>1850</v>
      </c>
      <c r="U245" t="s">
        <v>1195</v>
      </c>
      <c r="V245" s="3124">
        <v>6700</v>
      </c>
      <c r="W245" s="3193">
        <v>0.5</v>
      </c>
      <c r="X245" s="3124">
        <v>3350</v>
      </c>
      <c r="Y245" s="3124">
        <v>0</v>
      </c>
      <c r="Z245" s="3124">
        <v>8000</v>
      </c>
      <c r="AA245" s="3124">
        <v>25000</v>
      </c>
      <c r="AB245" t="s">
        <v>1195</v>
      </c>
      <c r="AC245" s="3124"/>
    </row>
    <row r="246" spans="1:29">
      <c r="A246" s="3124">
        <v>245</v>
      </c>
      <c r="B246" s="3124" t="s">
        <v>1123</v>
      </c>
      <c r="C246" s="3124" t="s">
        <v>2312</v>
      </c>
      <c r="D246" s="3124" t="s">
        <v>1002</v>
      </c>
      <c r="E246" t="s">
        <v>1003</v>
      </c>
      <c r="F246" s="3234">
        <v>9871412896</v>
      </c>
      <c r="G246" s="3124" t="s">
        <v>2313</v>
      </c>
      <c r="H246" s="3124">
        <v>4</v>
      </c>
      <c r="I246" s="3124">
        <v>4</v>
      </c>
      <c r="J246" s="3124"/>
      <c r="K246" s="3124">
        <v>0</v>
      </c>
      <c r="L246" s="3124">
        <v>3350</v>
      </c>
      <c r="M246" s="3124" t="s">
        <v>1207</v>
      </c>
      <c r="N246" s="3192">
        <v>44348</v>
      </c>
      <c r="O246" s="3192">
        <v>44440</v>
      </c>
      <c r="P246" s="3192">
        <v>44348</v>
      </c>
      <c r="Q246" s="3192">
        <v>44440</v>
      </c>
      <c r="R246" s="3124" t="s">
        <v>432</v>
      </c>
      <c r="S246" s="3124" t="s">
        <v>1939</v>
      </c>
      <c r="T246" s="3124" t="s">
        <v>1850</v>
      </c>
      <c r="U246" t="s">
        <v>1195</v>
      </c>
      <c r="V246" s="3124">
        <v>6700</v>
      </c>
      <c r="W246" s="3193">
        <v>0.5</v>
      </c>
      <c r="X246" s="3124">
        <v>3350</v>
      </c>
      <c r="Y246" s="3124">
        <v>0</v>
      </c>
      <c r="Z246" s="3124">
        <v>8000</v>
      </c>
      <c r="AA246" s="3124">
        <v>25000</v>
      </c>
      <c r="AB246" t="s">
        <v>1195</v>
      </c>
      <c r="AC246" s="3124"/>
    </row>
    <row r="247" spans="1:29">
      <c r="A247" s="3124">
        <v>246</v>
      </c>
      <c r="B247" s="3124" t="s">
        <v>1764</v>
      </c>
      <c r="C247" s="3124" t="s">
        <v>861</v>
      </c>
      <c r="D247" s="3124" t="s">
        <v>862</v>
      </c>
      <c r="E247" t="s">
        <v>4579</v>
      </c>
      <c r="F247" s="3234" t="s">
        <v>2314</v>
      </c>
      <c r="G247" s="3124" t="s">
        <v>2315</v>
      </c>
      <c r="H247" s="3124">
        <v>6</v>
      </c>
      <c r="I247" s="3124">
        <v>6</v>
      </c>
      <c r="J247" s="3124"/>
      <c r="K247" s="3124">
        <v>0</v>
      </c>
      <c r="L247" s="3124">
        <v>2180</v>
      </c>
      <c r="M247" s="3124" t="s">
        <v>813</v>
      </c>
      <c r="N247" s="3192">
        <v>44287</v>
      </c>
      <c r="O247" s="3192">
        <v>44440</v>
      </c>
      <c r="P247" s="3192">
        <v>44287</v>
      </c>
      <c r="Q247" s="3192">
        <v>44440</v>
      </c>
      <c r="R247" s="3124" t="s">
        <v>433</v>
      </c>
      <c r="S247" s="3124" t="s">
        <v>1917</v>
      </c>
      <c r="T247" s="3124" t="s">
        <v>1850</v>
      </c>
      <c r="U247" t="s">
        <v>1195</v>
      </c>
      <c r="V247" s="3124">
        <v>6700</v>
      </c>
      <c r="W247" s="3193">
        <v>0.67462686567164176</v>
      </c>
      <c r="X247" s="3124">
        <v>4520</v>
      </c>
      <c r="Y247" s="3124">
        <v>0</v>
      </c>
      <c r="Z247" s="3124">
        <v>8000</v>
      </c>
      <c r="AA247" s="3124">
        <v>25000</v>
      </c>
      <c r="AB247" t="s">
        <v>1195</v>
      </c>
      <c r="AC247" s="3124"/>
    </row>
    <row r="248" spans="1:29">
      <c r="A248" s="3124">
        <v>247</v>
      </c>
      <c r="B248" s="3124" t="s">
        <v>1839</v>
      </c>
      <c r="C248" s="3124" t="s">
        <v>1402</v>
      </c>
      <c r="D248" s="3124" t="s">
        <v>1403</v>
      </c>
      <c r="E248" s="3129" t="s">
        <v>1404</v>
      </c>
      <c r="F248" s="3234">
        <v>9831540545</v>
      </c>
      <c r="G248" s="3124" t="s">
        <v>2316</v>
      </c>
      <c r="H248" s="3124">
        <v>10</v>
      </c>
      <c r="I248" s="3124">
        <v>8</v>
      </c>
      <c r="J248" s="3124"/>
      <c r="K248" s="3124">
        <v>1000</v>
      </c>
      <c r="L248" s="3124">
        <v>4000</v>
      </c>
      <c r="M248" s="3124" t="s">
        <v>1345</v>
      </c>
      <c r="N248" s="3192">
        <v>44075</v>
      </c>
      <c r="O248" s="3192">
        <v>44287</v>
      </c>
      <c r="P248" s="3192">
        <v>44075</v>
      </c>
      <c r="Q248" s="3192">
        <v>44348</v>
      </c>
      <c r="R248" s="3124" t="s">
        <v>433</v>
      </c>
      <c r="S248" s="3124" t="s">
        <v>1842</v>
      </c>
      <c r="T248" s="3124" t="s">
        <v>1850</v>
      </c>
      <c r="U248" t="s">
        <v>1195</v>
      </c>
      <c r="V248" s="3124">
        <v>6700</v>
      </c>
      <c r="W248" s="3193">
        <v>0.40298507462686567</v>
      </c>
      <c r="X248" s="3124">
        <v>2700</v>
      </c>
      <c r="Y248" s="3124">
        <v>1</v>
      </c>
      <c r="Z248" s="3124">
        <v>0</v>
      </c>
      <c r="AA248" s="3124">
        <v>29000</v>
      </c>
      <c r="AB248" t="s">
        <v>1195</v>
      </c>
      <c r="AC248" s="3124"/>
    </row>
    <row r="249" spans="1:29">
      <c r="A249" s="3124">
        <v>248</v>
      </c>
      <c r="B249" s="3124" t="s">
        <v>1123</v>
      </c>
      <c r="C249" s="3124" t="s">
        <v>1106</v>
      </c>
      <c r="D249" s="3124" t="s">
        <v>1104</v>
      </c>
      <c r="E249" t="s">
        <v>1107</v>
      </c>
      <c r="F249" s="3234">
        <v>9981877745</v>
      </c>
      <c r="G249" s="3124" t="s">
        <v>2317</v>
      </c>
      <c r="H249" s="3124">
        <v>4</v>
      </c>
      <c r="I249" s="3124">
        <v>4</v>
      </c>
      <c r="J249" s="3124"/>
      <c r="K249" s="3124"/>
      <c r="L249" s="3124">
        <v>3350</v>
      </c>
      <c r="M249" s="3124" t="s">
        <v>1207</v>
      </c>
      <c r="N249" s="3192">
        <v>44604</v>
      </c>
      <c r="O249" s="3192">
        <v>44693</v>
      </c>
      <c r="P249" s="3192">
        <v>44604</v>
      </c>
      <c r="Q249" s="3192">
        <v>44693</v>
      </c>
      <c r="R249" s="3124" t="s">
        <v>433</v>
      </c>
      <c r="S249" s="3124" t="s">
        <v>1939</v>
      </c>
      <c r="T249" s="3124" t="s">
        <v>1850</v>
      </c>
      <c r="U249" t="s">
        <v>1195</v>
      </c>
      <c r="V249" s="3124">
        <v>3150</v>
      </c>
      <c r="W249" s="3193">
        <v>-6.3492063492063489E-2</v>
      </c>
      <c r="X249" s="3124">
        <v>-200</v>
      </c>
      <c r="Y249" s="3124">
        <v>0</v>
      </c>
      <c r="Z249" s="3124">
        <v>5000</v>
      </c>
      <c r="AA249" s="3124">
        <v>18000</v>
      </c>
      <c r="AB249" t="s">
        <v>1195</v>
      </c>
      <c r="AC249" s="3124"/>
    </row>
    <row r="250" spans="1:29">
      <c r="A250" s="3124">
        <v>249</v>
      </c>
      <c r="B250" s="3124" t="s">
        <v>1625</v>
      </c>
      <c r="C250" s="3124" t="s">
        <v>1230</v>
      </c>
      <c r="D250" s="3124" t="s">
        <v>1231</v>
      </c>
      <c r="E250" s="3137" t="s">
        <v>4580</v>
      </c>
      <c r="F250" s="3234" t="s">
        <v>2318</v>
      </c>
      <c r="G250" s="3124" t="s">
        <v>2647</v>
      </c>
      <c r="H250" s="3124">
        <v>24</v>
      </c>
      <c r="I250" s="3124">
        <v>20</v>
      </c>
      <c r="J250" s="3124"/>
      <c r="K250" s="3124">
        <v>2500</v>
      </c>
      <c r="L250" s="3124">
        <v>2800</v>
      </c>
      <c r="M250" s="3124" t="s">
        <v>1207</v>
      </c>
      <c r="N250" s="3192">
        <v>44348</v>
      </c>
      <c r="O250" s="3192">
        <v>44927</v>
      </c>
      <c r="P250" s="3192">
        <v>44348</v>
      </c>
      <c r="Q250" s="3192">
        <v>45047</v>
      </c>
      <c r="R250" s="3124" t="s">
        <v>432</v>
      </c>
      <c r="S250" s="3124" t="s">
        <v>1690</v>
      </c>
      <c r="T250" s="3124" t="s">
        <v>1850</v>
      </c>
      <c r="U250" t="s">
        <v>1195</v>
      </c>
      <c r="V250" s="3124">
        <v>6700</v>
      </c>
      <c r="W250" s="3193">
        <v>0.58208955223880599</v>
      </c>
      <c r="X250" s="3124">
        <v>3900</v>
      </c>
      <c r="Y250" s="3124">
        <v>1</v>
      </c>
      <c r="Z250" s="3124">
        <v>0</v>
      </c>
      <c r="AA250" s="3124">
        <v>29000</v>
      </c>
      <c r="AB250" t="s">
        <v>1195</v>
      </c>
      <c r="AC250" s="3124"/>
    </row>
    <row r="251" spans="1:29">
      <c r="A251" s="3124">
        <v>250</v>
      </c>
      <c r="B251" s="3124" t="s">
        <v>1625</v>
      </c>
      <c r="C251" s="3124" t="s">
        <v>1232</v>
      </c>
      <c r="D251" s="3124" t="s">
        <v>1263</v>
      </c>
      <c r="E251" t="s">
        <v>4581</v>
      </c>
      <c r="F251" s="3234" t="s">
        <v>2319</v>
      </c>
      <c r="G251" s="3124" t="s">
        <v>2320</v>
      </c>
      <c r="H251" s="3124">
        <v>20</v>
      </c>
      <c r="I251" s="3124">
        <v>20</v>
      </c>
      <c r="J251" s="3124">
        <v>3000</v>
      </c>
      <c r="K251" s="3124"/>
      <c r="L251" s="3124">
        <v>3350</v>
      </c>
      <c r="M251" s="3124" t="s">
        <v>1207</v>
      </c>
      <c r="N251" s="3192">
        <v>44348</v>
      </c>
      <c r="O251" s="3192">
        <v>44927</v>
      </c>
      <c r="P251" s="3192">
        <v>44383</v>
      </c>
      <c r="Q251" s="3192">
        <v>44963</v>
      </c>
      <c r="R251" s="3124" t="s">
        <v>432</v>
      </c>
      <c r="S251" s="3124" t="s">
        <v>1690</v>
      </c>
      <c r="T251" s="3124" t="s">
        <v>1918</v>
      </c>
      <c r="U251" t="s">
        <v>1195</v>
      </c>
      <c r="V251" s="3124">
        <v>6700</v>
      </c>
      <c r="W251" s="3193">
        <v>0.5</v>
      </c>
      <c r="X251" s="3124">
        <v>3350</v>
      </c>
      <c r="Y251" s="3124">
        <v>1</v>
      </c>
      <c r="Z251" s="3124">
        <v>0</v>
      </c>
      <c r="AA251" s="3124">
        <v>29000</v>
      </c>
      <c r="AB251" t="s">
        <v>1195</v>
      </c>
      <c r="AC251" s="3124"/>
    </row>
    <row r="252" spans="1:29">
      <c r="A252" s="3124">
        <v>251</v>
      </c>
      <c r="B252" s="3124" t="s">
        <v>1621</v>
      </c>
      <c r="C252" s="3124" t="s">
        <v>858</v>
      </c>
      <c r="D252" s="3124" t="s">
        <v>859</v>
      </c>
      <c r="E252" t="s">
        <v>860</v>
      </c>
      <c r="F252" s="3234" t="s">
        <v>2321</v>
      </c>
      <c r="G252" s="3124" t="s">
        <v>2322</v>
      </c>
      <c r="H252" s="3124">
        <v>20</v>
      </c>
      <c r="I252" s="3124">
        <v>20</v>
      </c>
      <c r="J252" s="3124"/>
      <c r="K252" s="3124">
        <v>2000</v>
      </c>
      <c r="L252" s="3124">
        <v>2180.0000000000005</v>
      </c>
      <c r="M252" s="3124" t="s">
        <v>813</v>
      </c>
      <c r="N252" s="3192">
        <v>43831</v>
      </c>
      <c r="O252" s="3192">
        <v>44409</v>
      </c>
      <c r="P252" s="3192">
        <v>43831</v>
      </c>
      <c r="Q252" s="3192">
        <v>44409</v>
      </c>
      <c r="R252" s="3124" t="s">
        <v>432</v>
      </c>
      <c r="S252" s="3124" t="s">
        <v>1640</v>
      </c>
      <c r="T252" s="3124" t="s">
        <v>1838</v>
      </c>
      <c r="U252" t="s">
        <v>1195</v>
      </c>
      <c r="V252" s="3124">
        <v>3150</v>
      </c>
      <c r="W252" s="3193">
        <v>0.30793650793650779</v>
      </c>
      <c r="X252" s="3124">
        <v>969.99999999999955</v>
      </c>
      <c r="Y252" s="3124">
        <v>0</v>
      </c>
      <c r="Z252" s="3124">
        <v>5000</v>
      </c>
      <c r="AA252" s="3124">
        <v>18000</v>
      </c>
      <c r="AB252" t="s">
        <v>1195</v>
      </c>
      <c r="AC252" s="3124"/>
    </row>
    <row r="253" spans="1:29">
      <c r="A253" s="3124">
        <v>252</v>
      </c>
      <c r="B253" s="3124" t="s">
        <v>1621</v>
      </c>
      <c r="C253" s="3124" t="s">
        <v>2323</v>
      </c>
      <c r="D253" s="3124" t="s">
        <v>761</v>
      </c>
      <c r="E253" t="s">
        <v>2324</v>
      </c>
      <c r="F253" s="3234" t="s">
        <v>2325</v>
      </c>
      <c r="G253" s="3124" t="s">
        <v>2326</v>
      </c>
      <c r="H253" s="3124">
        <v>20</v>
      </c>
      <c r="I253" s="3124">
        <v>20</v>
      </c>
      <c r="J253" s="3124"/>
      <c r="K253" s="3124"/>
      <c r="L253" s="3124">
        <v>2180</v>
      </c>
      <c r="M253" s="3124" t="s">
        <v>1694</v>
      </c>
      <c r="N253" s="3192">
        <v>44440</v>
      </c>
      <c r="O253" s="3192">
        <v>45017</v>
      </c>
      <c r="P253" s="3192">
        <v>44440</v>
      </c>
      <c r="Q253" s="3192">
        <v>45017</v>
      </c>
      <c r="R253" s="3124" t="s">
        <v>432</v>
      </c>
      <c r="S253" s="3124" t="s">
        <v>1640</v>
      </c>
      <c r="T253" s="3124" t="s">
        <v>1918</v>
      </c>
      <c r="U253" t="s">
        <v>629</v>
      </c>
      <c r="V253" s="3124">
        <v>5000</v>
      </c>
      <c r="W253" s="3193">
        <v>0.56399999999999995</v>
      </c>
      <c r="X253" s="3124">
        <v>2820</v>
      </c>
      <c r="Y253" s="3124">
        <v>2</v>
      </c>
      <c r="Z253" s="3124">
        <v>0</v>
      </c>
      <c r="AA253" s="3124">
        <v>25000</v>
      </c>
      <c r="AB253" t="s">
        <v>1869</v>
      </c>
      <c r="AC253" s="3124"/>
    </row>
    <row r="254" spans="1:29">
      <c r="A254" s="3124">
        <v>253</v>
      </c>
      <c r="B254" s="3124" t="s">
        <v>1839</v>
      </c>
      <c r="C254" s="3124" t="s">
        <v>1565</v>
      </c>
      <c r="D254" s="3124" t="s">
        <v>206</v>
      </c>
      <c r="E254" t="s">
        <v>1567</v>
      </c>
      <c r="F254" s="3234" t="s">
        <v>1946</v>
      </c>
      <c r="G254" s="3124" t="s">
        <v>1933</v>
      </c>
      <c r="H254" s="3124">
        <v>8</v>
      </c>
      <c r="I254" s="3124">
        <v>8</v>
      </c>
      <c r="J254" s="3124"/>
      <c r="K254" s="3124"/>
      <c r="L254" s="3124">
        <v>2180</v>
      </c>
      <c r="M254" s="3124" t="s">
        <v>1493</v>
      </c>
      <c r="N254" s="3192">
        <v>44378</v>
      </c>
      <c r="O254" s="3192">
        <v>44593</v>
      </c>
      <c r="P254" s="3192">
        <v>44378</v>
      </c>
      <c r="Q254" s="3192">
        <v>44593</v>
      </c>
      <c r="R254" s="3124" t="s">
        <v>433</v>
      </c>
      <c r="S254" s="3124" t="s">
        <v>1842</v>
      </c>
      <c r="T254" s="3124" t="s">
        <v>1850</v>
      </c>
      <c r="U254" t="s">
        <v>1869</v>
      </c>
      <c r="V254" s="3124">
        <v>3150</v>
      </c>
      <c r="W254" s="3193">
        <v>0.30793650793650795</v>
      </c>
      <c r="X254" s="3124">
        <v>970</v>
      </c>
      <c r="Y254" s="3124">
        <v>0</v>
      </c>
      <c r="Z254" s="3124">
        <v>5000</v>
      </c>
      <c r="AA254" s="3124">
        <v>18000</v>
      </c>
      <c r="AB254" t="s">
        <v>1869</v>
      </c>
      <c r="AC254" s="3124"/>
    </row>
    <row r="255" spans="1:29">
      <c r="A255" s="3124">
        <v>254</v>
      </c>
      <c r="B255" s="3124" t="s">
        <v>1839</v>
      </c>
      <c r="C255" s="3124" t="s">
        <v>1408</v>
      </c>
      <c r="D255" s="3124" t="s">
        <v>1409</v>
      </c>
      <c r="E255" t="s">
        <v>1410</v>
      </c>
      <c r="F255" s="3234">
        <v>6241296294</v>
      </c>
      <c r="G255" s="3124" t="s">
        <v>2327</v>
      </c>
      <c r="H255" s="3124">
        <v>8</v>
      </c>
      <c r="I255" s="3124">
        <v>8</v>
      </c>
      <c r="J255" s="3124"/>
      <c r="K255" s="3124">
        <v>1000</v>
      </c>
      <c r="L255" s="3124">
        <v>1875</v>
      </c>
      <c r="M255" s="3124" t="s">
        <v>1345</v>
      </c>
      <c r="N255" s="3192">
        <v>43678</v>
      </c>
      <c r="O255" s="3192">
        <v>43891</v>
      </c>
      <c r="P255" s="3192">
        <v>43678</v>
      </c>
      <c r="Q255" s="3192">
        <v>43891</v>
      </c>
      <c r="R255" s="3124" t="s">
        <v>432</v>
      </c>
      <c r="S255" s="3124" t="s">
        <v>1842</v>
      </c>
      <c r="T255" s="3124" t="s">
        <v>1850</v>
      </c>
      <c r="U255" t="s">
        <v>1195</v>
      </c>
      <c r="V255" s="3124">
        <v>3150</v>
      </c>
      <c r="W255" s="3193">
        <v>0.40476190476190477</v>
      </c>
      <c r="X255" s="3124">
        <v>1275</v>
      </c>
      <c r="Y255" s="3124">
        <v>0</v>
      </c>
      <c r="Z255" s="3124">
        <v>5000</v>
      </c>
      <c r="AA255" s="3124">
        <v>18000</v>
      </c>
      <c r="AB255" t="s">
        <v>1195</v>
      </c>
      <c r="AC255" s="3124"/>
    </row>
    <row r="256" spans="1:29">
      <c r="A256" s="3124">
        <v>255</v>
      </c>
      <c r="B256" s="3124" t="s">
        <v>1839</v>
      </c>
      <c r="C256" s="3124" t="s">
        <v>1568</v>
      </c>
      <c r="D256" s="3124" t="s">
        <v>1566</v>
      </c>
      <c r="E256" t="s">
        <v>1569</v>
      </c>
      <c r="F256" s="3234" t="s">
        <v>2328</v>
      </c>
      <c r="G256" s="3124" t="s">
        <v>2329</v>
      </c>
      <c r="H256" s="3124">
        <v>8</v>
      </c>
      <c r="I256" s="3124">
        <v>8</v>
      </c>
      <c r="J256" s="3124"/>
      <c r="K256" s="3124"/>
      <c r="L256" s="3124">
        <v>2180</v>
      </c>
      <c r="M256" s="3124" t="s">
        <v>1493</v>
      </c>
      <c r="N256" s="3192">
        <v>44378</v>
      </c>
      <c r="O256" s="3192">
        <v>44593</v>
      </c>
      <c r="P256" s="3192">
        <v>44378</v>
      </c>
      <c r="Q256" s="3192">
        <v>44593</v>
      </c>
      <c r="R256" s="3124" t="s">
        <v>432</v>
      </c>
      <c r="S256" s="3124" t="s">
        <v>1842</v>
      </c>
      <c r="T256" s="3124" t="s">
        <v>1850</v>
      </c>
      <c r="U256" t="s">
        <v>1761</v>
      </c>
      <c r="V256" s="3124">
        <v>3150</v>
      </c>
      <c r="W256" s="3193">
        <v>0.30793650793650795</v>
      </c>
      <c r="X256" s="3124">
        <v>970</v>
      </c>
      <c r="Y256" s="3124">
        <v>0</v>
      </c>
      <c r="Z256" s="3124">
        <v>5000</v>
      </c>
      <c r="AA256" s="3124">
        <v>18000</v>
      </c>
      <c r="AB256" t="s">
        <v>1195</v>
      </c>
      <c r="AC256" s="3124"/>
    </row>
    <row r="257" spans="1:29">
      <c r="A257" s="3124">
        <v>256</v>
      </c>
      <c r="B257" s="3124" t="s">
        <v>1123</v>
      </c>
      <c r="C257" s="3124" t="s">
        <v>1125</v>
      </c>
      <c r="D257" s="3124" t="s">
        <v>2330</v>
      </c>
      <c r="E257" t="s">
        <v>4582</v>
      </c>
      <c r="F257" s="3234" t="s">
        <v>4583</v>
      </c>
      <c r="G257" s="3124" t="s">
        <v>2331</v>
      </c>
      <c r="H257" s="3124">
        <v>4</v>
      </c>
      <c r="I257" s="3124">
        <v>4</v>
      </c>
      <c r="J257" s="3124"/>
      <c r="K257" s="3124"/>
      <c r="L257" s="3124">
        <v>3350</v>
      </c>
      <c r="M257" s="3124" t="s">
        <v>1207</v>
      </c>
      <c r="N257" s="3192">
        <v>44440</v>
      </c>
      <c r="O257" s="3192">
        <v>44531</v>
      </c>
      <c r="P257" s="3192">
        <v>44440</v>
      </c>
      <c r="Q257" s="3192">
        <v>44531</v>
      </c>
      <c r="R257" s="3124" t="s">
        <v>433</v>
      </c>
      <c r="S257" s="3124" t="s">
        <v>1939</v>
      </c>
      <c r="T257" s="3124" t="s">
        <v>1918</v>
      </c>
      <c r="U257" t="s">
        <v>1195</v>
      </c>
      <c r="V257" s="3124">
        <v>6700</v>
      </c>
      <c r="W257" s="3193">
        <v>0.5</v>
      </c>
      <c r="X257" s="3124">
        <v>3350</v>
      </c>
      <c r="Y257" s="3124">
        <v>0</v>
      </c>
      <c r="Z257" s="3124">
        <v>8000</v>
      </c>
      <c r="AA257" s="3124">
        <v>25000</v>
      </c>
      <c r="AB257" t="s">
        <v>1195</v>
      </c>
      <c r="AC257" s="3124"/>
    </row>
    <row r="258" spans="1:29">
      <c r="A258" s="3124">
        <v>257</v>
      </c>
      <c r="B258" s="3124" t="s">
        <v>1839</v>
      </c>
      <c r="C258" s="3124" t="s">
        <v>1573</v>
      </c>
      <c r="D258" s="3124" t="s">
        <v>1574</v>
      </c>
      <c r="E258" t="s">
        <v>1575</v>
      </c>
      <c r="F258" s="3234" t="s">
        <v>2332</v>
      </c>
      <c r="G258" s="3124" t="s">
        <v>2333</v>
      </c>
      <c r="H258" s="3124">
        <v>8</v>
      </c>
      <c r="I258" s="3124">
        <v>8</v>
      </c>
      <c r="J258" s="3124"/>
      <c r="K258" s="3124"/>
      <c r="L258" s="3124">
        <v>2180</v>
      </c>
      <c r="M258" s="3124" t="s">
        <v>1493</v>
      </c>
      <c r="N258" s="3192">
        <v>44378</v>
      </c>
      <c r="O258" s="3192">
        <v>44593</v>
      </c>
      <c r="P258" s="3192">
        <v>44378</v>
      </c>
      <c r="Q258" s="3192">
        <v>44593</v>
      </c>
      <c r="R258" s="3124" t="s">
        <v>432</v>
      </c>
      <c r="S258" s="3124" t="s">
        <v>1842</v>
      </c>
      <c r="T258" s="3124" t="s">
        <v>1850</v>
      </c>
      <c r="U258" t="s">
        <v>1869</v>
      </c>
      <c r="V258" s="3124">
        <v>3150</v>
      </c>
      <c r="W258" s="3193">
        <v>0.30793650793650795</v>
      </c>
      <c r="X258" s="3124">
        <v>970</v>
      </c>
      <c r="Y258" s="3124">
        <v>0</v>
      </c>
      <c r="Z258" s="3124">
        <v>5000</v>
      </c>
      <c r="AA258" s="3124">
        <v>18000</v>
      </c>
      <c r="AB258" t="s">
        <v>1195</v>
      </c>
      <c r="AC258" s="3124"/>
    </row>
    <row r="259" spans="1:29">
      <c r="A259" s="3124">
        <v>258</v>
      </c>
      <c r="B259" s="3124" t="s">
        <v>1839</v>
      </c>
      <c r="C259" s="3124" t="s">
        <v>1484</v>
      </c>
      <c r="D259" s="3124" t="s">
        <v>1485</v>
      </c>
      <c r="E259" s="3141" t="s">
        <v>1486</v>
      </c>
      <c r="F259" s="3234" t="s">
        <v>2334</v>
      </c>
      <c r="G259" s="3124" t="s">
        <v>2335</v>
      </c>
      <c r="H259" s="3124">
        <v>8</v>
      </c>
      <c r="I259" s="3124">
        <v>8</v>
      </c>
      <c r="J259" s="3124"/>
      <c r="K259" s="3124"/>
      <c r="L259" s="3124">
        <v>2180</v>
      </c>
      <c r="M259" s="3124" t="s">
        <v>1493</v>
      </c>
      <c r="N259" s="3192">
        <v>44378</v>
      </c>
      <c r="O259" s="3192">
        <v>44593</v>
      </c>
      <c r="P259" s="3192">
        <v>44378</v>
      </c>
      <c r="Q259" s="3192">
        <v>44593</v>
      </c>
      <c r="R259" s="3124" t="s">
        <v>433</v>
      </c>
      <c r="S259" s="3124" t="s">
        <v>1842</v>
      </c>
      <c r="T259" s="3124" t="s">
        <v>1850</v>
      </c>
      <c r="U259" t="s">
        <v>1195</v>
      </c>
      <c r="V259" s="3124">
        <v>3150</v>
      </c>
      <c r="W259" s="3193">
        <v>0.30793650793650795</v>
      </c>
      <c r="X259" s="3124">
        <v>970</v>
      </c>
      <c r="Y259" s="3124">
        <v>0</v>
      </c>
      <c r="Z259" s="3124">
        <v>5000</v>
      </c>
      <c r="AA259" s="3124">
        <v>18000</v>
      </c>
      <c r="AB259" t="s">
        <v>1195</v>
      </c>
      <c r="AC259" s="3124"/>
    </row>
    <row r="260" spans="1:29">
      <c r="A260" s="3124">
        <v>259</v>
      </c>
      <c r="B260" s="3124" t="s">
        <v>1839</v>
      </c>
      <c r="C260" s="3124" t="s">
        <v>1495</v>
      </c>
      <c r="D260" s="3124" t="s">
        <v>1496</v>
      </c>
      <c r="E260" s="3143" t="s">
        <v>1497</v>
      </c>
      <c r="F260" s="3234" t="s">
        <v>2336</v>
      </c>
      <c r="G260" s="3124" t="s">
        <v>2337</v>
      </c>
      <c r="H260" s="3124">
        <v>8</v>
      </c>
      <c r="I260" s="3124">
        <v>8</v>
      </c>
      <c r="J260" s="3124"/>
      <c r="K260" s="3124"/>
      <c r="L260" s="3124">
        <v>2180</v>
      </c>
      <c r="M260" s="3124" t="s">
        <v>1493</v>
      </c>
      <c r="N260" s="3192">
        <v>44378</v>
      </c>
      <c r="O260" s="3192">
        <v>44593</v>
      </c>
      <c r="P260" s="3192">
        <v>44378</v>
      </c>
      <c r="Q260" s="3192">
        <v>44593</v>
      </c>
      <c r="R260" s="3124" t="s">
        <v>432</v>
      </c>
      <c r="S260" s="3124" t="s">
        <v>1842</v>
      </c>
      <c r="T260" s="3124" t="s">
        <v>1850</v>
      </c>
      <c r="U260" t="s">
        <v>1195</v>
      </c>
      <c r="V260" s="3124">
        <v>3150</v>
      </c>
      <c r="W260" s="3193">
        <v>0.30793650793650795</v>
      </c>
      <c r="X260" s="3124">
        <v>970</v>
      </c>
      <c r="Y260" s="3124">
        <v>0</v>
      </c>
      <c r="Z260" s="3124">
        <v>5000</v>
      </c>
      <c r="AA260" s="3124">
        <v>18000</v>
      </c>
      <c r="AB260" t="s">
        <v>1195</v>
      </c>
      <c r="AC260" s="3124"/>
    </row>
    <row r="261" spans="1:29">
      <c r="A261" s="3124">
        <v>260</v>
      </c>
      <c r="B261" s="3124" t="s">
        <v>1839</v>
      </c>
      <c r="C261" s="3124" t="s">
        <v>1570</v>
      </c>
      <c r="D261" s="3124" t="s">
        <v>1571</v>
      </c>
      <c r="E261" s="3134" t="s">
        <v>1572</v>
      </c>
      <c r="F261" s="3234" t="s">
        <v>2338</v>
      </c>
      <c r="G261" s="3124" t="s">
        <v>2339</v>
      </c>
      <c r="H261" s="3124">
        <v>8</v>
      </c>
      <c r="I261" s="3124">
        <v>8</v>
      </c>
      <c r="J261" s="3124"/>
      <c r="K261" s="3124"/>
      <c r="L261" s="3124">
        <v>2180</v>
      </c>
      <c r="M261" s="3124" t="s">
        <v>1493</v>
      </c>
      <c r="N261" s="3192">
        <v>44378</v>
      </c>
      <c r="O261" s="3192">
        <v>44593</v>
      </c>
      <c r="P261" s="3192">
        <v>44378</v>
      </c>
      <c r="Q261" s="3192">
        <v>44593</v>
      </c>
      <c r="R261" s="3124" t="s">
        <v>433</v>
      </c>
      <c r="S261" s="3124" t="s">
        <v>1842</v>
      </c>
      <c r="T261" s="3124" t="s">
        <v>1850</v>
      </c>
      <c r="U261" t="s">
        <v>629</v>
      </c>
      <c r="V261" s="3124">
        <v>3150</v>
      </c>
      <c r="W261" s="3193">
        <v>0.30793650793650795</v>
      </c>
      <c r="X261" s="3124">
        <v>970</v>
      </c>
      <c r="Y261" s="3124">
        <v>0</v>
      </c>
      <c r="Z261" s="3124">
        <v>5000</v>
      </c>
      <c r="AA261" s="3124">
        <v>18000</v>
      </c>
      <c r="AB261" t="s">
        <v>1195</v>
      </c>
      <c r="AC261" s="3124"/>
    </row>
    <row r="262" spans="1:29">
      <c r="A262" s="3124">
        <v>261</v>
      </c>
      <c r="B262" s="3124" t="s">
        <v>1839</v>
      </c>
      <c r="C262" s="3124" t="s">
        <v>1558</v>
      </c>
      <c r="D262" s="3124" t="s">
        <v>1556</v>
      </c>
      <c r="E262" t="s">
        <v>1560</v>
      </c>
      <c r="F262" s="3234" t="s">
        <v>2340</v>
      </c>
      <c r="G262" s="3124" t="s">
        <v>4584</v>
      </c>
      <c r="H262" s="3124">
        <v>8</v>
      </c>
      <c r="I262" s="3124">
        <v>8</v>
      </c>
      <c r="J262" s="3124"/>
      <c r="K262" s="3124"/>
      <c r="L262" s="3124">
        <v>2180</v>
      </c>
      <c r="M262" s="3124" t="s">
        <v>1493</v>
      </c>
      <c r="N262" s="3192">
        <v>44378</v>
      </c>
      <c r="O262" s="3192">
        <v>44593</v>
      </c>
      <c r="P262" s="3192">
        <v>44378</v>
      </c>
      <c r="Q262" s="3192">
        <v>44593</v>
      </c>
      <c r="R262" s="3124" t="s">
        <v>432</v>
      </c>
      <c r="S262" s="3124" t="s">
        <v>1842</v>
      </c>
      <c r="T262" s="3124" t="s">
        <v>1850</v>
      </c>
      <c r="U262" t="s">
        <v>1195</v>
      </c>
      <c r="V262" s="3124">
        <v>3150</v>
      </c>
      <c r="W262" s="3193">
        <v>0.30793650793650795</v>
      </c>
      <c r="X262" s="3124">
        <v>970</v>
      </c>
      <c r="Y262" s="3124">
        <v>0</v>
      </c>
      <c r="Z262" s="3124">
        <v>5000</v>
      </c>
      <c r="AA262" s="3124">
        <v>18000</v>
      </c>
      <c r="AB262" t="s">
        <v>1195</v>
      </c>
      <c r="AC262" s="3124"/>
    </row>
    <row r="263" spans="1:29">
      <c r="A263" s="3124">
        <v>262</v>
      </c>
      <c r="B263" s="3124" t="s">
        <v>1839</v>
      </c>
      <c r="C263" s="3124" t="s">
        <v>1501</v>
      </c>
      <c r="D263" s="3124" t="s">
        <v>4585</v>
      </c>
      <c r="E263" t="s">
        <v>2341</v>
      </c>
      <c r="F263" s="3234" t="s">
        <v>2342</v>
      </c>
      <c r="G263" s="3124" t="s">
        <v>2343</v>
      </c>
      <c r="H263" s="3124">
        <v>8</v>
      </c>
      <c r="I263" s="3124">
        <v>8</v>
      </c>
      <c r="J263" s="3124"/>
      <c r="K263" s="3124"/>
      <c r="L263" s="3124">
        <v>2180</v>
      </c>
      <c r="M263" s="3124" t="s">
        <v>1493</v>
      </c>
      <c r="N263" s="3192">
        <v>44409</v>
      </c>
      <c r="O263" s="3192">
        <v>44621</v>
      </c>
      <c r="P263" s="3192">
        <v>44409</v>
      </c>
      <c r="Q263" s="3192">
        <v>44621</v>
      </c>
      <c r="R263" s="3124" t="s">
        <v>432</v>
      </c>
      <c r="S263" s="3124" t="s">
        <v>1842</v>
      </c>
      <c r="T263" s="3124" t="s">
        <v>1850</v>
      </c>
      <c r="U263" t="s">
        <v>1195</v>
      </c>
      <c r="V263" s="3124">
        <v>3150</v>
      </c>
      <c r="W263" s="3193">
        <v>0.30793650793650795</v>
      </c>
      <c r="X263" s="3124">
        <v>970</v>
      </c>
      <c r="Y263" s="3124">
        <v>0</v>
      </c>
      <c r="Z263" s="3124">
        <v>5000</v>
      </c>
      <c r="AA263" s="3124">
        <v>18000</v>
      </c>
      <c r="AB263" t="s">
        <v>1195</v>
      </c>
      <c r="AC263" s="3124"/>
    </row>
    <row r="264" spans="1:29">
      <c r="A264" s="3124">
        <v>263</v>
      </c>
      <c r="B264" s="3124" t="s">
        <v>1621</v>
      </c>
      <c r="C264" s="3124" t="s">
        <v>823</v>
      </c>
      <c r="D264" s="3124" t="s">
        <v>824</v>
      </c>
      <c r="E264" t="s">
        <v>825</v>
      </c>
      <c r="F264" s="3234">
        <v>9381569518</v>
      </c>
      <c r="G264" s="3124" t="s">
        <v>2344</v>
      </c>
      <c r="H264" s="3124">
        <v>20</v>
      </c>
      <c r="I264" s="3124">
        <v>20</v>
      </c>
      <c r="J264" s="3124"/>
      <c r="K264" s="3124">
        <v>2000</v>
      </c>
      <c r="L264" s="3124">
        <v>2180.0000000000005</v>
      </c>
      <c r="M264" s="3124" t="s">
        <v>813</v>
      </c>
      <c r="N264" s="3192">
        <v>43831</v>
      </c>
      <c r="O264" s="3192">
        <v>44409</v>
      </c>
      <c r="P264" s="3192">
        <v>43831</v>
      </c>
      <c r="Q264" s="3192">
        <v>44409</v>
      </c>
      <c r="R264" s="3124" t="s">
        <v>432</v>
      </c>
      <c r="S264" s="3124" t="s">
        <v>1640</v>
      </c>
      <c r="T264" s="3124" t="s">
        <v>1838</v>
      </c>
      <c r="U264" t="s">
        <v>1195</v>
      </c>
      <c r="V264" s="3124">
        <v>6700</v>
      </c>
      <c r="W264" s="3193">
        <v>0.67462686567164176</v>
      </c>
      <c r="X264" s="3124">
        <v>4520</v>
      </c>
      <c r="Y264" s="3124">
        <v>1</v>
      </c>
      <c r="Z264" s="3124">
        <v>0</v>
      </c>
      <c r="AA264" s="3124">
        <v>29000</v>
      </c>
      <c r="AB264" t="s">
        <v>1195</v>
      </c>
      <c r="AC264" s="3124"/>
    </row>
    <row r="265" spans="1:29">
      <c r="A265" s="3124">
        <v>264</v>
      </c>
      <c r="B265" s="3124" t="s">
        <v>1625</v>
      </c>
      <c r="C265" s="3124" t="s">
        <v>1265</v>
      </c>
      <c r="D265" s="3124" t="s">
        <v>1264</v>
      </c>
      <c r="E265" t="s">
        <v>1266</v>
      </c>
      <c r="F265" s="3234" t="s">
        <v>2345</v>
      </c>
      <c r="G265" s="3124" t="s">
        <v>2346</v>
      </c>
      <c r="H265" s="3124">
        <v>20</v>
      </c>
      <c r="I265" s="3124">
        <v>20</v>
      </c>
      <c r="J265" s="3124"/>
      <c r="K265" s="3124"/>
      <c r="L265" s="3124">
        <v>3350</v>
      </c>
      <c r="M265" s="3124" t="s">
        <v>1114</v>
      </c>
      <c r="N265" s="3192">
        <v>44440</v>
      </c>
      <c r="O265" s="3192">
        <v>45017</v>
      </c>
      <c r="P265" s="3192">
        <v>44440</v>
      </c>
      <c r="Q265" s="3192">
        <v>45017</v>
      </c>
      <c r="R265" s="3124" t="s">
        <v>433</v>
      </c>
      <c r="S265" s="3124" t="s">
        <v>1690</v>
      </c>
      <c r="T265" s="3124" t="s">
        <v>1850</v>
      </c>
      <c r="U265" t="s">
        <v>1761</v>
      </c>
      <c r="V265" s="3124">
        <v>6700</v>
      </c>
      <c r="W265" s="3193">
        <v>0.5</v>
      </c>
      <c r="X265" s="3124">
        <v>3350</v>
      </c>
      <c r="Y265" s="3124">
        <v>1</v>
      </c>
      <c r="Z265" s="3124">
        <v>0</v>
      </c>
      <c r="AA265" s="3124">
        <v>29000</v>
      </c>
      <c r="AB265" t="s">
        <v>1195</v>
      </c>
      <c r="AC265" s="3124"/>
    </row>
    <row r="266" spans="1:29">
      <c r="A266" s="3124">
        <v>265</v>
      </c>
      <c r="B266" s="3124" t="s">
        <v>1625</v>
      </c>
      <c r="C266" s="3124" t="s">
        <v>1261</v>
      </c>
      <c r="D266" s="3124" t="s">
        <v>1226</v>
      </c>
      <c r="E266" t="s">
        <v>1262</v>
      </c>
      <c r="F266" s="3234" t="s">
        <v>4586</v>
      </c>
      <c r="G266" s="3124" t="s">
        <v>2347</v>
      </c>
      <c r="H266" s="3124">
        <v>20</v>
      </c>
      <c r="I266" s="3124">
        <v>20</v>
      </c>
      <c r="J266" s="3124"/>
      <c r="K266" s="3124"/>
      <c r="L266" s="3124">
        <v>3350</v>
      </c>
      <c r="M266" s="3124" t="s">
        <v>1114</v>
      </c>
      <c r="N266" s="3192">
        <v>44473</v>
      </c>
      <c r="O266" s="3192">
        <v>45050</v>
      </c>
      <c r="P266" s="3192">
        <v>44473</v>
      </c>
      <c r="Q266" s="3192">
        <v>45050</v>
      </c>
      <c r="R266" s="3124" t="s">
        <v>433</v>
      </c>
      <c r="S266" s="3124" t="s">
        <v>1690</v>
      </c>
      <c r="T266" s="3124" t="s">
        <v>1850</v>
      </c>
      <c r="U266" t="s">
        <v>1195</v>
      </c>
      <c r="V266" s="3124">
        <v>6700</v>
      </c>
      <c r="W266" s="3193">
        <v>0.5</v>
      </c>
      <c r="X266" s="3124">
        <v>3350</v>
      </c>
      <c r="Y266" s="3124">
        <v>0</v>
      </c>
      <c r="Z266" s="3124">
        <v>0</v>
      </c>
      <c r="AA266" s="3124">
        <v>29000</v>
      </c>
      <c r="AB266" t="s">
        <v>1195</v>
      </c>
      <c r="AC266" s="3124"/>
    </row>
    <row r="267" spans="1:29">
      <c r="A267" s="3124">
        <v>266</v>
      </c>
      <c r="B267" s="3124" t="s">
        <v>1621</v>
      </c>
      <c r="C267" s="3124" t="s">
        <v>2348</v>
      </c>
      <c r="D267" s="3124" t="s">
        <v>742</v>
      </c>
      <c r="E267" s="3146" t="s">
        <v>2349</v>
      </c>
      <c r="F267" s="3234" t="s">
        <v>2350</v>
      </c>
      <c r="G267" s="3124" t="s">
        <v>4587</v>
      </c>
      <c r="H267" s="3124">
        <v>20</v>
      </c>
      <c r="I267" s="3124">
        <v>20</v>
      </c>
      <c r="J267" s="3124"/>
      <c r="K267" s="3124"/>
      <c r="L267" s="3124">
        <v>2180</v>
      </c>
      <c r="M267" s="3124" t="s">
        <v>1694</v>
      </c>
      <c r="N267" s="3192">
        <v>44440</v>
      </c>
      <c r="O267" s="3192">
        <v>45017</v>
      </c>
      <c r="P267" s="3192">
        <v>44440</v>
      </c>
      <c r="Q267" s="3192">
        <v>45017</v>
      </c>
      <c r="R267" s="3124" t="s">
        <v>433</v>
      </c>
      <c r="S267" s="3124" t="s">
        <v>1640</v>
      </c>
      <c r="T267" s="3124" t="s">
        <v>1918</v>
      </c>
      <c r="U267" t="s">
        <v>1869</v>
      </c>
      <c r="V267" s="3124">
        <v>5000</v>
      </c>
      <c r="W267" s="3193">
        <v>0.56399999999999995</v>
      </c>
      <c r="X267" s="3124">
        <v>2820</v>
      </c>
      <c r="Y267" s="3124">
        <v>2</v>
      </c>
      <c r="Z267" s="3124">
        <v>0</v>
      </c>
      <c r="AA267" s="3124">
        <v>25000</v>
      </c>
      <c r="AB267" t="s">
        <v>1869</v>
      </c>
      <c r="AC267" s="3124"/>
    </row>
    <row r="268" spans="1:29">
      <c r="A268" s="3124">
        <v>267</v>
      </c>
      <c r="B268" s="3124" t="s">
        <v>1625</v>
      </c>
      <c r="C268" s="3124" t="s">
        <v>1271</v>
      </c>
      <c r="D268" s="3124" t="s">
        <v>1233</v>
      </c>
      <c r="E268" t="s">
        <v>4588</v>
      </c>
      <c r="F268" s="3234" t="s">
        <v>4589</v>
      </c>
      <c r="G268" s="3124" t="s">
        <v>2351</v>
      </c>
      <c r="H268" s="3124">
        <v>24</v>
      </c>
      <c r="I268" s="3124">
        <v>20</v>
      </c>
      <c r="J268" s="3124"/>
      <c r="K268" s="3124"/>
      <c r="L268" s="3124">
        <v>2800</v>
      </c>
      <c r="M268" s="3124" t="s">
        <v>1207</v>
      </c>
      <c r="N268" s="3192">
        <v>44440</v>
      </c>
      <c r="O268" s="3192">
        <v>45017</v>
      </c>
      <c r="P268" s="3192">
        <v>44440</v>
      </c>
      <c r="Q268" s="3192">
        <v>45139</v>
      </c>
      <c r="R268" s="3124" t="s">
        <v>432</v>
      </c>
      <c r="S268" s="3124" t="s">
        <v>1690</v>
      </c>
      <c r="T268" s="3124" t="s">
        <v>1850</v>
      </c>
      <c r="U268" t="s">
        <v>1869</v>
      </c>
      <c r="V268" s="3124">
        <v>6700</v>
      </c>
      <c r="W268" s="3193">
        <v>0.58208955223880599</v>
      </c>
      <c r="X268" s="3124">
        <v>3900</v>
      </c>
      <c r="Y268" s="3124">
        <v>1</v>
      </c>
      <c r="Z268" s="3124">
        <v>0</v>
      </c>
      <c r="AA268" s="3124">
        <v>29000</v>
      </c>
      <c r="AB268" t="s">
        <v>1869</v>
      </c>
      <c r="AC268" s="3124"/>
    </row>
    <row r="269" spans="1:29">
      <c r="A269" s="3124">
        <v>268</v>
      </c>
      <c r="B269" s="3124" t="s">
        <v>1630</v>
      </c>
      <c r="C269" s="3124" t="s">
        <v>205</v>
      </c>
      <c r="D269" s="3124" t="s">
        <v>206</v>
      </c>
      <c r="E269" t="s">
        <v>207</v>
      </c>
      <c r="F269" s="3234" t="s">
        <v>2352</v>
      </c>
      <c r="G269" s="3124" t="s">
        <v>2648</v>
      </c>
      <c r="H269" s="3124">
        <v>36</v>
      </c>
      <c r="I269" s="3124">
        <v>36</v>
      </c>
      <c r="J269" s="3124"/>
      <c r="K269" s="3124">
        <v>1000</v>
      </c>
      <c r="L269" s="3124">
        <v>1650</v>
      </c>
      <c r="M269" s="3124" t="s">
        <v>1707</v>
      </c>
      <c r="N269" s="3192">
        <v>44256</v>
      </c>
      <c r="O269" s="3192">
        <v>45323</v>
      </c>
      <c r="P269" s="3192">
        <v>44256</v>
      </c>
      <c r="Q269" s="3192">
        <v>45323</v>
      </c>
      <c r="R269" s="3124" t="s">
        <v>432</v>
      </c>
      <c r="S269" s="3124" t="s">
        <v>1658</v>
      </c>
      <c r="T269" s="3124" t="s">
        <v>1850</v>
      </c>
      <c r="U269" t="s">
        <v>1195</v>
      </c>
      <c r="V269" s="3124">
        <v>3150</v>
      </c>
      <c r="W269" s="3193">
        <v>0.47619047619047616</v>
      </c>
      <c r="X269" s="3124">
        <v>1500</v>
      </c>
      <c r="Y269" s="3124">
        <v>4</v>
      </c>
      <c r="Z269" s="3124">
        <v>0</v>
      </c>
      <c r="AA269" s="3124">
        <v>21000</v>
      </c>
      <c r="AB269" t="s">
        <v>1195</v>
      </c>
      <c r="AC269" s="3124"/>
    </row>
    <row r="270" spans="1:29">
      <c r="A270" s="3124">
        <v>269</v>
      </c>
      <c r="B270" s="3124" t="s">
        <v>1764</v>
      </c>
      <c r="C270" s="3124" t="s">
        <v>633</v>
      </c>
      <c r="D270" s="3124" t="s">
        <v>2353</v>
      </c>
      <c r="E270" t="s">
        <v>634</v>
      </c>
      <c r="F270" s="3234">
        <v>9995753204</v>
      </c>
      <c r="G270" s="3124" t="s">
        <v>4590</v>
      </c>
      <c r="H270" s="3124">
        <v>6</v>
      </c>
      <c r="I270" s="3124">
        <v>6</v>
      </c>
      <c r="J270" s="3124"/>
      <c r="K270" s="3124"/>
      <c r="L270" s="3124">
        <v>2180</v>
      </c>
      <c r="M270" s="3124" t="s">
        <v>1694</v>
      </c>
      <c r="N270" s="3192">
        <v>44440</v>
      </c>
      <c r="O270" s="3192">
        <v>44593</v>
      </c>
      <c r="P270" s="3192">
        <v>44440</v>
      </c>
      <c r="Q270" s="3192">
        <v>44593</v>
      </c>
      <c r="R270" s="3124" t="s">
        <v>433</v>
      </c>
      <c r="S270" s="3124" t="s">
        <v>1917</v>
      </c>
      <c r="T270" s="3124" t="s">
        <v>1850</v>
      </c>
      <c r="U270" t="s">
        <v>1195</v>
      </c>
      <c r="V270" s="3124">
        <v>5000</v>
      </c>
      <c r="W270" s="3193">
        <v>0.56399999999999995</v>
      </c>
      <c r="X270" s="3124">
        <v>2820</v>
      </c>
      <c r="Y270" s="3124">
        <v>0</v>
      </c>
      <c r="Z270" s="3124">
        <v>6000</v>
      </c>
      <c r="AA270" s="3124">
        <v>23000</v>
      </c>
      <c r="AB270" t="s">
        <v>1195</v>
      </c>
      <c r="AC270" s="3124"/>
    </row>
    <row r="271" spans="1:29">
      <c r="A271" s="3124">
        <v>270</v>
      </c>
      <c r="B271" s="3124" t="s">
        <v>1625</v>
      </c>
      <c r="C271" s="3124" t="s">
        <v>861</v>
      </c>
      <c r="D271" s="3124" t="s">
        <v>2354</v>
      </c>
      <c r="E271" s="3139" t="s">
        <v>4579</v>
      </c>
      <c r="F271" s="3234" t="s">
        <v>2355</v>
      </c>
      <c r="G271" s="3124" t="s">
        <v>2315</v>
      </c>
      <c r="H271" s="3124">
        <v>20</v>
      </c>
      <c r="I271" s="3124">
        <v>20</v>
      </c>
      <c r="J271" s="3124"/>
      <c r="K271" s="3124"/>
      <c r="L271" s="3124">
        <v>3000</v>
      </c>
      <c r="M271" s="3124" t="s">
        <v>1114</v>
      </c>
      <c r="N271" s="3192">
        <v>44440</v>
      </c>
      <c r="O271" s="3192">
        <v>45017</v>
      </c>
      <c r="P271" s="3192">
        <v>44470</v>
      </c>
      <c r="Q271" s="3192">
        <v>45047</v>
      </c>
      <c r="R271" s="3124" t="s">
        <v>433</v>
      </c>
      <c r="S271" s="3124" t="s">
        <v>1690</v>
      </c>
      <c r="T271" s="3124" t="s">
        <v>1850</v>
      </c>
      <c r="U271" t="s">
        <v>1195</v>
      </c>
      <c r="V271" s="3124">
        <v>6700</v>
      </c>
      <c r="W271" s="3193">
        <v>0.55223880597014929</v>
      </c>
      <c r="X271" s="3124">
        <v>3700</v>
      </c>
      <c r="Y271" s="3124">
        <v>1</v>
      </c>
      <c r="Z271" s="3124">
        <v>0</v>
      </c>
      <c r="AA271" s="3124">
        <v>29000</v>
      </c>
      <c r="AB271" t="s">
        <v>1195</v>
      </c>
      <c r="AC271" s="3124"/>
    </row>
    <row r="272" spans="1:29">
      <c r="A272" s="3124">
        <v>271</v>
      </c>
      <c r="B272" s="3124" t="s">
        <v>1625</v>
      </c>
      <c r="C272" s="3217" t="s">
        <v>885</v>
      </c>
      <c r="D272" s="3124" t="s">
        <v>1765</v>
      </c>
      <c r="E272" s="3155" t="s">
        <v>887</v>
      </c>
      <c r="F272" s="3234" t="s">
        <v>2035</v>
      </c>
      <c r="G272" s="3190" t="s">
        <v>2036</v>
      </c>
      <c r="H272" s="3124">
        <v>20</v>
      </c>
      <c r="I272" s="3124">
        <v>20</v>
      </c>
      <c r="J272" s="3124"/>
      <c r="K272" s="3124"/>
      <c r="L272" s="3124">
        <v>2800</v>
      </c>
      <c r="M272" s="3124" t="s">
        <v>1207</v>
      </c>
      <c r="N272" s="3192">
        <v>44440</v>
      </c>
      <c r="O272" s="3192">
        <v>45017</v>
      </c>
      <c r="P272" s="3192">
        <v>44440</v>
      </c>
      <c r="Q272" s="3192">
        <v>45017</v>
      </c>
      <c r="R272" s="3124" t="s">
        <v>432</v>
      </c>
      <c r="S272" s="3124" t="s">
        <v>1690</v>
      </c>
      <c r="T272" s="3124" t="s">
        <v>1850</v>
      </c>
      <c r="U272" t="s">
        <v>629</v>
      </c>
      <c r="V272" s="3124">
        <v>6700</v>
      </c>
      <c r="W272" s="3193">
        <v>0.58208955223880599</v>
      </c>
      <c r="X272" s="3124">
        <v>3900</v>
      </c>
      <c r="Y272" s="3124">
        <v>1</v>
      </c>
      <c r="Z272" s="3124">
        <v>0</v>
      </c>
      <c r="AA272" s="3124">
        <v>29000</v>
      </c>
      <c r="AB272" t="s">
        <v>1869</v>
      </c>
      <c r="AC272" s="3124"/>
    </row>
    <row r="273" spans="1:29">
      <c r="A273" s="3124">
        <v>272</v>
      </c>
      <c r="B273" s="3124" t="s">
        <v>1123</v>
      </c>
      <c r="C273" s="3124" t="s">
        <v>1296</v>
      </c>
      <c r="D273" s="3124" t="s">
        <v>1297</v>
      </c>
      <c r="E273" t="s">
        <v>1298</v>
      </c>
      <c r="F273" s="3234" t="s">
        <v>2356</v>
      </c>
      <c r="G273" s="3124" t="s">
        <v>2357</v>
      </c>
      <c r="H273" s="3124">
        <v>6</v>
      </c>
      <c r="I273" s="3124">
        <v>4</v>
      </c>
      <c r="J273" s="3124"/>
      <c r="K273" s="3124"/>
      <c r="L273" s="3124">
        <v>5333</v>
      </c>
      <c r="M273" s="3124" t="s">
        <v>1207</v>
      </c>
      <c r="N273" s="3192">
        <v>44440</v>
      </c>
      <c r="O273" s="3192">
        <v>44531</v>
      </c>
      <c r="P273" s="3192">
        <v>44440</v>
      </c>
      <c r="Q273" s="3192">
        <v>44593</v>
      </c>
      <c r="R273" s="3124" t="s">
        <v>433</v>
      </c>
      <c r="S273" s="3124" t="s">
        <v>1939</v>
      </c>
      <c r="T273" s="3124" t="s">
        <v>1850</v>
      </c>
      <c r="U273" t="s">
        <v>1195</v>
      </c>
      <c r="V273" s="3124">
        <v>6700</v>
      </c>
      <c r="W273" s="3193">
        <v>0.20402985074626867</v>
      </c>
      <c r="X273" s="3124">
        <v>1367</v>
      </c>
      <c r="Y273" s="3124">
        <v>0</v>
      </c>
      <c r="Z273" s="3124">
        <v>8000</v>
      </c>
      <c r="AA273" s="3124">
        <v>25000</v>
      </c>
      <c r="AB273" t="s">
        <v>1195</v>
      </c>
      <c r="AC273" s="3124"/>
    </row>
    <row r="274" spans="1:29">
      <c r="A274" s="3124">
        <v>273</v>
      </c>
      <c r="B274" s="3124" t="s">
        <v>1123</v>
      </c>
      <c r="C274" s="3124" t="s">
        <v>2358</v>
      </c>
      <c r="D274" s="3124" t="s">
        <v>2359</v>
      </c>
      <c r="E274" t="s">
        <v>2360</v>
      </c>
      <c r="F274" s="3234" t="s">
        <v>2361</v>
      </c>
      <c r="G274" s="3124" t="s">
        <v>2362</v>
      </c>
      <c r="H274" s="3124">
        <v>4</v>
      </c>
      <c r="I274" s="3124">
        <v>4</v>
      </c>
      <c r="J274" s="3124"/>
      <c r="K274" s="3124">
        <v>3000</v>
      </c>
      <c r="L274" s="3124">
        <v>3350</v>
      </c>
      <c r="M274" s="3124" t="s">
        <v>1274</v>
      </c>
      <c r="N274" s="3192">
        <v>44197</v>
      </c>
      <c r="O274" s="3192">
        <v>44287</v>
      </c>
      <c r="P274" s="3192">
        <v>44197</v>
      </c>
      <c r="Q274" s="3192">
        <v>44287</v>
      </c>
      <c r="R274" s="3124" t="s">
        <v>433</v>
      </c>
      <c r="S274" s="3124" t="s">
        <v>1939</v>
      </c>
      <c r="T274" s="3124" t="s">
        <v>1850</v>
      </c>
      <c r="U274" t="s">
        <v>1195</v>
      </c>
      <c r="V274" s="3124">
        <v>6700</v>
      </c>
      <c r="W274" s="3193">
        <v>0.5</v>
      </c>
      <c r="X274" s="3124">
        <v>3350</v>
      </c>
      <c r="Y274" s="3124">
        <v>0</v>
      </c>
      <c r="Z274" s="3124">
        <v>8000</v>
      </c>
      <c r="AA274" s="3124">
        <v>25000</v>
      </c>
      <c r="AB274" t="s">
        <v>1195</v>
      </c>
      <c r="AC274" s="3124"/>
    </row>
    <row r="275" spans="1:29">
      <c r="A275" s="3124">
        <v>274</v>
      </c>
      <c r="B275" s="3124" t="s">
        <v>1123</v>
      </c>
      <c r="C275" s="3124" t="s">
        <v>1309</v>
      </c>
      <c r="D275" s="3124" t="s">
        <v>1307</v>
      </c>
      <c r="E275" t="s">
        <v>1311</v>
      </c>
      <c r="F275" s="3234" t="s">
        <v>2363</v>
      </c>
      <c r="G275" s="3124" t="s">
        <v>2364</v>
      </c>
      <c r="H275" s="3124">
        <v>6</v>
      </c>
      <c r="I275" s="3124">
        <v>4</v>
      </c>
      <c r="J275" s="3124"/>
      <c r="K275" s="3124"/>
      <c r="L275" s="3124">
        <v>5333</v>
      </c>
      <c r="M275" s="3124" t="s">
        <v>1207</v>
      </c>
      <c r="N275" s="3192">
        <v>44440</v>
      </c>
      <c r="O275" s="3192">
        <v>44531</v>
      </c>
      <c r="P275" s="3192">
        <v>44440</v>
      </c>
      <c r="Q275" s="3192">
        <v>44593</v>
      </c>
      <c r="R275" s="3124" t="s">
        <v>433</v>
      </c>
      <c r="S275" s="3124" t="s">
        <v>1939</v>
      </c>
      <c r="T275" s="3124" t="s">
        <v>1850</v>
      </c>
      <c r="U275" t="s">
        <v>1195</v>
      </c>
      <c r="V275" s="3124">
        <v>6700</v>
      </c>
      <c r="W275" s="3193">
        <v>0.20402985074626867</v>
      </c>
      <c r="X275" s="3124">
        <v>1367</v>
      </c>
      <c r="Y275" s="3124">
        <v>0</v>
      </c>
      <c r="Z275" s="3124">
        <v>8000</v>
      </c>
      <c r="AA275" s="3124">
        <v>25000</v>
      </c>
      <c r="AB275" t="s">
        <v>1195</v>
      </c>
      <c r="AC275" s="3124"/>
    </row>
    <row r="276" spans="1:29">
      <c r="A276" s="3124">
        <v>275</v>
      </c>
      <c r="B276" s="3124" t="s">
        <v>1621</v>
      </c>
      <c r="C276" s="3124" t="s">
        <v>2365</v>
      </c>
      <c r="D276" s="3124" t="s">
        <v>629</v>
      </c>
      <c r="E276" t="s">
        <v>2366</v>
      </c>
      <c r="F276" s="3234" t="s">
        <v>2367</v>
      </c>
      <c r="G276" s="3124" t="s">
        <v>2368</v>
      </c>
      <c r="H276" s="3124">
        <v>20</v>
      </c>
      <c r="I276" s="3124">
        <v>20</v>
      </c>
      <c r="J276" s="3124"/>
      <c r="K276" s="3124"/>
      <c r="L276" s="3124">
        <v>2180</v>
      </c>
      <c r="M276" s="3124" t="s">
        <v>1694</v>
      </c>
      <c r="N276" s="3192">
        <v>44440</v>
      </c>
      <c r="O276" s="3192">
        <v>45017</v>
      </c>
      <c r="P276" s="3192">
        <v>44440</v>
      </c>
      <c r="Q276" s="3192">
        <v>45017</v>
      </c>
      <c r="R276" s="3124" t="s">
        <v>433</v>
      </c>
      <c r="S276" s="3124" t="s">
        <v>1640</v>
      </c>
      <c r="T276" s="3124" t="s">
        <v>1918</v>
      </c>
      <c r="U276" t="s">
        <v>1869</v>
      </c>
      <c r="V276" s="3124">
        <v>5000</v>
      </c>
      <c r="W276" s="3193">
        <v>0.56399999999999995</v>
      </c>
      <c r="X276" s="3124">
        <v>2820</v>
      </c>
      <c r="Y276" s="3124">
        <v>2</v>
      </c>
      <c r="Z276" s="3124">
        <v>0</v>
      </c>
      <c r="AA276" s="3124">
        <v>25000</v>
      </c>
      <c r="AB276" t="s">
        <v>1869</v>
      </c>
      <c r="AC276" s="3124"/>
    </row>
    <row r="277" spans="1:29">
      <c r="A277" s="3124">
        <v>276</v>
      </c>
      <c r="B277" s="3124" t="s">
        <v>1621</v>
      </c>
      <c r="C277" s="3124" t="s">
        <v>2369</v>
      </c>
      <c r="D277" s="3124" t="s">
        <v>629</v>
      </c>
      <c r="E277" s="3167" t="s">
        <v>2370</v>
      </c>
      <c r="F277" s="3234" t="s">
        <v>2371</v>
      </c>
      <c r="G277" s="3190" t="s">
        <v>2372</v>
      </c>
      <c r="H277" s="3124">
        <v>20</v>
      </c>
      <c r="I277" s="3124">
        <v>20</v>
      </c>
      <c r="J277" s="3124"/>
      <c r="K277" s="3124"/>
      <c r="L277" s="3124">
        <v>2180</v>
      </c>
      <c r="M277" s="3124" t="s">
        <v>1694</v>
      </c>
      <c r="N277" s="3192">
        <v>44440</v>
      </c>
      <c r="O277" s="3192">
        <v>45017</v>
      </c>
      <c r="P277" s="3192">
        <v>44440</v>
      </c>
      <c r="Q277" s="3192">
        <v>45017</v>
      </c>
      <c r="R277" s="3124" t="s">
        <v>432</v>
      </c>
      <c r="S277" s="3124" t="s">
        <v>1640</v>
      </c>
      <c r="T277" s="3124" t="s">
        <v>1918</v>
      </c>
      <c r="U277" t="s">
        <v>1869</v>
      </c>
      <c r="V277" s="3124">
        <v>5000</v>
      </c>
      <c r="W277" s="3193">
        <v>0.56399999999999995</v>
      </c>
      <c r="X277" s="3124">
        <v>2820</v>
      </c>
      <c r="Y277" s="3124">
        <v>2</v>
      </c>
      <c r="Z277" s="3124">
        <v>0</v>
      </c>
      <c r="AA277" s="3124">
        <v>25000</v>
      </c>
      <c r="AB277" t="s">
        <v>1869</v>
      </c>
      <c r="AC277" s="3124"/>
    </row>
    <row r="278" spans="1:29">
      <c r="A278" s="3124">
        <v>277</v>
      </c>
      <c r="B278" s="3124" t="s">
        <v>1123</v>
      </c>
      <c r="C278" s="3124" t="s">
        <v>1302</v>
      </c>
      <c r="D278" s="3124" t="s">
        <v>1303</v>
      </c>
      <c r="E278" t="s">
        <v>2373</v>
      </c>
      <c r="F278" s="3234">
        <v>2225882928</v>
      </c>
      <c r="G278" s="3124" t="s">
        <v>2374</v>
      </c>
      <c r="H278" s="3124">
        <v>4</v>
      </c>
      <c r="I278" s="3124">
        <v>4</v>
      </c>
      <c r="J278" s="3124"/>
      <c r="K278" s="3124"/>
      <c r="L278" s="3124">
        <v>3350</v>
      </c>
      <c r="M278" s="3124" t="s">
        <v>1207</v>
      </c>
      <c r="N278" s="3192">
        <v>44440</v>
      </c>
      <c r="O278" s="3192">
        <v>44531</v>
      </c>
      <c r="P278" s="3192">
        <v>44440</v>
      </c>
      <c r="Q278" s="3192">
        <v>44531</v>
      </c>
      <c r="R278" s="3124" t="s">
        <v>433</v>
      </c>
      <c r="S278" s="3124" t="s">
        <v>1939</v>
      </c>
      <c r="T278" s="3124" t="s">
        <v>1850</v>
      </c>
      <c r="U278" t="s">
        <v>1195</v>
      </c>
      <c r="V278" s="3124">
        <v>6700</v>
      </c>
      <c r="W278" s="3193">
        <v>0.5</v>
      </c>
      <c r="X278" s="3124">
        <v>3350</v>
      </c>
      <c r="Y278" s="3124">
        <v>0</v>
      </c>
      <c r="Z278" s="3124">
        <v>8000</v>
      </c>
      <c r="AA278" s="3124">
        <v>25000</v>
      </c>
      <c r="AB278" t="s">
        <v>1195</v>
      </c>
      <c r="AC278" s="3124"/>
    </row>
    <row r="279" spans="1:29">
      <c r="A279" s="3124">
        <v>278</v>
      </c>
      <c r="B279" s="3124" t="s">
        <v>1123</v>
      </c>
      <c r="C279" s="3124" t="s">
        <v>1312</v>
      </c>
      <c r="D279" s="3124" t="s">
        <v>1310</v>
      </c>
      <c r="E279" t="s">
        <v>1314</v>
      </c>
      <c r="F279" s="3234" t="s">
        <v>2375</v>
      </c>
      <c r="G279" s="3124" t="s">
        <v>2376</v>
      </c>
      <c r="H279" s="3124">
        <v>6</v>
      </c>
      <c r="I279" s="3124">
        <v>4</v>
      </c>
      <c r="J279" s="3124"/>
      <c r="K279" s="3124"/>
      <c r="L279" s="3124">
        <v>5333</v>
      </c>
      <c r="M279" s="3124" t="s">
        <v>1207</v>
      </c>
      <c r="N279" s="3192">
        <v>44440</v>
      </c>
      <c r="O279" s="3192">
        <v>44531</v>
      </c>
      <c r="P279" s="3192">
        <v>44440</v>
      </c>
      <c r="Q279" s="3192">
        <v>44593</v>
      </c>
      <c r="R279" s="3124" t="s">
        <v>433</v>
      </c>
      <c r="S279" s="3124" t="s">
        <v>1939</v>
      </c>
      <c r="T279" s="3124" t="s">
        <v>1850</v>
      </c>
      <c r="U279" t="s">
        <v>1195</v>
      </c>
      <c r="V279" s="3124">
        <v>6700</v>
      </c>
      <c r="W279" s="3193">
        <v>0.20402985074626867</v>
      </c>
      <c r="X279" s="3124">
        <v>1367</v>
      </c>
      <c r="Y279" s="3124">
        <v>0</v>
      </c>
      <c r="Z279" s="3124">
        <v>8000</v>
      </c>
      <c r="AA279" s="3124">
        <v>25000</v>
      </c>
      <c r="AB279" t="s">
        <v>1195</v>
      </c>
      <c r="AC279" s="3124"/>
    </row>
    <row r="280" spans="1:29">
      <c r="A280" s="3124">
        <v>279</v>
      </c>
      <c r="B280" s="3124" t="s">
        <v>1625</v>
      </c>
      <c r="C280" s="3124" t="s">
        <v>2377</v>
      </c>
      <c r="D280" s="3124" t="s">
        <v>2378</v>
      </c>
      <c r="E280" t="s">
        <v>4591</v>
      </c>
      <c r="F280" s="3234" t="s">
        <v>2379</v>
      </c>
      <c r="G280" s="3124" t="s">
        <v>2380</v>
      </c>
      <c r="H280" s="3124">
        <v>20</v>
      </c>
      <c r="I280" s="3124">
        <v>20</v>
      </c>
      <c r="J280" s="3124"/>
      <c r="K280" s="3124">
        <v>2500</v>
      </c>
      <c r="L280" s="3124">
        <v>2800</v>
      </c>
      <c r="M280" s="3124" t="s">
        <v>1098</v>
      </c>
      <c r="N280" s="3192">
        <v>43617</v>
      </c>
      <c r="O280" s="3192">
        <v>44197</v>
      </c>
      <c r="P280" s="3192">
        <v>43617</v>
      </c>
      <c r="Q280" s="3192">
        <v>44197</v>
      </c>
      <c r="R280" s="3124" t="s">
        <v>432</v>
      </c>
      <c r="S280" s="3124" t="s">
        <v>1690</v>
      </c>
      <c r="T280" s="3124" t="s">
        <v>1990</v>
      </c>
      <c r="U280" t="s">
        <v>1195</v>
      </c>
      <c r="V280" s="3124">
        <v>6700</v>
      </c>
      <c r="W280" s="3193">
        <v>0.58208955223880599</v>
      </c>
      <c r="X280" s="3124">
        <v>3900</v>
      </c>
      <c r="Y280" s="3124">
        <v>0</v>
      </c>
      <c r="Z280" s="3124">
        <v>8000</v>
      </c>
      <c r="AA280" s="3124">
        <v>25000</v>
      </c>
      <c r="AB280" t="s">
        <v>1195</v>
      </c>
      <c r="AC280" s="3124"/>
    </row>
    <row r="281" spans="1:29">
      <c r="A281" s="3124">
        <v>280</v>
      </c>
      <c r="B281" s="3124" t="s">
        <v>1123</v>
      </c>
      <c r="C281" s="3124" t="s">
        <v>1323</v>
      </c>
      <c r="D281" s="3124" t="s">
        <v>1321</v>
      </c>
      <c r="E281" t="s">
        <v>1325</v>
      </c>
      <c r="F281" s="3234" t="s">
        <v>2381</v>
      </c>
      <c r="G281" s="3124" t="s">
        <v>2382</v>
      </c>
      <c r="H281" s="3124">
        <v>4</v>
      </c>
      <c r="I281" s="3124">
        <v>4</v>
      </c>
      <c r="J281" s="3124"/>
      <c r="K281" s="3124"/>
      <c r="L281" s="3124">
        <v>3350</v>
      </c>
      <c r="M281" s="3124" t="s">
        <v>1207</v>
      </c>
      <c r="N281" s="3192">
        <v>44440</v>
      </c>
      <c r="O281" s="3192">
        <v>44531</v>
      </c>
      <c r="P281" s="3192">
        <v>44440</v>
      </c>
      <c r="Q281" s="3192">
        <v>44531</v>
      </c>
      <c r="R281" s="3124" t="s">
        <v>433</v>
      </c>
      <c r="S281" s="3124" t="s">
        <v>1939</v>
      </c>
      <c r="T281" s="3124" t="s">
        <v>1850</v>
      </c>
      <c r="U281" t="s">
        <v>1195</v>
      </c>
      <c r="V281" s="3124">
        <v>6700</v>
      </c>
      <c r="W281" s="3193">
        <v>0.5</v>
      </c>
      <c r="X281" s="3124">
        <v>3350</v>
      </c>
      <c r="Y281" s="3124">
        <v>0</v>
      </c>
      <c r="Z281" s="3124">
        <v>8000</v>
      </c>
      <c r="AA281" s="3124">
        <v>25000</v>
      </c>
      <c r="AB281" t="s">
        <v>1195</v>
      </c>
      <c r="AC281" s="3124"/>
    </row>
    <row r="282" spans="1:29">
      <c r="A282" s="3124">
        <v>281</v>
      </c>
      <c r="B282" s="3124" t="s">
        <v>1625</v>
      </c>
      <c r="C282" s="3124" t="s">
        <v>1176</v>
      </c>
      <c r="D282" s="3124" t="s">
        <v>1177</v>
      </c>
      <c r="E282" t="s">
        <v>1178</v>
      </c>
      <c r="F282" s="3234" t="s">
        <v>4592</v>
      </c>
      <c r="G282" s="3124" t="s">
        <v>2383</v>
      </c>
      <c r="H282" s="3124">
        <v>20</v>
      </c>
      <c r="I282" s="3124">
        <v>20</v>
      </c>
      <c r="J282" s="3124"/>
      <c r="K282" s="3124">
        <v>3000</v>
      </c>
      <c r="L282" s="3124">
        <v>3350</v>
      </c>
      <c r="M282" s="3124" t="s">
        <v>1207</v>
      </c>
      <c r="N282" s="3192">
        <v>44287</v>
      </c>
      <c r="O282" s="3192">
        <v>44866</v>
      </c>
      <c r="P282" s="3192">
        <v>44287</v>
      </c>
      <c r="Q282" s="3192">
        <v>44866</v>
      </c>
      <c r="R282" s="3124" t="s">
        <v>433</v>
      </c>
      <c r="S282" s="3124" t="s">
        <v>1690</v>
      </c>
      <c r="T282" s="3124" t="s">
        <v>1918</v>
      </c>
      <c r="U282" t="s">
        <v>1195</v>
      </c>
      <c r="V282" s="3124">
        <v>6700</v>
      </c>
      <c r="W282" s="3193">
        <v>0.5</v>
      </c>
      <c r="X282" s="3124">
        <v>3350</v>
      </c>
      <c r="Y282" s="3124">
        <v>0</v>
      </c>
      <c r="Z282" s="3124">
        <v>6000</v>
      </c>
      <c r="AA282" s="3124">
        <v>29000</v>
      </c>
      <c r="AB282" t="s">
        <v>1195</v>
      </c>
      <c r="AC282" s="3124"/>
    </row>
    <row r="283" spans="1:29">
      <c r="A283" s="3124">
        <v>282</v>
      </c>
      <c r="B283" s="3124" t="s">
        <v>1123</v>
      </c>
      <c r="C283" s="3124" t="s">
        <v>1320</v>
      </c>
      <c r="D283" s="3124" t="s">
        <v>1319</v>
      </c>
      <c r="E283" t="s">
        <v>1322</v>
      </c>
      <c r="F283" s="3234" t="s">
        <v>2384</v>
      </c>
      <c r="G283" s="3124" t="s">
        <v>4593</v>
      </c>
      <c r="H283" s="3124">
        <v>4</v>
      </c>
      <c r="I283" s="3124">
        <v>4</v>
      </c>
      <c r="J283" s="3124"/>
      <c r="K283" s="3124"/>
      <c r="L283" s="3124">
        <v>3350</v>
      </c>
      <c r="M283" s="3124" t="s">
        <v>1105</v>
      </c>
      <c r="N283" s="3192">
        <v>44440</v>
      </c>
      <c r="O283" s="3192">
        <v>44531</v>
      </c>
      <c r="P283" s="3192">
        <v>44440</v>
      </c>
      <c r="Q283" s="3192">
        <v>44531</v>
      </c>
      <c r="R283" s="3124" t="s">
        <v>433</v>
      </c>
      <c r="S283" s="3124" t="s">
        <v>1939</v>
      </c>
      <c r="T283" s="3124" t="s">
        <v>1850</v>
      </c>
      <c r="U283" t="s">
        <v>1195</v>
      </c>
      <c r="V283" s="3124">
        <v>6700</v>
      </c>
      <c r="W283" s="3193">
        <v>0.5</v>
      </c>
      <c r="X283" s="3124">
        <v>3350</v>
      </c>
      <c r="Y283" s="3124">
        <v>0</v>
      </c>
      <c r="Z283" s="3124">
        <v>8000</v>
      </c>
      <c r="AA283" s="3124">
        <v>25000</v>
      </c>
      <c r="AB283" t="s">
        <v>1195</v>
      </c>
      <c r="AC283" s="3124"/>
    </row>
    <row r="284" spans="1:29">
      <c r="A284" s="3124">
        <v>283</v>
      </c>
      <c r="B284" s="3124" t="s">
        <v>1623</v>
      </c>
      <c r="C284" s="3124" t="s">
        <v>911</v>
      </c>
      <c r="D284" s="3124" t="s">
        <v>1736</v>
      </c>
      <c r="E284" t="s">
        <v>912</v>
      </c>
      <c r="F284" s="3234" t="s">
        <v>2385</v>
      </c>
      <c r="G284" s="3124" t="s">
        <v>2386</v>
      </c>
      <c r="H284" s="3124">
        <v>20</v>
      </c>
      <c r="I284" s="3124">
        <v>20</v>
      </c>
      <c r="J284" s="3124"/>
      <c r="K284" s="3124"/>
      <c r="L284" s="3124">
        <v>3900</v>
      </c>
      <c r="M284" s="3124" t="s">
        <v>1746</v>
      </c>
      <c r="N284" s="3192">
        <v>44501</v>
      </c>
      <c r="O284" s="3192">
        <v>45078</v>
      </c>
      <c r="P284" s="3192">
        <v>44501</v>
      </c>
      <c r="Q284" s="3192">
        <v>45078</v>
      </c>
      <c r="R284" s="3124" t="s">
        <v>432</v>
      </c>
      <c r="S284" s="3124" t="s">
        <v>1974</v>
      </c>
      <c r="T284" s="3124" t="s">
        <v>1850</v>
      </c>
      <c r="U284" t="s">
        <v>1195</v>
      </c>
      <c r="V284" s="3124">
        <v>6700</v>
      </c>
      <c r="W284" s="3193">
        <v>0.41791044776119401</v>
      </c>
      <c r="X284" s="3124">
        <v>2800</v>
      </c>
      <c r="Y284" s="3124">
        <v>0</v>
      </c>
      <c r="Z284" s="3124">
        <v>8000</v>
      </c>
      <c r="AA284" s="3124">
        <v>25000</v>
      </c>
      <c r="AB284" t="s">
        <v>1195</v>
      </c>
      <c r="AC284" s="3124"/>
    </row>
    <row r="285" spans="1:29">
      <c r="A285" s="3124">
        <v>284</v>
      </c>
      <c r="B285" s="3124" t="s">
        <v>1123</v>
      </c>
      <c r="C285" s="3124" t="s">
        <v>1326</v>
      </c>
      <c r="D285" s="3124" t="s">
        <v>1324</v>
      </c>
      <c r="E285" t="s">
        <v>2387</v>
      </c>
      <c r="F285" s="3234" t="s">
        <v>2388</v>
      </c>
      <c r="G285" s="3124" t="s">
        <v>2389</v>
      </c>
      <c r="H285" s="3124">
        <v>6</v>
      </c>
      <c r="I285" s="3124">
        <v>4</v>
      </c>
      <c r="J285" s="3124"/>
      <c r="K285" s="3124"/>
      <c r="L285" s="3124">
        <v>5333</v>
      </c>
      <c r="M285" s="3124" t="s">
        <v>1207</v>
      </c>
      <c r="N285" s="3192">
        <v>44440</v>
      </c>
      <c r="O285" s="3192">
        <v>44531</v>
      </c>
      <c r="P285" s="3192">
        <v>44440</v>
      </c>
      <c r="Q285" s="3192">
        <v>44593</v>
      </c>
      <c r="R285" s="3124" t="s">
        <v>433</v>
      </c>
      <c r="S285" s="3124" t="s">
        <v>1939</v>
      </c>
      <c r="T285" s="3124" t="s">
        <v>1850</v>
      </c>
      <c r="U285" t="s">
        <v>1195</v>
      </c>
      <c r="V285" s="3124">
        <v>6700</v>
      </c>
      <c r="W285" s="3193">
        <v>0.20402985074626867</v>
      </c>
      <c r="X285" s="3124">
        <v>1367</v>
      </c>
      <c r="Y285" s="3124">
        <v>0</v>
      </c>
      <c r="Z285" s="3124">
        <v>8000</v>
      </c>
      <c r="AA285" s="3124">
        <v>25000</v>
      </c>
      <c r="AB285" t="s">
        <v>1195</v>
      </c>
      <c r="AC285" s="3124"/>
    </row>
    <row r="286" spans="1:29">
      <c r="A286" s="3124">
        <v>285</v>
      </c>
      <c r="B286" s="3124" t="s">
        <v>1123</v>
      </c>
      <c r="C286" s="3124" t="s">
        <v>1299</v>
      </c>
      <c r="D286" s="3124" t="s">
        <v>1300</v>
      </c>
      <c r="E286" t="s">
        <v>1301</v>
      </c>
      <c r="F286" s="3234" t="s">
        <v>4594</v>
      </c>
      <c r="G286" s="3124" t="s">
        <v>2390</v>
      </c>
      <c r="H286" s="3124">
        <v>4</v>
      </c>
      <c r="I286" s="3124">
        <v>4</v>
      </c>
      <c r="J286" s="3124"/>
      <c r="K286" s="3124">
        <v>0</v>
      </c>
      <c r="L286" s="3124">
        <v>3350</v>
      </c>
      <c r="M286" s="3124" t="s">
        <v>1207</v>
      </c>
      <c r="N286" s="3192">
        <v>44470</v>
      </c>
      <c r="O286" s="3192">
        <v>44562</v>
      </c>
      <c r="P286" s="3192">
        <v>44470</v>
      </c>
      <c r="Q286" s="3192">
        <v>44562</v>
      </c>
      <c r="R286" s="3124" t="s">
        <v>432</v>
      </c>
      <c r="S286" s="3124" t="s">
        <v>1939</v>
      </c>
      <c r="T286" s="3124" t="s">
        <v>1850</v>
      </c>
      <c r="U286" t="s">
        <v>1195</v>
      </c>
      <c r="V286" s="3124">
        <v>6700</v>
      </c>
      <c r="W286" s="3193">
        <v>0.5</v>
      </c>
      <c r="X286" s="3124">
        <v>3350</v>
      </c>
      <c r="Y286" s="3124">
        <v>0</v>
      </c>
      <c r="Z286" s="3124">
        <v>8000</v>
      </c>
      <c r="AA286" s="3124">
        <v>25000</v>
      </c>
      <c r="AB286" t="s">
        <v>1195</v>
      </c>
      <c r="AC286" s="3124"/>
    </row>
    <row r="287" spans="1:29">
      <c r="A287" s="3124">
        <v>286</v>
      </c>
      <c r="B287" s="3124" t="s">
        <v>1123</v>
      </c>
      <c r="C287" s="3124" t="s">
        <v>1331</v>
      </c>
      <c r="D287" s="3124" t="s">
        <v>1329</v>
      </c>
      <c r="E287" t="s">
        <v>1333</v>
      </c>
      <c r="F287" s="3234" t="s">
        <v>4595</v>
      </c>
      <c r="G287" s="3124" t="s">
        <v>2391</v>
      </c>
      <c r="H287" s="3124">
        <v>6</v>
      </c>
      <c r="I287" s="3124">
        <v>4</v>
      </c>
      <c r="J287" s="3124"/>
      <c r="K287" s="3124"/>
      <c r="L287" s="3124">
        <v>5333</v>
      </c>
      <c r="M287" s="3124" t="s">
        <v>1207</v>
      </c>
      <c r="N287" s="3192">
        <v>44440</v>
      </c>
      <c r="O287" s="3192">
        <v>44531</v>
      </c>
      <c r="P287" s="3192">
        <v>44440</v>
      </c>
      <c r="Q287" s="3192">
        <v>44593</v>
      </c>
      <c r="R287" s="3124" t="s">
        <v>433</v>
      </c>
      <c r="S287" s="3124" t="s">
        <v>1939</v>
      </c>
      <c r="T287" s="3124" t="s">
        <v>1850</v>
      </c>
      <c r="U287" t="s">
        <v>1195</v>
      </c>
      <c r="V287" s="3124">
        <v>6700</v>
      </c>
      <c r="W287" s="3193">
        <v>0.20402985074626867</v>
      </c>
      <c r="X287" s="3124">
        <v>1367</v>
      </c>
      <c r="Y287" s="3124">
        <v>0</v>
      </c>
      <c r="Z287" s="3124">
        <v>8000</v>
      </c>
      <c r="AA287" s="3124">
        <v>25000</v>
      </c>
      <c r="AB287" t="s">
        <v>1195</v>
      </c>
      <c r="AC287" s="3124"/>
    </row>
    <row r="288" spans="1:29">
      <c r="A288" s="3124">
        <v>287</v>
      </c>
      <c r="B288" s="3124" t="s">
        <v>1839</v>
      </c>
      <c r="C288" s="3124" t="s">
        <v>1549</v>
      </c>
      <c r="D288" s="3124" t="s">
        <v>629</v>
      </c>
      <c r="E288" t="s">
        <v>1550</v>
      </c>
      <c r="F288" s="3234" t="s">
        <v>629</v>
      </c>
      <c r="G288" s="3124" t="s">
        <v>629</v>
      </c>
      <c r="H288" s="3124">
        <v>8</v>
      </c>
      <c r="I288" s="3124">
        <v>8</v>
      </c>
      <c r="J288" s="3124"/>
      <c r="K288" s="3124"/>
      <c r="L288" s="3124">
        <v>2180</v>
      </c>
      <c r="M288" s="3124" t="s">
        <v>1493</v>
      </c>
      <c r="N288" s="3192">
        <v>44470</v>
      </c>
      <c r="O288" s="3192">
        <v>44682</v>
      </c>
      <c r="P288" s="3192">
        <v>44470</v>
      </c>
      <c r="Q288" s="3192">
        <v>44682</v>
      </c>
      <c r="R288" s="3124" t="s">
        <v>432</v>
      </c>
      <c r="S288" s="3124" t="s">
        <v>1842</v>
      </c>
      <c r="T288" s="3124" t="s">
        <v>1850</v>
      </c>
      <c r="U288" t="s">
        <v>629</v>
      </c>
      <c r="V288" s="3124">
        <v>3150</v>
      </c>
      <c r="W288" s="3193">
        <v>0.30793650793650795</v>
      </c>
      <c r="X288" s="3124">
        <v>970</v>
      </c>
      <c r="Y288" s="3124">
        <v>0</v>
      </c>
      <c r="Z288" s="3124">
        <v>5000</v>
      </c>
      <c r="AA288" s="3124">
        <v>18000</v>
      </c>
      <c r="AB288" t="s">
        <v>1869</v>
      </c>
      <c r="AC288" s="3124"/>
    </row>
    <row r="289" spans="1:29">
      <c r="A289" s="3124">
        <v>288</v>
      </c>
      <c r="B289" s="3124" t="s">
        <v>1625</v>
      </c>
      <c r="C289" s="3124" t="s">
        <v>2392</v>
      </c>
      <c r="D289" s="3124" t="s">
        <v>2393</v>
      </c>
      <c r="E289" t="s">
        <v>2394</v>
      </c>
      <c r="F289" s="3234" t="s">
        <v>2395</v>
      </c>
      <c r="G289" s="3124" t="s">
        <v>2396</v>
      </c>
      <c r="H289" s="3124">
        <v>21</v>
      </c>
      <c r="I289" s="3124">
        <v>20</v>
      </c>
      <c r="J289" s="3124"/>
      <c r="K289" s="3124">
        <v>3000</v>
      </c>
      <c r="L289" s="3124">
        <v>3350</v>
      </c>
      <c r="M289" s="3124" t="s">
        <v>2041</v>
      </c>
      <c r="N289" s="3192">
        <v>44075</v>
      </c>
      <c r="O289" s="3192">
        <v>44652</v>
      </c>
      <c r="P289" s="3192">
        <v>44075</v>
      </c>
      <c r="Q289" s="3192">
        <v>44682</v>
      </c>
      <c r="R289" s="3124" t="s">
        <v>433</v>
      </c>
      <c r="S289" s="3124" t="s">
        <v>1690</v>
      </c>
      <c r="T289" s="3124" t="s">
        <v>1850</v>
      </c>
      <c r="U289" t="s">
        <v>1195</v>
      </c>
      <c r="V289" s="3124">
        <v>6700</v>
      </c>
      <c r="W289" s="3193">
        <v>0.5</v>
      </c>
      <c r="X289" s="3124">
        <v>3350</v>
      </c>
      <c r="Y289" s="3124">
        <v>0</v>
      </c>
      <c r="Z289" s="3124">
        <v>8000</v>
      </c>
      <c r="AA289" s="3124">
        <v>25000</v>
      </c>
      <c r="AB289" t="s">
        <v>1195</v>
      </c>
      <c r="AC289" s="3124"/>
    </row>
    <row r="290" spans="1:29">
      <c r="A290" s="3124">
        <v>289</v>
      </c>
      <c r="B290" s="3124" t="s">
        <v>1621</v>
      </c>
      <c r="C290" s="3124" t="s">
        <v>727</v>
      </c>
      <c r="D290" s="3124" t="s">
        <v>1716</v>
      </c>
      <c r="E290" t="s">
        <v>1731</v>
      </c>
      <c r="F290" s="3234" t="s">
        <v>2397</v>
      </c>
      <c r="G290" s="3124" t="s">
        <v>2398</v>
      </c>
      <c r="H290" s="3124">
        <v>20</v>
      </c>
      <c r="I290" s="3124">
        <v>20</v>
      </c>
      <c r="J290" s="3124"/>
      <c r="K290" s="3124">
        <v>2000</v>
      </c>
      <c r="L290" s="3124">
        <v>1800</v>
      </c>
      <c r="M290" s="3124" t="s">
        <v>2646</v>
      </c>
      <c r="N290" s="3192">
        <v>44228</v>
      </c>
      <c r="O290" s="3192">
        <v>44805</v>
      </c>
      <c r="P290" s="3192">
        <v>44228</v>
      </c>
      <c r="Q290" s="3192">
        <v>44805</v>
      </c>
      <c r="R290" s="3124" t="s">
        <v>432</v>
      </c>
      <c r="S290" s="3124" t="s">
        <v>1640</v>
      </c>
      <c r="T290" s="3124" t="s">
        <v>1850</v>
      </c>
      <c r="U290" t="s">
        <v>1761</v>
      </c>
      <c r="V290" s="3124">
        <v>5000</v>
      </c>
      <c r="W290" s="3193">
        <v>0.64</v>
      </c>
      <c r="X290" s="3124">
        <v>3200</v>
      </c>
      <c r="Y290" s="3124">
        <v>1</v>
      </c>
      <c r="Z290" s="3124">
        <v>0</v>
      </c>
      <c r="AA290" s="3124">
        <v>25000</v>
      </c>
      <c r="AB290" t="s">
        <v>1869</v>
      </c>
      <c r="AC290" s="3124"/>
    </row>
    <row r="291" spans="1:29">
      <c r="A291" s="3124">
        <v>290</v>
      </c>
      <c r="B291" s="3124" t="s">
        <v>1123</v>
      </c>
      <c r="C291" s="3124" t="s">
        <v>1318</v>
      </c>
      <c r="D291" s="3124" t="s">
        <v>1316</v>
      </c>
      <c r="E291" t="s">
        <v>2399</v>
      </c>
      <c r="F291" s="3234" t="s">
        <v>2400</v>
      </c>
      <c r="G291" s="3124" t="s">
        <v>2401</v>
      </c>
      <c r="H291" s="3124">
        <v>6</v>
      </c>
      <c r="I291" s="3124">
        <v>4</v>
      </c>
      <c r="J291" s="3124"/>
      <c r="K291" s="3124"/>
      <c r="L291" s="3124">
        <v>5333</v>
      </c>
      <c r="M291" s="3124" t="s">
        <v>1207</v>
      </c>
      <c r="N291" s="3192">
        <v>44440</v>
      </c>
      <c r="O291" s="3192">
        <v>44531</v>
      </c>
      <c r="P291" s="3192">
        <v>44440</v>
      </c>
      <c r="Q291" s="3192">
        <v>44593</v>
      </c>
      <c r="R291" s="3124" t="s">
        <v>433</v>
      </c>
      <c r="S291" s="3124" t="s">
        <v>1939</v>
      </c>
      <c r="T291" s="3124" t="s">
        <v>1850</v>
      </c>
      <c r="U291" t="s">
        <v>1195</v>
      </c>
      <c r="V291" s="3124">
        <v>6700</v>
      </c>
      <c r="W291" s="3193">
        <v>0.20402985074626867</v>
      </c>
      <c r="X291" s="3124">
        <v>1367</v>
      </c>
      <c r="Y291" s="3124">
        <v>0</v>
      </c>
      <c r="Z291" s="3124">
        <v>8000</v>
      </c>
      <c r="AA291" s="3124">
        <v>25000</v>
      </c>
      <c r="AB291" t="s">
        <v>1195</v>
      </c>
      <c r="AC291" s="3124"/>
    </row>
    <row r="292" spans="1:29">
      <c r="A292" s="3124">
        <v>291</v>
      </c>
      <c r="B292" s="3124" t="s">
        <v>1123</v>
      </c>
      <c r="C292" s="3124" t="s">
        <v>1340</v>
      </c>
      <c r="D292" s="3124" t="s">
        <v>1229</v>
      </c>
      <c r="E292" t="s">
        <v>1341</v>
      </c>
      <c r="F292" s="3234" t="s">
        <v>4596</v>
      </c>
      <c r="G292" s="3124" t="s">
        <v>4597</v>
      </c>
      <c r="H292" s="3124">
        <v>4</v>
      </c>
      <c r="I292" s="3124">
        <v>4</v>
      </c>
      <c r="J292" s="3124"/>
      <c r="K292" s="3124">
        <v>0</v>
      </c>
      <c r="L292" s="3124">
        <v>3350</v>
      </c>
      <c r="M292" s="3124" t="s">
        <v>1207</v>
      </c>
      <c r="N292" s="3192">
        <v>44470</v>
      </c>
      <c r="O292" s="3192">
        <v>44562</v>
      </c>
      <c r="P292" s="3192">
        <v>44470</v>
      </c>
      <c r="Q292" s="3192">
        <v>44562</v>
      </c>
      <c r="R292" s="3124" t="s">
        <v>433</v>
      </c>
      <c r="S292" s="3124" t="s">
        <v>1939</v>
      </c>
      <c r="T292" s="3124" t="s">
        <v>1850</v>
      </c>
      <c r="U292" t="s">
        <v>1195</v>
      </c>
      <c r="V292" s="3124">
        <v>6700</v>
      </c>
      <c r="W292" s="3193">
        <v>0.5</v>
      </c>
      <c r="X292" s="3124">
        <v>3350</v>
      </c>
      <c r="Y292" s="3124">
        <v>0</v>
      </c>
      <c r="Z292" s="3124">
        <v>8000</v>
      </c>
      <c r="AA292" s="3124">
        <v>29000</v>
      </c>
      <c r="AB292" t="s">
        <v>1195</v>
      </c>
      <c r="AC292" s="3124"/>
    </row>
    <row r="293" spans="1:29">
      <c r="A293" s="3124">
        <v>292</v>
      </c>
      <c r="B293" s="3124" t="s">
        <v>1621</v>
      </c>
      <c r="C293" s="3124" t="s">
        <v>763</v>
      </c>
      <c r="D293" s="3124" t="s">
        <v>2649</v>
      </c>
      <c r="E293" t="s">
        <v>764</v>
      </c>
      <c r="F293" s="3234" t="s">
        <v>2402</v>
      </c>
      <c r="G293" s="3124" t="s">
        <v>2403</v>
      </c>
      <c r="H293" s="3124">
        <v>20</v>
      </c>
      <c r="I293" s="3124">
        <v>20</v>
      </c>
      <c r="J293" s="3124">
        <v>0</v>
      </c>
      <c r="K293" s="3124">
        <v>2000</v>
      </c>
      <c r="L293" s="3124">
        <v>2180</v>
      </c>
      <c r="M293" s="3124" t="s">
        <v>4598</v>
      </c>
      <c r="N293" s="3192">
        <v>44440</v>
      </c>
      <c r="O293" s="3192">
        <v>45017</v>
      </c>
      <c r="P293" s="3192">
        <v>44440</v>
      </c>
      <c r="Q293" s="3192">
        <v>45017</v>
      </c>
      <c r="R293" s="3124" t="s">
        <v>433</v>
      </c>
      <c r="S293" s="3124" t="s">
        <v>1640</v>
      </c>
      <c r="T293" s="3124" t="s">
        <v>1850</v>
      </c>
      <c r="U293" t="s">
        <v>1869</v>
      </c>
      <c r="V293" s="3124">
        <v>5000</v>
      </c>
      <c r="W293" s="3193">
        <v>0.56399999999999995</v>
      </c>
      <c r="X293" s="3124">
        <v>2820</v>
      </c>
      <c r="Y293" s="3124">
        <v>2</v>
      </c>
      <c r="Z293" s="3124">
        <v>0</v>
      </c>
      <c r="AA293" s="3124">
        <v>25000</v>
      </c>
      <c r="AB293" t="s">
        <v>1869</v>
      </c>
      <c r="AC293" s="3124"/>
    </row>
    <row r="294" spans="1:29">
      <c r="A294" s="3124">
        <v>293</v>
      </c>
      <c r="B294" s="3124" t="s">
        <v>1839</v>
      </c>
      <c r="C294" s="3124" t="s">
        <v>1551</v>
      </c>
      <c r="D294" s="3124" t="s">
        <v>2650</v>
      </c>
      <c r="E294" t="s">
        <v>1553</v>
      </c>
      <c r="F294" s="3234" t="s">
        <v>2404</v>
      </c>
      <c r="G294" s="3124" t="s">
        <v>2405</v>
      </c>
      <c r="H294" s="3124">
        <v>8</v>
      </c>
      <c r="I294" s="3124">
        <v>8</v>
      </c>
      <c r="J294" s="3124"/>
      <c r="K294" s="3124"/>
      <c r="L294" s="3124">
        <v>2180</v>
      </c>
      <c r="M294" s="3124" t="s">
        <v>1493</v>
      </c>
      <c r="N294" s="3192">
        <v>44501</v>
      </c>
      <c r="O294" s="3192">
        <v>44713</v>
      </c>
      <c r="P294" s="3192">
        <v>44491</v>
      </c>
      <c r="Q294" s="3192">
        <v>44703</v>
      </c>
      <c r="R294" s="3124" t="s">
        <v>432</v>
      </c>
      <c r="S294" s="3124" t="s">
        <v>1842</v>
      </c>
      <c r="T294" s="3124" t="s">
        <v>1850</v>
      </c>
      <c r="U294" t="s">
        <v>1195</v>
      </c>
      <c r="V294" s="3124">
        <v>3150</v>
      </c>
      <c r="W294" s="3193">
        <v>0.30793650793650795</v>
      </c>
      <c r="X294" s="3124">
        <v>970</v>
      </c>
      <c r="Y294" s="3124">
        <v>0</v>
      </c>
      <c r="Z294" s="3124">
        <v>5000</v>
      </c>
      <c r="AA294" s="3124">
        <v>18000</v>
      </c>
      <c r="AB294" t="s">
        <v>1195</v>
      </c>
      <c r="AC294" s="3124"/>
    </row>
    <row r="295" spans="1:29">
      <c r="A295" s="3124">
        <v>294</v>
      </c>
      <c r="B295" s="3124" t="s">
        <v>1621</v>
      </c>
      <c r="C295" s="3124" t="s">
        <v>1396</v>
      </c>
      <c r="D295" s="3124" t="s">
        <v>2651</v>
      </c>
      <c r="E295" t="s">
        <v>1398</v>
      </c>
      <c r="F295" s="3234" t="s">
        <v>2406</v>
      </c>
      <c r="G295" s="3124" t="s">
        <v>1844</v>
      </c>
      <c r="H295" s="3124">
        <v>20</v>
      </c>
      <c r="I295" s="3124">
        <v>20</v>
      </c>
      <c r="J295" s="3124"/>
      <c r="K295" s="3124">
        <v>2000</v>
      </c>
      <c r="L295" s="3124">
        <v>2000</v>
      </c>
      <c r="M295" s="3124" t="s">
        <v>2125</v>
      </c>
      <c r="N295" s="3192">
        <v>43604</v>
      </c>
      <c r="O295" s="3192">
        <v>44184</v>
      </c>
      <c r="P295" s="3192">
        <v>43604</v>
      </c>
      <c r="Q295" s="3192">
        <v>44184</v>
      </c>
      <c r="R295" s="3124" t="s">
        <v>433</v>
      </c>
      <c r="S295" s="3124" t="s">
        <v>1640</v>
      </c>
      <c r="T295" s="3124" t="s">
        <v>1850</v>
      </c>
      <c r="U295" t="s">
        <v>1761</v>
      </c>
      <c r="V295" s="3124">
        <v>7000</v>
      </c>
      <c r="W295" s="3193">
        <v>0.7142857142857143</v>
      </c>
      <c r="X295" s="3124">
        <v>5000</v>
      </c>
      <c r="Y295" s="3124">
        <v>1</v>
      </c>
      <c r="Z295" s="3124">
        <v>0</v>
      </c>
      <c r="AA295" s="3124">
        <v>25000</v>
      </c>
      <c r="AB295" t="s">
        <v>1195</v>
      </c>
      <c r="AC295" s="3124"/>
    </row>
    <row r="296" spans="1:29">
      <c r="A296" s="3124">
        <v>295</v>
      </c>
      <c r="B296" s="3124" t="s">
        <v>1123</v>
      </c>
      <c r="C296" s="3124" t="s">
        <v>1306</v>
      </c>
      <c r="D296" s="3124" t="s">
        <v>1307</v>
      </c>
      <c r="E296" t="s">
        <v>1308</v>
      </c>
      <c r="F296" s="3234" t="s">
        <v>2407</v>
      </c>
      <c r="G296" s="3124" t="s">
        <v>2408</v>
      </c>
      <c r="H296" s="3124">
        <v>4</v>
      </c>
      <c r="I296" s="3124">
        <v>4</v>
      </c>
      <c r="J296" s="3124"/>
      <c r="K296" s="3124">
        <v>0</v>
      </c>
      <c r="L296" s="3124">
        <v>3350</v>
      </c>
      <c r="M296" s="3124" t="s">
        <v>1207</v>
      </c>
      <c r="N296" s="3192">
        <v>44501</v>
      </c>
      <c r="O296" s="3192">
        <v>44593</v>
      </c>
      <c r="P296" s="3192">
        <v>44501</v>
      </c>
      <c r="Q296" s="3192">
        <v>44593</v>
      </c>
      <c r="R296" s="3124" t="s">
        <v>433</v>
      </c>
      <c r="S296" s="3124" t="s">
        <v>1939</v>
      </c>
      <c r="T296" s="3124" t="s">
        <v>1850</v>
      </c>
      <c r="U296" t="s">
        <v>1195</v>
      </c>
      <c r="V296" s="3124">
        <v>6700</v>
      </c>
      <c r="W296" s="3193">
        <v>0.5</v>
      </c>
      <c r="X296" s="3124">
        <v>3350</v>
      </c>
      <c r="Y296" s="3124">
        <v>0</v>
      </c>
      <c r="Z296" s="3124">
        <v>8000</v>
      </c>
      <c r="AA296" s="3124">
        <v>25000</v>
      </c>
      <c r="AB296" t="s">
        <v>1195</v>
      </c>
      <c r="AC296" s="3124"/>
    </row>
    <row r="297" spans="1:29">
      <c r="A297" s="3124">
        <v>296</v>
      </c>
      <c r="B297" s="3124" t="s">
        <v>1839</v>
      </c>
      <c r="C297" s="3124" t="s">
        <v>1766</v>
      </c>
      <c r="D297" s="3124" t="s">
        <v>2652</v>
      </c>
      <c r="E297" t="s">
        <v>2409</v>
      </c>
      <c r="F297" s="3234" t="s">
        <v>2410</v>
      </c>
      <c r="G297" s="3124" t="s">
        <v>2411</v>
      </c>
      <c r="H297" s="3124">
        <v>8</v>
      </c>
      <c r="I297" s="3124">
        <v>8</v>
      </c>
      <c r="J297" s="3124"/>
      <c r="K297" s="3124"/>
      <c r="L297" s="3124">
        <v>2180</v>
      </c>
      <c r="M297" s="3124" t="s">
        <v>1493</v>
      </c>
      <c r="N297" s="3192">
        <v>44501</v>
      </c>
      <c r="O297" s="3192">
        <v>44713</v>
      </c>
      <c r="P297" s="3192">
        <v>44501</v>
      </c>
      <c r="Q297" s="3192">
        <v>44713</v>
      </c>
      <c r="R297" s="3124" t="s">
        <v>433</v>
      </c>
      <c r="S297" s="3124" t="s">
        <v>1842</v>
      </c>
      <c r="T297" s="3124" t="s">
        <v>1850</v>
      </c>
      <c r="U297" t="s">
        <v>1195</v>
      </c>
      <c r="V297" s="3124">
        <v>3150</v>
      </c>
      <c r="W297" s="3193">
        <v>0.30793650793650795</v>
      </c>
      <c r="X297" s="3124">
        <v>970</v>
      </c>
      <c r="Y297" s="3124">
        <v>0</v>
      </c>
      <c r="Z297" s="3124">
        <v>5000</v>
      </c>
      <c r="AA297" s="3124">
        <v>18000</v>
      </c>
      <c r="AB297" t="s">
        <v>1195</v>
      </c>
      <c r="AC297" s="3124"/>
    </row>
    <row r="298" spans="1:29">
      <c r="A298" s="3124">
        <v>297</v>
      </c>
      <c r="B298" s="3124" t="s">
        <v>1623</v>
      </c>
      <c r="C298" s="3124" t="s">
        <v>2412</v>
      </c>
      <c r="D298" s="3124" t="s">
        <v>629</v>
      </c>
      <c r="E298" t="s">
        <v>2413</v>
      </c>
      <c r="F298" s="3234" t="s">
        <v>629</v>
      </c>
      <c r="G298" s="3124" t="s">
        <v>629</v>
      </c>
      <c r="H298" s="3124">
        <v>20</v>
      </c>
      <c r="I298" s="3124">
        <v>20</v>
      </c>
      <c r="J298" s="3124"/>
      <c r="K298" s="3124"/>
      <c r="L298" s="3124">
        <v>3350</v>
      </c>
      <c r="M298" s="3124" t="s">
        <v>1746</v>
      </c>
      <c r="N298" s="3192">
        <v>44501</v>
      </c>
      <c r="O298" s="3192">
        <v>45078</v>
      </c>
      <c r="P298" s="3192">
        <v>44501</v>
      </c>
      <c r="Q298" s="3192">
        <v>45078</v>
      </c>
      <c r="R298" s="3124" t="s">
        <v>432</v>
      </c>
      <c r="S298" s="3124" t="s">
        <v>1974</v>
      </c>
      <c r="T298" s="3124" t="s">
        <v>1850</v>
      </c>
      <c r="U298" t="s">
        <v>629</v>
      </c>
      <c r="V298" s="3124">
        <v>7000</v>
      </c>
      <c r="W298" s="3193">
        <v>0.52142857142857146</v>
      </c>
      <c r="X298" s="3124">
        <v>3650</v>
      </c>
      <c r="Y298" s="3124">
        <v>1</v>
      </c>
      <c r="Z298" s="3124">
        <v>0</v>
      </c>
      <c r="AA298" s="3124">
        <v>29000</v>
      </c>
      <c r="AB298" t="s">
        <v>1869</v>
      </c>
      <c r="AC298" s="3124"/>
    </row>
    <row r="299" spans="1:29">
      <c r="A299" s="3124">
        <v>298</v>
      </c>
      <c r="B299" s="3124" t="s">
        <v>1691</v>
      </c>
      <c r="C299" s="3124" t="s">
        <v>441</v>
      </c>
      <c r="D299" s="3124" t="s">
        <v>442</v>
      </c>
      <c r="E299" t="s">
        <v>443</v>
      </c>
      <c r="F299" s="3234">
        <v>8332811726</v>
      </c>
      <c r="G299" s="3124" t="s">
        <v>2414</v>
      </c>
      <c r="H299" s="3124">
        <v>16</v>
      </c>
      <c r="I299" s="3124">
        <v>16</v>
      </c>
      <c r="J299" s="3124"/>
      <c r="K299" s="3124">
        <v>2000</v>
      </c>
      <c r="L299" s="3124">
        <v>2180</v>
      </c>
      <c r="M299" s="3124" t="s">
        <v>407</v>
      </c>
      <c r="N299" s="3192">
        <v>44539</v>
      </c>
      <c r="O299" s="3192">
        <v>44994</v>
      </c>
      <c r="P299" s="3192">
        <v>44539</v>
      </c>
      <c r="Q299" s="3192">
        <v>44994</v>
      </c>
      <c r="R299" s="3124" t="s">
        <v>433</v>
      </c>
      <c r="S299" s="3124" t="s">
        <v>1949</v>
      </c>
      <c r="T299" s="3124" t="s">
        <v>1850</v>
      </c>
      <c r="U299" t="s">
        <v>1195</v>
      </c>
      <c r="V299" s="3124">
        <v>5000</v>
      </c>
      <c r="W299" s="3193">
        <v>0.56399999999999995</v>
      </c>
      <c r="X299" s="3124">
        <v>2820</v>
      </c>
      <c r="Y299" s="3124">
        <v>1</v>
      </c>
      <c r="Z299" s="3124">
        <v>0</v>
      </c>
      <c r="AA299" s="3124">
        <v>23000</v>
      </c>
      <c r="AB299" t="s">
        <v>1195</v>
      </c>
      <c r="AC299" s="3124"/>
    </row>
    <row r="300" spans="1:29">
      <c r="A300" s="3124">
        <v>299</v>
      </c>
      <c r="B300" s="3124" t="s">
        <v>1623</v>
      </c>
      <c r="C300" s="3124" t="s">
        <v>935</v>
      </c>
      <c r="D300" s="3124" t="s">
        <v>936</v>
      </c>
      <c r="E300" t="s">
        <v>1128</v>
      </c>
      <c r="F300" s="3234" t="s">
        <v>4561</v>
      </c>
      <c r="G300" s="3124" t="s">
        <v>2190</v>
      </c>
      <c r="H300" s="3124">
        <v>20</v>
      </c>
      <c r="I300" s="3124">
        <v>20</v>
      </c>
      <c r="J300" s="3124"/>
      <c r="K300" s="3124">
        <v>3000</v>
      </c>
      <c r="L300" s="3124">
        <v>3350</v>
      </c>
      <c r="M300" s="3124" t="s">
        <v>1746</v>
      </c>
      <c r="N300" s="3192">
        <v>44501</v>
      </c>
      <c r="O300" s="3192">
        <v>45078</v>
      </c>
      <c r="P300" s="3192">
        <v>44501</v>
      </c>
      <c r="Q300" s="3192">
        <v>45078</v>
      </c>
      <c r="R300" s="3124" t="s">
        <v>432</v>
      </c>
      <c r="S300" s="3124" t="s">
        <v>1974</v>
      </c>
      <c r="T300" s="3124" t="s">
        <v>1850</v>
      </c>
      <c r="U300" t="s">
        <v>1195</v>
      </c>
      <c r="V300" s="3124">
        <v>7000</v>
      </c>
      <c r="W300" s="3193">
        <v>0.52142857142857146</v>
      </c>
      <c r="X300" s="3124">
        <v>3650</v>
      </c>
      <c r="Y300" s="3124">
        <v>1</v>
      </c>
      <c r="Z300" s="3124">
        <v>0</v>
      </c>
      <c r="AA300" s="3124">
        <v>29000</v>
      </c>
      <c r="AB300" t="s">
        <v>1195</v>
      </c>
      <c r="AC300" s="3124"/>
    </row>
    <row r="301" spans="1:29">
      <c r="A301" s="3124">
        <v>300</v>
      </c>
      <c r="B301" s="3124" t="s">
        <v>1691</v>
      </c>
      <c r="C301" s="3124" t="s">
        <v>2415</v>
      </c>
      <c r="D301" s="3124" t="s">
        <v>629</v>
      </c>
      <c r="E301" t="s">
        <v>2416</v>
      </c>
      <c r="F301" s="3234" t="s">
        <v>629</v>
      </c>
      <c r="G301" s="3124" t="s">
        <v>629</v>
      </c>
      <c r="H301" s="3124">
        <v>16</v>
      </c>
      <c r="I301" s="3124">
        <v>16</v>
      </c>
      <c r="J301" s="3124"/>
      <c r="K301" s="3124"/>
      <c r="L301" s="3124">
        <v>2180</v>
      </c>
      <c r="M301" s="3124" t="s">
        <v>407</v>
      </c>
      <c r="N301" s="3192">
        <v>44501</v>
      </c>
      <c r="O301" s="3192">
        <v>44958</v>
      </c>
      <c r="P301" s="3192">
        <v>44501</v>
      </c>
      <c r="Q301" s="3192">
        <v>44958</v>
      </c>
      <c r="R301" s="3124" t="s">
        <v>433</v>
      </c>
      <c r="S301" s="3124" t="s">
        <v>1949</v>
      </c>
      <c r="T301" s="3124" t="s">
        <v>1850</v>
      </c>
      <c r="U301" t="s">
        <v>2653</v>
      </c>
      <c r="V301" s="3124">
        <v>5000</v>
      </c>
      <c r="W301" s="3193">
        <v>0.56399999999999995</v>
      </c>
      <c r="X301" s="3124">
        <v>2820</v>
      </c>
      <c r="Y301" s="3124">
        <v>1</v>
      </c>
      <c r="Z301" s="3124">
        <v>0</v>
      </c>
      <c r="AA301" s="3124">
        <v>23000</v>
      </c>
      <c r="AB301" t="s">
        <v>2653</v>
      </c>
      <c r="AC301" s="3124"/>
    </row>
    <row r="302" spans="1:29">
      <c r="A302" s="3124">
        <v>301</v>
      </c>
      <c r="B302" s="3124" t="s">
        <v>1621</v>
      </c>
      <c r="C302" s="3124" t="s">
        <v>739</v>
      </c>
      <c r="D302" s="3124" t="s">
        <v>759</v>
      </c>
      <c r="E302" s="3135" t="s">
        <v>4599</v>
      </c>
      <c r="F302" s="3234">
        <v>7225033333</v>
      </c>
      <c r="G302" s="3124" t="s">
        <v>2417</v>
      </c>
      <c r="H302" s="3124">
        <v>20</v>
      </c>
      <c r="I302" s="3124">
        <v>20</v>
      </c>
      <c r="J302" s="3124"/>
      <c r="K302" s="3124">
        <v>2000</v>
      </c>
      <c r="L302" s="3124">
        <v>2180</v>
      </c>
      <c r="M302" s="3124" t="s">
        <v>704</v>
      </c>
      <c r="N302" s="3192">
        <v>44317</v>
      </c>
      <c r="O302" s="3192">
        <v>44896</v>
      </c>
      <c r="P302" s="3192">
        <v>44317</v>
      </c>
      <c r="Q302" s="3192">
        <v>44896</v>
      </c>
      <c r="R302" s="3124" t="s">
        <v>432</v>
      </c>
      <c r="S302" s="3124" t="s">
        <v>1640</v>
      </c>
      <c r="T302" s="3124" t="s">
        <v>1918</v>
      </c>
      <c r="U302" t="s">
        <v>1761</v>
      </c>
      <c r="V302" s="3124">
        <v>7000</v>
      </c>
      <c r="W302" s="3193">
        <v>0.68857142857142861</v>
      </c>
      <c r="X302" s="3124">
        <v>4820</v>
      </c>
      <c r="Y302" s="3124">
        <v>1</v>
      </c>
      <c r="Z302" s="3124">
        <v>0</v>
      </c>
      <c r="AA302" s="3124">
        <v>29000</v>
      </c>
      <c r="AB302" t="s">
        <v>1869</v>
      </c>
      <c r="AC302" s="3124"/>
    </row>
    <row r="303" spans="1:29">
      <c r="A303" s="3124">
        <v>302</v>
      </c>
      <c r="B303" s="3124" t="s">
        <v>1839</v>
      </c>
      <c r="C303" s="3124" t="s">
        <v>1585</v>
      </c>
      <c r="D303" s="3124" t="s">
        <v>2654</v>
      </c>
      <c r="E303" t="s">
        <v>1587</v>
      </c>
      <c r="F303" s="3234" t="s">
        <v>2418</v>
      </c>
      <c r="G303" s="3124" t="s">
        <v>2419</v>
      </c>
      <c r="H303" s="3124">
        <v>8</v>
      </c>
      <c r="I303" s="3124">
        <v>8</v>
      </c>
      <c r="J303" s="3124"/>
      <c r="K303" s="3124"/>
      <c r="L303" s="3124">
        <v>2180</v>
      </c>
      <c r="M303" s="3124" t="s">
        <v>1493</v>
      </c>
      <c r="N303" s="3192">
        <v>44531</v>
      </c>
      <c r="O303" s="3192">
        <v>44743</v>
      </c>
      <c r="P303" s="3192">
        <v>44531</v>
      </c>
      <c r="Q303" s="3192">
        <v>44743</v>
      </c>
      <c r="R303" s="3124" t="s">
        <v>433</v>
      </c>
      <c r="S303" s="3124" t="s">
        <v>1842</v>
      </c>
      <c r="T303" s="3124" t="s">
        <v>1850</v>
      </c>
      <c r="U303" t="s">
        <v>1195</v>
      </c>
      <c r="V303" s="3124">
        <v>3150</v>
      </c>
      <c r="W303" s="3193">
        <v>0.30793650793650795</v>
      </c>
      <c r="X303" s="3124">
        <v>970</v>
      </c>
      <c r="Y303" s="3124">
        <v>0</v>
      </c>
      <c r="Z303" s="3124">
        <v>5000</v>
      </c>
      <c r="AA303" s="3124">
        <v>18000</v>
      </c>
      <c r="AB303" t="s">
        <v>1195</v>
      </c>
      <c r="AC303" s="3124"/>
    </row>
    <row r="304" spans="1:29">
      <c r="A304" s="3124">
        <v>303</v>
      </c>
      <c r="B304" s="3124" t="s">
        <v>1625</v>
      </c>
      <c r="C304" s="3124" t="s">
        <v>1173</v>
      </c>
      <c r="D304" s="3124" t="s">
        <v>1174</v>
      </c>
      <c r="E304" t="s">
        <v>1175</v>
      </c>
      <c r="F304" s="3234" t="s">
        <v>4600</v>
      </c>
      <c r="G304" s="3124" t="s">
        <v>2420</v>
      </c>
      <c r="H304" s="3124">
        <v>20</v>
      </c>
      <c r="I304" s="3124">
        <v>20</v>
      </c>
      <c r="J304" s="3124"/>
      <c r="K304" s="3124">
        <v>3000</v>
      </c>
      <c r="L304" s="3124">
        <v>3350</v>
      </c>
      <c r="M304" s="3124" t="s">
        <v>1207</v>
      </c>
      <c r="N304" s="3192">
        <v>44287</v>
      </c>
      <c r="O304" s="3192">
        <v>44866</v>
      </c>
      <c r="P304" s="3192">
        <v>44287</v>
      </c>
      <c r="Q304" s="3192">
        <v>44866</v>
      </c>
      <c r="R304" s="3124" t="s">
        <v>432</v>
      </c>
      <c r="S304" s="3124" t="s">
        <v>1690</v>
      </c>
      <c r="T304" s="3124" t="s">
        <v>1918</v>
      </c>
      <c r="U304" t="s">
        <v>1195</v>
      </c>
      <c r="V304" s="3124">
        <v>7000</v>
      </c>
      <c r="W304" s="3193">
        <v>0.52142857142857146</v>
      </c>
      <c r="X304" s="3124">
        <v>3650</v>
      </c>
      <c r="Y304" s="3124">
        <v>1</v>
      </c>
      <c r="Z304" s="3124">
        <v>0</v>
      </c>
      <c r="AA304" s="3124">
        <v>29000</v>
      </c>
      <c r="AB304" t="s">
        <v>1195</v>
      </c>
      <c r="AC304" s="3124"/>
    </row>
    <row r="305" spans="1:29">
      <c r="A305" s="3124">
        <v>304</v>
      </c>
      <c r="B305" s="3124" t="s">
        <v>1623</v>
      </c>
      <c r="C305" s="3124" t="s">
        <v>929</v>
      </c>
      <c r="D305" s="3124" t="s">
        <v>930</v>
      </c>
      <c r="E305" t="s">
        <v>4601</v>
      </c>
      <c r="F305" s="3234" t="s">
        <v>2421</v>
      </c>
      <c r="G305" s="3124" t="s">
        <v>5185</v>
      </c>
      <c r="H305" s="3124">
        <v>20</v>
      </c>
      <c r="I305" s="3124">
        <v>20</v>
      </c>
      <c r="J305" s="3124"/>
      <c r="K305" s="3124"/>
      <c r="L305" s="3124">
        <v>0</v>
      </c>
      <c r="M305" s="3124" t="s">
        <v>1746</v>
      </c>
      <c r="N305" s="3192">
        <v>44501</v>
      </c>
      <c r="O305" s="3192">
        <v>45078</v>
      </c>
      <c r="P305" s="3192">
        <v>44501</v>
      </c>
      <c r="Q305" s="3192">
        <v>45078</v>
      </c>
      <c r="R305" s="3124" t="s">
        <v>432</v>
      </c>
      <c r="S305" s="3124" t="s">
        <v>1974</v>
      </c>
      <c r="T305" s="3124" t="s">
        <v>1850</v>
      </c>
      <c r="U305" t="s">
        <v>1761</v>
      </c>
      <c r="V305" s="3124">
        <v>7000</v>
      </c>
      <c r="W305" s="3193">
        <v>1</v>
      </c>
      <c r="X305" s="3124">
        <v>7000</v>
      </c>
      <c r="Y305" s="3124">
        <v>1</v>
      </c>
      <c r="Z305" s="3124">
        <v>0</v>
      </c>
      <c r="AA305" s="3124">
        <v>29000</v>
      </c>
      <c r="AB305" t="s">
        <v>1195</v>
      </c>
      <c r="AC305" s="3124"/>
    </row>
    <row r="306" spans="1:29">
      <c r="A306" s="3124">
        <v>305</v>
      </c>
      <c r="B306" s="3124" t="s">
        <v>1623</v>
      </c>
      <c r="C306" s="3124" t="s">
        <v>913</v>
      </c>
      <c r="D306" s="3124" t="s">
        <v>930</v>
      </c>
      <c r="E306" t="s">
        <v>914</v>
      </c>
      <c r="F306" s="3234" t="s">
        <v>2422</v>
      </c>
      <c r="G306" s="3124" t="s">
        <v>2423</v>
      </c>
      <c r="H306" s="3124">
        <v>20</v>
      </c>
      <c r="I306" s="3124">
        <v>20</v>
      </c>
      <c r="J306" s="3124"/>
      <c r="K306" s="3124"/>
      <c r="L306" s="3124">
        <v>0</v>
      </c>
      <c r="M306" s="3124" t="s">
        <v>1746</v>
      </c>
      <c r="N306" s="3192">
        <v>44501</v>
      </c>
      <c r="O306" s="3192">
        <v>45078</v>
      </c>
      <c r="P306" s="3192">
        <v>44501</v>
      </c>
      <c r="Q306" s="3192">
        <v>45078</v>
      </c>
      <c r="R306" s="3124" t="s">
        <v>432</v>
      </c>
      <c r="S306" s="3124" t="s">
        <v>1974</v>
      </c>
      <c r="T306" s="3124" t="s">
        <v>1850</v>
      </c>
      <c r="U306" t="s">
        <v>1195</v>
      </c>
      <c r="V306" s="3124">
        <v>7000</v>
      </c>
      <c r="W306" s="3193">
        <v>1</v>
      </c>
      <c r="X306" s="3124">
        <v>7000</v>
      </c>
      <c r="Y306" s="3124">
        <v>1</v>
      </c>
      <c r="Z306" s="3124">
        <v>0</v>
      </c>
      <c r="AA306" s="3124">
        <v>29000</v>
      </c>
      <c r="AB306" t="s">
        <v>1195</v>
      </c>
      <c r="AC306" s="3124"/>
    </row>
    <row r="307" spans="1:29">
      <c r="A307" s="3124">
        <v>306</v>
      </c>
      <c r="B307" s="3124" t="s">
        <v>1623</v>
      </c>
      <c r="C307" s="3124" t="s">
        <v>915</v>
      </c>
      <c r="D307" s="3124" t="s">
        <v>916</v>
      </c>
      <c r="E307" t="s">
        <v>917</v>
      </c>
      <c r="F307" s="3234" t="s">
        <v>2424</v>
      </c>
      <c r="G307" s="3124" t="s">
        <v>4602</v>
      </c>
      <c r="H307" s="3124">
        <v>20</v>
      </c>
      <c r="I307" s="3124">
        <v>20</v>
      </c>
      <c r="J307" s="3124"/>
      <c r="K307" s="3124"/>
      <c r="L307" s="3124">
        <v>3350</v>
      </c>
      <c r="M307" s="3124" t="s">
        <v>1746</v>
      </c>
      <c r="N307" s="3192">
        <v>44501</v>
      </c>
      <c r="O307" s="3192">
        <v>45078</v>
      </c>
      <c r="P307" s="3192">
        <v>44501</v>
      </c>
      <c r="Q307" s="3192">
        <v>45078</v>
      </c>
      <c r="R307" s="3124" t="s">
        <v>433</v>
      </c>
      <c r="S307" s="3124" t="s">
        <v>1974</v>
      </c>
      <c r="T307" s="3124" t="s">
        <v>1850</v>
      </c>
      <c r="U307" t="s">
        <v>1195</v>
      </c>
      <c r="V307" s="3124">
        <v>7000</v>
      </c>
      <c r="W307" s="3193">
        <v>0.52142857142857146</v>
      </c>
      <c r="X307" s="3124">
        <v>3650</v>
      </c>
      <c r="Y307" s="3124">
        <v>1</v>
      </c>
      <c r="Z307" s="3124">
        <v>0</v>
      </c>
      <c r="AA307" s="3124">
        <v>29000</v>
      </c>
      <c r="AB307" t="s">
        <v>1195</v>
      </c>
      <c r="AC307" s="3124"/>
    </row>
    <row r="308" spans="1:29">
      <c r="A308" s="3124">
        <v>307</v>
      </c>
      <c r="B308" s="3124" t="s">
        <v>1839</v>
      </c>
      <c r="C308" s="3124" t="s">
        <v>2425</v>
      </c>
      <c r="D308" s="3124" t="s">
        <v>2426</v>
      </c>
      <c r="E308" t="s">
        <v>4603</v>
      </c>
      <c r="F308" s="3234" t="s">
        <v>2427</v>
      </c>
      <c r="G308" s="3124" t="s">
        <v>2428</v>
      </c>
      <c r="H308" s="3124">
        <v>8</v>
      </c>
      <c r="I308" s="3124">
        <v>8</v>
      </c>
      <c r="J308" s="3124"/>
      <c r="K308" s="3124">
        <v>0</v>
      </c>
      <c r="L308" s="3124">
        <v>5875</v>
      </c>
      <c r="M308" s="3124" t="s">
        <v>134</v>
      </c>
      <c r="N308" s="3192">
        <v>44470</v>
      </c>
      <c r="O308" s="3192">
        <v>44682</v>
      </c>
      <c r="P308" s="3192">
        <v>44470</v>
      </c>
      <c r="Q308" s="3192">
        <v>44682</v>
      </c>
      <c r="R308" s="3124" t="s">
        <v>432</v>
      </c>
      <c r="S308" s="3124" t="s">
        <v>1842</v>
      </c>
      <c r="T308" s="3124" t="s">
        <v>1850</v>
      </c>
      <c r="U308" t="s">
        <v>1195</v>
      </c>
      <c r="V308" s="3124">
        <v>3150</v>
      </c>
      <c r="W308" s="3193">
        <v>-0.86507936507936511</v>
      </c>
      <c r="X308" s="3124">
        <v>-2725</v>
      </c>
      <c r="Y308" s="3124">
        <v>0</v>
      </c>
      <c r="Z308" s="3124">
        <v>5000</v>
      </c>
      <c r="AA308" s="3124">
        <v>18000</v>
      </c>
      <c r="AB308" t="s">
        <v>1195</v>
      </c>
      <c r="AC308" s="3124"/>
    </row>
    <row r="309" spans="1:29">
      <c r="A309" s="3124">
        <v>308</v>
      </c>
      <c r="B309" s="3124" t="s">
        <v>1625</v>
      </c>
      <c r="C309" s="3124" t="s">
        <v>1282</v>
      </c>
      <c r="D309" s="3124" t="s">
        <v>1283</v>
      </c>
      <c r="E309" s="3157" t="s">
        <v>1284</v>
      </c>
      <c r="F309" s="3234" t="s">
        <v>2429</v>
      </c>
      <c r="G309" s="3124" t="s">
        <v>4604</v>
      </c>
      <c r="H309" s="3124">
        <v>20</v>
      </c>
      <c r="I309" s="3124">
        <v>20</v>
      </c>
      <c r="J309" s="3124"/>
      <c r="K309" s="3124">
        <v>3000</v>
      </c>
      <c r="L309" s="3124">
        <v>3350</v>
      </c>
      <c r="M309" s="3124" t="s">
        <v>1247</v>
      </c>
      <c r="N309" s="3192">
        <v>44531</v>
      </c>
      <c r="O309" s="3192">
        <v>45108</v>
      </c>
      <c r="P309" s="3192">
        <v>44531</v>
      </c>
      <c r="Q309" s="3192">
        <v>45108</v>
      </c>
      <c r="R309" s="3124" t="s">
        <v>433</v>
      </c>
      <c r="S309" s="3124" t="s">
        <v>1690</v>
      </c>
      <c r="T309" s="3124" t="s">
        <v>1850</v>
      </c>
      <c r="U309" t="s">
        <v>1869</v>
      </c>
      <c r="V309" s="3124">
        <v>6700</v>
      </c>
      <c r="W309" s="3193">
        <v>0.5</v>
      </c>
      <c r="X309" s="3124">
        <v>3350</v>
      </c>
      <c r="Y309" s="3124">
        <v>1</v>
      </c>
      <c r="Z309" s="3124">
        <v>0</v>
      </c>
      <c r="AA309" s="3124">
        <v>29000</v>
      </c>
      <c r="AB309" t="s">
        <v>1869</v>
      </c>
      <c r="AC309" s="3124"/>
    </row>
    <row r="310" spans="1:29">
      <c r="A310" s="3124">
        <v>309</v>
      </c>
      <c r="B310" s="3124" t="s">
        <v>1623</v>
      </c>
      <c r="C310" s="3124" t="s">
        <v>921</v>
      </c>
      <c r="D310" s="3124" t="s">
        <v>922</v>
      </c>
      <c r="E310" t="s">
        <v>2430</v>
      </c>
      <c r="F310" s="3234" t="s">
        <v>2431</v>
      </c>
      <c r="G310" s="3124" t="s">
        <v>2432</v>
      </c>
      <c r="H310" s="3124">
        <v>20</v>
      </c>
      <c r="I310" s="3124">
        <v>20</v>
      </c>
      <c r="J310" s="3124"/>
      <c r="K310" s="3124">
        <v>3000</v>
      </c>
      <c r="L310" s="3124">
        <v>3350</v>
      </c>
      <c r="M310" s="3124" t="s">
        <v>1746</v>
      </c>
      <c r="N310" s="3192">
        <v>44531</v>
      </c>
      <c r="O310" s="3192">
        <v>45108</v>
      </c>
      <c r="P310" s="3192">
        <v>44531</v>
      </c>
      <c r="Q310" s="3192">
        <v>45108</v>
      </c>
      <c r="R310" s="3124" t="s">
        <v>433</v>
      </c>
      <c r="S310" s="3124" t="s">
        <v>1974</v>
      </c>
      <c r="T310" s="3124" t="s">
        <v>1850</v>
      </c>
      <c r="U310" t="s">
        <v>1761</v>
      </c>
      <c r="V310" s="3124">
        <v>7000</v>
      </c>
      <c r="W310" s="3193">
        <v>0.52142857142857146</v>
      </c>
      <c r="X310" s="3124">
        <v>3650</v>
      </c>
      <c r="Y310" s="3124">
        <v>1</v>
      </c>
      <c r="Z310" s="3124">
        <v>0</v>
      </c>
      <c r="AA310" s="3124">
        <v>29000</v>
      </c>
      <c r="AB310" t="s">
        <v>1869</v>
      </c>
      <c r="AC310" s="3124"/>
    </row>
    <row r="311" spans="1:29">
      <c r="A311" s="3124">
        <v>310</v>
      </c>
      <c r="B311" s="3124" t="s">
        <v>1621</v>
      </c>
      <c r="C311" s="3124" t="s">
        <v>487</v>
      </c>
      <c r="D311" s="3124" t="s">
        <v>485</v>
      </c>
      <c r="E311" t="s">
        <v>489</v>
      </c>
      <c r="F311" s="3234" t="s">
        <v>2433</v>
      </c>
      <c r="G311" s="3124" t="s">
        <v>2434</v>
      </c>
      <c r="H311" s="3124">
        <v>20</v>
      </c>
      <c r="I311" s="3124">
        <v>20</v>
      </c>
      <c r="J311" s="3124"/>
      <c r="K311" s="3124"/>
      <c r="L311" s="3124">
        <v>2180</v>
      </c>
      <c r="M311" s="3124" t="s">
        <v>704</v>
      </c>
      <c r="N311" s="3192">
        <v>44562</v>
      </c>
      <c r="O311" s="3192">
        <v>45139</v>
      </c>
      <c r="P311" s="3192">
        <v>44562</v>
      </c>
      <c r="Q311" s="3192">
        <v>45139</v>
      </c>
      <c r="R311" s="3124" t="s">
        <v>432</v>
      </c>
      <c r="S311" s="3124" t="s">
        <v>1640</v>
      </c>
      <c r="T311" s="3124" t="s">
        <v>1850</v>
      </c>
      <c r="U311" t="s">
        <v>1869</v>
      </c>
      <c r="V311" s="3124">
        <v>5000</v>
      </c>
      <c r="W311" s="3193">
        <v>0.56399999999999995</v>
      </c>
      <c r="X311" s="3124">
        <v>2820</v>
      </c>
      <c r="Y311" s="3124">
        <v>2</v>
      </c>
      <c r="Z311" s="3124">
        <v>0</v>
      </c>
      <c r="AA311" s="3124">
        <v>25000</v>
      </c>
      <c r="AB311" t="s">
        <v>1869</v>
      </c>
      <c r="AC311" s="3124"/>
    </row>
    <row r="312" spans="1:29">
      <c r="A312" s="3124">
        <v>311</v>
      </c>
      <c r="B312" s="3124" t="s">
        <v>1621</v>
      </c>
      <c r="C312" s="3124" t="s">
        <v>491</v>
      </c>
      <c r="D312" s="3124" t="s">
        <v>488</v>
      </c>
      <c r="E312" s="3162" t="s">
        <v>493</v>
      </c>
      <c r="F312" s="3234">
        <v>7773360494</v>
      </c>
      <c r="G312" s="3190" t="s">
        <v>2435</v>
      </c>
      <c r="H312" s="3124">
        <v>24</v>
      </c>
      <c r="I312" s="3124">
        <v>20</v>
      </c>
      <c r="J312" s="3124"/>
      <c r="K312" s="3124">
        <v>2000</v>
      </c>
      <c r="L312" s="3124">
        <v>1800</v>
      </c>
      <c r="M312" s="3124" t="s">
        <v>2631</v>
      </c>
      <c r="N312" s="3192">
        <v>44575</v>
      </c>
      <c r="O312" s="3192">
        <v>45152</v>
      </c>
      <c r="P312" s="3192">
        <v>44562</v>
      </c>
      <c r="Q312" s="3192">
        <v>45261</v>
      </c>
      <c r="R312" s="3124" t="s">
        <v>432</v>
      </c>
      <c r="S312" s="3124" t="s">
        <v>1640</v>
      </c>
      <c r="T312" s="3124" t="s">
        <v>1850</v>
      </c>
      <c r="U312" t="s">
        <v>1195</v>
      </c>
      <c r="V312" s="3124">
        <v>5000</v>
      </c>
      <c r="W312" s="3193">
        <v>0.64</v>
      </c>
      <c r="X312" s="3124">
        <v>3200</v>
      </c>
      <c r="Y312" s="3124">
        <v>2</v>
      </c>
      <c r="Z312" s="3124">
        <v>0</v>
      </c>
      <c r="AA312" s="3124">
        <v>25000</v>
      </c>
      <c r="AB312" t="s">
        <v>1195</v>
      </c>
      <c r="AC312" s="3124"/>
    </row>
    <row r="313" spans="1:29">
      <c r="A313" s="3124">
        <v>312</v>
      </c>
      <c r="B313" s="3124" t="s">
        <v>1623</v>
      </c>
      <c r="C313" s="3124" t="s">
        <v>926</v>
      </c>
      <c r="D313" s="3124" t="s">
        <v>927</v>
      </c>
      <c r="E313" t="s">
        <v>928</v>
      </c>
      <c r="F313" s="3234" t="s">
        <v>2436</v>
      </c>
      <c r="G313" s="3190" t="s">
        <v>2437</v>
      </c>
      <c r="H313" s="3124">
        <v>20</v>
      </c>
      <c r="I313" s="3124">
        <v>20</v>
      </c>
      <c r="J313" s="3124"/>
      <c r="K313" s="3124"/>
      <c r="L313" s="3124">
        <v>3350</v>
      </c>
      <c r="M313" s="3124" t="s">
        <v>1746</v>
      </c>
      <c r="N313" s="3192">
        <v>44562</v>
      </c>
      <c r="O313" s="3192">
        <v>45139</v>
      </c>
      <c r="P313" s="3192">
        <v>44562</v>
      </c>
      <c r="Q313" s="3192">
        <v>45139</v>
      </c>
      <c r="R313" s="3124" t="s">
        <v>432</v>
      </c>
      <c r="S313" s="3124" t="s">
        <v>1974</v>
      </c>
      <c r="T313" s="3124" t="s">
        <v>1850</v>
      </c>
      <c r="U313" t="s">
        <v>1869</v>
      </c>
      <c r="V313" s="3124">
        <v>7000</v>
      </c>
      <c r="W313" s="3193">
        <v>0.52142857142857146</v>
      </c>
      <c r="X313" s="3124">
        <v>3650</v>
      </c>
      <c r="Y313" s="3124">
        <v>1</v>
      </c>
      <c r="Z313" s="3124">
        <v>0</v>
      </c>
      <c r="AA313" s="3124">
        <v>29000</v>
      </c>
      <c r="AB313" t="s">
        <v>1869</v>
      </c>
      <c r="AC313" s="3124"/>
    </row>
    <row r="314" spans="1:29">
      <c r="A314" s="3124">
        <v>313</v>
      </c>
      <c r="B314" s="3124" t="s">
        <v>1691</v>
      </c>
      <c r="C314" s="3124" t="s">
        <v>426</v>
      </c>
      <c r="D314" s="3124" t="s">
        <v>435</v>
      </c>
      <c r="E314" t="s">
        <v>428</v>
      </c>
      <c r="F314" s="3234" t="s">
        <v>2438</v>
      </c>
      <c r="G314" s="3124" t="s">
        <v>2439</v>
      </c>
      <c r="H314" s="3124">
        <v>16</v>
      </c>
      <c r="I314" s="3124">
        <v>16</v>
      </c>
      <c r="J314" s="3124"/>
      <c r="K314" s="3124"/>
      <c r="L314" s="3124">
        <v>2180</v>
      </c>
      <c r="M314" s="3124" t="s">
        <v>407</v>
      </c>
      <c r="N314" s="3192">
        <v>44562</v>
      </c>
      <c r="O314" s="3192">
        <v>45017</v>
      </c>
      <c r="P314" s="3192">
        <v>44562</v>
      </c>
      <c r="Q314" s="3192">
        <v>45017</v>
      </c>
      <c r="R314" s="3124" t="s">
        <v>433</v>
      </c>
      <c r="S314" s="3124" t="s">
        <v>1949</v>
      </c>
      <c r="T314" s="3124" t="s">
        <v>1850</v>
      </c>
      <c r="U314" t="s">
        <v>1869</v>
      </c>
      <c r="V314" s="3124">
        <v>5000</v>
      </c>
      <c r="W314" s="3193">
        <v>0.56399999999999995</v>
      </c>
      <c r="X314" s="3124">
        <v>2820</v>
      </c>
      <c r="Y314" s="3124">
        <v>1</v>
      </c>
      <c r="Z314" s="3124">
        <v>0</v>
      </c>
      <c r="AA314" s="3124">
        <v>23000</v>
      </c>
      <c r="AB314" t="s">
        <v>1869</v>
      </c>
      <c r="AC314" s="3124"/>
    </row>
    <row r="315" spans="1:29">
      <c r="A315" s="3124">
        <v>314</v>
      </c>
      <c r="B315" s="3124" t="s">
        <v>1691</v>
      </c>
      <c r="C315" s="3124" t="s">
        <v>434</v>
      </c>
      <c r="D315" s="3124" t="s">
        <v>438</v>
      </c>
      <c r="E315" t="s">
        <v>436</v>
      </c>
      <c r="F315" s="3234" t="s">
        <v>4605</v>
      </c>
      <c r="G315" s="3124" t="s">
        <v>4606</v>
      </c>
      <c r="H315" s="3124">
        <v>16</v>
      </c>
      <c r="I315" s="3124">
        <v>16</v>
      </c>
      <c r="J315" s="3124"/>
      <c r="K315" s="3124"/>
      <c r="L315" s="3124">
        <v>2180</v>
      </c>
      <c r="M315" s="3124" t="s">
        <v>407</v>
      </c>
      <c r="N315" s="3192">
        <v>44562</v>
      </c>
      <c r="O315" s="3192">
        <v>45017</v>
      </c>
      <c r="P315" s="3192">
        <v>44562</v>
      </c>
      <c r="Q315" s="3192">
        <v>45017</v>
      </c>
      <c r="R315" s="3124" t="s">
        <v>432</v>
      </c>
      <c r="S315" s="3124" t="s">
        <v>1949</v>
      </c>
      <c r="T315" s="3124" t="s">
        <v>1850</v>
      </c>
      <c r="U315" t="s">
        <v>1869</v>
      </c>
      <c r="V315" s="3124">
        <v>5000</v>
      </c>
      <c r="W315" s="3193">
        <v>0.56399999999999995</v>
      </c>
      <c r="X315" s="3124">
        <v>2820</v>
      </c>
      <c r="Y315" s="3124">
        <v>1</v>
      </c>
      <c r="Z315" s="3124">
        <v>0</v>
      </c>
      <c r="AA315" s="3124">
        <v>23000</v>
      </c>
      <c r="AB315" t="s">
        <v>1869</v>
      </c>
      <c r="AC315" s="3124"/>
    </row>
    <row r="316" spans="1:29">
      <c r="A316" s="3124">
        <v>315</v>
      </c>
      <c r="B316" s="3124" t="s">
        <v>1691</v>
      </c>
      <c r="C316" s="3124" t="s">
        <v>437</v>
      </c>
      <c r="D316" s="3124" t="s">
        <v>440</v>
      </c>
      <c r="E316" t="s">
        <v>439</v>
      </c>
      <c r="F316" s="3234">
        <v>8117181395</v>
      </c>
      <c r="G316" s="3190" t="s">
        <v>2440</v>
      </c>
      <c r="H316" s="3124">
        <v>16</v>
      </c>
      <c r="I316" s="3124">
        <v>16</v>
      </c>
      <c r="J316" s="3124"/>
      <c r="K316" s="3124"/>
      <c r="L316" s="3124">
        <v>2180</v>
      </c>
      <c r="M316" s="3124" t="s">
        <v>407</v>
      </c>
      <c r="N316" s="3192">
        <v>44562</v>
      </c>
      <c r="O316" s="3192">
        <v>45017</v>
      </c>
      <c r="P316" s="3192">
        <v>44562</v>
      </c>
      <c r="Q316" s="3192">
        <v>45017</v>
      </c>
      <c r="R316" s="3124" t="s">
        <v>433</v>
      </c>
      <c r="S316" s="3124" t="s">
        <v>1949</v>
      </c>
      <c r="T316" s="3124" t="s">
        <v>1850</v>
      </c>
      <c r="U316" t="s">
        <v>1869</v>
      </c>
      <c r="V316" s="3124">
        <v>5000</v>
      </c>
      <c r="W316" s="3193">
        <v>0.56399999999999995</v>
      </c>
      <c r="X316" s="3124">
        <v>2820</v>
      </c>
      <c r="Y316" s="3124">
        <v>1</v>
      </c>
      <c r="Z316" s="3124">
        <v>0</v>
      </c>
      <c r="AA316" s="3124">
        <v>23000</v>
      </c>
      <c r="AB316" t="s">
        <v>1869</v>
      </c>
      <c r="AC316" s="3124"/>
    </row>
    <row r="317" spans="1:29">
      <c r="A317" s="3124">
        <v>316</v>
      </c>
      <c r="B317" s="3124" t="s">
        <v>1764</v>
      </c>
      <c r="C317" s="3124" t="s">
        <v>478</v>
      </c>
      <c r="D317" s="3124" t="s">
        <v>759</v>
      </c>
      <c r="E317" t="s">
        <v>4607</v>
      </c>
      <c r="F317" s="3234" t="s">
        <v>2441</v>
      </c>
      <c r="G317" s="3124" t="s">
        <v>4608</v>
      </c>
      <c r="H317" s="3124">
        <v>6</v>
      </c>
      <c r="I317" s="3124">
        <v>6</v>
      </c>
      <c r="J317" s="3124"/>
      <c r="K317" s="3124"/>
      <c r="L317" s="3124">
        <v>2180</v>
      </c>
      <c r="M317" s="3124" t="s">
        <v>704</v>
      </c>
      <c r="N317" s="3192">
        <v>44562</v>
      </c>
      <c r="O317" s="3192">
        <v>44713</v>
      </c>
      <c r="P317" s="3192">
        <v>44562</v>
      </c>
      <c r="Q317" s="3192">
        <v>44713</v>
      </c>
      <c r="R317" s="3124" t="s">
        <v>433</v>
      </c>
      <c r="S317" s="3124" t="s">
        <v>1917</v>
      </c>
      <c r="T317" s="3124" t="s">
        <v>1918</v>
      </c>
      <c r="U317" t="s">
        <v>1869</v>
      </c>
      <c r="V317" s="3124">
        <v>5000</v>
      </c>
      <c r="W317" s="3193">
        <v>0.56399999999999995</v>
      </c>
      <c r="X317" s="3124">
        <v>2820</v>
      </c>
      <c r="Y317" s="3124">
        <v>0</v>
      </c>
      <c r="Z317" s="3124">
        <v>6000</v>
      </c>
      <c r="AA317" s="3124">
        <v>23000</v>
      </c>
      <c r="AB317" t="s">
        <v>1869</v>
      </c>
      <c r="AC317" s="3124"/>
    </row>
    <row r="318" spans="1:29">
      <c r="A318" s="3124">
        <v>317</v>
      </c>
      <c r="B318" s="3124" t="s">
        <v>1625</v>
      </c>
      <c r="C318" s="3124" t="s">
        <v>1280</v>
      </c>
      <c r="D318" s="3124" t="s">
        <v>1281</v>
      </c>
      <c r="E318" s="3135" t="s">
        <v>4609</v>
      </c>
      <c r="F318" s="3234">
        <v>9981955570</v>
      </c>
      <c r="G318" s="3124" t="s">
        <v>2442</v>
      </c>
      <c r="H318" s="3124">
        <v>24</v>
      </c>
      <c r="I318" s="3124">
        <v>20</v>
      </c>
      <c r="J318" s="3124">
        <v>0</v>
      </c>
      <c r="K318" s="3124">
        <v>3000</v>
      </c>
      <c r="L318" s="3124">
        <v>2800</v>
      </c>
      <c r="M318" s="3124" t="s">
        <v>1247</v>
      </c>
      <c r="N318" s="3192">
        <v>44576</v>
      </c>
      <c r="O318" s="3192">
        <v>45153</v>
      </c>
      <c r="P318" s="3192">
        <v>44576</v>
      </c>
      <c r="Q318" s="3192">
        <v>45275</v>
      </c>
      <c r="R318" s="3124" t="s">
        <v>432</v>
      </c>
      <c r="S318" s="3124" t="s">
        <v>1690</v>
      </c>
      <c r="T318" s="3124" t="s">
        <v>1850</v>
      </c>
      <c r="U318" t="s">
        <v>1869</v>
      </c>
      <c r="V318" s="3124">
        <v>6700</v>
      </c>
      <c r="W318" s="3193">
        <v>0.58208955223880599</v>
      </c>
      <c r="X318" s="3124">
        <v>3900</v>
      </c>
      <c r="Y318" s="3124">
        <v>1</v>
      </c>
      <c r="Z318" s="3124">
        <v>0</v>
      </c>
      <c r="AA318" s="3124">
        <v>29000</v>
      </c>
      <c r="AB318" t="s">
        <v>1869</v>
      </c>
      <c r="AC318" s="3124"/>
    </row>
    <row r="319" spans="1:29">
      <c r="A319" s="3124">
        <v>318</v>
      </c>
      <c r="B319" s="3124" t="s">
        <v>1630</v>
      </c>
      <c r="C319" s="3124" t="s">
        <v>148</v>
      </c>
      <c r="D319" s="3124" t="s">
        <v>149</v>
      </c>
      <c r="E319" t="s">
        <v>3883</v>
      </c>
      <c r="F319" s="3234">
        <v>9982227972</v>
      </c>
      <c r="G319" s="3124" t="s">
        <v>4610</v>
      </c>
      <c r="H319" s="3124">
        <v>36</v>
      </c>
      <c r="I319" s="3124">
        <v>36</v>
      </c>
      <c r="J319" s="3124"/>
      <c r="K319" s="3124">
        <v>1000</v>
      </c>
      <c r="L319" s="3124">
        <v>1350</v>
      </c>
      <c r="M319" s="3124" t="s">
        <v>134</v>
      </c>
      <c r="N319" s="3192">
        <v>44576</v>
      </c>
      <c r="O319" s="3192">
        <v>45641</v>
      </c>
      <c r="P319" s="3192">
        <v>44576</v>
      </c>
      <c r="Q319" s="3192">
        <v>45641</v>
      </c>
      <c r="R319" s="3124" t="s">
        <v>432</v>
      </c>
      <c r="S319" s="3124" t="s">
        <v>1658</v>
      </c>
      <c r="T319" s="3124" t="s">
        <v>1850</v>
      </c>
      <c r="U319" t="s">
        <v>1761</v>
      </c>
      <c r="V319" s="3124">
        <v>3150</v>
      </c>
      <c r="W319" s="3193">
        <v>0.5714285714285714</v>
      </c>
      <c r="X319" s="3124">
        <v>1800</v>
      </c>
      <c r="Y319" s="3124">
        <v>4</v>
      </c>
      <c r="Z319" s="3124">
        <v>0</v>
      </c>
      <c r="AA319" s="3124">
        <v>18000</v>
      </c>
      <c r="AB319" t="s">
        <v>1195</v>
      </c>
      <c r="AC319" s="3124"/>
    </row>
    <row r="320" spans="1:29">
      <c r="A320" s="3124">
        <v>319</v>
      </c>
      <c r="B320" s="3124" t="s">
        <v>1623</v>
      </c>
      <c r="C320" s="3124" t="s">
        <v>924</v>
      </c>
      <c r="D320" s="3124" t="s">
        <v>925</v>
      </c>
      <c r="E320" t="s">
        <v>2443</v>
      </c>
      <c r="F320" s="3234" t="s">
        <v>2444</v>
      </c>
      <c r="G320" s="3124" t="s">
        <v>2445</v>
      </c>
      <c r="H320" s="3124">
        <v>20</v>
      </c>
      <c r="I320" s="3124">
        <v>20</v>
      </c>
      <c r="J320" s="3124">
        <v>0</v>
      </c>
      <c r="K320" s="3124">
        <v>3000</v>
      </c>
      <c r="L320" s="3124">
        <v>3350</v>
      </c>
      <c r="M320" s="3124" t="s">
        <v>1746</v>
      </c>
      <c r="N320" s="3192">
        <v>44576</v>
      </c>
      <c r="O320" s="3192">
        <v>45153</v>
      </c>
      <c r="P320" s="3192">
        <v>44576</v>
      </c>
      <c r="Q320" s="3192">
        <v>45153</v>
      </c>
      <c r="R320" s="3124" t="s">
        <v>433</v>
      </c>
      <c r="S320" s="3124" t="s">
        <v>1974</v>
      </c>
      <c r="T320" s="3124" t="s">
        <v>1850</v>
      </c>
      <c r="U320" t="s">
        <v>1195</v>
      </c>
      <c r="V320" s="3124">
        <v>7000</v>
      </c>
      <c r="W320" s="3193">
        <v>0.52142857142857146</v>
      </c>
      <c r="X320" s="3124">
        <v>3650</v>
      </c>
      <c r="Y320" s="3124">
        <v>1</v>
      </c>
      <c r="Z320" s="3124">
        <v>0</v>
      </c>
      <c r="AA320" s="3124">
        <v>29000</v>
      </c>
      <c r="AB320" t="s">
        <v>1195</v>
      </c>
      <c r="AC320" s="3124"/>
    </row>
    <row r="321" spans="1:29">
      <c r="A321" s="3124">
        <v>320</v>
      </c>
      <c r="B321" s="3124" t="s">
        <v>1621</v>
      </c>
      <c r="C321" s="3124" t="s">
        <v>2446</v>
      </c>
      <c r="D321" s="3124" t="s">
        <v>2447</v>
      </c>
      <c r="E321" s="3125" t="s">
        <v>2448</v>
      </c>
      <c r="F321" s="3234" t="s">
        <v>2449</v>
      </c>
      <c r="G321" s="3124" t="s">
        <v>2450</v>
      </c>
      <c r="H321" s="3124">
        <v>20</v>
      </c>
      <c r="I321" s="3124">
        <v>20</v>
      </c>
      <c r="J321" s="3124"/>
      <c r="K321" s="3124">
        <v>2000</v>
      </c>
      <c r="L321" s="3124">
        <v>2300</v>
      </c>
      <c r="M321" s="3124" t="s">
        <v>1896</v>
      </c>
      <c r="N321" s="3192">
        <v>43586</v>
      </c>
      <c r="O321" s="3192">
        <v>44166</v>
      </c>
      <c r="P321" s="3192">
        <v>43586</v>
      </c>
      <c r="Q321" s="3192">
        <v>44166</v>
      </c>
      <c r="R321" s="3124" t="s">
        <v>433</v>
      </c>
      <c r="S321" s="3124" t="s">
        <v>1640</v>
      </c>
      <c r="T321" s="3124" t="s">
        <v>1990</v>
      </c>
      <c r="U321" t="s">
        <v>1761</v>
      </c>
      <c r="V321" s="3124">
        <v>5000</v>
      </c>
      <c r="W321" s="3193">
        <v>0.54</v>
      </c>
      <c r="X321" s="3124">
        <v>2700</v>
      </c>
      <c r="Y321" s="3124">
        <v>2</v>
      </c>
      <c r="Z321" s="3124">
        <v>0</v>
      </c>
      <c r="AA321" s="3124">
        <v>25000</v>
      </c>
      <c r="AB321" t="s">
        <v>1195</v>
      </c>
      <c r="AC321" s="3124"/>
    </row>
    <row r="322" spans="1:29">
      <c r="A322" s="3124">
        <v>321</v>
      </c>
      <c r="B322" s="3124" t="s">
        <v>1621</v>
      </c>
      <c r="C322" s="3124" t="s">
        <v>494</v>
      </c>
      <c r="D322" s="3124" t="s">
        <v>504</v>
      </c>
      <c r="E322" s="3134" t="s">
        <v>496</v>
      </c>
      <c r="F322" s="3234">
        <v>9982143681</v>
      </c>
      <c r="G322" s="3124" t="s">
        <v>2451</v>
      </c>
      <c r="H322" s="3124">
        <v>24</v>
      </c>
      <c r="I322" s="3124">
        <v>20</v>
      </c>
      <c r="J322" s="3124"/>
      <c r="K322" s="3124">
        <v>2000</v>
      </c>
      <c r="L322" s="3124">
        <v>1800</v>
      </c>
      <c r="M322" s="3124" t="s">
        <v>2631</v>
      </c>
      <c r="N322" s="3192">
        <v>44603</v>
      </c>
      <c r="O322" s="3192">
        <v>45180</v>
      </c>
      <c r="P322" s="3192">
        <v>44582</v>
      </c>
      <c r="Q322" s="3192">
        <v>45281</v>
      </c>
      <c r="R322" s="3124" t="s">
        <v>433</v>
      </c>
      <c r="S322" s="3124" t="s">
        <v>1640</v>
      </c>
      <c r="T322" s="3124" t="s">
        <v>1850</v>
      </c>
      <c r="U322" t="s">
        <v>1761</v>
      </c>
      <c r="V322" s="3124">
        <v>5000</v>
      </c>
      <c r="W322" s="3193">
        <v>0.64</v>
      </c>
      <c r="X322" s="3124">
        <v>3200</v>
      </c>
      <c r="Y322" s="3124">
        <v>2</v>
      </c>
      <c r="Z322" s="3124">
        <v>0</v>
      </c>
      <c r="AA322" s="3124">
        <v>25000</v>
      </c>
      <c r="AB322" t="s">
        <v>1869</v>
      </c>
      <c r="AC322" s="3124"/>
    </row>
    <row r="323" spans="1:29">
      <c r="A323" s="3124">
        <v>322</v>
      </c>
      <c r="B323" s="3124" t="s">
        <v>1691</v>
      </c>
      <c r="C323" s="3124" t="s">
        <v>430</v>
      </c>
      <c r="D323" s="3124" t="s">
        <v>427</v>
      </c>
      <c r="E323" t="s">
        <v>431</v>
      </c>
      <c r="F323" s="3234">
        <v>9982143681</v>
      </c>
      <c r="G323" s="3124" t="s">
        <v>2452</v>
      </c>
      <c r="H323" s="3124">
        <v>16</v>
      </c>
      <c r="I323" s="3124">
        <v>16</v>
      </c>
      <c r="J323" s="3124"/>
      <c r="K323" s="3124"/>
      <c r="L323" s="3124">
        <v>2180</v>
      </c>
      <c r="M323" s="3124" t="s">
        <v>407</v>
      </c>
      <c r="N323" s="3192">
        <v>44582</v>
      </c>
      <c r="O323" s="3192">
        <v>45037</v>
      </c>
      <c r="P323" s="3192">
        <v>44582</v>
      </c>
      <c r="Q323" s="3192">
        <v>45037</v>
      </c>
      <c r="R323" s="3124" t="s">
        <v>432</v>
      </c>
      <c r="S323" s="3124" t="s">
        <v>1949</v>
      </c>
      <c r="T323" s="3124" t="s">
        <v>1850</v>
      </c>
      <c r="U323" t="s">
        <v>1195</v>
      </c>
      <c r="V323" s="3124">
        <v>5000</v>
      </c>
      <c r="W323" s="3193">
        <v>0.56399999999999995</v>
      </c>
      <c r="X323" s="3124">
        <v>2820</v>
      </c>
      <c r="Y323" s="3124">
        <v>1</v>
      </c>
      <c r="Z323" s="3124">
        <v>0</v>
      </c>
      <c r="AA323" s="3124">
        <v>23000</v>
      </c>
      <c r="AB323" t="s">
        <v>1195</v>
      </c>
      <c r="AC323" s="3124"/>
    </row>
    <row r="324" spans="1:29">
      <c r="A324" s="3124">
        <v>323</v>
      </c>
      <c r="B324" s="3124" t="s">
        <v>1691</v>
      </c>
      <c r="C324" s="3124" t="s">
        <v>4611</v>
      </c>
      <c r="D324" s="3124" t="s">
        <v>629</v>
      </c>
      <c r="E324" t="s">
        <v>2453</v>
      </c>
      <c r="F324" s="3234">
        <v>9841792237</v>
      </c>
      <c r="G324" s="3124" t="s">
        <v>2454</v>
      </c>
      <c r="H324" s="3124">
        <v>16</v>
      </c>
      <c r="I324" s="3124">
        <v>16</v>
      </c>
      <c r="J324" s="3124"/>
      <c r="K324" s="3124">
        <v>2000</v>
      </c>
      <c r="L324" s="3124">
        <v>2180</v>
      </c>
      <c r="M324" s="3124" t="s">
        <v>407</v>
      </c>
      <c r="N324" s="3192">
        <v>44867</v>
      </c>
      <c r="O324" s="3192">
        <v>45324</v>
      </c>
      <c r="P324" s="3192">
        <v>44867</v>
      </c>
      <c r="Q324" s="3192">
        <v>45324</v>
      </c>
      <c r="R324" s="3124" t="s">
        <v>432</v>
      </c>
      <c r="S324" s="3124" t="s">
        <v>1949</v>
      </c>
      <c r="T324" s="3124" t="s">
        <v>1850</v>
      </c>
      <c r="U324" t="s">
        <v>2653</v>
      </c>
      <c r="V324" s="3124">
        <v>5000</v>
      </c>
      <c r="W324" s="3193">
        <v>0.56399999999999995</v>
      </c>
      <c r="X324" s="3124">
        <v>2820</v>
      </c>
      <c r="Y324" s="3124">
        <v>1</v>
      </c>
      <c r="Z324" s="3124">
        <v>0</v>
      </c>
      <c r="AA324" s="3124">
        <v>23000</v>
      </c>
      <c r="AB324" t="s">
        <v>2653</v>
      </c>
      <c r="AC324" s="3124"/>
    </row>
    <row r="325" spans="1:29">
      <c r="A325" s="3124">
        <v>324</v>
      </c>
      <c r="B325" s="3124" t="s">
        <v>1621</v>
      </c>
      <c r="C325" s="3124" t="s">
        <v>497</v>
      </c>
      <c r="D325" s="3124" t="s">
        <v>495</v>
      </c>
      <c r="E325" t="s">
        <v>499</v>
      </c>
      <c r="F325" s="3234">
        <v>9831823524</v>
      </c>
      <c r="G325" s="3124" t="s">
        <v>2455</v>
      </c>
      <c r="H325" s="3124">
        <v>20</v>
      </c>
      <c r="I325" s="3124">
        <v>20</v>
      </c>
      <c r="J325" s="3124"/>
      <c r="K325" s="3124">
        <v>2000</v>
      </c>
      <c r="L325" s="3124">
        <v>2180</v>
      </c>
      <c r="M325" s="3124" t="s">
        <v>704</v>
      </c>
      <c r="N325" s="3192">
        <v>44606</v>
      </c>
      <c r="O325" s="3192">
        <v>45183</v>
      </c>
      <c r="P325" s="3192">
        <v>44599</v>
      </c>
      <c r="Q325" s="3192">
        <v>45176</v>
      </c>
      <c r="R325" s="3124" t="s">
        <v>432</v>
      </c>
      <c r="S325" s="3124" t="s">
        <v>1640</v>
      </c>
      <c r="T325" s="3124" t="s">
        <v>1850</v>
      </c>
      <c r="U325" t="s">
        <v>1869</v>
      </c>
      <c r="V325" s="3124">
        <v>5000</v>
      </c>
      <c r="W325" s="3193">
        <v>0.56399999999999995</v>
      </c>
      <c r="X325" s="3124">
        <v>2820</v>
      </c>
      <c r="Y325" s="3124">
        <v>2</v>
      </c>
      <c r="Z325" s="3124">
        <v>0</v>
      </c>
      <c r="AA325" s="3124">
        <v>25000</v>
      </c>
      <c r="AB325" t="s">
        <v>1869</v>
      </c>
      <c r="AC325" s="3124"/>
    </row>
    <row r="326" spans="1:29">
      <c r="A326" s="3124">
        <v>325</v>
      </c>
      <c r="B326" s="3124" t="s">
        <v>1621</v>
      </c>
      <c r="C326" s="3124" t="s">
        <v>503</v>
      </c>
      <c r="D326" s="3124" t="s">
        <v>498</v>
      </c>
      <c r="E326" t="s">
        <v>505</v>
      </c>
      <c r="F326" s="3234">
        <v>9831376354</v>
      </c>
      <c r="G326" s="3124" t="s">
        <v>2456</v>
      </c>
      <c r="H326" s="3124">
        <v>20</v>
      </c>
      <c r="I326" s="3124">
        <v>20</v>
      </c>
      <c r="J326" s="3124">
        <v>0</v>
      </c>
      <c r="K326" s="3124">
        <v>2000</v>
      </c>
      <c r="L326" s="3124">
        <v>2180</v>
      </c>
      <c r="M326" s="3124" t="s">
        <v>2631</v>
      </c>
      <c r="N326" s="3192">
        <v>44603</v>
      </c>
      <c r="O326" s="3192">
        <v>45180</v>
      </c>
      <c r="P326" s="3192">
        <v>44603</v>
      </c>
      <c r="Q326" s="3192">
        <v>45180</v>
      </c>
      <c r="R326" s="3124" t="s">
        <v>432</v>
      </c>
      <c r="S326" s="3124" t="s">
        <v>1640</v>
      </c>
      <c r="T326" s="3124" t="s">
        <v>1850</v>
      </c>
      <c r="U326" t="s">
        <v>1195</v>
      </c>
      <c r="V326" s="3124">
        <v>5000</v>
      </c>
      <c r="W326" s="3193">
        <v>0.56399999999999995</v>
      </c>
      <c r="X326" s="3124">
        <v>2820</v>
      </c>
      <c r="Y326" s="3124">
        <v>2</v>
      </c>
      <c r="Z326" s="3124">
        <v>0</v>
      </c>
      <c r="AA326" s="3124">
        <v>25000</v>
      </c>
      <c r="AB326" t="s">
        <v>1195</v>
      </c>
      <c r="AC326" s="3124"/>
    </row>
    <row r="327" spans="1:29">
      <c r="A327" s="3124">
        <v>326</v>
      </c>
      <c r="B327" s="3124" t="s">
        <v>1630</v>
      </c>
      <c r="C327" s="3124" t="s">
        <v>140</v>
      </c>
      <c r="D327" s="3124" t="s">
        <v>141</v>
      </c>
      <c r="E327" s="3137" t="s">
        <v>142</v>
      </c>
      <c r="F327" s="3234">
        <v>9985932014</v>
      </c>
      <c r="G327" s="3124" t="s">
        <v>4612</v>
      </c>
      <c r="H327" s="3124">
        <v>36</v>
      </c>
      <c r="I327" s="3124">
        <v>36</v>
      </c>
      <c r="J327" s="3124"/>
      <c r="K327" s="3124">
        <v>1000</v>
      </c>
      <c r="L327" s="3124">
        <v>1600</v>
      </c>
      <c r="M327" s="3124" t="s">
        <v>134</v>
      </c>
      <c r="N327" s="3192">
        <v>44604</v>
      </c>
      <c r="O327" s="3192">
        <v>45669</v>
      </c>
      <c r="P327" s="3192">
        <v>44595</v>
      </c>
      <c r="Q327" s="3192">
        <v>45660</v>
      </c>
      <c r="R327" s="3124" t="s">
        <v>433</v>
      </c>
      <c r="S327" s="3124" t="s">
        <v>1658</v>
      </c>
      <c r="T327" s="3124" t="s">
        <v>1850</v>
      </c>
      <c r="U327" t="s">
        <v>2653</v>
      </c>
      <c r="V327" s="3124">
        <v>3150</v>
      </c>
      <c r="W327" s="3193">
        <v>0.49206349206349204</v>
      </c>
      <c r="X327" s="3124">
        <v>1550</v>
      </c>
      <c r="Y327" s="3124">
        <v>4</v>
      </c>
      <c r="Z327" s="3124">
        <v>0</v>
      </c>
      <c r="AA327" s="3124">
        <v>18000</v>
      </c>
      <c r="AB327" t="s">
        <v>2653</v>
      </c>
      <c r="AC327" s="3124"/>
    </row>
    <row r="328" spans="1:29">
      <c r="A328" s="3124">
        <v>327</v>
      </c>
      <c r="B328" s="3124" t="s">
        <v>1839</v>
      </c>
      <c r="C328" s="3124" t="s">
        <v>1455</v>
      </c>
      <c r="D328" s="3124" t="s">
        <v>1456</v>
      </c>
      <c r="E328" t="s">
        <v>1457</v>
      </c>
      <c r="F328" s="3234" t="s">
        <v>2457</v>
      </c>
      <c r="G328" s="3124" t="s">
        <v>2458</v>
      </c>
      <c r="H328" s="3124">
        <v>8</v>
      </c>
      <c r="I328" s="3124">
        <v>8</v>
      </c>
      <c r="J328" s="3124"/>
      <c r="K328" s="3124">
        <v>750</v>
      </c>
      <c r="L328" s="3124">
        <v>2180.1</v>
      </c>
      <c r="M328" s="3124" t="s">
        <v>1439</v>
      </c>
      <c r="N328" s="3192">
        <v>44075</v>
      </c>
      <c r="O328" s="3192">
        <v>44287</v>
      </c>
      <c r="P328" s="3192">
        <v>44075</v>
      </c>
      <c r="Q328" s="3192">
        <v>44287</v>
      </c>
      <c r="R328" s="3124" t="s">
        <v>433</v>
      </c>
      <c r="S328" s="3124" t="s">
        <v>1842</v>
      </c>
      <c r="T328" s="3124" t="s">
        <v>1850</v>
      </c>
      <c r="U328" t="s">
        <v>1195</v>
      </c>
      <c r="V328" s="3124">
        <v>5000</v>
      </c>
      <c r="W328" s="3193">
        <v>0.56398000000000004</v>
      </c>
      <c r="X328" s="3124">
        <v>2819.9</v>
      </c>
      <c r="Y328" s="3124">
        <v>2</v>
      </c>
      <c r="Z328" s="3124">
        <v>0</v>
      </c>
      <c r="AA328" s="3124">
        <v>25000</v>
      </c>
      <c r="AB328" t="s">
        <v>1195</v>
      </c>
      <c r="AC328" s="3124"/>
    </row>
    <row r="329" spans="1:29">
      <c r="A329" s="3124">
        <v>328</v>
      </c>
      <c r="B329" s="3124" t="s">
        <v>1630</v>
      </c>
      <c r="C329" s="3124" t="s">
        <v>143</v>
      </c>
      <c r="D329" s="3124" t="s">
        <v>144</v>
      </c>
      <c r="E329" s="3841" t="s">
        <v>145</v>
      </c>
      <c r="F329" s="3234">
        <v>7133251094</v>
      </c>
      <c r="G329" s="3124" t="s">
        <v>2459</v>
      </c>
      <c r="H329" s="3124">
        <v>36</v>
      </c>
      <c r="I329" s="3124">
        <v>36</v>
      </c>
      <c r="J329" s="3124" t="s">
        <v>1948</v>
      </c>
      <c r="K329" s="3124">
        <v>1000</v>
      </c>
      <c r="L329" s="3124">
        <v>1350</v>
      </c>
      <c r="M329" s="3124" t="s">
        <v>134</v>
      </c>
      <c r="N329" s="3192">
        <v>44604</v>
      </c>
      <c r="O329" s="3192">
        <v>45669</v>
      </c>
      <c r="P329" s="3192">
        <v>44604</v>
      </c>
      <c r="Q329" s="3192">
        <v>45669</v>
      </c>
      <c r="R329" s="3124" t="s">
        <v>433</v>
      </c>
      <c r="S329" s="3124" t="s">
        <v>1658</v>
      </c>
      <c r="T329" s="3124" t="s">
        <v>1850</v>
      </c>
      <c r="U329" t="s">
        <v>1761</v>
      </c>
      <c r="V329" s="3124">
        <v>3150</v>
      </c>
      <c r="W329" s="3193">
        <v>0.5714285714285714</v>
      </c>
      <c r="X329" s="3124">
        <v>1800</v>
      </c>
      <c r="Y329" s="3124">
        <v>4</v>
      </c>
      <c r="Z329" s="3124">
        <v>0</v>
      </c>
      <c r="AA329" s="3124">
        <v>18000</v>
      </c>
      <c r="AB329" t="s">
        <v>1195</v>
      </c>
      <c r="AC329" s="3124"/>
    </row>
    <row r="330" spans="1:29">
      <c r="A330" s="3124">
        <v>329</v>
      </c>
      <c r="B330" s="3124" t="s">
        <v>1621</v>
      </c>
      <c r="C330" s="3124" t="s">
        <v>724</v>
      </c>
      <c r="D330" s="3124" t="s">
        <v>1715</v>
      </c>
      <c r="E330" t="s">
        <v>725</v>
      </c>
      <c r="F330" s="3234" t="s">
        <v>4613</v>
      </c>
      <c r="G330" s="3124" t="s">
        <v>2460</v>
      </c>
      <c r="H330" s="3124">
        <v>20</v>
      </c>
      <c r="I330" s="3124">
        <v>20</v>
      </c>
      <c r="J330" s="3124"/>
      <c r="K330" s="3124">
        <v>2000</v>
      </c>
      <c r="L330" s="3124">
        <v>2180.0000000000005</v>
      </c>
      <c r="M330" s="3124" t="s">
        <v>2646</v>
      </c>
      <c r="N330" s="3192">
        <v>44228</v>
      </c>
      <c r="O330" s="3192">
        <v>44805</v>
      </c>
      <c r="P330" s="3192">
        <v>44228</v>
      </c>
      <c r="Q330" s="3192">
        <v>44805</v>
      </c>
      <c r="R330" s="3124" t="s">
        <v>432</v>
      </c>
      <c r="S330" s="3124" t="s">
        <v>1640</v>
      </c>
      <c r="T330" s="3124" t="s">
        <v>1850</v>
      </c>
      <c r="U330" t="s">
        <v>1761</v>
      </c>
      <c r="V330" s="3124">
        <v>6700</v>
      </c>
      <c r="W330" s="3193">
        <v>0.67462686567164176</v>
      </c>
      <c r="X330" s="3124">
        <v>4520</v>
      </c>
      <c r="Y330" s="3124">
        <v>0</v>
      </c>
      <c r="Z330" s="3124">
        <v>8000</v>
      </c>
      <c r="AA330" s="3124">
        <v>25000</v>
      </c>
      <c r="AB330" t="s">
        <v>1869</v>
      </c>
      <c r="AC330" s="3124"/>
    </row>
    <row r="331" spans="1:29">
      <c r="A331" s="3124">
        <v>330</v>
      </c>
      <c r="B331" s="3124" t="s">
        <v>1625</v>
      </c>
      <c r="C331" s="3124" t="s">
        <v>924</v>
      </c>
      <c r="D331" s="3124" t="s">
        <v>1285</v>
      </c>
      <c r="E331" t="s">
        <v>2443</v>
      </c>
      <c r="F331" s="3234">
        <v>9632526121</v>
      </c>
      <c r="G331" s="3190" t="s">
        <v>2445</v>
      </c>
      <c r="H331" s="3124">
        <v>20</v>
      </c>
      <c r="I331" s="3124">
        <v>20</v>
      </c>
      <c r="J331" s="3124"/>
      <c r="K331" s="3124">
        <v>3000</v>
      </c>
      <c r="L331" s="3124">
        <v>3350</v>
      </c>
      <c r="M331" s="3124" t="s">
        <v>1247</v>
      </c>
      <c r="N331" s="3192">
        <v>44604</v>
      </c>
      <c r="O331" s="3192">
        <v>45181</v>
      </c>
      <c r="P331" s="3192">
        <v>44604</v>
      </c>
      <c r="Q331" s="3192">
        <v>45181</v>
      </c>
      <c r="R331" s="3124" t="s">
        <v>433</v>
      </c>
      <c r="S331" s="3124" t="s">
        <v>1690</v>
      </c>
      <c r="T331" s="3124" t="s">
        <v>1850</v>
      </c>
      <c r="U331" t="s">
        <v>1195</v>
      </c>
      <c r="V331" s="3124">
        <v>6700</v>
      </c>
      <c r="W331" s="3193">
        <v>0.5</v>
      </c>
      <c r="X331" s="3124">
        <v>3350</v>
      </c>
      <c r="Y331" s="3124">
        <v>1</v>
      </c>
      <c r="Z331" s="3124">
        <v>0</v>
      </c>
      <c r="AA331" s="3124">
        <v>29000</v>
      </c>
      <c r="AB331" t="s">
        <v>1195</v>
      </c>
      <c r="AC331" s="3124"/>
    </row>
    <row r="332" spans="1:29">
      <c r="A332" s="3124">
        <v>331</v>
      </c>
      <c r="B332" s="3124" t="s">
        <v>1625</v>
      </c>
      <c r="C332" s="3124" t="s">
        <v>2461</v>
      </c>
      <c r="D332" s="3124" t="s">
        <v>1288</v>
      </c>
      <c r="E332" t="s">
        <v>4614</v>
      </c>
      <c r="F332" s="3234">
        <v>444829027</v>
      </c>
      <c r="G332" s="3124" t="s">
        <v>2462</v>
      </c>
      <c r="H332" s="3124">
        <v>20</v>
      </c>
      <c r="I332" s="3124">
        <v>20</v>
      </c>
      <c r="J332" s="3124"/>
      <c r="K332" s="3124">
        <v>3000</v>
      </c>
      <c r="L332" s="3124">
        <v>3350</v>
      </c>
      <c r="M332" s="3124" t="s">
        <v>1247</v>
      </c>
      <c r="N332" s="3192">
        <v>44604</v>
      </c>
      <c r="O332" s="3192">
        <v>45181</v>
      </c>
      <c r="P332" s="3192">
        <v>44604</v>
      </c>
      <c r="Q332" s="3192">
        <v>45181</v>
      </c>
      <c r="R332" s="3124" t="s">
        <v>433</v>
      </c>
      <c r="S332" s="3124" t="s">
        <v>1690</v>
      </c>
      <c r="T332" s="3124" t="s">
        <v>1850</v>
      </c>
      <c r="U332" t="s">
        <v>1869</v>
      </c>
      <c r="V332" s="3124">
        <v>6700</v>
      </c>
      <c r="W332" s="3193">
        <v>0.5</v>
      </c>
      <c r="X332" s="3124">
        <v>3350</v>
      </c>
      <c r="Y332" s="3124">
        <v>1</v>
      </c>
      <c r="Z332" s="3124">
        <v>0</v>
      </c>
      <c r="AA332" s="3124">
        <v>29000</v>
      </c>
      <c r="AB332" t="s">
        <v>1869</v>
      </c>
      <c r="AC332" s="3124"/>
    </row>
    <row r="333" spans="1:29">
      <c r="A333" s="3124">
        <v>332</v>
      </c>
      <c r="B333" s="3124" t="s">
        <v>1630</v>
      </c>
      <c r="C333" s="3124" t="s">
        <v>146</v>
      </c>
      <c r="D333" s="3124" t="s">
        <v>147</v>
      </c>
      <c r="E333" s="3161" t="s">
        <v>2463</v>
      </c>
      <c r="F333" s="3234">
        <v>5528986993</v>
      </c>
      <c r="G333" s="3124" t="s">
        <v>2464</v>
      </c>
      <c r="H333" s="3124">
        <v>36</v>
      </c>
      <c r="I333" s="3124">
        <v>36</v>
      </c>
      <c r="J333" s="3124"/>
      <c r="K333" s="3124">
        <v>1000</v>
      </c>
      <c r="L333" s="3124">
        <v>1350</v>
      </c>
      <c r="M333" s="3124" t="s">
        <v>134</v>
      </c>
      <c r="N333" s="3192">
        <v>44604</v>
      </c>
      <c r="O333" s="3192">
        <v>45669</v>
      </c>
      <c r="P333" s="3192">
        <v>44604</v>
      </c>
      <c r="Q333" s="3192">
        <v>45669</v>
      </c>
      <c r="R333" s="3124" t="s">
        <v>432</v>
      </c>
      <c r="S333" s="3124" t="s">
        <v>1658</v>
      </c>
      <c r="T333" s="3124" t="s">
        <v>1850</v>
      </c>
      <c r="U333" t="s">
        <v>1869</v>
      </c>
      <c r="V333" s="3124">
        <v>3150</v>
      </c>
      <c r="W333" s="3193">
        <v>0.5714285714285714</v>
      </c>
      <c r="X333" s="3124">
        <v>1800</v>
      </c>
      <c r="Y333" s="3124">
        <v>4</v>
      </c>
      <c r="Z333" s="3124">
        <v>0</v>
      </c>
      <c r="AA333" s="3124">
        <v>18000</v>
      </c>
      <c r="AB333" t="s">
        <v>1869</v>
      </c>
      <c r="AC333" s="3124"/>
    </row>
    <row r="334" spans="1:29">
      <c r="A334" s="3124">
        <v>333</v>
      </c>
      <c r="B334" s="3124" t="s">
        <v>1621</v>
      </c>
      <c r="C334" s="3124" t="s">
        <v>662</v>
      </c>
      <c r="D334" s="3124" t="s">
        <v>663</v>
      </c>
      <c r="E334" t="s">
        <v>4615</v>
      </c>
      <c r="F334" s="3234" t="s">
        <v>629</v>
      </c>
      <c r="G334" s="3124" t="s">
        <v>629</v>
      </c>
      <c r="H334" s="3124">
        <v>24</v>
      </c>
      <c r="I334" s="3124">
        <v>20</v>
      </c>
      <c r="J334" s="3124"/>
      <c r="K334" s="3124">
        <v>2000</v>
      </c>
      <c r="L334" s="3124">
        <v>1750</v>
      </c>
      <c r="M334" s="3124" t="s">
        <v>1976</v>
      </c>
      <c r="N334" s="3192">
        <v>44228</v>
      </c>
      <c r="O334" s="3192">
        <v>44805</v>
      </c>
      <c r="P334" s="3192">
        <v>44228</v>
      </c>
      <c r="Q334" s="3192">
        <v>44927</v>
      </c>
      <c r="R334" s="3124" t="s">
        <v>433</v>
      </c>
      <c r="S334" s="3124" t="s">
        <v>1640</v>
      </c>
      <c r="T334" s="3124" t="s">
        <v>1850</v>
      </c>
      <c r="U334" t="s">
        <v>1869</v>
      </c>
      <c r="V334" s="3124">
        <v>3150</v>
      </c>
      <c r="W334" s="3193">
        <v>0.44444444444444442</v>
      </c>
      <c r="X334" s="3124">
        <v>1400</v>
      </c>
      <c r="Y334" s="3124">
        <v>4</v>
      </c>
      <c r="Z334" s="3124">
        <v>0</v>
      </c>
      <c r="AA334" s="3124">
        <v>18000</v>
      </c>
      <c r="AB334" t="s">
        <v>1869</v>
      </c>
      <c r="AC334" s="3124"/>
    </row>
    <row r="335" spans="1:29">
      <c r="A335" s="3124">
        <v>334</v>
      </c>
      <c r="B335" s="3124" t="s">
        <v>1625</v>
      </c>
      <c r="C335" s="3124" t="s">
        <v>1290</v>
      </c>
      <c r="D335" s="3124" t="s">
        <v>1286</v>
      </c>
      <c r="E335" t="s">
        <v>1291</v>
      </c>
      <c r="F335" s="3234">
        <v>3335022224</v>
      </c>
      <c r="G335" s="3124" t="s">
        <v>2465</v>
      </c>
      <c r="H335" s="3124">
        <v>20</v>
      </c>
      <c r="I335" s="3124">
        <v>20</v>
      </c>
      <c r="J335" s="3124"/>
      <c r="K335" s="3124">
        <v>3000</v>
      </c>
      <c r="L335" s="3124">
        <v>3350</v>
      </c>
      <c r="M335" s="3124" t="s">
        <v>1247</v>
      </c>
      <c r="N335" s="3192">
        <v>44639</v>
      </c>
      <c r="O335" s="3192">
        <v>45218</v>
      </c>
      <c r="P335" s="3192">
        <v>44614</v>
      </c>
      <c r="Q335" s="3192">
        <v>45191</v>
      </c>
      <c r="R335" s="3124" t="s">
        <v>433</v>
      </c>
      <c r="S335" s="3124" t="s">
        <v>1690</v>
      </c>
      <c r="T335" s="3124" t="s">
        <v>1850</v>
      </c>
      <c r="U335" t="s">
        <v>1195</v>
      </c>
      <c r="V335" s="3124">
        <v>6700</v>
      </c>
      <c r="W335" s="3193">
        <v>0.5</v>
      </c>
      <c r="X335" s="3124">
        <v>3350</v>
      </c>
      <c r="Y335" s="3124">
        <v>1</v>
      </c>
      <c r="Z335" s="3124">
        <v>0</v>
      </c>
      <c r="AA335" s="3124">
        <v>29000</v>
      </c>
      <c r="AB335" t="s">
        <v>1195</v>
      </c>
      <c r="AC335" s="3124"/>
    </row>
    <row r="336" spans="1:29">
      <c r="A336" s="3124">
        <v>335</v>
      </c>
      <c r="B336" s="3124" t="s">
        <v>1123</v>
      </c>
      <c r="C336" s="3124" t="s">
        <v>1287</v>
      </c>
      <c r="D336" s="3124" t="s">
        <v>1288</v>
      </c>
      <c r="E336" t="s">
        <v>1204</v>
      </c>
      <c r="F336" s="3234">
        <v>7223811480</v>
      </c>
      <c r="G336" s="3124" t="s">
        <v>2466</v>
      </c>
      <c r="H336" s="3124">
        <v>4</v>
      </c>
      <c r="I336" s="3124">
        <v>4</v>
      </c>
      <c r="J336" s="3124"/>
      <c r="K336" s="3124"/>
      <c r="L336" s="3124">
        <v>3350</v>
      </c>
      <c r="M336" s="3124" t="s">
        <v>1207</v>
      </c>
      <c r="N336" s="3192">
        <v>44639</v>
      </c>
      <c r="O336" s="3192">
        <v>44731</v>
      </c>
      <c r="P336" s="3192">
        <v>44614</v>
      </c>
      <c r="Q336" s="3192">
        <v>44703</v>
      </c>
      <c r="R336" s="3124" t="s">
        <v>433</v>
      </c>
      <c r="S336" s="3124" t="s">
        <v>1939</v>
      </c>
      <c r="T336" s="3124" t="s">
        <v>1918</v>
      </c>
      <c r="U336" t="s">
        <v>1195</v>
      </c>
      <c r="V336" s="3124">
        <v>6700</v>
      </c>
      <c r="W336" s="3193">
        <v>0.5</v>
      </c>
      <c r="X336" s="3124">
        <v>3350</v>
      </c>
      <c r="Y336" s="3124">
        <v>0</v>
      </c>
      <c r="Z336" s="3124">
        <v>8000</v>
      </c>
      <c r="AA336" s="3124">
        <v>25000</v>
      </c>
      <c r="AB336" t="s">
        <v>1195</v>
      </c>
      <c r="AC336" s="3124"/>
    </row>
    <row r="337" spans="1:29">
      <c r="A337" s="3124">
        <v>336</v>
      </c>
      <c r="B337" s="3124" t="s">
        <v>1123</v>
      </c>
      <c r="C337" s="3124" t="s">
        <v>1182</v>
      </c>
      <c r="D337" s="3124" t="s">
        <v>1289</v>
      </c>
      <c r="E337" t="s">
        <v>1184</v>
      </c>
      <c r="F337" s="3234" t="s">
        <v>2467</v>
      </c>
      <c r="G337" s="3124" t="s">
        <v>2468</v>
      </c>
      <c r="H337" s="3124">
        <v>4</v>
      </c>
      <c r="I337" s="3124">
        <v>4</v>
      </c>
      <c r="J337" s="3124"/>
      <c r="K337" s="3124"/>
      <c r="L337" s="3124">
        <v>3350</v>
      </c>
      <c r="M337" s="3124" t="s">
        <v>1207</v>
      </c>
      <c r="N337" s="3192">
        <v>44639</v>
      </c>
      <c r="O337" s="3192">
        <v>44731</v>
      </c>
      <c r="P337" s="3192">
        <v>44614</v>
      </c>
      <c r="Q337" s="3192">
        <v>44703</v>
      </c>
      <c r="R337" s="3124" t="s">
        <v>432</v>
      </c>
      <c r="S337" s="3124" t="s">
        <v>1939</v>
      </c>
      <c r="T337" s="3124" t="s">
        <v>1918</v>
      </c>
      <c r="U337" t="s">
        <v>1195</v>
      </c>
      <c r="V337" s="3124">
        <v>6700</v>
      </c>
      <c r="W337" s="3193">
        <v>0.5</v>
      </c>
      <c r="X337" s="3124">
        <v>3350</v>
      </c>
      <c r="Y337" s="3124">
        <v>0</v>
      </c>
      <c r="Z337" s="3124">
        <v>8000</v>
      </c>
      <c r="AA337" s="3124">
        <v>25000</v>
      </c>
      <c r="AB337" t="s">
        <v>1195</v>
      </c>
      <c r="AC337" s="3124"/>
    </row>
    <row r="338" spans="1:29">
      <c r="A338" s="3124">
        <v>337</v>
      </c>
      <c r="B338" s="3124" t="s">
        <v>1764</v>
      </c>
      <c r="C338" s="3124" t="s">
        <v>729</v>
      </c>
      <c r="D338" s="3124" t="s">
        <v>2302</v>
      </c>
      <c r="E338" t="s">
        <v>730</v>
      </c>
      <c r="F338" s="3234">
        <v>5521146983</v>
      </c>
      <c r="G338" s="3124" t="s">
        <v>2469</v>
      </c>
      <c r="H338" s="3124">
        <v>6</v>
      </c>
      <c r="I338" s="3124">
        <v>6</v>
      </c>
      <c r="J338" s="3124"/>
      <c r="K338" s="3124"/>
      <c r="L338" s="3124">
        <v>2180</v>
      </c>
      <c r="M338" s="3124" t="s">
        <v>704</v>
      </c>
      <c r="N338" s="3192">
        <v>44637</v>
      </c>
      <c r="O338" s="3192">
        <v>44790</v>
      </c>
      <c r="P338" s="3192">
        <v>44621</v>
      </c>
      <c r="Q338" s="3192">
        <v>44774</v>
      </c>
      <c r="R338" s="3124" t="s">
        <v>433</v>
      </c>
      <c r="S338" s="3124" t="s">
        <v>1917</v>
      </c>
      <c r="T338" s="3124" t="s">
        <v>1850</v>
      </c>
      <c r="U338" t="s">
        <v>2653</v>
      </c>
      <c r="V338" s="3124">
        <v>5000</v>
      </c>
      <c r="W338" s="3193">
        <v>0.56399999999999995</v>
      </c>
      <c r="X338" s="3124">
        <v>2820</v>
      </c>
      <c r="Y338" s="3124">
        <v>0</v>
      </c>
      <c r="Z338" s="3124">
        <v>6000</v>
      </c>
      <c r="AA338" s="3124">
        <v>23000</v>
      </c>
      <c r="AB338" t="s">
        <v>2653</v>
      </c>
      <c r="AC338" s="3124"/>
    </row>
    <row r="339" spans="1:29">
      <c r="A339" s="3124">
        <v>338</v>
      </c>
      <c r="B339" s="3124" t="s">
        <v>1621</v>
      </c>
      <c r="C339" s="3124" t="s">
        <v>2470</v>
      </c>
      <c r="D339" s="3124" t="s">
        <v>2655</v>
      </c>
      <c r="E339" t="s">
        <v>2471</v>
      </c>
      <c r="F339" s="3234">
        <v>9981686586</v>
      </c>
      <c r="G339" s="3124" t="s">
        <v>2472</v>
      </c>
      <c r="H339" s="3124">
        <v>20</v>
      </c>
      <c r="I339" s="3124">
        <v>20</v>
      </c>
      <c r="J339" s="3124"/>
      <c r="K339" s="3124">
        <v>2000</v>
      </c>
      <c r="L339" s="3124">
        <v>2000</v>
      </c>
      <c r="M339" s="3124" t="s">
        <v>2473</v>
      </c>
      <c r="N339" s="3192">
        <v>43715</v>
      </c>
      <c r="O339" s="3192">
        <v>44293</v>
      </c>
      <c r="P339" s="3192">
        <v>43715</v>
      </c>
      <c r="Q339" s="3192">
        <v>44293</v>
      </c>
      <c r="R339" s="3124" t="s">
        <v>432</v>
      </c>
      <c r="S339" s="3124" t="s">
        <v>1640</v>
      </c>
      <c r="T339" s="3124" t="s">
        <v>1850</v>
      </c>
      <c r="U339" t="s">
        <v>1195</v>
      </c>
      <c r="V339" s="3124"/>
      <c r="W339" s="3193"/>
      <c r="X339" s="3124">
        <v>-2000</v>
      </c>
      <c r="Y339" s="3124">
        <v>2</v>
      </c>
      <c r="Z339" s="3124"/>
      <c r="AA339" s="3124">
        <v>25000</v>
      </c>
      <c r="AB339" t="s">
        <v>1195</v>
      </c>
      <c r="AC339" s="3124"/>
    </row>
    <row r="340" spans="1:29">
      <c r="A340" s="3124">
        <v>339</v>
      </c>
      <c r="B340" s="3124" t="s">
        <v>1621</v>
      </c>
      <c r="C340" s="3124" t="s">
        <v>2474</v>
      </c>
      <c r="D340" s="3124" t="s">
        <v>2656</v>
      </c>
      <c r="E340" t="s">
        <v>2475</v>
      </c>
      <c r="F340" s="3234">
        <v>9982385519</v>
      </c>
      <c r="G340" s="3124" t="s">
        <v>2476</v>
      </c>
      <c r="H340" s="3124">
        <v>20</v>
      </c>
      <c r="I340" s="3124">
        <v>20</v>
      </c>
      <c r="J340" s="3124"/>
      <c r="K340" s="3124">
        <v>2000</v>
      </c>
      <c r="L340" s="3124">
        <v>2000</v>
      </c>
      <c r="M340" s="3124" t="s">
        <v>2473</v>
      </c>
      <c r="N340" s="3192">
        <v>43715</v>
      </c>
      <c r="O340" s="3192">
        <v>44293</v>
      </c>
      <c r="P340" s="3192">
        <v>43715</v>
      </c>
      <c r="Q340" s="3192">
        <v>44293</v>
      </c>
      <c r="R340" s="3124" t="s">
        <v>433</v>
      </c>
      <c r="S340" s="3124" t="s">
        <v>1640</v>
      </c>
      <c r="T340" s="3124" t="s">
        <v>1850</v>
      </c>
      <c r="U340" t="s">
        <v>1761</v>
      </c>
      <c r="V340" s="3124">
        <v>5000</v>
      </c>
      <c r="W340" s="3193">
        <v>0.6</v>
      </c>
      <c r="X340" s="3124">
        <v>3000</v>
      </c>
      <c r="Y340" s="3124">
        <v>2</v>
      </c>
      <c r="Z340" s="3124"/>
      <c r="AA340" s="3124">
        <v>25000</v>
      </c>
      <c r="AB340" t="s">
        <v>1195</v>
      </c>
      <c r="AC340" s="3124"/>
    </row>
    <row r="341" spans="1:29">
      <c r="A341" s="3124">
        <v>340</v>
      </c>
      <c r="B341" s="3124" t="s">
        <v>1621</v>
      </c>
      <c r="C341" s="3124" t="s">
        <v>2477</v>
      </c>
      <c r="D341" s="3124" t="s">
        <v>2657</v>
      </c>
      <c r="E341" t="s">
        <v>4616</v>
      </c>
      <c r="F341" s="3234">
        <v>9982795723</v>
      </c>
      <c r="G341" s="3124" t="s">
        <v>2478</v>
      </c>
      <c r="H341" s="3124">
        <v>20</v>
      </c>
      <c r="I341" s="3124">
        <v>20</v>
      </c>
      <c r="J341" s="3124"/>
      <c r="K341" s="3124">
        <v>2000</v>
      </c>
      <c r="L341" s="3124">
        <v>2000</v>
      </c>
      <c r="M341" s="3124" t="s">
        <v>2473</v>
      </c>
      <c r="N341" s="3192">
        <v>43715</v>
      </c>
      <c r="O341" s="3192">
        <v>44293</v>
      </c>
      <c r="P341" s="3192">
        <v>43715</v>
      </c>
      <c r="Q341" s="3192">
        <v>44293</v>
      </c>
      <c r="R341" s="3124" t="s">
        <v>433</v>
      </c>
      <c r="S341" s="3124" t="s">
        <v>1640</v>
      </c>
      <c r="T341" s="3124"/>
      <c r="U341" t="s">
        <v>1761</v>
      </c>
      <c r="V341" s="3124"/>
      <c r="W341" s="3193"/>
      <c r="X341" s="3124">
        <v>-2000</v>
      </c>
      <c r="Y341" s="3124">
        <v>2</v>
      </c>
      <c r="Z341" s="3124"/>
      <c r="AA341" s="3124">
        <v>23000</v>
      </c>
      <c r="AB341" t="s">
        <v>1195</v>
      </c>
      <c r="AC341" s="3124"/>
    </row>
    <row r="342" spans="1:29">
      <c r="A342" s="3124">
        <v>341</v>
      </c>
      <c r="B342" s="3124" t="s">
        <v>1621</v>
      </c>
      <c r="C342" s="3124" t="s">
        <v>2479</v>
      </c>
      <c r="D342" s="3124" t="s">
        <v>2658</v>
      </c>
      <c r="E342" t="s">
        <v>2480</v>
      </c>
      <c r="F342" s="3234">
        <v>9981474233</v>
      </c>
      <c r="G342" s="3124" t="s">
        <v>2481</v>
      </c>
      <c r="H342" s="3124">
        <v>20</v>
      </c>
      <c r="I342" s="3124">
        <v>20</v>
      </c>
      <c r="J342" s="3124"/>
      <c r="K342" s="3124">
        <v>2000</v>
      </c>
      <c r="L342" s="3124">
        <v>2000</v>
      </c>
      <c r="M342" s="3124" t="s">
        <v>2473</v>
      </c>
      <c r="N342" s="3192">
        <v>43715</v>
      </c>
      <c r="O342" s="3192">
        <v>44293</v>
      </c>
      <c r="P342" s="3192">
        <v>43715</v>
      </c>
      <c r="Q342" s="3192">
        <v>44293</v>
      </c>
      <c r="R342" s="3124" t="s">
        <v>433</v>
      </c>
      <c r="S342" s="3124" t="s">
        <v>1640</v>
      </c>
      <c r="T342" s="3124" t="s">
        <v>1850</v>
      </c>
      <c r="U342" t="s">
        <v>1195</v>
      </c>
      <c r="V342" s="3124"/>
      <c r="W342" s="3193"/>
      <c r="X342" s="3124">
        <v>-2000</v>
      </c>
      <c r="Y342" s="3124">
        <v>2</v>
      </c>
      <c r="Z342" s="3124"/>
      <c r="AA342" s="3124">
        <v>23000</v>
      </c>
      <c r="AB342" t="s">
        <v>1195</v>
      </c>
      <c r="AC342" s="3124"/>
    </row>
    <row r="343" spans="1:29">
      <c r="A343" s="3124">
        <v>342</v>
      </c>
      <c r="B343" s="3124" t="s">
        <v>1621</v>
      </c>
      <c r="C343" s="3124" t="s">
        <v>2482</v>
      </c>
      <c r="D343" s="3124" t="s">
        <v>2659</v>
      </c>
      <c r="E343" t="s">
        <v>2483</v>
      </c>
      <c r="F343" s="3234">
        <v>9981583887</v>
      </c>
      <c r="G343" s="3124" t="s">
        <v>2660</v>
      </c>
      <c r="H343" s="3124">
        <v>20</v>
      </c>
      <c r="I343" s="3124">
        <v>20</v>
      </c>
      <c r="J343" s="3124"/>
      <c r="K343" s="3124">
        <v>2000</v>
      </c>
      <c r="L343" s="3124">
        <v>2000</v>
      </c>
      <c r="M343" s="3124" t="s">
        <v>2473</v>
      </c>
      <c r="N343" s="3192">
        <v>43715</v>
      </c>
      <c r="O343" s="3192">
        <v>44293</v>
      </c>
      <c r="P343" s="3192">
        <v>43715</v>
      </c>
      <c r="Q343" s="3192">
        <v>44293</v>
      </c>
      <c r="R343" s="3124" t="s">
        <v>433</v>
      </c>
      <c r="S343" s="3124" t="s">
        <v>1640</v>
      </c>
      <c r="T343" s="3124" t="s">
        <v>1850</v>
      </c>
      <c r="U343" t="s">
        <v>1195</v>
      </c>
      <c r="V343" s="3124"/>
      <c r="W343" s="3193"/>
      <c r="X343" s="3124">
        <v>-2000</v>
      </c>
      <c r="Y343" s="3124">
        <v>2</v>
      </c>
      <c r="Z343" s="3124"/>
      <c r="AA343" s="3124">
        <v>23000</v>
      </c>
      <c r="AB343" t="s">
        <v>1195</v>
      </c>
      <c r="AC343" s="3124"/>
    </row>
    <row r="344" spans="1:29">
      <c r="A344" s="3124">
        <v>343</v>
      </c>
      <c r="B344" s="3124" t="s">
        <v>1621</v>
      </c>
      <c r="C344" s="3124" t="s">
        <v>2484</v>
      </c>
      <c r="D344" s="3124" t="s">
        <v>2661</v>
      </c>
      <c r="E344" t="s">
        <v>2485</v>
      </c>
      <c r="F344" s="3234">
        <v>9984409120</v>
      </c>
      <c r="G344" s="3124" t="s">
        <v>2486</v>
      </c>
      <c r="H344" s="3124">
        <v>20</v>
      </c>
      <c r="I344" s="3124">
        <v>20</v>
      </c>
      <c r="J344" s="3124"/>
      <c r="K344" s="3124">
        <v>2000</v>
      </c>
      <c r="L344" s="3124">
        <v>2000</v>
      </c>
      <c r="M344" s="3124" t="s">
        <v>2473</v>
      </c>
      <c r="N344" s="3192">
        <v>43715</v>
      </c>
      <c r="O344" s="3192">
        <v>44293</v>
      </c>
      <c r="P344" s="3192">
        <v>43715</v>
      </c>
      <c r="Q344" s="3192">
        <v>44293</v>
      </c>
      <c r="R344" s="3124" t="s">
        <v>432</v>
      </c>
      <c r="S344" s="3124" t="s">
        <v>1640</v>
      </c>
      <c r="T344" s="3124" t="s">
        <v>1850</v>
      </c>
      <c r="U344" t="s">
        <v>1761</v>
      </c>
      <c r="V344" s="3124"/>
      <c r="W344" s="3193"/>
      <c r="X344" s="3124">
        <v>-2000</v>
      </c>
      <c r="Y344" s="3124">
        <v>2</v>
      </c>
      <c r="Z344" s="3124"/>
      <c r="AA344" s="3124">
        <v>23000</v>
      </c>
      <c r="AB344" t="s">
        <v>1195</v>
      </c>
      <c r="AC344" s="3124"/>
    </row>
    <row r="345" spans="1:29">
      <c r="A345" s="3124">
        <v>344</v>
      </c>
      <c r="B345" s="3124" t="s">
        <v>1621</v>
      </c>
      <c r="C345" s="3124" t="s">
        <v>2487</v>
      </c>
      <c r="D345" s="3124" t="s">
        <v>2662</v>
      </c>
      <c r="E345" t="s">
        <v>2488</v>
      </c>
      <c r="F345" s="3234">
        <v>9848018319</v>
      </c>
      <c r="G345" s="3124" t="s">
        <v>2489</v>
      </c>
      <c r="H345" s="3124">
        <v>20</v>
      </c>
      <c r="I345" s="3124">
        <v>20</v>
      </c>
      <c r="J345" s="3124"/>
      <c r="K345" s="3124">
        <v>2000</v>
      </c>
      <c r="L345" s="3124">
        <v>2000</v>
      </c>
      <c r="M345" s="3124" t="s">
        <v>2473</v>
      </c>
      <c r="N345" s="3192">
        <v>43715</v>
      </c>
      <c r="O345" s="3192">
        <v>44293</v>
      </c>
      <c r="P345" s="3192">
        <v>43715</v>
      </c>
      <c r="Q345" s="3192">
        <v>44293</v>
      </c>
      <c r="R345" s="3124" t="s">
        <v>433</v>
      </c>
      <c r="S345" s="3124" t="s">
        <v>1640</v>
      </c>
      <c r="T345" s="3124" t="s">
        <v>1850</v>
      </c>
      <c r="U345" t="s">
        <v>1761</v>
      </c>
      <c r="V345" s="3124"/>
      <c r="W345" s="3193"/>
      <c r="X345" s="3124">
        <v>-2000</v>
      </c>
      <c r="Y345" s="3124">
        <v>2</v>
      </c>
      <c r="Z345" s="3124"/>
      <c r="AA345" s="3124">
        <v>23000</v>
      </c>
      <c r="AB345" t="s">
        <v>1195</v>
      </c>
      <c r="AC345" s="3124"/>
    </row>
    <row r="346" spans="1:29">
      <c r="A346" s="3124">
        <v>345</v>
      </c>
      <c r="B346" s="3124" t="s">
        <v>1621</v>
      </c>
      <c r="C346" s="3124" t="s">
        <v>2490</v>
      </c>
      <c r="D346" s="3124" t="s">
        <v>2663</v>
      </c>
      <c r="E346" t="s">
        <v>2491</v>
      </c>
      <c r="F346" s="3234">
        <v>9982412135</v>
      </c>
      <c r="G346" s="3124" t="s">
        <v>2492</v>
      </c>
      <c r="H346" s="3124">
        <v>20</v>
      </c>
      <c r="I346" s="3124">
        <v>20</v>
      </c>
      <c r="J346" s="3124"/>
      <c r="K346" s="3124">
        <v>2000</v>
      </c>
      <c r="L346" s="3124">
        <v>2000</v>
      </c>
      <c r="M346" s="3124" t="s">
        <v>2493</v>
      </c>
      <c r="N346" s="3192">
        <v>43715</v>
      </c>
      <c r="O346" s="3192">
        <v>44293</v>
      </c>
      <c r="P346" s="3192">
        <v>43715</v>
      </c>
      <c r="Q346" s="3192">
        <v>44293</v>
      </c>
      <c r="R346" s="3124" t="s">
        <v>432</v>
      </c>
      <c r="S346" s="3124" t="s">
        <v>1640</v>
      </c>
      <c r="T346" s="3124"/>
      <c r="U346" t="s">
        <v>1761</v>
      </c>
      <c r="V346" s="3124"/>
      <c r="W346" s="3193"/>
      <c r="X346" s="3124">
        <v>-2000</v>
      </c>
      <c r="Y346" s="3124">
        <v>2</v>
      </c>
      <c r="Z346" s="3124"/>
      <c r="AA346" s="3124">
        <v>23000</v>
      </c>
      <c r="AB346" t="s">
        <v>1195</v>
      </c>
      <c r="AC346" s="3124"/>
    </row>
    <row r="347" spans="1:29">
      <c r="A347" s="3124">
        <v>346</v>
      </c>
      <c r="B347" s="3124" t="s">
        <v>1621</v>
      </c>
      <c r="C347" s="3124" t="s">
        <v>2494</v>
      </c>
      <c r="D347" s="3124" t="s">
        <v>863</v>
      </c>
      <c r="E347" t="s">
        <v>4617</v>
      </c>
      <c r="F347" s="3234">
        <v>9985784737</v>
      </c>
      <c r="G347" s="3124" t="s">
        <v>2495</v>
      </c>
      <c r="H347" s="3124">
        <v>20</v>
      </c>
      <c r="I347" s="3124">
        <v>20</v>
      </c>
      <c r="J347" s="3124"/>
      <c r="K347" s="3124">
        <v>2000</v>
      </c>
      <c r="L347" s="3124">
        <v>2000</v>
      </c>
      <c r="M347" s="3124" t="s">
        <v>2493</v>
      </c>
      <c r="N347" s="3192">
        <v>43715</v>
      </c>
      <c r="O347" s="3192">
        <v>44293</v>
      </c>
      <c r="P347" s="3192">
        <v>43715</v>
      </c>
      <c r="Q347" s="3192">
        <v>44293</v>
      </c>
      <c r="R347" s="3124" t="s">
        <v>433</v>
      </c>
      <c r="S347" s="3124" t="s">
        <v>1640</v>
      </c>
      <c r="T347" s="3124"/>
      <c r="U347" t="s">
        <v>1761</v>
      </c>
      <c r="V347" s="3124"/>
      <c r="W347" s="3193"/>
      <c r="X347" s="3124">
        <v>-2000</v>
      </c>
      <c r="Y347" s="3124">
        <v>2</v>
      </c>
      <c r="Z347" s="3124"/>
      <c r="AA347" s="3124">
        <v>23000</v>
      </c>
      <c r="AB347" t="s">
        <v>1195</v>
      </c>
      <c r="AC347" s="3124"/>
    </row>
    <row r="348" spans="1:29">
      <c r="A348" s="3124">
        <v>347</v>
      </c>
      <c r="B348" s="3124" t="s">
        <v>1621</v>
      </c>
      <c r="C348" s="3124" t="s">
        <v>2496</v>
      </c>
      <c r="D348" s="3124" t="s">
        <v>2664</v>
      </c>
      <c r="E348" t="s">
        <v>2497</v>
      </c>
      <c r="F348" s="3234">
        <v>9983812250</v>
      </c>
      <c r="G348" s="3124" t="s">
        <v>2498</v>
      </c>
      <c r="H348" s="3124">
        <v>20</v>
      </c>
      <c r="I348" s="3124">
        <v>20</v>
      </c>
      <c r="J348" s="3124"/>
      <c r="K348" s="3124">
        <v>2000</v>
      </c>
      <c r="L348" s="3124">
        <v>2000</v>
      </c>
      <c r="M348" s="3124" t="s">
        <v>2493</v>
      </c>
      <c r="N348" s="3192">
        <v>43715</v>
      </c>
      <c r="O348" s="3192">
        <v>44293</v>
      </c>
      <c r="P348" s="3192">
        <v>43715</v>
      </c>
      <c r="Q348" s="3192">
        <v>44293</v>
      </c>
      <c r="R348" s="3124" t="s">
        <v>432</v>
      </c>
      <c r="S348" s="3124" t="s">
        <v>1640</v>
      </c>
      <c r="T348" s="3124" t="s">
        <v>1850</v>
      </c>
      <c r="U348" t="s">
        <v>1195</v>
      </c>
      <c r="V348" s="3124"/>
      <c r="W348" s="3193"/>
      <c r="X348" s="3124">
        <v>-2000</v>
      </c>
      <c r="Y348" s="3124">
        <v>2</v>
      </c>
      <c r="Z348" s="3124"/>
      <c r="AA348" s="3124">
        <v>23000</v>
      </c>
      <c r="AB348" t="s">
        <v>1195</v>
      </c>
      <c r="AC348" s="3124"/>
    </row>
    <row r="349" spans="1:29">
      <c r="A349" s="3124">
        <v>348</v>
      </c>
      <c r="B349" s="3124" t="s">
        <v>1621</v>
      </c>
      <c r="C349" s="3124" t="s">
        <v>2499</v>
      </c>
      <c r="D349" s="3124" t="s">
        <v>2665</v>
      </c>
      <c r="E349" t="s">
        <v>4618</v>
      </c>
      <c r="F349" s="3234">
        <v>9983213750</v>
      </c>
      <c r="G349" s="3124" t="s">
        <v>2500</v>
      </c>
      <c r="H349" s="3124">
        <v>20</v>
      </c>
      <c r="I349" s="3124">
        <v>20</v>
      </c>
      <c r="J349" s="3124"/>
      <c r="K349" s="3124">
        <v>2000</v>
      </c>
      <c r="L349" s="3124">
        <v>2000</v>
      </c>
      <c r="M349" s="3124" t="s">
        <v>2493</v>
      </c>
      <c r="N349" s="3192">
        <v>43715</v>
      </c>
      <c r="O349" s="3192">
        <v>44293</v>
      </c>
      <c r="P349" s="3192">
        <v>43715</v>
      </c>
      <c r="Q349" s="3192">
        <v>44293</v>
      </c>
      <c r="R349" s="3124" t="s">
        <v>432</v>
      </c>
      <c r="S349" s="3124" t="s">
        <v>1640</v>
      </c>
      <c r="T349" s="3124" t="s">
        <v>1850</v>
      </c>
      <c r="U349" t="s">
        <v>1761</v>
      </c>
      <c r="V349" s="3124"/>
      <c r="W349" s="3193"/>
      <c r="X349" s="3124">
        <v>-2000</v>
      </c>
      <c r="Y349" s="3124">
        <v>2</v>
      </c>
      <c r="Z349" s="3124"/>
      <c r="AA349" s="3124">
        <v>23000</v>
      </c>
      <c r="AB349" t="s">
        <v>1195</v>
      </c>
      <c r="AC349" s="3124"/>
    </row>
    <row r="350" spans="1:29">
      <c r="A350" s="3124">
        <v>349</v>
      </c>
      <c r="B350" s="3124" t="s">
        <v>1621</v>
      </c>
      <c r="C350" s="3124" t="s">
        <v>2501</v>
      </c>
      <c r="D350" s="3124" t="s">
        <v>2666</v>
      </c>
      <c r="E350" t="s">
        <v>2502</v>
      </c>
      <c r="F350" s="3234">
        <v>9982224747</v>
      </c>
      <c r="G350" s="3124"/>
      <c r="H350" s="3124">
        <v>20</v>
      </c>
      <c r="I350" s="3124">
        <v>20</v>
      </c>
      <c r="J350" s="3124"/>
      <c r="K350" s="3124">
        <v>2000</v>
      </c>
      <c r="L350" s="3124">
        <v>2000</v>
      </c>
      <c r="M350" s="3124" t="s">
        <v>2493</v>
      </c>
      <c r="N350" s="3192">
        <v>43715</v>
      </c>
      <c r="O350" s="3192">
        <v>44293</v>
      </c>
      <c r="P350" s="3192">
        <v>43715</v>
      </c>
      <c r="Q350" s="3192">
        <v>44293</v>
      </c>
      <c r="R350" s="3124" t="s">
        <v>432</v>
      </c>
      <c r="S350" s="3124" t="s">
        <v>1640</v>
      </c>
      <c r="T350" s="3124" t="s">
        <v>1850</v>
      </c>
      <c r="U350" t="s">
        <v>1761</v>
      </c>
      <c r="V350" s="3124"/>
      <c r="W350" s="3193"/>
      <c r="X350" s="3124">
        <v>-2000</v>
      </c>
      <c r="Y350" s="3124">
        <v>2</v>
      </c>
      <c r="Z350" s="3124"/>
      <c r="AA350" s="3124">
        <v>23000</v>
      </c>
      <c r="AB350" t="s">
        <v>1195</v>
      </c>
      <c r="AC350" s="3124"/>
    </row>
    <row r="351" spans="1:29">
      <c r="A351" s="3124">
        <v>350</v>
      </c>
      <c r="B351" s="3124" t="s">
        <v>1621</v>
      </c>
      <c r="C351" s="3124" t="s">
        <v>2503</v>
      </c>
      <c r="D351" s="3124" t="s">
        <v>2667</v>
      </c>
      <c r="E351" t="s">
        <v>2504</v>
      </c>
      <c r="F351" s="3234">
        <v>9988655093</v>
      </c>
      <c r="G351" s="3124" t="s">
        <v>2505</v>
      </c>
      <c r="H351" s="3124">
        <v>20</v>
      </c>
      <c r="I351" s="3124">
        <v>20</v>
      </c>
      <c r="J351" s="3124"/>
      <c r="K351" s="3124">
        <v>2000</v>
      </c>
      <c r="L351" s="3124">
        <v>2000</v>
      </c>
      <c r="M351" s="3124" t="s">
        <v>2493</v>
      </c>
      <c r="N351" s="3192">
        <v>43715</v>
      </c>
      <c r="O351" s="3192">
        <v>44293</v>
      </c>
      <c r="P351" s="3192">
        <v>43715</v>
      </c>
      <c r="Q351" s="3192">
        <v>44293</v>
      </c>
      <c r="R351" s="3124" t="s">
        <v>432</v>
      </c>
      <c r="S351" s="3124" t="s">
        <v>1640</v>
      </c>
      <c r="T351" s="3124" t="s">
        <v>1850</v>
      </c>
      <c r="U351" t="s">
        <v>1761</v>
      </c>
      <c r="V351" s="3124"/>
      <c r="W351" s="3193"/>
      <c r="X351" s="3124">
        <v>-2000</v>
      </c>
      <c r="Y351" s="3124">
        <v>2</v>
      </c>
      <c r="Z351" s="3124"/>
      <c r="AA351" s="3124">
        <v>23000</v>
      </c>
      <c r="AB351" t="s">
        <v>1195</v>
      </c>
      <c r="AC351" s="3124"/>
    </row>
    <row r="352" spans="1:29">
      <c r="A352" s="3124">
        <v>351</v>
      </c>
      <c r="B352" s="3124" t="s">
        <v>1621</v>
      </c>
      <c r="C352" s="3124" t="s">
        <v>2506</v>
      </c>
      <c r="D352" s="3124" t="s">
        <v>2668</v>
      </c>
      <c r="E352" t="s">
        <v>2507</v>
      </c>
      <c r="F352" s="3234">
        <v>9986111361</v>
      </c>
      <c r="G352" s="3124" t="s">
        <v>2508</v>
      </c>
      <c r="H352" s="3124">
        <v>20</v>
      </c>
      <c r="I352" s="3124">
        <v>20</v>
      </c>
      <c r="J352" s="3124"/>
      <c r="K352" s="3124">
        <v>2000</v>
      </c>
      <c r="L352" s="3124">
        <v>2000</v>
      </c>
      <c r="M352" s="3124" t="s">
        <v>2493</v>
      </c>
      <c r="N352" s="3192">
        <v>43715</v>
      </c>
      <c r="O352" s="3192">
        <v>44293</v>
      </c>
      <c r="P352" s="3192">
        <v>43715</v>
      </c>
      <c r="Q352" s="3192">
        <v>44293</v>
      </c>
      <c r="R352" s="3124" t="s">
        <v>433</v>
      </c>
      <c r="S352" s="3124" t="s">
        <v>1640</v>
      </c>
      <c r="T352" s="3124" t="s">
        <v>1850</v>
      </c>
      <c r="U352" t="s">
        <v>1761</v>
      </c>
      <c r="V352" s="3124"/>
      <c r="W352" s="3193"/>
      <c r="X352" s="3124">
        <v>-2000</v>
      </c>
      <c r="Y352" s="3124">
        <v>2</v>
      </c>
      <c r="Z352" s="3124"/>
      <c r="AA352" s="3124">
        <v>23000</v>
      </c>
      <c r="AB352" t="s">
        <v>1195</v>
      </c>
      <c r="AC352" s="3124"/>
    </row>
    <row r="353" spans="1:29">
      <c r="A353" s="3124">
        <v>352</v>
      </c>
      <c r="B353" s="3124" t="s">
        <v>1621</v>
      </c>
      <c r="C353" s="3124" t="s">
        <v>2509</v>
      </c>
      <c r="D353" s="3124" t="s">
        <v>2669</v>
      </c>
      <c r="E353" t="s">
        <v>2510</v>
      </c>
      <c r="F353" s="3234">
        <v>9983718902</v>
      </c>
      <c r="G353" s="3124" t="s">
        <v>2511</v>
      </c>
      <c r="H353" s="3124">
        <v>20</v>
      </c>
      <c r="I353" s="3124">
        <v>20</v>
      </c>
      <c r="J353" s="3124"/>
      <c r="K353" s="3124">
        <v>2000</v>
      </c>
      <c r="L353" s="3124">
        <v>2000</v>
      </c>
      <c r="M353" s="3124" t="s">
        <v>2493</v>
      </c>
      <c r="N353" s="3192">
        <v>43715</v>
      </c>
      <c r="O353" s="3192">
        <v>44293</v>
      </c>
      <c r="P353" s="3192">
        <v>43715</v>
      </c>
      <c r="Q353" s="3192">
        <v>44293</v>
      </c>
      <c r="R353" s="3124" t="s">
        <v>432</v>
      </c>
      <c r="S353" s="3124" t="s">
        <v>1640</v>
      </c>
      <c r="T353" s="3124" t="s">
        <v>1850</v>
      </c>
      <c r="U353" t="s">
        <v>1195</v>
      </c>
      <c r="V353" s="3124"/>
      <c r="W353" s="3193"/>
      <c r="X353" s="3124">
        <v>-2000</v>
      </c>
      <c r="Y353" s="3124">
        <v>2</v>
      </c>
      <c r="Z353" s="3124"/>
      <c r="AA353" s="3124">
        <v>23000</v>
      </c>
      <c r="AB353" t="s">
        <v>1195</v>
      </c>
      <c r="AC353" s="3124"/>
    </row>
    <row r="354" spans="1:29">
      <c r="A354" s="3124">
        <v>353</v>
      </c>
      <c r="B354" s="3124" t="s">
        <v>1625</v>
      </c>
      <c r="C354" s="3124" t="s">
        <v>2670</v>
      </c>
      <c r="D354" s="3124" t="s">
        <v>2671</v>
      </c>
      <c r="E354" t="s">
        <v>4619</v>
      </c>
      <c r="F354" s="3234"/>
      <c r="G354" s="3124"/>
      <c r="H354" s="3124">
        <v>20</v>
      </c>
      <c r="I354" s="3124">
        <v>20</v>
      </c>
      <c r="J354" s="3124">
        <v>3000</v>
      </c>
      <c r="K354" s="3124">
        <v>3000</v>
      </c>
      <c r="L354" s="3124">
        <v>3350</v>
      </c>
      <c r="M354" s="3124" t="s">
        <v>2672</v>
      </c>
      <c r="N354" s="3192">
        <v>43713</v>
      </c>
      <c r="O354" s="3192">
        <v>44291</v>
      </c>
      <c r="P354" s="3192">
        <v>43713</v>
      </c>
      <c r="Q354" s="3192">
        <v>44291</v>
      </c>
      <c r="R354" s="3124" t="s">
        <v>432</v>
      </c>
      <c r="S354" s="3124" t="s">
        <v>1690</v>
      </c>
      <c r="T354" s="3124" t="s">
        <v>1850</v>
      </c>
      <c r="U354" t="s">
        <v>1869</v>
      </c>
      <c r="V354" s="3124"/>
      <c r="W354" s="3193"/>
      <c r="X354" s="3124">
        <v>-3350</v>
      </c>
      <c r="Y354" s="3124">
        <v>4</v>
      </c>
      <c r="Z354" s="3124">
        <v>0</v>
      </c>
      <c r="AA354" s="3124">
        <v>29000</v>
      </c>
      <c r="AB354" t="s">
        <v>1869</v>
      </c>
      <c r="AC354" s="3124"/>
    </row>
    <row r="355" spans="1:29">
      <c r="A355" s="3124">
        <v>354</v>
      </c>
      <c r="B355" s="3124" t="s">
        <v>1630</v>
      </c>
      <c r="C355" s="3124" t="s">
        <v>1582</v>
      </c>
      <c r="D355" s="3124" t="s">
        <v>2673</v>
      </c>
      <c r="E355" t="s">
        <v>1583</v>
      </c>
      <c r="F355" s="3234"/>
      <c r="G355" s="3124"/>
      <c r="H355" s="3124">
        <v>16</v>
      </c>
      <c r="I355" s="3124">
        <v>16</v>
      </c>
      <c r="J355" s="3124"/>
      <c r="K355" s="3124">
        <v>1000</v>
      </c>
      <c r="L355" s="3124">
        <v>1200</v>
      </c>
      <c r="M355" s="3124" t="s">
        <v>2512</v>
      </c>
      <c r="N355" s="3192">
        <v>43586</v>
      </c>
      <c r="O355" s="3192">
        <v>44044</v>
      </c>
      <c r="P355" s="3192">
        <v>43586</v>
      </c>
      <c r="Q355" s="3192">
        <v>44044</v>
      </c>
      <c r="R355" s="3124" t="s">
        <v>433</v>
      </c>
      <c r="S355" s="3124" t="s">
        <v>1658</v>
      </c>
      <c r="T355" s="3124" t="s">
        <v>1850</v>
      </c>
      <c r="U355" t="s">
        <v>1195</v>
      </c>
      <c r="V355" s="3124"/>
      <c r="W355" s="3193"/>
      <c r="X355" s="3124"/>
      <c r="Y355" s="3124"/>
      <c r="Z355" s="3124"/>
      <c r="AA355" s="3124"/>
      <c r="AB355" t="s">
        <v>1195</v>
      </c>
      <c r="AC355" s="3124"/>
    </row>
    <row r="356" spans="1:29">
      <c r="A356" s="3124">
        <v>355</v>
      </c>
      <c r="B356" s="3124" t="s">
        <v>1630</v>
      </c>
      <c r="C356" s="3124" t="s">
        <v>1426</v>
      </c>
      <c r="D356" s="3124" t="s">
        <v>2674</v>
      </c>
      <c r="E356" t="s">
        <v>1428</v>
      </c>
      <c r="F356" s="3234">
        <v>9832076302</v>
      </c>
      <c r="G356" s="3124" t="s">
        <v>5186</v>
      </c>
      <c r="H356" s="3124">
        <v>8</v>
      </c>
      <c r="I356" s="3124">
        <v>8</v>
      </c>
      <c r="J356" s="3124"/>
      <c r="K356" s="3124">
        <v>1000</v>
      </c>
      <c r="L356" s="3124">
        <v>1200</v>
      </c>
      <c r="M356" s="3124" t="s">
        <v>2512</v>
      </c>
      <c r="N356" s="3192">
        <v>43586</v>
      </c>
      <c r="O356" s="3192">
        <v>43800</v>
      </c>
      <c r="P356" s="3192">
        <v>43586</v>
      </c>
      <c r="Q356" s="3192">
        <v>43800</v>
      </c>
      <c r="R356" s="3124" t="s">
        <v>432</v>
      </c>
      <c r="S356" s="3124" t="s">
        <v>1658</v>
      </c>
      <c r="T356" s="3124" t="s">
        <v>1850</v>
      </c>
      <c r="U356" t="s">
        <v>1761</v>
      </c>
      <c r="V356" s="3124"/>
      <c r="W356" s="3193"/>
      <c r="X356" s="3124">
        <v>-1200</v>
      </c>
      <c r="Y356" s="3124">
        <v>4</v>
      </c>
      <c r="Z356" s="3124">
        <v>0</v>
      </c>
      <c r="AA356" s="3124">
        <v>14000</v>
      </c>
      <c r="AB356" t="s">
        <v>1195</v>
      </c>
      <c r="AC356" s="3124"/>
    </row>
    <row r="357" spans="1:29">
      <c r="A357" s="3124">
        <v>356</v>
      </c>
      <c r="B357" s="3124" t="s">
        <v>1630</v>
      </c>
      <c r="C357" s="3124" t="s">
        <v>2513</v>
      </c>
      <c r="D357" s="3124" t="s">
        <v>2675</v>
      </c>
      <c r="E357" t="s">
        <v>2514</v>
      </c>
      <c r="F357" s="3234">
        <v>9831370830</v>
      </c>
      <c r="G357" s="3124" t="s">
        <v>2515</v>
      </c>
      <c r="H357" s="3124">
        <v>16</v>
      </c>
      <c r="I357" s="3124">
        <v>16</v>
      </c>
      <c r="J357" s="3124"/>
      <c r="K357" s="3124">
        <v>1000</v>
      </c>
      <c r="L357" s="3124">
        <v>1200</v>
      </c>
      <c r="M357" s="3124" t="s">
        <v>2512</v>
      </c>
      <c r="N357" s="3192">
        <v>43586</v>
      </c>
      <c r="O357" s="3192">
        <v>44044</v>
      </c>
      <c r="P357" s="3192">
        <v>43586</v>
      </c>
      <c r="Q357" s="3192">
        <v>44044</v>
      </c>
      <c r="R357" s="3124" t="s">
        <v>432</v>
      </c>
      <c r="S357" s="3124" t="s">
        <v>1658</v>
      </c>
      <c r="T357" s="3124" t="s">
        <v>1850</v>
      </c>
      <c r="U357" t="s">
        <v>1195</v>
      </c>
      <c r="V357" s="3124"/>
      <c r="W357" s="3193"/>
      <c r="X357" s="3124">
        <v>-1200</v>
      </c>
      <c r="Y357" s="3124">
        <v>4</v>
      </c>
      <c r="Z357" s="3124">
        <v>0</v>
      </c>
      <c r="AA357" s="3124">
        <v>14000</v>
      </c>
      <c r="AB357" t="s">
        <v>1195</v>
      </c>
      <c r="AC357" s="3124"/>
    </row>
    <row r="358" spans="1:29">
      <c r="A358" s="3124">
        <v>357</v>
      </c>
      <c r="B358" s="3124" t="s">
        <v>1123</v>
      </c>
      <c r="C358" s="3124" t="s">
        <v>1100</v>
      </c>
      <c r="D358" s="3124" t="s">
        <v>2676</v>
      </c>
      <c r="E358" t="s">
        <v>1102</v>
      </c>
      <c r="F358" s="3234" t="s">
        <v>2516</v>
      </c>
      <c r="G358" s="3124" t="s">
        <v>2517</v>
      </c>
      <c r="H358" s="3124">
        <v>6</v>
      </c>
      <c r="I358" s="3124">
        <v>6</v>
      </c>
      <c r="J358" s="3124"/>
      <c r="K358" s="3124"/>
      <c r="L358" s="3124">
        <v>0</v>
      </c>
      <c r="M358" s="3124" t="s">
        <v>1094</v>
      </c>
      <c r="N358" s="3192">
        <v>44454</v>
      </c>
      <c r="O358" s="3192">
        <v>44607</v>
      </c>
      <c r="P358" s="3192">
        <v>44454</v>
      </c>
      <c r="Q358" s="3192">
        <v>44607</v>
      </c>
      <c r="R358" s="3124" t="s">
        <v>433</v>
      </c>
      <c r="S358" s="3124" t="s">
        <v>1939</v>
      </c>
      <c r="T358" s="3124" t="s">
        <v>1850</v>
      </c>
      <c r="U358" t="s">
        <v>1761</v>
      </c>
      <c r="V358" s="3124">
        <v>6700</v>
      </c>
      <c r="W358" s="3193">
        <v>1</v>
      </c>
      <c r="X358" s="3124">
        <v>6700</v>
      </c>
      <c r="Y358" s="3124">
        <v>0</v>
      </c>
      <c r="Z358" s="3124">
        <v>8000</v>
      </c>
      <c r="AA358" s="3124">
        <v>15000</v>
      </c>
      <c r="AB358" t="s">
        <v>1195</v>
      </c>
      <c r="AC358" s="3124"/>
    </row>
    <row r="359" spans="1:29">
      <c r="A359" s="3124">
        <v>358</v>
      </c>
      <c r="B359" s="3124" t="s">
        <v>1630</v>
      </c>
      <c r="C359" s="3124" t="s">
        <v>131</v>
      </c>
      <c r="D359" s="3124" t="s">
        <v>132</v>
      </c>
      <c r="E359" s="3131" t="s">
        <v>133</v>
      </c>
      <c r="F359" s="3234" t="s">
        <v>2518</v>
      </c>
      <c r="G359" s="3190" t="s">
        <v>2519</v>
      </c>
      <c r="H359" s="3124">
        <v>36</v>
      </c>
      <c r="I359" s="3124">
        <v>36</v>
      </c>
      <c r="J359" s="3124" t="s">
        <v>1948</v>
      </c>
      <c r="K359" s="3124">
        <v>1000</v>
      </c>
      <c r="L359" s="3124">
        <v>1600</v>
      </c>
      <c r="M359" s="3124" t="s">
        <v>134</v>
      </c>
      <c r="N359" s="3192">
        <v>44625</v>
      </c>
      <c r="O359" s="3192">
        <v>45693</v>
      </c>
      <c r="P359" s="3192">
        <v>44634</v>
      </c>
      <c r="Q359" s="3192">
        <v>45702</v>
      </c>
      <c r="R359" s="3124" t="s">
        <v>433</v>
      </c>
      <c r="S359" s="3124" t="s">
        <v>1658</v>
      </c>
      <c r="T359" s="3124" t="s">
        <v>1850</v>
      </c>
      <c r="U359" t="s">
        <v>1869</v>
      </c>
      <c r="V359" s="3124">
        <v>3150</v>
      </c>
      <c r="W359" s="3193">
        <v>0.49206349206349204</v>
      </c>
      <c r="X359" s="3124">
        <v>1550</v>
      </c>
      <c r="Y359" s="3124">
        <v>4</v>
      </c>
      <c r="Z359" s="3124">
        <v>0</v>
      </c>
      <c r="AA359" s="3124">
        <v>21000</v>
      </c>
      <c r="AB359" t="s">
        <v>1869</v>
      </c>
      <c r="AC359" s="3124"/>
    </row>
    <row r="360" spans="1:29">
      <c r="A360" s="3124">
        <v>359</v>
      </c>
      <c r="B360" s="3124" t="s">
        <v>1630</v>
      </c>
      <c r="C360" s="3124" t="s">
        <v>153</v>
      </c>
      <c r="D360" s="3124" t="s">
        <v>154</v>
      </c>
      <c r="E360" s="3137" t="s">
        <v>2520</v>
      </c>
      <c r="F360" s="3234">
        <v>9999491017</v>
      </c>
      <c r="G360" s="3124" t="s">
        <v>2521</v>
      </c>
      <c r="H360" s="3124">
        <v>36</v>
      </c>
      <c r="I360" s="3124">
        <v>36</v>
      </c>
      <c r="J360" s="3124"/>
      <c r="K360" s="3124">
        <v>1000</v>
      </c>
      <c r="L360" s="3124">
        <v>1600</v>
      </c>
      <c r="M360" s="3124" t="s">
        <v>134</v>
      </c>
      <c r="N360" s="3192">
        <v>44625</v>
      </c>
      <c r="O360" s="3192">
        <v>45693</v>
      </c>
      <c r="P360" s="3192">
        <v>44634</v>
      </c>
      <c r="Q360" s="3192">
        <v>45702</v>
      </c>
      <c r="R360" s="3124" t="s">
        <v>433</v>
      </c>
      <c r="S360" s="3124" t="s">
        <v>1658</v>
      </c>
      <c r="T360" s="3124" t="s">
        <v>1850</v>
      </c>
      <c r="U360" t="s">
        <v>1869</v>
      </c>
      <c r="V360" s="3124">
        <v>3150</v>
      </c>
      <c r="W360" s="3193">
        <v>0.49206349206349204</v>
      </c>
      <c r="X360" s="3124">
        <v>1550</v>
      </c>
      <c r="Y360" s="3124">
        <v>4</v>
      </c>
      <c r="Z360" s="3124">
        <v>0</v>
      </c>
      <c r="AA360" s="3124">
        <v>21000</v>
      </c>
      <c r="AB360" t="s">
        <v>1869</v>
      </c>
      <c r="AC360" s="3124"/>
    </row>
    <row r="361" spans="1:29">
      <c r="A361" s="3124">
        <v>360</v>
      </c>
      <c r="B361" s="3124" t="s">
        <v>1621</v>
      </c>
      <c r="C361" s="3124" t="s">
        <v>480</v>
      </c>
      <c r="D361" s="3124" t="s">
        <v>481</v>
      </c>
      <c r="E361" t="s">
        <v>2522</v>
      </c>
      <c r="F361" s="3234" t="s">
        <v>2523</v>
      </c>
      <c r="G361" s="3124" t="s">
        <v>2524</v>
      </c>
      <c r="H361" s="3124">
        <v>20</v>
      </c>
      <c r="I361" s="3124">
        <v>20</v>
      </c>
      <c r="J361" s="3124"/>
      <c r="K361" s="3124">
        <v>2000</v>
      </c>
      <c r="L361" s="3124">
        <v>2180</v>
      </c>
      <c r="M361" s="3124" t="s">
        <v>2631</v>
      </c>
      <c r="N361" s="3192">
        <v>44623</v>
      </c>
      <c r="O361" s="3192">
        <v>45202</v>
      </c>
      <c r="P361" s="3192">
        <v>44637</v>
      </c>
      <c r="Q361" s="3192">
        <v>45216</v>
      </c>
      <c r="R361" s="3124" t="s">
        <v>433</v>
      </c>
      <c r="S361" s="3124" t="s">
        <v>1640</v>
      </c>
      <c r="T361" s="3124" t="s">
        <v>1850</v>
      </c>
      <c r="U361" t="s">
        <v>1761</v>
      </c>
      <c r="V361" s="3124">
        <v>5000</v>
      </c>
      <c r="W361" s="3193">
        <v>0.56399999999999995</v>
      </c>
      <c r="X361" s="3124">
        <v>2820</v>
      </c>
      <c r="Y361" s="3124">
        <v>2</v>
      </c>
      <c r="Z361" s="3124"/>
      <c r="AA361" s="3124">
        <v>25000</v>
      </c>
      <c r="AB361" t="s">
        <v>1195</v>
      </c>
      <c r="AC361" s="3124"/>
    </row>
    <row r="362" spans="1:29">
      <c r="A362" s="3124">
        <v>361</v>
      </c>
      <c r="B362" s="3124" t="s">
        <v>1621</v>
      </c>
      <c r="C362" s="3124" t="s">
        <v>484</v>
      </c>
      <c r="D362" s="3124" t="s">
        <v>485</v>
      </c>
      <c r="E362" t="s">
        <v>4620</v>
      </c>
      <c r="F362" s="3234" t="s">
        <v>2523</v>
      </c>
      <c r="G362" s="3124" t="s">
        <v>4621</v>
      </c>
      <c r="H362" s="3124">
        <v>20</v>
      </c>
      <c r="I362" s="3124">
        <v>20</v>
      </c>
      <c r="J362" s="3124"/>
      <c r="K362" s="3124">
        <v>2000</v>
      </c>
      <c r="L362" s="3124">
        <v>2180</v>
      </c>
      <c r="M362" s="3124" t="s">
        <v>2631</v>
      </c>
      <c r="N362" s="3192">
        <v>44638</v>
      </c>
      <c r="O362" s="3192">
        <v>45217</v>
      </c>
      <c r="P362" s="3192">
        <v>44637</v>
      </c>
      <c r="Q362" s="3192">
        <v>45216</v>
      </c>
      <c r="R362" s="3124" t="s">
        <v>432</v>
      </c>
      <c r="S362" s="3124" t="s">
        <v>1640</v>
      </c>
      <c r="T362" s="3124" t="s">
        <v>1850</v>
      </c>
      <c r="U362" t="s">
        <v>1761</v>
      </c>
      <c r="V362" s="3124">
        <v>5000</v>
      </c>
      <c r="W362" s="3193">
        <v>0.56399999999999995</v>
      </c>
      <c r="X362" s="3124">
        <v>2820</v>
      </c>
      <c r="Y362" s="3124">
        <v>2</v>
      </c>
      <c r="Z362" s="3124"/>
      <c r="AA362" s="3124">
        <v>25000</v>
      </c>
      <c r="AB362" t="s">
        <v>1195</v>
      </c>
      <c r="AC362" s="3124"/>
    </row>
    <row r="363" spans="1:29">
      <c r="A363" s="3124">
        <v>362</v>
      </c>
      <c r="B363" s="3124" t="s">
        <v>2525</v>
      </c>
      <c r="C363" s="3124" t="s">
        <v>2526</v>
      </c>
      <c r="D363" s="3124" t="s">
        <v>2677</v>
      </c>
      <c r="E363" t="s">
        <v>2527</v>
      </c>
      <c r="F363" s="3234" t="s">
        <v>2528</v>
      </c>
      <c r="G363" s="3124" t="s">
        <v>2529</v>
      </c>
      <c r="H363" s="3124">
        <v>6</v>
      </c>
      <c r="I363" s="3124">
        <v>6</v>
      </c>
      <c r="J363" s="3124"/>
      <c r="K363" s="3124">
        <v>2000</v>
      </c>
      <c r="L363" s="3124">
        <v>2180</v>
      </c>
      <c r="M363" s="3124" t="s">
        <v>407</v>
      </c>
      <c r="N363" s="3192">
        <v>44638</v>
      </c>
      <c r="O363" s="3192">
        <v>44791</v>
      </c>
      <c r="P363" s="3192">
        <v>44636</v>
      </c>
      <c r="Q363" s="3192">
        <v>44789</v>
      </c>
      <c r="R363" s="3124" t="s">
        <v>433</v>
      </c>
      <c r="S363" s="3124" t="s">
        <v>2530</v>
      </c>
      <c r="T363" s="3124" t="s">
        <v>1850</v>
      </c>
      <c r="U363" t="s">
        <v>1195</v>
      </c>
      <c r="V363" s="3124">
        <v>5000</v>
      </c>
      <c r="W363" s="3193">
        <v>0.56399999999999995</v>
      </c>
      <c r="X363" s="3124">
        <v>2820</v>
      </c>
      <c r="Y363" s="3124">
        <v>0</v>
      </c>
      <c r="Z363" s="3124">
        <v>6000</v>
      </c>
      <c r="AA363" s="3124">
        <v>23000</v>
      </c>
      <c r="AB363" t="s">
        <v>1195</v>
      </c>
      <c r="AC363" s="3124"/>
    </row>
    <row r="364" spans="1:29">
      <c r="A364" s="3124">
        <v>363</v>
      </c>
      <c r="B364" s="3124" t="s">
        <v>1123</v>
      </c>
      <c r="C364" s="3124" t="s">
        <v>1198</v>
      </c>
      <c r="D364" s="3124" t="s">
        <v>1968</v>
      </c>
      <c r="E364" t="s">
        <v>1200</v>
      </c>
      <c r="F364" s="3234" t="s">
        <v>2531</v>
      </c>
      <c r="G364" s="3124" t="s">
        <v>4622</v>
      </c>
      <c r="H364" s="3124">
        <v>4</v>
      </c>
      <c r="I364" s="3124">
        <v>4</v>
      </c>
      <c r="J364" s="3124">
        <v>0</v>
      </c>
      <c r="K364" s="3124">
        <v>0</v>
      </c>
      <c r="L364" s="3124">
        <v>3350</v>
      </c>
      <c r="M364" s="3124" t="s">
        <v>1207</v>
      </c>
      <c r="N364" s="3192">
        <v>44638</v>
      </c>
      <c r="O364" s="3192">
        <v>44730</v>
      </c>
      <c r="P364" s="3192">
        <v>44638</v>
      </c>
      <c r="Q364" s="3192">
        <v>44730</v>
      </c>
      <c r="R364" s="3124" t="s">
        <v>432</v>
      </c>
      <c r="S364" s="3124" t="s">
        <v>1939</v>
      </c>
      <c r="T364" s="3124" t="s">
        <v>1850</v>
      </c>
      <c r="U364" t="s">
        <v>1195</v>
      </c>
      <c r="V364" s="3124">
        <v>6700</v>
      </c>
      <c r="W364" s="3193">
        <v>0.5</v>
      </c>
      <c r="X364" s="3124">
        <v>3350</v>
      </c>
      <c r="Y364" s="3124">
        <v>0</v>
      </c>
      <c r="Z364" s="3124">
        <v>8000</v>
      </c>
      <c r="AA364" s="3124">
        <v>25000</v>
      </c>
      <c r="AB364" t="s">
        <v>1195</v>
      </c>
      <c r="AC364" s="3124"/>
    </row>
    <row r="365" spans="1:29">
      <c r="A365" s="3124">
        <v>364</v>
      </c>
      <c r="B365" s="3124" t="s">
        <v>1839</v>
      </c>
      <c r="C365" s="3124" t="s">
        <v>2532</v>
      </c>
      <c r="D365" s="3124" t="s">
        <v>2678</v>
      </c>
      <c r="E365" s="3160" t="s">
        <v>2533</v>
      </c>
      <c r="F365" s="3234">
        <v>9981018771</v>
      </c>
      <c r="G365" s="3124" t="s">
        <v>2534</v>
      </c>
      <c r="H365" s="3124">
        <v>8</v>
      </c>
      <c r="I365" s="3124">
        <v>8</v>
      </c>
      <c r="J365" s="3124">
        <v>1000</v>
      </c>
      <c r="K365" s="3124">
        <v>1000</v>
      </c>
      <c r="L365" s="3124">
        <v>2275</v>
      </c>
      <c r="M365" s="3124" t="s">
        <v>134</v>
      </c>
      <c r="N365" s="3192">
        <v>45241</v>
      </c>
      <c r="O365" s="3192">
        <v>45454</v>
      </c>
      <c r="P365" s="3192">
        <v>45303</v>
      </c>
      <c r="Q365" s="3192">
        <v>45608</v>
      </c>
      <c r="R365" s="3124" t="s">
        <v>432</v>
      </c>
      <c r="S365" s="3124" t="s">
        <v>1842</v>
      </c>
      <c r="T365" s="3124" t="s">
        <v>1850</v>
      </c>
      <c r="U365" t="s">
        <v>1761</v>
      </c>
      <c r="V365" s="3124">
        <v>5000</v>
      </c>
      <c r="W365" s="3193">
        <v>0.54500000000000004</v>
      </c>
      <c r="X365" s="3124">
        <v>2725</v>
      </c>
      <c r="Y365" s="3124">
        <v>0</v>
      </c>
      <c r="Z365" s="3124">
        <v>5000</v>
      </c>
      <c r="AA365" s="3124">
        <v>21000</v>
      </c>
      <c r="AB365" t="s">
        <v>1195</v>
      </c>
      <c r="AC365" s="3124"/>
    </row>
    <row r="366" spans="1:29">
      <c r="A366" s="3124">
        <v>365</v>
      </c>
      <c r="B366" s="3124" t="s">
        <v>1630</v>
      </c>
      <c r="C366" s="3124" t="s">
        <v>137</v>
      </c>
      <c r="D366" s="3124" t="s">
        <v>2679</v>
      </c>
      <c r="E366" s="3161" t="s">
        <v>139</v>
      </c>
      <c r="F366" s="3234" t="s">
        <v>2535</v>
      </c>
      <c r="G366" s="3124" t="s">
        <v>2536</v>
      </c>
      <c r="H366" s="3124">
        <v>36</v>
      </c>
      <c r="I366" s="3124">
        <v>36</v>
      </c>
      <c r="J366" s="3124">
        <v>0</v>
      </c>
      <c r="K366" s="3124">
        <v>1000</v>
      </c>
      <c r="L366" s="3124">
        <v>1600</v>
      </c>
      <c r="M366" s="3124" t="s">
        <v>134</v>
      </c>
      <c r="N366" s="3192">
        <v>44646</v>
      </c>
      <c r="O366" s="3192">
        <v>45714</v>
      </c>
      <c r="P366" s="3192">
        <v>44645</v>
      </c>
      <c r="Q366" s="3192">
        <v>45713</v>
      </c>
      <c r="R366" s="3124" t="s">
        <v>432</v>
      </c>
      <c r="S366" s="3124" t="s">
        <v>1658</v>
      </c>
      <c r="T366" s="3124" t="s">
        <v>1918</v>
      </c>
      <c r="U366" t="s">
        <v>1761</v>
      </c>
      <c r="V366" s="3124">
        <v>3150</v>
      </c>
      <c r="W366" s="3193">
        <v>0.49206349206349204</v>
      </c>
      <c r="X366" s="3124">
        <v>1550</v>
      </c>
      <c r="Y366" s="3124">
        <v>4</v>
      </c>
      <c r="Z366" s="3124">
        <v>0</v>
      </c>
      <c r="AA366" s="3124">
        <v>23000</v>
      </c>
      <c r="AB366" t="s">
        <v>1195</v>
      </c>
      <c r="AC366" s="3124"/>
    </row>
    <row r="367" spans="1:29">
      <c r="A367" s="3124">
        <v>366</v>
      </c>
      <c r="B367" s="3124" t="s">
        <v>1621</v>
      </c>
      <c r="C367" s="3124" t="s">
        <v>500</v>
      </c>
      <c r="D367" s="3124" t="s">
        <v>501</v>
      </c>
      <c r="E367" t="s">
        <v>502</v>
      </c>
      <c r="F367" s="3234" t="s">
        <v>2537</v>
      </c>
      <c r="G367" s="3124" t="s">
        <v>2538</v>
      </c>
      <c r="H367" s="3124">
        <v>20</v>
      </c>
      <c r="I367" s="3124">
        <v>20</v>
      </c>
      <c r="J367" s="3124" t="s">
        <v>1948</v>
      </c>
      <c r="K367" s="3124">
        <v>2000</v>
      </c>
      <c r="L367" s="3124">
        <v>2180</v>
      </c>
      <c r="M367" s="3124" t="s">
        <v>2631</v>
      </c>
      <c r="N367" s="3192">
        <v>44659</v>
      </c>
      <c r="O367" s="3192">
        <v>45238</v>
      </c>
      <c r="P367" s="3192">
        <v>44646</v>
      </c>
      <c r="Q367" s="3192">
        <v>45225</v>
      </c>
      <c r="R367" s="3124" t="s">
        <v>432</v>
      </c>
      <c r="S367" s="3124" t="s">
        <v>1640</v>
      </c>
      <c r="T367" s="3124" t="s">
        <v>1850</v>
      </c>
      <c r="U367" t="s">
        <v>1195</v>
      </c>
      <c r="V367" s="3124">
        <v>5000</v>
      </c>
      <c r="W367" s="3193">
        <v>0.56399999999999995</v>
      </c>
      <c r="X367" s="3124">
        <v>2820</v>
      </c>
      <c r="Y367" s="3124">
        <v>2</v>
      </c>
      <c r="Z367" s="3124"/>
      <c r="AA367" s="3124">
        <v>25000</v>
      </c>
      <c r="AB367" t="s">
        <v>1195</v>
      </c>
      <c r="AC367" s="3124"/>
    </row>
    <row r="368" spans="1:29">
      <c r="A368" s="3124">
        <v>367</v>
      </c>
      <c r="B368" s="3124" t="s">
        <v>1839</v>
      </c>
      <c r="C368" s="3124" t="s">
        <v>1458</v>
      </c>
      <c r="D368" s="3124" t="s">
        <v>1459</v>
      </c>
      <c r="E368" t="s">
        <v>1460</v>
      </c>
      <c r="F368" s="3234">
        <v>4424407266</v>
      </c>
      <c r="G368" s="3124" t="s">
        <v>2539</v>
      </c>
      <c r="H368" s="3124">
        <v>8</v>
      </c>
      <c r="I368" s="3124">
        <v>8</v>
      </c>
      <c r="J368" s="3124"/>
      <c r="K368" s="3124">
        <v>750</v>
      </c>
      <c r="L368" s="3124">
        <v>2180</v>
      </c>
      <c r="M368" s="3124" t="s">
        <v>1515</v>
      </c>
      <c r="N368" s="3192">
        <v>44256</v>
      </c>
      <c r="O368" s="3192">
        <v>44470</v>
      </c>
      <c r="P368" s="3192">
        <v>44256</v>
      </c>
      <c r="Q368" s="3192">
        <v>44470</v>
      </c>
      <c r="R368" s="3124" t="s">
        <v>433</v>
      </c>
      <c r="S368" s="3124" t="s">
        <v>1842</v>
      </c>
      <c r="T368" s="3124" t="s">
        <v>1850</v>
      </c>
      <c r="U368" t="s">
        <v>1195</v>
      </c>
      <c r="V368" s="3124">
        <v>5000</v>
      </c>
      <c r="W368" s="3193">
        <v>0.56399999999999995</v>
      </c>
      <c r="X368" s="3124">
        <v>2820</v>
      </c>
      <c r="Y368" s="3124">
        <v>1</v>
      </c>
      <c r="Z368" s="3124"/>
      <c r="AA368" s="3124">
        <v>18000</v>
      </c>
      <c r="AB368" t="s">
        <v>1195</v>
      </c>
      <c r="AC368" s="3124"/>
    </row>
    <row r="369" spans="1:29">
      <c r="A369" s="3124">
        <v>368</v>
      </c>
      <c r="B369" s="3124" t="s">
        <v>1630</v>
      </c>
      <c r="C369" s="3124" t="s">
        <v>2540</v>
      </c>
      <c r="D369" s="3124" t="s">
        <v>629</v>
      </c>
      <c r="E369" s="3158" t="s">
        <v>222</v>
      </c>
      <c r="F369" s="3234">
        <v>9984907102</v>
      </c>
      <c r="G369" s="3124" t="s">
        <v>2541</v>
      </c>
      <c r="H369" s="3124">
        <v>20</v>
      </c>
      <c r="I369" s="3124">
        <v>20</v>
      </c>
      <c r="J369" s="3124"/>
      <c r="K369" s="3124">
        <v>1000</v>
      </c>
      <c r="L369" s="3124">
        <v>1600</v>
      </c>
      <c r="M369" s="3124" t="s">
        <v>1707</v>
      </c>
      <c r="N369" s="3192">
        <v>45136</v>
      </c>
      <c r="O369" s="3192">
        <v>45716</v>
      </c>
      <c r="P369" s="3192">
        <v>45131</v>
      </c>
      <c r="Q369" s="3192">
        <v>45712</v>
      </c>
      <c r="R369" s="3124" t="s">
        <v>433</v>
      </c>
      <c r="S369" s="3124" t="s">
        <v>1658</v>
      </c>
      <c r="T369" s="3124" t="s">
        <v>1850</v>
      </c>
      <c r="U369" t="s">
        <v>1869</v>
      </c>
      <c r="V369" s="3124">
        <v>3150</v>
      </c>
      <c r="W369" s="3193">
        <v>0.49206349206349204</v>
      </c>
      <c r="X369" s="3124">
        <v>1550</v>
      </c>
      <c r="Y369" s="3124">
        <v>4</v>
      </c>
      <c r="Z369" s="3124">
        <v>0</v>
      </c>
      <c r="AA369" s="3124">
        <v>23000</v>
      </c>
      <c r="AB369" t="s">
        <v>1869</v>
      </c>
      <c r="AC369" s="3124"/>
    </row>
    <row r="370" spans="1:29">
      <c r="A370" s="3124">
        <v>369</v>
      </c>
      <c r="B370" s="3124" t="s">
        <v>1630</v>
      </c>
      <c r="C370" s="3124" t="s">
        <v>150</v>
      </c>
      <c r="D370" s="3124" t="s">
        <v>151</v>
      </c>
      <c r="E370" s="3167" t="s">
        <v>152</v>
      </c>
      <c r="F370" s="3234">
        <v>9221971871</v>
      </c>
      <c r="G370" s="3124" t="s">
        <v>2542</v>
      </c>
      <c r="H370" s="3124">
        <v>36</v>
      </c>
      <c r="I370" s="3124">
        <v>36</v>
      </c>
      <c r="J370" s="3124" t="s">
        <v>1948</v>
      </c>
      <c r="K370" s="3124">
        <v>1000</v>
      </c>
      <c r="L370" s="3124">
        <v>1600</v>
      </c>
      <c r="M370" s="3124" t="s">
        <v>1707</v>
      </c>
      <c r="N370" s="3192">
        <v>44653</v>
      </c>
      <c r="O370" s="3192">
        <v>45718</v>
      </c>
      <c r="P370" s="3192">
        <v>44652</v>
      </c>
      <c r="Q370" s="3192">
        <v>45717</v>
      </c>
      <c r="R370" s="3124" t="s">
        <v>432</v>
      </c>
      <c r="S370" s="3124" t="s">
        <v>1658</v>
      </c>
      <c r="T370" s="3124" t="s">
        <v>1850</v>
      </c>
      <c r="U370" t="s">
        <v>1869</v>
      </c>
      <c r="V370" s="3124">
        <v>3150</v>
      </c>
      <c r="W370" s="3193">
        <v>0.49206349206349204</v>
      </c>
      <c r="X370" s="3124">
        <v>1550</v>
      </c>
      <c r="Y370" s="3124">
        <v>4</v>
      </c>
      <c r="Z370" s="3124">
        <v>0</v>
      </c>
      <c r="AA370" s="3124">
        <v>23000</v>
      </c>
      <c r="AB370" t="s">
        <v>1869</v>
      </c>
      <c r="AC370" s="3124"/>
    </row>
    <row r="371" spans="1:29">
      <c r="A371" s="3124">
        <v>370</v>
      </c>
      <c r="B371" s="3124" t="s">
        <v>1764</v>
      </c>
      <c r="C371" s="3124" t="s">
        <v>664</v>
      </c>
      <c r="D371" s="3124" t="s">
        <v>665</v>
      </c>
      <c r="E371" t="s">
        <v>4623</v>
      </c>
      <c r="F371" s="3234" t="s">
        <v>2183</v>
      </c>
      <c r="G371" s="3124" t="s">
        <v>1852</v>
      </c>
      <c r="H371" s="3124">
        <v>1</v>
      </c>
      <c r="I371" s="3124">
        <v>6</v>
      </c>
      <c r="J371" s="3124">
        <v>0</v>
      </c>
      <c r="K371" s="3124"/>
      <c r="L371" s="3124">
        <v>0</v>
      </c>
      <c r="M371" s="3124" t="s">
        <v>1976</v>
      </c>
      <c r="N371" s="3192">
        <v>44540</v>
      </c>
      <c r="O371" s="3192">
        <v>44691</v>
      </c>
      <c r="P371" s="3192">
        <v>44671</v>
      </c>
      <c r="Q371" s="3192">
        <v>44671</v>
      </c>
      <c r="R371" s="3124" t="s">
        <v>432</v>
      </c>
      <c r="S371" s="3124" t="s">
        <v>1917</v>
      </c>
      <c r="T371" s="3124" t="s">
        <v>1850</v>
      </c>
      <c r="U371" t="s">
        <v>1195</v>
      </c>
      <c r="V371" s="3124">
        <v>5000</v>
      </c>
      <c r="W371" s="3193">
        <v>1</v>
      </c>
      <c r="X371" s="3124">
        <v>5000</v>
      </c>
      <c r="Y371" s="3124">
        <v>0</v>
      </c>
      <c r="Z371" s="3124">
        <v>6000</v>
      </c>
      <c r="AA371" s="3124">
        <v>23000</v>
      </c>
      <c r="AB371" t="s">
        <v>1195</v>
      </c>
      <c r="AC371" s="3124"/>
    </row>
    <row r="372" spans="1:29">
      <c r="A372" s="3124">
        <v>371</v>
      </c>
      <c r="B372" s="3124" t="s">
        <v>1691</v>
      </c>
      <c r="C372" s="3124" t="s">
        <v>935</v>
      </c>
      <c r="D372" s="3124" t="s">
        <v>2543</v>
      </c>
      <c r="E372" t="s">
        <v>1128</v>
      </c>
      <c r="F372" s="3234">
        <v>9871191661</v>
      </c>
      <c r="G372" s="3124" t="s">
        <v>2190</v>
      </c>
      <c r="H372" s="3124">
        <v>16</v>
      </c>
      <c r="I372" s="3124">
        <v>16</v>
      </c>
      <c r="J372" s="3124" t="s">
        <v>1948</v>
      </c>
      <c r="K372" s="3124">
        <v>2000</v>
      </c>
      <c r="L372" s="3124">
        <v>2275</v>
      </c>
      <c r="M372" s="3124" t="s">
        <v>407</v>
      </c>
      <c r="N372" s="3192">
        <v>44673</v>
      </c>
      <c r="O372" s="3192">
        <v>45129</v>
      </c>
      <c r="P372" s="3192">
        <v>44677</v>
      </c>
      <c r="Q372" s="3192">
        <v>45133</v>
      </c>
      <c r="R372" s="3124" t="s">
        <v>432</v>
      </c>
      <c r="S372" s="3124" t="s">
        <v>1949</v>
      </c>
      <c r="T372" s="3124" t="s">
        <v>1850</v>
      </c>
      <c r="U372" t="s">
        <v>1195</v>
      </c>
      <c r="V372" s="3124">
        <v>5000</v>
      </c>
      <c r="W372" s="3193">
        <v>0.54500000000000004</v>
      </c>
      <c r="X372" s="3124">
        <v>2725</v>
      </c>
      <c r="Y372" s="3124">
        <v>1</v>
      </c>
      <c r="Z372" s="3124"/>
      <c r="AA372" s="3124">
        <v>25000</v>
      </c>
      <c r="AB372" t="s">
        <v>1195</v>
      </c>
      <c r="AC372" s="3124"/>
    </row>
    <row r="373" spans="1:29">
      <c r="A373" s="3124">
        <v>372</v>
      </c>
      <c r="B373" s="3124" t="s">
        <v>1623</v>
      </c>
      <c r="C373" s="3124" t="s">
        <v>1735</v>
      </c>
      <c r="D373" s="3124" t="s">
        <v>1736</v>
      </c>
      <c r="E373" t="s">
        <v>1737</v>
      </c>
      <c r="F373" s="3234" t="s">
        <v>2544</v>
      </c>
      <c r="G373" s="3124" t="s">
        <v>2545</v>
      </c>
      <c r="H373" s="3124">
        <v>20</v>
      </c>
      <c r="I373" s="3124">
        <v>20</v>
      </c>
      <c r="J373" s="3124" t="s">
        <v>1948</v>
      </c>
      <c r="K373" s="3124">
        <v>3000</v>
      </c>
      <c r="L373" s="3124">
        <v>3497</v>
      </c>
      <c r="M373" s="3124" t="s">
        <v>1746</v>
      </c>
      <c r="N373" s="3192">
        <v>44681</v>
      </c>
      <c r="O373" s="3192">
        <v>45260</v>
      </c>
      <c r="P373" s="3192">
        <v>44679</v>
      </c>
      <c r="Q373" s="3192">
        <v>45258</v>
      </c>
      <c r="R373" s="3124" t="s">
        <v>433</v>
      </c>
      <c r="S373" s="3124" t="s">
        <v>1974</v>
      </c>
      <c r="T373" s="3124" t="s">
        <v>1850</v>
      </c>
      <c r="U373" t="s">
        <v>1195</v>
      </c>
      <c r="V373" s="3124">
        <v>7000</v>
      </c>
      <c r="W373" s="3193">
        <v>0.50042857142857144</v>
      </c>
      <c r="X373" s="3124">
        <v>3503</v>
      </c>
      <c r="Y373" s="3124">
        <v>1</v>
      </c>
      <c r="Z373" s="3124"/>
      <c r="AA373" s="3124">
        <v>29000</v>
      </c>
      <c r="AB373" t="s">
        <v>1195</v>
      </c>
      <c r="AC373" s="3124"/>
    </row>
    <row r="374" spans="1:29">
      <c r="A374" s="3124">
        <v>373</v>
      </c>
      <c r="B374" s="3124" t="s">
        <v>1123</v>
      </c>
      <c r="C374" s="3124" t="s">
        <v>2546</v>
      </c>
      <c r="D374" s="3124" t="s">
        <v>1233</v>
      </c>
      <c r="E374" t="s">
        <v>2547</v>
      </c>
      <c r="F374" s="3234" t="s">
        <v>2548</v>
      </c>
      <c r="G374" s="3124" t="s">
        <v>2549</v>
      </c>
      <c r="H374" s="3124">
        <v>4</v>
      </c>
      <c r="I374" s="3124">
        <v>4</v>
      </c>
      <c r="J374" s="3124" t="s">
        <v>1948</v>
      </c>
      <c r="K374" s="3124">
        <v>3000</v>
      </c>
      <c r="L374" s="3124">
        <v>3350</v>
      </c>
      <c r="M374" s="3124" t="s">
        <v>1247</v>
      </c>
      <c r="N374" s="3192">
        <v>44681</v>
      </c>
      <c r="O374" s="3192">
        <v>44772</v>
      </c>
      <c r="P374" s="3192">
        <v>44679</v>
      </c>
      <c r="Q374" s="3192">
        <v>44770</v>
      </c>
      <c r="R374" s="3124" t="s">
        <v>432</v>
      </c>
      <c r="S374" s="3124" t="s">
        <v>1939</v>
      </c>
      <c r="T374" s="3124" t="s">
        <v>1850</v>
      </c>
      <c r="U374" t="s">
        <v>1195</v>
      </c>
      <c r="V374" s="3124">
        <v>6700</v>
      </c>
      <c r="W374" s="3193">
        <v>0.5</v>
      </c>
      <c r="X374" s="3124">
        <v>3350</v>
      </c>
      <c r="Y374" s="3124"/>
      <c r="Z374" s="3124">
        <v>8000</v>
      </c>
      <c r="AA374" s="3124">
        <v>25000</v>
      </c>
      <c r="AB374" t="s">
        <v>1195</v>
      </c>
      <c r="AC374" s="3124"/>
    </row>
    <row r="375" spans="1:29">
      <c r="A375" s="3124">
        <v>374</v>
      </c>
      <c r="B375" s="3124" t="s">
        <v>1623</v>
      </c>
      <c r="C375" s="3124" t="s">
        <v>1312</v>
      </c>
      <c r="D375" s="3124" t="s">
        <v>1739</v>
      </c>
      <c r="E375" t="s">
        <v>1314</v>
      </c>
      <c r="F375" s="3234" t="s">
        <v>2375</v>
      </c>
      <c r="G375" s="3124" t="s">
        <v>2376</v>
      </c>
      <c r="H375" s="3124">
        <v>24</v>
      </c>
      <c r="I375" s="3124">
        <v>20</v>
      </c>
      <c r="J375" s="3124" t="s">
        <v>1948</v>
      </c>
      <c r="K375" s="3124">
        <v>3000</v>
      </c>
      <c r="L375" s="3124">
        <v>2800</v>
      </c>
      <c r="M375" s="3124" t="s">
        <v>2568</v>
      </c>
      <c r="N375" s="3192">
        <v>44681</v>
      </c>
      <c r="O375" s="3192">
        <v>45260</v>
      </c>
      <c r="P375" s="3192">
        <v>44680</v>
      </c>
      <c r="Q375" s="3192">
        <v>45380</v>
      </c>
      <c r="R375" s="3124" t="s">
        <v>433</v>
      </c>
      <c r="S375" s="3124" t="s">
        <v>1974</v>
      </c>
      <c r="T375" s="3124" t="s">
        <v>1850</v>
      </c>
      <c r="U375" t="s">
        <v>1195</v>
      </c>
      <c r="V375" s="3124">
        <v>7000</v>
      </c>
      <c r="W375" s="3193">
        <v>0.6</v>
      </c>
      <c r="X375" s="3124">
        <v>4200</v>
      </c>
      <c r="Y375" s="3124">
        <v>1</v>
      </c>
      <c r="Z375" s="3124"/>
      <c r="AA375" s="3124">
        <v>29000</v>
      </c>
      <c r="AB375" t="s">
        <v>1195</v>
      </c>
      <c r="AC375" s="3124"/>
    </row>
    <row r="376" spans="1:29">
      <c r="A376" s="3124">
        <v>375</v>
      </c>
      <c r="B376" s="3124" t="s">
        <v>1623</v>
      </c>
      <c r="C376" s="3124" t="s">
        <v>1742</v>
      </c>
      <c r="D376" s="3124" t="s">
        <v>1741</v>
      </c>
      <c r="E376" t="s">
        <v>1744</v>
      </c>
      <c r="F376" s="3234" t="s">
        <v>2550</v>
      </c>
      <c r="G376" s="3124" t="s">
        <v>2551</v>
      </c>
      <c r="H376" s="3124">
        <v>24</v>
      </c>
      <c r="I376" s="3124">
        <v>20</v>
      </c>
      <c r="J376" s="3124" t="s">
        <v>1948</v>
      </c>
      <c r="K376" s="3124">
        <v>3000</v>
      </c>
      <c r="L376" s="3124">
        <v>2800</v>
      </c>
      <c r="M376" s="3124" t="s">
        <v>1746</v>
      </c>
      <c r="N376" s="3192">
        <v>44681</v>
      </c>
      <c r="O376" s="3192">
        <v>45260</v>
      </c>
      <c r="P376" s="3192">
        <v>44681</v>
      </c>
      <c r="Q376" s="3192">
        <v>45381</v>
      </c>
      <c r="R376" s="3124" t="s">
        <v>432</v>
      </c>
      <c r="S376" s="3124" t="s">
        <v>1974</v>
      </c>
      <c r="T376" s="3124" t="s">
        <v>1850</v>
      </c>
      <c r="U376" t="s">
        <v>1869</v>
      </c>
      <c r="V376" s="3124">
        <v>7000</v>
      </c>
      <c r="W376" s="3193">
        <v>0.6</v>
      </c>
      <c r="X376" s="3124">
        <v>4200</v>
      </c>
      <c r="Y376" s="3124">
        <v>1</v>
      </c>
      <c r="Z376" s="3124"/>
      <c r="AA376" s="3124">
        <v>29000</v>
      </c>
      <c r="AB376" t="s">
        <v>1869</v>
      </c>
      <c r="AC376" s="3124"/>
    </row>
    <row r="377" spans="1:29">
      <c r="A377" s="3124">
        <v>376</v>
      </c>
      <c r="B377" s="3124" t="s">
        <v>1630</v>
      </c>
      <c r="C377" s="3124" t="s">
        <v>1696</v>
      </c>
      <c r="D377" s="3124" t="s">
        <v>2552</v>
      </c>
      <c r="E377" t="s">
        <v>1695</v>
      </c>
      <c r="F377" s="3234" t="s">
        <v>2553</v>
      </c>
      <c r="G377" s="3124" t="s">
        <v>2554</v>
      </c>
      <c r="H377" s="3124">
        <v>36</v>
      </c>
      <c r="I377" s="3124">
        <v>36</v>
      </c>
      <c r="J377" s="3124" t="s">
        <v>1948</v>
      </c>
      <c r="K377" s="3124">
        <v>1000</v>
      </c>
      <c r="L377" s="3124">
        <v>1600</v>
      </c>
      <c r="M377" s="3124" t="s">
        <v>134</v>
      </c>
      <c r="N377" s="3192">
        <v>44723</v>
      </c>
      <c r="O377" s="3192">
        <v>45788</v>
      </c>
      <c r="P377" s="3192">
        <v>44681</v>
      </c>
      <c r="Q377" s="3192">
        <v>45746</v>
      </c>
      <c r="R377" s="3124" t="s">
        <v>433</v>
      </c>
      <c r="S377" s="3124" t="s">
        <v>1658</v>
      </c>
      <c r="T377" s="3124" t="s">
        <v>1850</v>
      </c>
      <c r="U377" s="3177" t="s">
        <v>2653</v>
      </c>
      <c r="V377" s="3124">
        <v>3150</v>
      </c>
      <c r="W377" s="3193">
        <v>0.49206349206349204</v>
      </c>
      <c r="X377" s="3124">
        <v>1550</v>
      </c>
      <c r="Y377" s="3124">
        <v>4</v>
      </c>
      <c r="Z377" s="3124"/>
      <c r="AA377" s="3124">
        <v>21000</v>
      </c>
      <c r="AB377" t="s">
        <v>1195</v>
      </c>
      <c r="AC377" s="3124"/>
    </row>
    <row r="378" spans="1:29">
      <c r="A378" s="3124">
        <v>377</v>
      </c>
      <c r="B378" s="3124" t="s">
        <v>1764</v>
      </c>
      <c r="C378" s="3124" t="s">
        <v>1340</v>
      </c>
      <c r="D378" s="3124" t="s">
        <v>1978</v>
      </c>
      <c r="E378" t="s">
        <v>1341</v>
      </c>
      <c r="F378" s="3234" t="s">
        <v>4596</v>
      </c>
      <c r="G378" s="3124" t="s">
        <v>4597</v>
      </c>
      <c r="H378" s="3124">
        <v>6</v>
      </c>
      <c r="I378" s="3124">
        <v>6</v>
      </c>
      <c r="J378" s="3124">
        <v>3000</v>
      </c>
      <c r="K378" s="3124"/>
      <c r="L378" s="3124">
        <v>4350</v>
      </c>
      <c r="M378" s="3124" t="s">
        <v>1976</v>
      </c>
      <c r="N378" s="3192">
        <v>44594</v>
      </c>
      <c r="O378" s="3192">
        <v>44744</v>
      </c>
      <c r="P378" s="3192">
        <v>44628</v>
      </c>
      <c r="Q378" s="3192">
        <v>44781</v>
      </c>
      <c r="R378" s="3124" t="s">
        <v>433</v>
      </c>
      <c r="S378" s="3124" t="s">
        <v>1917</v>
      </c>
      <c r="T378" s="3124" t="s">
        <v>1850</v>
      </c>
      <c r="U378" t="s">
        <v>1195</v>
      </c>
      <c r="V378" s="3124">
        <v>5000</v>
      </c>
      <c r="W378" s="3193">
        <v>0.13</v>
      </c>
      <c r="X378" s="3124">
        <v>650</v>
      </c>
      <c r="Y378" s="3124"/>
      <c r="Z378" s="3124">
        <v>6000</v>
      </c>
      <c r="AA378" s="3124">
        <v>23000</v>
      </c>
      <c r="AB378" t="s">
        <v>1195</v>
      </c>
      <c r="AC378" s="3124"/>
    </row>
    <row r="379" spans="1:29">
      <c r="A379" s="3124">
        <v>378</v>
      </c>
      <c r="B379" s="3124" t="s">
        <v>1623</v>
      </c>
      <c r="C379" s="3124" t="s">
        <v>1732</v>
      </c>
      <c r="D379" s="3124" t="s">
        <v>1733</v>
      </c>
      <c r="E379" t="s">
        <v>1734</v>
      </c>
      <c r="F379" s="3234" t="s">
        <v>2555</v>
      </c>
      <c r="G379" s="3124" t="s">
        <v>2556</v>
      </c>
      <c r="H379" s="3124">
        <v>20</v>
      </c>
      <c r="I379" s="3124">
        <v>20</v>
      </c>
      <c r="J379" s="3124" t="s">
        <v>1948</v>
      </c>
      <c r="K379" s="3124">
        <v>3000</v>
      </c>
      <c r="L379" s="3124">
        <v>3350</v>
      </c>
      <c r="M379" s="3124" t="s">
        <v>2568</v>
      </c>
      <c r="N379" s="3192">
        <v>44680</v>
      </c>
      <c r="O379" s="3192">
        <v>45259</v>
      </c>
      <c r="P379" s="3192">
        <v>44691</v>
      </c>
      <c r="Q379" s="3192">
        <v>45270</v>
      </c>
      <c r="R379" s="3124" t="s">
        <v>433</v>
      </c>
      <c r="S379" s="3124" t="s">
        <v>1974</v>
      </c>
      <c r="T379" s="3124" t="s">
        <v>1850</v>
      </c>
      <c r="U379" t="s">
        <v>1761</v>
      </c>
      <c r="V379" s="3124">
        <v>7000</v>
      </c>
      <c r="W379" s="3193">
        <v>0.52142857142857146</v>
      </c>
      <c r="X379" s="3124">
        <v>3650</v>
      </c>
      <c r="Y379" s="3124">
        <v>1</v>
      </c>
      <c r="Z379" s="3124"/>
      <c r="AA379" s="3124">
        <v>29000</v>
      </c>
      <c r="AB379" t="s">
        <v>1195</v>
      </c>
      <c r="AC379" s="3124"/>
    </row>
    <row r="380" spans="1:29">
      <c r="A380" s="3124">
        <v>379</v>
      </c>
      <c r="B380" s="3124" t="s">
        <v>1764</v>
      </c>
      <c r="C380" s="3124" t="s">
        <v>1713</v>
      </c>
      <c r="D380" s="3124" t="s">
        <v>1725</v>
      </c>
      <c r="E380" t="s">
        <v>1714</v>
      </c>
      <c r="F380" s="3234" t="s">
        <v>2557</v>
      </c>
      <c r="G380" s="3124" t="s">
        <v>2558</v>
      </c>
      <c r="H380" s="3124">
        <v>6</v>
      </c>
      <c r="I380" s="3124">
        <v>6</v>
      </c>
      <c r="J380" s="3124">
        <v>0</v>
      </c>
      <c r="K380" s="3124">
        <v>0</v>
      </c>
      <c r="L380" s="3124">
        <v>2180</v>
      </c>
      <c r="M380" s="3124" t="s">
        <v>704</v>
      </c>
      <c r="N380" s="3192">
        <v>44694</v>
      </c>
      <c r="O380" s="3192">
        <v>44847</v>
      </c>
      <c r="P380" s="3192">
        <v>44693</v>
      </c>
      <c r="Q380" s="3192">
        <v>44846</v>
      </c>
      <c r="R380" s="3124" t="s">
        <v>433</v>
      </c>
      <c r="S380" s="3124" t="s">
        <v>1917</v>
      </c>
      <c r="T380" s="3124" t="s">
        <v>1850</v>
      </c>
      <c r="U380" t="s">
        <v>1195</v>
      </c>
      <c r="V380" s="3124">
        <v>5000</v>
      </c>
      <c r="W380" s="3193">
        <v>0.56399999999999995</v>
      </c>
      <c r="X380" s="3124">
        <v>2820</v>
      </c>
      <c r="Y380" s="3124"/>
      <c r="Z380" s="3124">
        <v>6000</v>
      </c>
      <c r="AA380" s="3124">
        <v>23000</v>
      </c>
      <c r="AB380" t="s">
        <v>1195</v>
      </c>
      <c r="AC380" s="3124"/>
    </row>
    <row r="381" spans="1:29">
      <c r="A381" s="3124">
        <v>380</v>
      </c>
      <c r="B381" s="3124" t="s">
        <v>1839</v>
      </c>
      <c r="C381" s="3124" t="s">
        <v>1699</v>
      </c>
      <c r="D381" s="3124" t="s">
        <v>2680</v>
      </c>
      <c r="E381" t="s">
        <v>1698</v>
      </c>
      <c r="F381" s="3234" t="s">
        <v>2559</v>
      </c>
      <c r="G381" s="3124" t="s">
        <v>2560</v>
      </c>
      <c r="H381" s="3124">
        <v>8</v>
      </c>
      <c r="I381" s="3124">
        <v>8</v>
      </c>
      <c r="J381" s="3124" t="s">
        <v>1948</v>
      </c>
      <c r="K381" s="3124">
        <v>2000</v>
      </c>
      <c r="L381" s="3124">
        <v>2180</v>
      </c>
      <c r="M381" s="3124" t="s">
        <v>2561</v>
      </c>
      <c r="N381" s="3192">
        <v>44702</v>
      </c>
      <c r="O381" s="3192">
        <v>44916</v>
      </c>
      <c r="P381" s="3192">
        <v>44697</v>
      </c>
      <c r="Q381" s="3192">
        <v>44911</v>
      </c>
      <c r="R381" s="3124" t="s">
        <v>433</v>
      </c>
      <c r="S381" s="3124" t="s">
        <v>1842</v>
      </c>
      <c r="T381" s="3124" t="s">
        <v>1850</v>
      </c>
      <c r="U381" t="s">
        <v>1869</v>
      </c>
      <c r="V381" s="3124">
        <v>4200</v>
      </c>
      <c r="W381" s="3193">
        <v>0.48095238095238096</v>
      </c>
      <c r="X381" s="3124">
        <v>2020</v>
      </c>
      <c r="Y381" s="3124"/>
      <c r="Z381" s="3124">
        <v>5000</v>
      </c>
      <c r="AA381" s="3124">
        <v>18000</v>
      </c>
      <c r="AB381" t="s">
        <v>1869</v>
      </c>
      <c r="AC381" s="3124"/>
    </row>
    <row r="382" spans="1:29">
      <c r="A382" s="3124">
        <v>381</v>
      </c>
      <c r="B382" s="3124" t="s">
        <v>1623</v>
      </c>
      <c r="C382" s="3124" t="s">
        <v>2562</v>
      </c>
      <c r="D382" s="3124" t="s">
        <v>1743</v>
      </c>
      <c r="E382" s="3140" t="s">
        <v>2681</v>
      </c>
      <c r="F382" s="3234" t="s">
        <v>4624</v>
      </c>
      <c r="G382" s="3124" t="s">
        <v>2682</v>
      </c>
      <c r="H382" s="3124">
        <v>20</v>
      </c>
      <c r="I382" s="3124">
        <v>20</v>
      </c>
      <c r="J382" s="3124" t="s">
        <v>1948</v>
      </c>
      <c r="K382" s="3124">
        <v>3000</v>
      </c>
      <c r="L382" s="3124">
        <v>3350</v>
      </c>
      <c r="M382" s="3124" t="s">
        <v>2568</v>
      </c>
      <c r="N382" s="3192">
        <v>44709</v>
      </c>
      <c r="O382" s="3192">
        <v>45288</v>
      </c>
      <c r="P382" s="3192">
        <v>44699</v>
      </c>
      <c r="Q382" s="3192">
        <v>45278</v>
      </c>
      <c r="R382" s="3124" t="s">
        <v>432</v>
      </c>
      <c r="S382" s="3124" t="s">
        <v>1974</v>
      </c>
      <c r="T382" s="3124" t="s">
        <v>1850</v>
      </c>
      <c r="U382" t="s">
        <v>1761</v>
      </c>
      <c r="V382" s="3124">
        <v>7000</v>
      </c>
      <c r="W382" s="3193">
        <v>0.52142857142857146</v>
      </c>
      <c r="X382" s="3124">
        <v>3650</v>
      </c>
      <c r="Y382" s="3124">
        <v>1</v>
      </c>
      <c r="Z382" s="3124"/>
      <c r="AA382" s="3124">
        <v>29000</v>
      </c>
      <c r="AB382" t="s">
        <v>1195</v>
      </c>
      <c r="AC382" s="3124"/>
    </row>
    <row r="383" spans="1:29">
      <c r="A383" s="3124">
        <v>382</v>
      </c>
      <c r="B383" s="3124" t="s">
        <v>1630</v>
      </c>
      <c r="C383" s="3124" t="s">
        <v>2563</v>
      </c>
      <c r="D383" s="3124" t="s">
        <v>2617</v>
      </c>
      <c r="E383" t="s">
        <v>2564</v>
      </c>
      <c r="F383" s="3234" t="s">
        <v>2565</v>
      </c>
      <c r="G383" s="3124" t="s">
        <v>2566</v>
      </c>
      <c r="H383" s="3124">
        <v>16</v>
      </c>
      <c r="I383" s="3124">
        <v>16</v>
      </c>
      <c r="J383" s="3124" t="s">
        <v>1948</v>
      </c>
      <c r="K383" s="3124">
        <v>1000</v>
      </c>
      <c r="L383" s="3124">
        <v>2180</v>
      </c>
      <c r="M383" s="3124" t="s">
        <v>1707</v>
      </c>
      <c r="N383" s="3192">
        <v>44702</v>
      </c>
      <c r="O383" s="3192">
        <v>45159</v>
      </c>
      <c r="P383" s="3192">
        <v>44699</v>
      </c>
      <c r="Q383" s="3192">
        <v>45156</v>
      </c>
      <c r="R383" s="3124" t="s">
        <v>433</v>
      </c>
      <c r="S383" s="3124" t="s">
        <v>1658</v>
      </c>
      <c r="T383" s="3124" t="s">
        <v>1850</v>
      </c>
      <c r="U383" t="s">
        <v>1195</v>
      </c>
      <c r="V383" s="3124">
        <v>3150</v>
      </c>
      <c r="W383" s="3193">
        <v>0.30793650793650795</v>
      </c>
      <c r="X383" s="3124">
        <v>970</v>
      </c>
      <c r="Y383" s="3124">
        <v>4</v>
      </c>
      <c r="Z383" s="3124"/>
      <c r="AA383" s="3124">
        <v>21000</v>
      </c>
      <c r="AB383" t="s">
        <v>1195</v>
      </c>
      <c r="AC383" s="3124"/>
    </row>
    <row r="384" spans="1:29">
      <c r="A384" s="3124">
        <v>383</v>
      </c>
      <c r="B384" s="3124" t="s">
        <v>1623</v>
      </c>
      <c r="C384" s="3214" t="s">
        <v>1738</v>
      </c>
      <c r="D384" s="3124" t="s">
        <v>1739</v>
      </c>
      <c r="E384" t="s">
        <v>1740</v>
      </c>
      <c r="F384" s="3234">
        <v>9831240338</v>
      </c>
      <c r="G384" s="3124" t="s">
        <v>2567</v>
      </c>
      <c r="H384" s="3124">
        <v>20</v>
      </c>
      <c r="I384" s="3124">
        <v>20</v>
      </c>
      <c r="J384" s="3124" t="s">
        <v>1948</v>
      </c>
      <c r="K384" s="3124">
        <v>3000</v>
      </c>
      <c r="L384" s="3124">
        <v>3350</v>
      </c>
      <c r="M384" s="3214" t="s">
        <v>1746</v>
      </c>
      <c r="N384" s="3192">
        <v>44709</v>
      </c>
      <c r="O384" s="3192">
        <v>45288</v>
      </c>
      <c r="P384" s="3192">
        <v>44704</v>
      </c>
      <c r="Q384" s="3192">
        <v>45283</v>
      </c>
      <c r="R384" s="3124" t="s">
        <v>432</v>
      </c>
      <c r="S384" s="3124" t="s">
        <v>1974</v>
      </c>
      <c r="T384" s="3124" t="s">
        <v>1850</v>
      </c>
      <c r="U384" t="s">
        <v>1761</v>
      </c>
      <c r="V384" s="3124">
        <v>7000</v>
      </c>
      <c r="W384" s="3193">
        <v>0.52142857142857146</v>
      </c>
      <c r="X384" s="3124">
        <v>3650</v>
      </c>
      <c r="Y384" s="3124">
        <v>1</v>
      </c>
      <c r="Z384" s="3124"/>
      <c r="AA384" s="3124">
        <v>29000</v>
      </c>
      <c r="AB384" t="s">
        <v>1195</v>
      </c>
      <c r="AC384" s="3124"/>
    </row>
    <row r="385" spans="1:29">
      <c r="A385" s="3124">
        <v>384</v>
      </c>
      <c r="B385" s="3124" t="s">
        <v>1630</v>
      </c>
      <c r="C385" s="3124" t="s">
        <v>2569</v>
      </c>
      <c r="D385" s="3124" t="s">
        <v>2570</v>
      </c>
      <c r="E385" s="3180" t="s">
        <v>2571</v>
      </c>
      <c r="F385" s="3234">
        <v>9987341492</v>
      </c>
      <c r="G385" s="3124" t="s">
        <v>2572</v>
      </c>
      <c r="H385" s="3124">
        <v>36</v>
      </c>
      <c r="I385" s="3124">
        <v>36</v>
      </c>
      <c r="J385" s="3124" t="s">
        <v>1948</v>
      </c>
      <c r="K385" s="3124">
        <v>1000</v>
      </c>
      <c r="L385" s="3124">
        <v>1600</v>
      </c>
      <c r="M385" s="3124" t="s">
        <v>134</v>
      </c>
      <c r="N385" s="3192">
        <v>44723</v>
      </c>
      <c r="O385" s="3192">
        <v>45788</v>
      </c>
      <c r="P385" s="3192">
        <v>44707</v>
      </c>
      <c r="Q385" s="3192">
        <v>45773</v>
      </c>
      <c r="R385" s="3124" t="s">
        <v>432</v>
      </c>
      <c r="S385" s="3124" t="s">
        <v>1658</v>
      </c>
      <c r="T385" s="3124" t="s">
        <v>1850</v>
      </c>
      <c r="U385" t="s">
        <v>1761</v>
      </c>
      <c r="V385" s="3124">
        <v>3150</v>
      </c>
      <c r="W385" s="3193">
        <v>0.49206349206349204</v>
      </c>
      <c r="X385" s="3124">
        <v>1550</v>
      </c>
      <c r="Y385" s="3124">
        <v>4</v>
      </c>
      <c r="Z385" s="3124"/>
      <c r="AA385" s="3124">
        <v>21000</v>
      </c>
      <c r="AB385" t="s">
        <v>1195</v>
      </c>
      <c r="AC385" s="3124"/>
    </row>
    <row r="386" spans="1:29">
      <c r="A386" s="3124">
        <v>385</v>
      </c>
      <c r="B386" s="3124" t="s">
        <v>1621</v>
      </c>
      <c r="C386" s="3124" t="s">
        <v>2683</v>
      </c>
      <c r="D386" s="3124" t="s">
        <v>508</v>
      </c>
      <c r="E386" t="s">
        <v>4625</v>
      </c>
      <c r="F386" s="3234">
        <v>61516229</v>
      </c>
      <c r="G386" s="3124" t="s">
        <v>2684</v>
      </c>
      <c r="H386" s="3124">
        <v>20</v>
      </c>
      <c r="I386" s="3124">
        <v>20</v>
      </c>
      <c r="J386" s="3124">
        <v>2000</v>
      </c>
      <c r="K386" s="3124">
        <v>2000</v>
      </c>
      <c r="L386" s="3124">
        <v>2180</v>
      </c>
      <c r="M386" s="3124" t="s">
        <v>510</v>
      </c>
      <c r="N386" s="3192">
        <v>44642</v>
      </c>
      <c r="O386" s="3192">
        <v>45221</v>
      </c>
      <c r="P386" s="3192">
        <v>44642</v>
      </c>
      <c r="Q386" s="3192">
        <v>45221</v>
      </c>
      <c r="R386" s="3124" t="s">
        <v>433</v>
      </c>
      <c r="S386" s="3124" t="s">
        <v>1640</v>
      </c>
      <c r="T386" s="3124" t="s">
        <v>1767</v>
      </c>
      <c r="U386" t="s">
        <v>1195</v>
      </c>
      <c r="V386" s="3124">
        <v>5000</v>
      </c>
      <c r="W386" s="3193">
        <v>0.56399999999999995</v>
      </c>
      <c r="X386" s="3124">
        <v>2820</v>
      </c>
      <c r="Y386" s="3124"/>
      <c r="Z386" s="3124"/>
      <c r="AA386" s="3124">
        <v>25000</v>
      </c>
      <c r="AB386" t="s">
        <v>1195</v>
      </c>
      <c r="AC386" s="3124"/>
    </row>
    <row r="387" spans="1:29">
      <c r="A387" s="3124">
        <v>386</v>
      </c>
      <c r="B387" s="3124" t="s">
        <v>1621</v>
      </c>
      <c r="C387" s="3124" t="s">
        <v>2685</v>
      </c>
      <c r="D387" s="3124" t="s">
        <v>511</v>
      </c>
      <c r="E387" t="s">
        <v>512</v>
      </c>
      <c r="F387" s="3234">
        <v>62417584</v>
      </c>
      <c r="G387" s="3124"/>
      <c r="H387" s="3124">
        <v>20</v>
      </c>
      <c r="I387" s="3124">
        <v>20</v>
      </c>
      <c r="J387" s="3124">
        <v>2000</v>
      </c>
      <c r="K387" s="3124">
        <v>2000</v>
      </c>
      <c r="L387" s="3124">
        <v>2180</v>
      </c>
      <c r="M387" s="3124" t="s">
        <v>510</v>
      </c>
      <c r="N387" s="3192">
        <v>44642</v>
      </c>
      <c r="O387" s="3192">
        <v>45221</v>
      </c>
      <c r="P387" s="3192">
        <v>44642</v>
      </c>
      <c r="Q387" s="3192">
        <v>45221</v>
      </c>
      <c r="R387" s="3124" t="s">
        <v>432</v>
      </c>
      <c r="S387" s="3124" t="s">
        <v>1640</v>
      </c>
      <c r="T387" s="3124" t="s">
        <v>1767</v>
      </c>
      <c r="U387" t="s">
        <v>1195</v>
      </c>
      <c r="V387" s="3124">
        <v>5000</v>
      </c>
      <c r="W387" s="3193">
        <v>0.56399999999999995</v>
      </c>
      <c r="X387" s="3124">
        <v>2820</v>
      </c>
      <c r="Y387" s="3124"/>
      <c r="Z387" s="3124"/>
      <c r="AA387" s="3124">
        <v>25000</v>
      </c>
      <c r="AB387" t="s">
        <v>1195</v>
      </c>
      <c r="AC387" s="3124"/>
    </row>
    <row r="388" spans="1:29">
      <c r="A388" s="3124">
        <v>387</v>
      </c>
      <c r="B388" s="3124" t="s">
        <v>1621</v>
      </c>
      <c r="C388" s="3124" t="s">
        <v>2686</v>
      </c>
      <c r="D388" s="3124" t="s">
        <v>513</v>
      </c>
      <c r="E388" t="s">
        <v>514</v>
      </c>
      <c r="F388" s="3234">
        <v>61595545</v>
      </c>
      <c r="G388" s="3124" t="s">
        <v>2687</v>
      </c>
      <c r="H388" s="3124">
        <v>20</v>
      </c>
      <c r="I388" s="3124">
        <v>20</v>
      </c>
      <c r="J388" s="3124">
        <v>2000</v>
      </c>
      <c r="K388" s="3124">
        <v>2000</v>
      </c>
      <c r="L388" s="3124">
        <v>2180</v>
      </c>
      <c r="M388" s="3124" t="s">
        <v>510</v>
      </c>
      <c r="N388" s="3192">
        <v>44642</v>
      </c>
      <c r="O388" s="3192">
        <v>45221</v>
      </c>
      <c r="P388" s="3192">
        <v>44642</v>
      </c>
      <c r="Q388" s="3192">
        <v>45221</v>
      </c>
      <c r="R388" s="3124" t="s">
        <v>433</v>
      </c>
      <c r="S388" s="3124" t="s">
        <v>1640</v>
      </c>
      <c r="T388" s="3124" t="s">
        <v>1767</v>
      </c>
      <c r="U388" t="s">
        <v>1195</v>
      </c>
      <c r="V388" s="3124">
        <v>5000</v>
      </c>
      <c r="W388" s="3193">
        <v>0.56399999999999995</v>
      </c>
      <c r="X388" s="3124">
        <v>2820</v>
      </c>
      <c r="Y388" s="3124"/>
      <c r="Z388" s="3124"/>
      <c r="AA388" s="3124">
        <v>25000</v>
      </c>
      <c r="AB388" t="s">
        <v>1195</v>
      </c>
      <c r="AC388" s="3124"/>
    </row>
    <row r="389" spans="1:29">
      <c r="A389" s="3124">
        <v>388</v>
      </c>
      <c r="B389" s="3124" t="s">
        <v>1621</v>
      </c>
      <c r="C389" s="3124" t="s">
        <v>2688</v>
      </c>
      <c r="D389" s="3124" t="s">
        <v>515</v>
      </c>
      <c r="E389" t="s">
        <v>516</v>
      </c>
      <c r="F389" s="3234">
        <v>50765766965</v>
      </c>
      <c r="G389" s="3124" t="s">
        <v>2689</v>
      </c>
      <c r="H389" s="3124">
        <v>20</v>
      </c>
      <c r="I389" s="3124">
        <v>20</v>
      </c>
      <c r="J389" s="3124">
        <v>2000</v>
      </c>
      <c r="K389" s="3124">
        <v>2000</v>
      </c>
      <c r="L389" s="3124">
        <v>2180</v>
      </c>
      <c r="M389" s="3124" t="s">
        <v>510</v>
      </c>
      <c r="N389" s="3192">
        <v>44642</v>
      </c>
      <c r="O389" s="3192">
        <v>45221</v>
      </c>
      <c r="P389" s="3192">
        <v>44642</v>
      </c>
      <c r="Q389" s="3192">
        <v>45221</v>
      </c>
      <c r="R389" s="3124" t="s">
        <v>433</v>
      </c>
      <c r="S389" s="3124" t="s">
        <v>1640</v>
      </c>
      <c r="T389" s="3124" t="s">
        <v>1767</v>
      </c>
      <c r="U389" t="s">
        <v>1195</v>
      </c>
      <c r="V389" s="3124">
        <v>5000</v>
      </c>
      <c r="W389" s="3193">
        <v>0.56399999999999995</v>
      </c>
      <c r="X389" s="3124">
        <v>2820</v>
      </c>
      <c r="Y389" s="3124"/>
      <c r="Z389" s="3124"/>
      <c r="AA389" s="3124">
        <v>25000</v>
      </c>
      <c r="AB389" t="s">
        <v>1195</v>
      </c>
      <c r="AC389" s="3124"/>
    </row>
    <row r="390" spans="1:29">
      <c r="A390" s="3124">
        <v>389</v>
      </c>
      <c r="B390" s="3124" t="s">
        <v>1621</v>
      </c>
      <c r="C390" s="3124" t="s">
        <v>2690</v>
      </c>
      <c r="D390" s="3124" t="s">
        <v>517</v>
      </c>
      <c r="E390" t="s">
        <v>2691</v>
      </c>
      <c r="F390" s="3234">
        <v>66116532</v>
      </c>
      <c r="G390" s="3124" t="s">
        <v>2692</v>
      </c>
      <c r="H390" s="3124">
        <v>20</v>
      </c>
      <c r="I390" s="3124">
        <v>20</v>
      </c>
      <c r="J390" s="3124">
        <v>2000</v>
      </c>
      <c r="K390" s="3124">
        <v>2000</v>
      </c>
      <c r="L390" s="3124">
        <v>2180</v>
      </c>
      <c r="M390" s="3124" t="s">
        <v>510</v>
      </c>
      <c r="N390" s="3192">
        <v>44642</v>
      </c>
      <c r="O390" s="3192">
        <v>45221</v>
      </c>
      <c r="P390" s="3192">
        <v>44642</v>
      </c>
      <c r="Q390" s="3192">
        <v>45221</v>
      </c>
      <c r="R390" s="3124" t="s">
        <v>432</v>
      </c>
      <c r="S390" s="3124" t="s">
        <v>1640</v>
      </c>
      <c r="T390" s="3124" t="s">
        <v>1767</v>
      </c>
      <c r="U390" t="s">
        <v>1195</v>
      </c>
      <c r="V390" s="3124">
        <v>5000</v>
      </c>
      <c r="W390" s="3193">
        <v>0.56399999999999995</v>
      </c>
      <c r="X390" s="3124">
        <v>2820</v>
      </c>
      <c r="Y390" s="3124"/>
      <c r="Z390" s="3124"/>
      <c r="AA390" s="3124">
        <v>25000</v>
      </c>
      <c r="AB390" t="s">
        <v>1195</v>
      </c>
      <c r="AC390" s="3124"/>
    </row>
    <row r="391" spans="1:29">
      <c r="A391" s="3124">
        <v>390</v>
      </c>
      <c r="B391" s="3124" t="s">
        <v>1621</v>
      </c>
      <c r="C391" s="3124" t="s">
        <v>2693</v>
      </c>
      <c r="D391" s="3124" t="s">
        <v>519</v>
      </c>
      <c r="E391" t="s">
        <v>520</v>
      </c>
      <c r="F391" s="3234">
        <v>2802814</v>
      </c>
      <c r="G391" s="3124" t="s">
        <v>2694</v>
      </c>
      <c r="H391" s="3124">
        <v>20</v>
      </c>
      <c r="I391" s="3124">
        <v>20</v>
      </c>
      <c r="J391" s="3124">
        <v>2000</v>
      </c>
      <c r="K391" s="3124">
        <v>2000</v>
      </c>
      <c r="L391" s="3124">
        <v>2180</v>
      </c>
      <c r="M391" s="3124" t="s">
        <v>510</v>
      </c>
      <c r="N391" s="3192">
        <v>44642</v>
      </c>
      <c r="O391" s="3192">
        <v>45221</v>
      </c>
      <c r="P391" s="3192">
        <v>44642</v>
      </c>
      <c r="Q391" s="3192">
        <v>45221</v>
      </c>
      <c r="R391" s="3124" t="s">
        <v>432</v>
      </c>
      <c r="S391" s="3124" t="s">
        <v>1640</v>
      </c>
      <c r="T391" s="3124" t="s">
        <v>1767</v>
      </c>
      <c r="U391" t="s">
        <v>1195</v>
      </c>
      <c r="V391" s="3124">
        <v>5000</v>
      </c>
      <c r="W391" s="3193">
        <v>0.56399999999999995</v>
      </c>
      <c r="X391" s="3124">
        <v>2820</v>
      </c>
      <c r="Y391" s="3124"/>
      <c r="Z391" s="3124"/>
      <c r="AA391" s="3124">
        <v>25000</v>
      </c>
      <c r="AB391" t="s">
        <v>1195</v>
      </c>
      <c r="AC391" s="3124"/>
    </row>
    <row r="392" spans="1:29">
      <c r="A392" s="3124">
        <v>391</v>
      </c>
      <c r="B392" s="3124" t="s">
        <v>1621</v>
      </c>
      <c r="C392" s="3124" t="s">
        <v>2695</v>
      </c>
      <c r="D392" s="3124" t="s">
        <v>521</v>
      </c>
      <c r="E392" t="s">
        <v>2696</v>
      </c>
      <c r="F392" s="3234">
        <v>69258838</v>
      </c>
      <c r="G392" s="3124" t="s">
        <v>2697</v>
      </c>
      <c r="H392" s="3124">
        <v>20</v>
      </c>
      <c r="I392" s="3124">
        <v>20</v>
      </c>
      <c r="J392" s="3124">
        <v>2000</v>
      </c>
      <c r="K392" s="3124">
        <v>2000</v>
      </c>
      <c r="L392" s="3124">
        <v>2180</v>
      </c>
      <c r="M392" s="3124" t="s">
        <v>510</v>
      </c>
      <c r="N392" s="3192">
        <v>44642</v>
      </c>
      <c r="O392" s="3192">
        <v>45221</v>
      </c>
      <c r="P392" s="3192">
        <v>44642</v>
      </c>
      <c r="Q392" s="3192">
        <v>45221</v>
      </c>
      <c r="R392" s="3124" t="s">
        <v>432</v>
      </c>
      <c r="S392" s="3124" t="s">
        <v>1640</v>
      </c>
      <c r="T392" s="3124" t="s">
        <v>1767</v>
      </c>
      <c r="U392" t="s">
        <v>1195</v>
      </c>
      <c r="V392" s="3124">
        <v>5000</v>
      </c>
      <c r="W392" s="3193">
        <v>0.56399999999999995</v>
      </c>
      <c r="X392" s="3124">
        <v>2820</v>
      </c>
      <c r="Y392" s="3124"/>
      <c r="Z392" s="3124"/>
      <c r="AA392" s="3124">
        <v>25000</v>
      </c>
      <c r="AB392" t="s">
        <v>1195</v>
      </c>
      <c r="AC392" s="3124"/>
    </row>
    <row r="393" spans="1:29">
      <c r="A393" s="3124">
        <v>392</v>
      </c>
      <c r="B393" s="3124" t="s">
        <v>1621</v>
      </c>
      <c r="C393" s="3124" t="s">
        <v>2698</v>
      </c>
      <c r="D393" s="3124" t="s">
        <v>523</v>
      </c>
      <c r="E393" t="s">
        <v>524</v>
      </c>
      <c r="F393" s="3234">
        <v>66753015</v>
      </c>
      <c r="G393" s="3124" t="s">
        <v>2699</v>
      </c>
      <c r="H393" s="3124">
        <v>20</v>
      </c>
      <c r="I393" s="3124">
        <v>20</v>
      </c>
      <c r="J393" s="3124">
        <v>2000</v>
      </c>
      <c r="K393" s="3124">
        <v>2000</v>
      </c>
      <c r="L393" s="3124">
        <v>2180</v>
      </c>
      <c r="M393" s="3124" t="s">
        <v>510</v>
      </c>
      <c r="N393" s="3192">
        <v>44642</v>
      </c>
      <c r="O393" s="3192">
        <v>45221</v>
      </c>
      <c r="P393" s="3192">
        <v>44642</v>
      </c>
      <c r="Q393" s="3192">
        <v>45221</v>
      </c>
      <c r="R393" s="3124" t="s">
        <v>433</v>
      </c>
      <c r="S393" s="3124" t="s">
        <v>1640</v>
      </c>
      <c r="T393" s="3124" t="s">
        <v>1767</v>
      </c>
      <c r="U393" t="s">
        <v>1195</v>
      </c>
      <c r="V393" s="3124">
        <v>5000</v>
      </c>
      <c r="W393" s="3193">
        <v>0.56399999999999995</v>
      </c>
      <c r="X393" s="3124">
        <v>2820</v>
      </c>
      <c r="Y393" s="3124"/>
      <c r="Z393" s="3124"/>
      <c r="AA393" s="3124">
        <v>25000</v>
      </c>
      <c r="AB393" t="s">
        <v>1195</v>
      </c>
      <c r="AC393" s="3124"/>
    </row>
    <row r="394" spans="1:29">
      <c r="A394" s="3124">
        <v>393</v>
      </c>
      <c r="B394" s="3124" t="s">
        <v>1621</v>
      </c>
      <c r="C394" s="3124" t="s">
        <v>2700</v>
      </c>
      <c r="D394" s="3124" t="s">
        <v>525</v>
      </c>
      <c r="E394" t="s">
        <v>526</v>
      </c>
      <c r="F394" s="3234"/>
      <c r="G394" s="3124" t="s">
        <v>2701</v>
      </c>
      <c r="H394" s="3124">
        <v>20</v>
      </c>
      <c r="I394" s="3124">
        <v>20</v>
      </c>
      <c r="J394" s="3124">
        <v>2000</v>
      </c>
      <c r="K394" s="3124">
        <v>2000</v>
      </c>
      <c r="L394" s="3124">
        <v>2180</v>
      </c>
      <c r="M394" s="3124" t="s">
        <v>510</v>
      </c>
      <c r="N394" s="3192">
        <v>44642</v>
      </c>
      <c r="O394" s="3192">
        <v>45221</v>
      </c>
      <c r="P394" s="3192">
        <v>44642</v>
      </c>
      <c r="Q394" s="3192">
        <v>45221</v>
      </c>
      <c r="R394" s="3124" t="s">
        <v>432</v>
      </c>
      <c r="S394" s="3124" t="s">
        <v>1640</v>
      </c>
      <c r="T394" s="3124" t="s">
        <v>1767</v>
      </c>
      <c r="U394" t="s">
        <v>1195</v>
      </c>
      <c r="V394" s="3124">
        <v>5000</v>
      </c>
      <c r="W394" s="3193">
        <v>0.56399999999999995</v>
      </c>
      <c r="X394" s="3124">
        <v>2820</v>
      </c>
      <c r="Y394" s="3124"/>
      <c r="Z394" s="3124"/>
      <c r="AA394" s="3124">
        <v>25000</v>
      </c>
      <c r="AB394" t="s">
        <v>1195</v>
      </c>
      <c r="AC394" s="3124"/>
    </row>
    <row r="395" spans="1:29">
      <c r="A395" s="3124">
        <v>394</v>
      </c>
      <c r="B395" s="3124" t="s">
        <v>1621</v>
      </c>
      <c r="C395" s="3124" t="s">
        <v>2702</v>
      </c>
      <c r="D395" s="3124" t="s">
        <v>527</v>
      </c>
      <c r="E395" t="s">
        <v>528</v>
      </c>
      <c r="F395" s="3234">
        <v>64068162</v>
      </c>
      <c r="G395" s="3124" t="s">
        <v>2703</v>
      </c>
      <c r="H395" s="3124">
        <v>20</v>
      </c>
      <c r="I395" s="3124">
        <v>20</v>
      </c>
      <c r="J395" s="3124">
        <v>2000</v>
      </c>
      <c r="K395" s="3124">
        <v>2000</v>
      </c>
      <c r="L395" s="3124">
        <v>2180</v>
      </c>
      <c r="M395" s="3124" t="s">
        <v>510</v>
      </c>
      <c r="N395" s="3192">
        <v>44642</v>
      </c>
      <c r="O395" s="3192">
        <v>45221</v>
      </c>
      <c r="P395" s="3192">
        <v>44642</v>
      </c>
      <c r="Q395" s="3192">
        <v>45221</v>
      </c>
      <c r="R395" s="3124" t="s">
        <v>432</v>
      </c>
      <c r="S395" s="3124" t="s">
        <v>1640</v>
      </c>
      <c r="T395" s="3124" t="s">
        <v>1767</v>
      </c>
      <c r="U395" t="s">
        <v>1195</v>
      </c>
      <c r="V395" s="3124">
        <v>5000</v>
      </c>
      <c r="W395" s="3193">
        <v>0.56399999999999995</v>
      </c>
      <c r="X395" s="3124">
        <v>2820</v>
      </c>
      <c r="Y395" s="3124"/>
      <c r="Z395" s="3124"/>
      <c r="AA395" s="3124">
        <v>25000</v>
      </c>
      <c r="AB395" t="s">
        <v>1195</v>
      </c>
      <c r="AC395" s="3124"/>
    </row>
    <row r="396" spans="1:29">
      <c r="A396" s="3124">
        <v>395</v>
      </c>
      <c r="B396" s="3124" t="s">
        <v>1621</v>
      </c>
      <c r="C396" s="3124" t="s">
        <v>2704</v>
      </c>
      <c r="D396" s="3124" t="s">
        <v>529</v>
      </c>
      <c r="E396" t="s">
        <v>530</v>
      </c>
      <c r="F396" s="3234">
        <v>69488160</v>
      </c>
      <c r="G396" s="3124" t="s">
        <v>2705</v>
      </c>
      <c r="H396" s="3124">
        <v>20</v>
      </c>
      <c r="I396" s="3124">
        <v>20</v>
      </c>
      <c r="J396" s="3124">
        <v>2000</v>
      </c>
      <c r="K396" s="3124">
        <v>2000</v>
      </c>
      <c r="L396" s="3124">
        <v>2180</v>
      </c>
      <c r="M396" s="3124" t="s">
        <v>510</v>
      </c>
      <c r="N396" s="3192">
        <v>44642</v>
      </c>
      <c r="O396" s="3192">
        <v>45221</v>
      </c>
      <c r="P396" s="3192">
        <v>44642</v>
      </c>
      <c r="Q396" s="3192">
        <v>45221</v>
      </c>
      <c r="R396" s="3124" t="s">
        <v>432</v>
      </c>
      <c r="S396" s="3124" t="s">
        <v>1640</v>
      </c>
      <c r="T396" s="3124" t="s">
        <v>1767</v>
      </c>
      <c r="U396" t="s">
        <v>1195</v>
      </c>
      <c r="V396" s="3124">
        <v>5000</v>
      </c>
      <c r="W396" s="3193">
        <v>0.56399999999999995</v>
      </c>
      <c r="X396" s="3124">
        <v>2820</v>
      </c>
      <c r="Y396" s="3124"/>
      <c r="Z396" s="3124"/>
      <c r="AA396" s="3124">
        <v>25000</v>
      </c>
      <c r="AB396" t="s">
        <v>1195</v>
      </c>
      <c r="AC396" s="3124"/>
    </row>
    <row r="397" spans="1:29">
      <c r="A397" s="3124">
        <v>396</v>
      </c>
      <c r="B397" s="3124" t="s">
        <v>1621</v>
      </c>
      <c r="C397" s="3124" t="s">
        <v>2706</v>
      </c>
      <c r="D397" s="3124" t="s">
        <v>531</v>
      </c>
      <c r="E397" t="s">
        <v>532</v>
      </c>
      <c r="F397" s="3234">
        <v>3945547</v>
      </c>
      <c r="G397" s="3124" t="s">
        <v>2707</v>
      </c>
      <c r="H397" s="3124">
        <v>20</v>
      </c>
      <c r="I397" s="3124">
        <v>20</v>
      </c>
      <c r="J397" s="3124">
        <v>2000</v>
      </c>
      <c r="K397" s="3124">
        <v>2000</v>
      </c>
      <c r="L397" s="3124">
        <v>2180</v>
      </c>
      <c r="M397" s="3124" t="s">
        <v>510</v>
      </c>
      <c r="N397" s="3192">
        <v>44642</v>
      </c>
      <c r="O397" s="3192">
        <v>45221</v>
      </c>
      <c r="P397" s="3192">
        <v>44642</v>
      </c>
      <c r="Q397" s="3192">
        <v>45221</v>
      </c>
      <c r="R397" s="3124" t="s">
        <v>432</v>
      </c>
      <c r="S397" s="3124" t="s">
        <v>1640</v>
      </c>
      <c r="T397" s="3124" t="s">
        <v>1767</v>
      </c>
      <c r="U397" t="s">
        <v>1195</v>
      </c>
      <c r="V397" s="3124">
        <v>5000</v>
      </c>
      <c r="W397" s="3193">
        <v>0.56399999999999995</v>
      </c>
      <c r="X397" s="3124">
        <v>2820</v>
      </c>
      <c r="Y397" s="3124"/>
      <c r="Z397" s="3124"/>
      <c r="AA397" s="3124">
        <v>25000</v>
      </c>
      <c r="AB397" t="s">
        <v>1195</v>
      </c>
      <c r="AC397" s="3124"/>
    </row>
    <row r="398" spans="1:29">
      <c r="A398" s="3124">
        <v>397</v>
      </c>
      <c r="B398" s="3124" t="s">
        <v>1621</v>
      </c>
      <c r="C398" s="3124" t="s">
        <v>2708</v>
      </c>
      <c r="D398" s="3124" t="s">
        <v>533</v>
      </c>
      <c r="E398" t="s">
        <v>2709</v>
      </c>
      <c r="F398" s="3234">
        <v>66227595</v>
      </c>
      <c r="G398" s="3124" t="s">
        <v>2710</v>
      </c>
      <c r="H398" s="3124">
        <v>20</v>
      </c>
      <c r="I398" s="3124">
        <v>20</v>
      </c>
      <c r="J398" s="3124">
        <v>2000</v>
      </c>
      <c r="K398" s="3124">
        <v>2000</v>
      </c>
      <c r="L398" s="3124">
        <v>2180</v>
      </c>
      <c r="M398" s="3124" t="s">
        <v>510</v>
      </c>
      <c r="N398" s="3192">
        <v>44642</v>
      </c>
      <c r="O398" s="3192">
        <v>45221</v>
      </c>
      <c r="P398" s="3192">
        <v>44642</v>
      </c>
      <c r="Q398" s="3192">
        <v>45221</v>
      </c>
      <c r="R398" s="3124" t="s">
        <v>432</v>
      </c>
      <c r="S398" s="3124" t="s">
        <v>1640</v>
      </c>
      <c r="T398" s="3124" t="s">
        <v>1767</v>
      </c>
      <c r="U398" t="s">
        <v>1195</v>
      </c>
      <c r="V398" s="3124">
        <v>5000</v>
      </c>
      <c r="W398" s="3193">
        <v>0.56399999999999995</v>
      </c>
      <c r="X398" s="3124">
        <v>2820</v>
      </c>
      <c r="Y398" s="3124"/>
      <c r="Z398" s="3124"/>
      <c r="AA398" s="3124">
        <v>25000</v>
      </c>
      <c r="AB398" t="s">
        <v>1195</v>
      </c>
      <c r="AC398" s="3124"/>
    </row>
    <row r="399" spans="1:29">
      <c r="A399" s="3124">
        <v>398</v>
      </c>
      <c r="B399" s="3124" t="s">
        <v>1621</v>
      </c>
      <c r="C399" s="3124" t="s">
        <v>2711</v>
      </c>
      <c r="D399" s="3124" t="s">
        <v>535</v>
      </c>
      <c r="E399" t="s">
        <v>536</v>
      </c>
      <c r="F399" s="3234">
        <v>60873202</v>
      </c>
      <c r="G399" s="3124" t="s">
        <v>2712</v>
      </c>
      <c r="H399" s="3124">
        <v>20</v>
      </c>
      <c r="I399" s="3124">
        <v>20</v>
      </c>
      <c r="J399" s="3124">
        <v>2000</v>
      </c>
      <c r="K399" s="3124">
        <v>2000</v>
      </c>
      <c r="L399" s="3124">
        <v>2180</v>
      </c>
      <c r="M399" s="3124" t="s">
        <v>510</v>
      </c>
      <c r="N399" s="3192">
        <v>44642</v>
      </c>
      <c r="O399" s="3192">
        <v>45221</v>
      </c>
      <c r="P399" s="3192">
        <v>44642</v>
      </c>
      <c r="Q399" s="3192">
        <v>45221</v>
      </c>
      <c r="R399" s="3124" t="s">
        <v>432</v>
      </c>
      <c r="S399" s="3124" t="s">
        <v>1640</v>
      </c>
      <c r="T399" s="3124" t="s">
        <v>1767</v>
      </c>
      <c r="U399" t="s">
        <v>1195</v>
      </c>
      <c r="V399" s="3124">
        <v>5000</v>
      </c>
      <c r="W399" s="3193">
        <v>0.56399999999999995</v>
      </c>
      <c r="X399" s="3124">
        <v>2820</v>
      </c>
      <c r="Y399" s="3124"/>
      <c r="Z399" s="3124"/>
      <c r="AA399" s="3124">
        <v>25000</v>
      </c>
      <c r="AB399" t="s">
        <v>1195</v>
      </c>
      <c r="AC399" s="3124"/>
    </row>
    <row r="400" spans="1:29">
      <c r="A400" s="3124">
        <v>399</v>
      </c>
      <c r="B400" s="3124" t="s">
        <v>1621</v>
      </c>
      <c r="C400" s="3124" t="s">
        <v>2713</v>
      </c>
      <c r="D400" s="3124" t="s">
        <v>537</v>
      </c>
      <c r="E400" t="s">
        <v>538</v>
      </c>
      <c r="F400" s="3234">
        <v>69810842</v>
      </c>
      <c r="G400" s="3124" t="s">
        <v>2714</v>
      </c>
      <c r="H400" s="3124">
        <v>20</v>
      </c>
      <c r="I400" s="3124">
        <v>20</v>
      </c>
      <c r="J400" s="3124">
        <v>2000</v>
      </c>
      <c r="K400" s="3124">
        <v>2000</v>
      </c>
      <c r="L400" s="3124">
        <v>2180</v>
      </c>
      <c r="M400" s="3124" t="s">
        <v>510</v>
      </c>
      <c r="N400" s="3192">
        <v>44642</v>
      </c>
      <c r="O400" s="3192">
        <v>45221</v>
      </c>
      <c r="P400" s="3192">
        <v>44642</v>
      </c>
      <c r="Q400" s="3192">
        <v>45221</v>
      </c>
      <c r="R400" s="3124" t="s">
        <v>433</v>
      </c>
      <c r="S400" s="3124" t="s">
        <v>1640</v>
      </c>
      <c r="T400" s="3124" t="s">
        <v>1767</v>
      </c>
      <c r="U400" t="s">
        <v>1195</v>
      </c>
      <c r="V400" s="3124">
        <v>5000</v>
      </c>
      <c r="W400" s="3193">
        <v>0.56399999999999995</v>
      </c>
      <c r="X400" s="3124">
        <v>2820</v>
      </c>
      <c r="Y400" s="3124"/>
      <c r="Z400" s="3124"/>
      <c r="AA400" s="3124">
        <v>25000</v>
      </c>
      <c r="AB400" t="s">
        <v>1195</v>
      </c>
      <c r="AC400" s="3124"/>
    </row>
    <row r="401" spans="1:29">
      <c r="A401" s="3124">
        <v>400</v>
      </c>
      <c r="B401" s="3124" t="s">
        <v>1621</v>
      </c>
      <c r="C401" s="3124" t="s">
        <v>2715</v>
      </c>
      <c r="D401" s="3124" t="s">
        <v>539</v>
      </c>
      <c r="E401" t="s">
        <v>2716</v>
      </c>
      <c r="F401" s="3234">
        <v>66765211</v>
      </c>
      <c r="G401" s="3124" t="s">
        <v>2717</v>
      </c>
      <c r="H401" s="3124">
        <v>20</v>
      </c>
      <c r="I401" s="3124">
        <v>20</v>
      </c>
      <c r="J401" s="3124">
        <v>2000</v>
      </c>
      <c r="K401" s="3124">
        <v>2000</v>
      </c>
      <c r="L401" s="3124">
        <v>2180</v>
      </c>
      <c r="M401" s="3124" t="s">
        <v>510</v>
      </c>
      <c r="N401" s="3192">
        <v>44642</v>
      </c>
      <c r="O401" s="3192">
        <v>45221</v>
      </c>
      <c r="P401" s="3192">
        <v>44642</v>
      </c>
      <c r="Q401" s="3192">
        <v>45221</v>
      </c>
      <c r="R401" s="3124" t="s">
        <v>433</v>
      </c>
      <c r="S401" s="3124" t="s">
        <v>1640</v>
      </c>
      <c r="T401" s="3124" t="s">
        <v>1767</v>
      </c>
      <c r="U401" t="s">
        <v>1195</v>
      </c>
      <c r="V401" s="3124">
        <v>5000</v>
      </c>
      <c r="W401" s="3193">
        <v>0.56399999999999995</v>
      </c>
      <c r="X401" s="3124">
        <v>2820</v>
      </c>
      <c r="Y401" s="3124"/>
      <c r="Z401" s="3124"/>
      <c r="AA401" s="3124">
        <v>25000</v>
      </c>
      <c r="AB401" t="s">
        <v>1195</v>
      </c>
      <c r="AC401" s="3124"/>
    </row>
    <row r="402" spans="1:29">
      <c r="A402" s="3124">
        <v>401</v>
      </c>
      <c r="B402" s="3124" t="s">
        <v>1621</v>
      </c>
      <c r="C402" s="3124" t="s">
        <v>2718</v>
      </c>
      <c r="D402" s="3124" t="s">
        <v>541</v>
      </c>
      <c r="E402" s="3144" t="s">
        <v>542</v>
      </c>
      <c r="F402" s="3234">
        <v>68475484</v>
      </c>
      <c r="G402" s="3190"/>
      <c r="H402" s="3124">
        <v>20</v>
      </c>
      <c r="I402" s="3124">
        <v>20</v>
      </c>
      <c r="J402" s="3124">
        <v>2000</v>
      </c>
      <c r="K402" s="3124">
        <v>2000</v>
      </c>
      <c r="L402" s="3124">
        <v>2180</v>
      </c>
      <c r="M402" s="3124" t="s">
        <v>510</v>
      </c>
      <c r="N402" s="3192">
        <v>44642</v>
      </c>
      <c r="O402" s="3192">
        <v>45221</v>
      </c>
      <c r="P402" s="3192">
        <v>44642</v>
      </c>
      <c r="Q402" s="3192">
        <v>45221</v>
      </c>
      <c r="R402" s="3124" t="s">
        <v>433</v>
      </c>
      <c r="S402" s="3124" t="s">
        <v>1640</v>
      </c>
      <c r="T402" s="3124" t="s">
        <v>1767</v>
      </c>
      <c r="U402" t="s">
        <v>1195</v>
      </c>
      <c r="V402" s="3124">
        <v>5000</v>
      </c>
      <c r="W402" s="3193">
        <v>0.56399999999999995</v>
      </c>
      <c r="X402" s="3124">
        <v>2820</v>
      </c>
      <c r="Y402" s="3124"/>
      <c r="Z402" s="3124"/>
      <c r="AA402" s="3124">
        <v>25000</v>
      </c>
      <c r="AB402" t="s">
        <v>1195</v>
      </c>
      <c r="AC402" s="3124"/>
    </row>
    <row r="403" spans="1:29">
      <c r="A403" s="3124">
        <v>402</v>
      </c>
      <c r="B403" s="3124" t="s">
        <v>1621</v>
      </c>
      <c r="C403" s="3124" t="s">
        <v>2719</v>
      </c>
      <c r="D403" s="3124" t="s">
        <v>543</v>
      </c>
      <c r="E403" t="s">
        <v>544</v>
      </c>
      <c r="F403" s="3234">
        <v>63898267</v>
      </c>
      <c r="G403" s="3124" t="s">
        <v>2720</v>
      </c>
      <c r="H403" s="3124">
        <v>20</v>
      </c>
      <c r="I403" s="3124">
        <v>20</v>
      </c>
      <c r="J403" s="3124">
        <v>2000</v>
      </c>
      <c r="K403" s="3124">
        <v>2000</v>
      </c>
      <c r="L403" s="3124">
        <v>2180</v>
      </c>
      <c r="M403" s="3124" t="s">
        <v>510</v>
      </c>
      <c r="N403" s="3192">
        <v>44642</v>
      </c>
      <c r="O403" s="3192">
        <v>45221</v>
      </c>
      <c r="P403" s="3192">
        <v>44642</v>
      </c>
      <c r="Q403" s="3192">
        <v>45221</v>
      </c>
      <c r="R403" s="3124" t="s">
        <v>433</v>
      </c>
      <c r="S403" s="3124" t="s">
        <v>1640</v>
      </c>
      <c r="T403" s="3124" t="s">
        <v>1767</v>
      </c>
      <c r="U403" t="s">
        <v>1195</v>
      </c>
      <c r="V403" s="3124">
        <v>5000</v>
      </c>
      <c r="W403" s="3193">
        <v>0.56399999999999995</v>
      </c>
      <c r="X403" s="3124">
        <v>2820</v>
      </c>
      <c r="Y403" s="3124"/>
      <c r="Z403" s="3124"/>
      <c r="AA403" s="3124">
        <v>25000</v>
      </c>
      <c r="AB403" t="s">
        <v>1195</v>
      </c>
      <c r="AC403" s="3124"/>
    </row>
    <row r="404" spans="1:29">
      <c r="A404" s="3124">
        <v>403</v>
      </c>
      <c r="B404" s="3124" t="s">
        <v>1621</v>
      </c>
      <c r="C404" s="3124" t="s">
        <v>2721</v>
      </c>
      <c r="D404" s="3124" t="s">
        <v>545</v>
      </c>
      <c r="E404" s="3145" t="s">
        <v>2722</v>
      </c>
      <c r="F404" s="3234">
        <v>5074725571</v>
      </c>
      <c r="G404" s="3190" t="s">
        <v>2723</v>
      </c>
      <c r="H404" s="3124">
        <v>20</v>
      </c>
      <c r="I404" s="3124">
        <v>20</v>
      </c>
      <c r="J404" s="3124">
        <v>2000</v>
      </c>
      <c r="K404" s="3124">
        <v>2000</v>
      </c>
      <c r="L404" s="3124">
        <v>2180</v>
      </c>
      <c r="M404" s="3124" t="s">
        <v>510</v>
      </c>
      <c r="N404" s="3192">
        <v>44642</v>
      </c>
      <c r="O404" s="3192">
        <v>45221</v>
      </c>
      <c r="P404" s="3192">
        <v>44642</v>
      </c>
      <c r="Q404" s="3192">
        <v>45221</v>
      </c>
      <c r="R404" s="3124" t="s">
        <v>432</v>
      </c>
      <c r="S404" s="3124" t="s">
        <v>1640</v>
      </c>
      <c r="T404" s="3124" t="s">
        <v>1767</v>
      </c>
      <c r="U404" t="s">
        <v>1195</v>
      </c>
      <c r="V404" s="3124">
        <v>5000</v>
      </c>
      <c r="W404" s="3193">
        <v>0.56399999999999995</v>
      </c>
      <c r="X404" s="3124">
        <v>2820</v>
      </c>
      <c r="Y404" s="3124"/>
      <c r="Z404" s="3124"/>
      <c r="AA404" s="3124">
        <v>25000</v>
      </c>
      <c r="AB404" t="s">
        <v>1195</v>
      </c>
      <c r="AC404" s="3124"/>
    </row>
    <row r="405" spans="1:29">
      <c r="A405" s="3124">
        <v>404</v>
      </c>
      <c r="B405" s="3124" t="s">
        <v>1621</v>
      </c>
      <c r="C405" s="3124" t="s">
        <v>2724</v>
      </c>
      <c r="D405" s="3124" t="s">
        <v>547</v>
      </c>
      <c r="E405" s="3131" t="s">
        <v>548</v>
      </c>
      <c r="F405" s="3234">
        <v>61505164</v>
      </c>
      <c r="G405" s="3124" t="s">
        <v>2725</v>
      </c>
      <c r="H405" s="3124">
        <v>20</v>
      </c>
      <c r="I405" s="3124">
        <v>20</v>
      </c>
      <c r="J405" s="3124">
        <v>2000</v>
      </c>
      <c r="K405" s="3124">
        <v>2000</v>
      </c>
      <c r="L405" s="3124">
        <v>2180</v>
      </c>
      <c r="M405" s="3124" t="s">
        <v>510</v>
      </c>
      <c r="N405" s="3192">
        <v>44642</v>
      </c>
      <c r="O405" s="3192">
        <v>45221</v>
      </c>
      <c r="P405" s="3192">
        <v>44642</v>
      </c>
      <c r="Q405" s="3192">
        <v>45221</v>
      </c>
      <c r="R405" s="3124" t="s">
        <v>432</v>
      </c>
      <c r="S405" s="3124" t="s">
        <v>1640</v>
      </c>
      <c r="T405" s="3124" t="s">
        <v>1767</v>
      </c>
      <c r="U405" t="s">
        <v>1195</v>
      </c>
      <c r="V405" s="3124">
        <v>5000</v>
      </c>
      <c r="W405" s="3193">
        <v>0.56399999999999995</v>
      </c>
      <c r="X405" s="3124">
        <v>2820</v>
      </c>
      <c r="Y405" s="3124"/>
      <c r="Z405" s="3124"/>
      <c r="AA405" s="3124">
        <v>25000</v>
      </c>
      <c r="AB405" t="s">
        <v>1195</v>
      </c>
      <c r="AC405" s="3124"/>
    </row>
    <row r="406" spans="1:29">
      <c r="A406" s="3124">
        <v>405</v>
      </c>
      <c r="B406" s="3124" t="s">
        <v>1621</v>
      </c>
      <c r="C406" s="3124" t="s">
        <v>2726</v>
      </c>
      <c r="D406" s="3124" t="s">
        <v>549</v>
      </c>
      <c r="E406" t="s">
        <v>550</v>
      </c>
      <c r="F406" s="3234">
        <v>65884972</v>
      </c>
      <c r="G406" s="3124" t="s">
        <v>2727</v>
      </c>
      <c r="H406" s="3124">
        <v>20</v>
      </c>
      <c r="I406" s="3124">
        <v>20</v>
      </c>
      <c r="J406" s="3124">
        <v>2000</v>
      </c>
      <c r="K406" s="3124">
        <v>2000</v>
      </c>
      <c r="L406" s="3124">
        <v>2180</v>
      </c>
      <c r="M406" s="3124" t="s">
        <v>510</v>
      </c>
      <c r="N406" s="3192">
        <v>44642</v>
      </c>
      <c r="O406" s="3192">
        <v>45221</v>
      </c>
      <c r="P406" s="3192">
        <v>44642</v>
      </c>
      <c r="Q406" s="3192">
        <v>45221</v>
      </c>
      <c r="R406" s="3124" t="s">
        <v>433</v>
      </c>
      <c r="S406" s="3124" t="s">
        <v>1640</v>
      </c>
      <c r="T406" s="3124" t="s">
        <v>1767</v>
      </c>
      <c r="U406" t="s">
        <v>1195</v>
      </c>
      <c r="V406" s="3124">
        <v>5000</v>
      </c>
      <c r="W406" s="3193">
        <v>0.56399999999999995</v>
      </c>
      <c r="X406" s="3124">
        <v>2820</v>
      </c>
      <c r="Y406" s="3124"/>
      <c r="Z406" s="3124"/>
      <c r="AA406" s="3124">
        <v>25000</v>
      </c>
      <c r="AB406" t="s">
        <v>1195</v>
      </c>
      <c r="AC406" s="3124"/>
    </row>
    <row r="407" spans="1:29">
      <c r="A407" s="3124">
        <v>406</v>
      </c>
      <c r="B407" s="3124" t="s">
        <v>1621</v>
      </c>
      <c r="C407" s="3124" t="s">
        <v>2728</v>
      </c>
      <c r="D407" s="3124" t="s">
        <v>551</v>
      </c>
      <c r="E407" t="s">
        <v>552</v>
      </c>
      <c r="F407" s="3234">
        <v>60573200</v>
      </c>
      <c r="G407" s="3124" t="s">
        <v>2729</v>
      </c>
      <c r="H407" s="3124">
        <v>20</v>
      </c>
      <c r="I407" s="3124">
        <v>20</v>
      </c>
      <c r="J407" s="3124">
        <v>2000</v>
      </c>
      <c r="K407" s="3124">
        <v>2000</v>
      </c>
      <c r="L407" s="3124">
        <v>2180</v>
      </c>
      <c r="M407" s="3124" t="s">
        <v>510</v>
      </c>
      <c r="N407" s="3192">
        <v>44642</v>
      </c>
      <c r="O407" s="3192">
        <v>45221</v>
      </c>
      <c r="P407" s="3192">
        <v>44642</v>
      </c>
      <c r="Q407" s="3192">
        <v>45221</v>
      </c>
      <c r="R407" s="3124" t="s">
        <v>432</v>
      </c>
      <c r="S407" s="3124" t="s">
        <v>1640</v>
      </c>
      <c r="T407" s="3124" t="s">
        <v>1767</v>
      </c>
      <c r="U407" t="s">
        <v>1195</v>
      </c>
      <c r="V407" s="3124">
        <v>5000</v>
      </c>
      <c r="W407" s="3193">
        <v>0.56399999999999995</v>
      </c>
      <c r="X407" s="3124">
        <v>2820</v>
      </c>
      <c r="Y407" s="3124">
        <v>2</v>
      </c>
      <c r="Z407" s="3124"/>
      <c r="AA407" s="3124">
        <v>25000</v>
      </c>
      <c r="AB407" t="s">
        <v>1195</v>
      </c>
      <c r="AC407" s="3124"/>
    </row>
    <row r="408" spans="1:29">
      <c r="A408" s="3124">
        <v>407</v>
      </c>
      <c r="B408" s="3124" t="s">
        <v>1621</v>
      </c>
      <c r="C408" s="3124" t="s">
        <v>2730</v>
      </c>
      <c r="D408" s="3124" t="s">
        <v>553</v>
      </c>
      <c r="E408" t="s">
        <v>554</v>
      </c>
      <c r="F408" s="3234">
        <v>61043031</v>
      </c>
      <c r="G408" s="3124" t="s">
        <v>2731</v>
      </c>
      <c r="H408" s="3124">
        <v>20</v>
      </c>
      <c r="I408" s="3124">
        <v>20</v>
      </c>
      <c r="J408" s="3124">
        <v>2000</v>
      </c>
      <c r="K408" s="3124">
        <v>2000</v>
      </c>
      <c r="L408" s="3124">
        <v>2180</v>
      </c>
      <c r="M408" s="3124" t="s">
        <v>510</v>
      </c>
      <c r="N408" s="3192">
        <v>44642</v>
      </c>
      <c r="O408" s="3192">
        <v>45221</v>
      </c>
      <c r="P408" s="3192">
        <v>44642</v>
      </c>
      <c r="Q408" s="3192">
        <v>45221</v>
      </c>
      <c r="R408" s="3124" t="s">
        <v>433</v>
      </c>
      <c r="S408" s="3124" t="s">
        <v>1640</v>
      </c>
      <c r="T408" s="3124" t="s">
        <v>1767</v>
      </c>
      <c r="U408" t="s">
        <v>1195</v>
      </c>
      <c r="V408" s="3124">
        <v>5000</v>
      </c>
      <c r="W408" s="3193">
        <v>0.56399999999999995</v>
      </c>
      <c r="X408" s="3124">
        <v>2820</v>
      </c>
      <c r="Y408" s="3124">
        <v>2</v>
      </c>
      <c r="Z408" s="3124"/>
      <c r="AA408" s="3124">
        <v>25000</v>
      </c>
      <c r="AB408" t="s">
        <v>1195</v>
      </c>
      <c r="AC408" s="3124"/>
    </row>
    <row r="409" spans="1:29">
      <c r="A409" s="3124">
        <v>408</v>
      </c>
      <c r="B409" s="3124" t="s">
        <v>1621</v>
      </c>
      <c r="C409" s="3124" t="s">
        <v>2732</v>
      </c>
      <c r="D409" s="3124" t="s">
        <v>555</v>
      </c>
      <c r="E409" t="s">
        <v>2733</v>
      </c>
      <c r="F409" s="3234">
        <v>62766716</v>
      </c>
      <c r="G409" s="3124" t="s">
        <v>2734</v>
      </c>
      <c r="H409" s="3124">
        <v>20</v>
      </c>
      <c r="I409" s="3124">
        <v>20</v>
      </c>
      <c r="J409" s="3124">
        <v>2000</v>
      </c>
      <c r="K409" s="3124">
        <v>2000</v>
      </c>
      <c r="L409" s="3124">
        <v>2180</v>
      </c>
      <c r="M409" s="3124" t="s">
        <v>510</v>
      </c>
      <c r="N409" s="3192">
        <v>44642</v>
      </c>
      <c r="O409" s="3192">
        <v>45221</v>
      </c>
      <c r="P409" s="3192">
        <v>44642</v>
      </c>
      <c r="Q409" s="3192">
        <v>45221</v>
      </c>
      <c r="R409" s="3124" t="s">
        <v>432</v>
      </c>
      <c r="S409" s="3124" t="s">
        <v>1640</v>
      </c>
      <c r="T409" s="3124" t="s">
        <v>1767</v>
      </c>
      <c r="U409" t="s">
        <v>1195</v>
      </c>
      <c r="V409" s="3124">
        <v>5000</v>
      </c>
      <c r="W409" s="3193">
        <v>0.56399999999999995</v>
      </c>
      <c r="X409" s="3124">
        <v>2820</v>
      </c>
      <c r="Y409" s="3124">
        <v>2</v>
      </c>
      <c r="Z409" s="3124"/>
      <c r="AA409" s="3124">
        <v>25000</v>
      </c>
      <c r="AB409" t="s">
        <v>1195</v>
      </c>
      <c r="AC409" s="3124"/>
    </row>
    <row r="410" spans="1:29">
      <c r="A410" s="3124">
        <v>409</v>
      </c>
      <c r="B410" s="3124" t="s">
        <v>1630</v>
      </c>
      <c r="C410" s="3124" t="s">
        <v>2582</v>
      </c>
      <c r="D410" s="3124" t="s">
        <v>144</v>
      </c>
      <c r="E410" t="s">
        <v>2583</v>
      </c>
      <c r="F410" s="3234" t="s">
        <v>2584</v>
      </c>
      <c r="G410" s="3190" t="s">
        <v>2585</v>
      </c>
      <c r="H410" s="3124">
        <v>36</v>
      </c>
      <c r="I410" s="3124">
        <v>36</v>
      </c>
      <c r="J410" s="3124" t="s">
        <v>1948</v>
      </c>
      <c r="K410" s="3124">
        <v>1000</v>
      </c>
      <c r="L410" s="3124">
        <v>1600</v>
      </c>
      <c r="M410" s="3124" t="s">
        <v>134</v>
      </c>
      <c r="N410" s="3192">
        <v>44723</v>
      </c>
      <c r="O410" s="3192">
        <v>45788</v>
      </c>
      <c r="P410" s="3192">
        <v>44713</v>
      </c>
      <c r="Q410" s="3192">
        <v>45778</v>
      </c>
      <c r="R410" s="3124" t="s">
        <v>432</v>
      </c>
      <c r="S410" s="3124" t="s">
        <v>1658</v>
      </c>
      <c r="T410" s="3124" t="s">
        <v>1850</v>
      </c>
      <c r="U410" t="s">
        <v>1761</v>
      </c>
      <c r="V410" s="3124">
        <v>3150</v>
      </c>
      <c r="W410" s="3193">
        <v>0.49206349206349204</v>
      </c>
      <c r="X410" s="3124">
        <v>1550</v>
      </c>
      <c r="Y410" s="3124">
        <v>4</v>
      </c>
      <c r="Z410" s="3124"/>
      <c r="AA410" s="3124">
        <v>21000</v>
      </c>
      <c r="AB410" t="s">
        <v>1869</v>
      </c>
      <c r="AC410" s="3124"/>
    </row>
    <row r="411" spans="1:29">
      <c r="A411" s="3124">
        <v>410</v>
      </c>
      <c r="B411" s="3124" t="s">
        <v>1839</v>
      </c>
      <c r="C411" s="3124" t="s">
        <v>2735</v>
      </c>
      <c r="D411" s="3124" t="s">
        <v>206</v>
      </c>
      <c r="E411" t="s">
        <v>2736</v>
      </c>
      <c r="F411" s="3234" t="s">
        <v>2737</v>
      </c>
      <c r="G411" s="3124" t="s">
        <v>2738</v>
      </c>
      <c r="H411" s="3124">
        <v>16</v>
      </c>
      <c r="I411" s="3124">
        <v>16</v>
      </c>
      <c r="J411" s="3124" t="s">
        <v>1948</v>
      </c>
      <c r="K411" s="3124"/>
      <c r="L411" s="3124">
        <v>2180</v>
      </c>
      <c r="M411" s="3124" t="s">
        <v>2561</v>
      </c>
      <c r="N411" s="3192">
        <v>44723</v>
      </c>
      <c r="O411" s="3192">
        <v>45180</v>
      </c>
      <c r="P411" s="3192">
        <v>44713</v>
      </c>
      <c r="Q411" s="3192">
        <v>45170</v>
      </c>
      <c r="R411" s="3124" t="s">
        <v>433</v>
      </c>
      <c r="S411" s="3124" t="s">
        <v>1842</v>
      </c>
      <c r="T411" s="3124" t="s">
        <v>1850</v>
      </c>
      <c r="U411" t="s">
        <v>1761</v>
      </c>
      <c r="V411" s="3124">
        <v>4200</v>
      </c>
      <c r="W411" s="3193">
        <v>0.48095238095238096</v>
      </c>
      <c r="X411" s="3124">
        <v>2020</v>
      </c>
      <c r="Y411" s="3124"/>
      <c r="Z411" s="3124">
        <v>5000</v>
      </c>
      <c r="AA411" s="3124">
        <v>18000</v>
      </c>
      <c r="AB411" t="s">
        <v>1195</v>
      </c>
      <c r="AC411" s="3124"/>
    </row>
    <row r="412" spans="1:29">
      <c r="A412" s="3124">
        <v>411</v>
      </c>
      <c r="B412" s="3124" t="s">
        <v>2739</v>
      </c>
      <c r="C412" s="3124" t="s">
        <v>2740</v>
      </c>
      <c r="D412" s="3124" t="s">
        <v>2741</v>
      </c>
      <c r="E412" t="s">
        <v>2739</v>
      </c>
      <c r="F412" s="3234"/>
      <c r="G412" s="3124"/>
      <c r="H412" s="3124">
        <v>35</v>
      </c>
      <c r="I412" s="3124">
        <v>36</v>
      </c>
      <c r="J412" s="3124"/>
      <c r="K412" s="3124">
        <v>1000</v>
      </c>
      <c r="L412" s="3124">
        <v>1600</v>
      </c>
      <c r="M412" s="3124" t="s">
        <v>2739</v>
      </c>
      <c r="N412" s="3192">
        <v>44927</v>
      </c>
      <c r="O412" s="3192">
        <v>45992</v>
      </c>
      <c r="P412" s="3192">
        <v>44927</v>
      </c>
      <c r="Q412" s="3192">
        <v>45962</v>
      </c>
      <c r="R412" s="3124" t="s">
        <v>1616</v>
      </c>
      <c r="S412" s="3124" t="s">
        <v>2739</v>
      </c>
      <c r="T412" s="3124" t="s">
        <v>1850</v>
      </c>
      <c r="U412" t="s">
        <v>1761</v>
      </c>
      <c r="V412" s="3124">
        <v>3150</v>
      </c>
      <c r="W412" s="3193">
        <v>0.49206349206349204</v>
      </c>
      <c r="X412" s="3124">
        <v>1550</v>
      </c>
      <c r="Y412" s="3124">
        <v>4</v>
      </c>
      <c r="Z412" s="3124"/>
      <c r="AA412" s="3124">
        <v>21000</v>
      </c>
      <c r="AB412" t="s">
        <v>1195</v>
      </c>
      <c r="AC412" s="3124"/>
    </row>
    <row r="413" spans="1:29">
      <c r="A413" s="3124">
        <v>412</v>
      </c>
      <c r="B413" s="3124" t="s">
        <v>1839</v>
      </c>
      <c r="C413" s="3124" t="s">
        <v>2742</v>
      </c>
      <c r="D413" s="3124" t="s">
        <v>2617</v>
      </c>
      <c r="E413" s="3138" t="s">
        <v>2743</v>
      </c>
      <c r="F413" s="3234" t="s">
        <v>2744</v>
      </c>
      <c r="G413" s="3124" t="s">
        <v>2745</v>
      </c>
      <c r="H413" s="3124">
        <v>8</v>
      </c>
      <c r="I413" s="3124">
        <v>8</v>
      </c>
      <c r="J413" s="3124" t="s">
        <v>1948</v>
      </c>
      <c r="K413" s="3124"/>
      <c r="L413" s="3124">
        <v>2180</v>
      </c>
      <c r="M413" s="3124" t="s">
        <v>2561</v>
      </c>
      <c r="N413" s="3192">
        <v>44723</v>
      </c>
      <c r="O413" s="3192">
        <v>44937</v>
      </c>
      <c r="P413" s="3192">
        <v>44721</v>
      </c>
      <c r="Q413" s="3192">
        <v>44935</v>
      </c>
      <c r="R413" s="3124" t="s">
        <v>433</v>
      </c>
      <c r="S413" s="3124" t="s">
        <v>1842</v>
      </c>
      <c r="T413" s="3124" t="s">
        <v>1850</v>
      </c>
      <c r="U413" t="s">
        <v>1195</v>
      </c>
      <c r="V413" s="3124">
        <v>4200</v>
      </c>
      <c r="W413" s="3193">
        <v>0.48095238095238096</v>
      </c>
      <c r="X413" s="3124">
        <v>2020</v>
      </c>
      <c r="Y413" s="3124"/>
      <c r="Z413" s="3124">
        <v>5000</v>
      </c>
      <c r="AA413" s="3124">
        <v>18000</v>
      </c>
      <c r="AB413" t="s">
        <v>1195</v>
      </c>
      <c r="AC413" s="3124"/>
    </row>
    <row r="414" spans="1:29">
      <c r="A414" s="3124">
        <v>413</v>
      </c>
      <c r="B414" s="3124" t="s">
        <v>1839</v>
      </c>
      <c r="C414" s="3124" t="s">
        <v>2746</v>
      </c>
      <c r="D414" s="3124" t="s">
        <v>132</v>
      </c>
      <c r="E414" t="s">
        <v>2747</v>
      </c>
      <c r="F414" s="3234">
        <v>9841423687</v>
      </c>
      <c r="G414" s="3124" t="s">
        <v>2748</v>
      </c>
      <c r="H414" s="3124">
        <v>8</v>
      </c>
      <c r="I414" s="3124">
        <v>8</v>
      </c>
      <c r="J414" s="3124"/>
      <c r="K414" s="3124"/>
      <c r="L414" s="3124">
        <v>2180</v>
      </c>
      <c r="M414" s="3124" t="s">
        <v>2561</v>
      </c>
      <c r="N414" s="3192">
        <v>44737</v>
      </c>
      <c r="O414" s="3192">
        <v>44951</v>
      </c>
      <c r="P414" s="3192">
        <v>44728</v>
      </c>
      <c r="Q414" s="3192">
        <v>44942</v>
      </c>
      <c r="R414" s="3124" t="s">
        <v>433</v>
      </c>
      <c r="S414" s="3124" t="s">
        <v>1842</v>
      </c>
      <c r="T414" s="3124" t="s">
        <v>1850</v>
      </c>
      <c r="U414" t="s">
        <v>1761</v>
      </c>
      <c r="V414" s="3124">
        <v>4200</v>
      </c>
      <c r="W414" s="3193">
        <v>0.48095238095238096</v>
      </c>
      <c r="X414" s="3124">
        <v>2020</v>
      </c>
      <c r="Y414" s="3124"/>
      <c r="Z414" s="3124">
        <v>5000</v>
      </c>
      <c r="AA414" s="3124">
        <v>18000</v>
      </c>
      <c r="AB414" t="s">
        <v>1195</v>
      </c>
      <c r="AC414" s="3124"/>
    </row>
    <row r="415" spans="1:29">
      <c r="A415" s="3124">
        <v>414</v>
      </c>
      <c r="B415" s="3124" t="s">
        <v>1621</v>
      </c>
      <c r="C415" s="3124" t="s">
        <v>2749</v>
      </c>
      <c r="D415" s="3124" t="s">
        <v>2750</v>
      </c>
      <c r="E415" s="3161" t="s">
        <v>2751</v>
      </c>
      <c r="F415" s="3234">
        <v>7225739447</v>
      </c>
      <c r="G415" s="3124" t="s">
        <v>2752</v>
      </c>
      <c r="H415" s="3124">
        <v>20</v>
      </c>
      <c r="I415" s="3124">
        <v>20</v>
      </c>
      <c r="J415" s="3124" t="s">
        <v>1948</v>
      </c>
      <c r="K415" s="3124">
        <v>2000</v>
      </c>
      <c r="L415" s="3124">
        <v>2275</v>
      </c>
      <c r="M415" s="3124" t="s">
        <v>704</v>
      </c>
      <c r="N415" s="3192">
        <v>44729</v>
      </c>
      <c r="O415" s="3192">
        <v>45308</v>
      </c>
      <c r="P415" s="3192">
        <v>44728</v>
      </c>
      <c r="Q415" s="3192">
        <v>45307</v>
      </c>
      <c r="R415" s="3124" t="s">
        <v>433</v>
      </c>
      <c r="S415" s="3124" t="s">
        <v>1640</v>
      </c>
      <c r="T415" s="3124" t="s">
        <v>1850</v>
      </c>
      <c r="U415" t="s">
        <v>1869</v>
      </c>
      <c r="V415" s="3124">
        <v>5000</v>
      </c>
      <c r="W415" s="3193">
        <v>0.54500000000000004</v>
      </c>
      <c r="X415" s="3124">
        <v>2725</v>
      </c>
      <c r="Y415" s="3124">
        <v>2</v>
      </c>
      <c r="Z415" s="3124"/>
      <c r="AA415" s="3124">
        <v>25000</v>
      </c>
      <c r="AB415" t="s">
        <v>1869</v>
      </c>
      <c r="AC415" s="3124"/>
    </row>
    <row r="416" spans="1:29">
      <c r="A416" s="3124">
        <v>415</v>
      </c>
      <c r="B416" s="3124" t="s">
        <v>1839</v>
      </c>
      <c r="C416" s="3124" t="s">
        <v>2753</v>
      </c>
      <c r="D416" s="3124" t="s">
        <v>629</v>
      </c>
      <c r="E416" t="s">
        <v>2754</v>
      </c>
      <c r="F416" s="3234" t="s">
        <v>2755</v>
      </c>
      <c r="G416" s="3124" t="s">
        <v>2756</v>
      </c>
      <c r="H416" s="3124">
        <v>16</v>
      </c>
      <c r="I416" s="3124">
        <v>16</v>
      </c>
      <c r="J416" s="3124" t="s">
        <v>1948</v>
      </c>
      <c r="K416" s="3124"/>
      <c r="L416" s="3124">
        <v>2180</v>
      </c>
      <c r="M416" s="3124" t="s">
        <v>1707</v>
      </c>
      <c r="N416" s="3192">
        <v>44737</v>
      </c>
      <c r="O416" s="3192">
        <v>45194</v>
      </c>
      <c r="P416" s="3192">
        <v>44728</v>
      </c>
      <c r="Q416" s="3192">
        <v>45185</v>
      </c>
      <c r="R416" s="3124" t="s">
        <v>433</v>
      </c>
      <c r="S416" s="3124" t="s">
        <v>1842</v>
      </c>
      <c r="T416" s="3124" t="s">
        <v>1850</v>
      </c>
      <c r="U416" t="s">
        <v>2653</v>
      </c>
      <c r="V416" s="3124">
        <v>4200</v>
      </c>
      <c r="W416" s="3193">
        <v>0.48095238095238096</v>
      </c>
      <c r="X416" s="3124">
        <v>2020</v>
      </c>
      <c r="Y416" s="3124"/>
      <c r="Z416" s="3124">
        <v>5000</v>
      </c>
      <c r="AA416" s="3124">
        <v>18000</v>
      </c>
      <c r="AB416" t="s">
        <v>2653</v>
      </c>
      <c r="AC416" s="3124"/>
    </row>
    <row r="417" spans="1:29">
      <c r="A417" s="3124">
        <v>416</v>
      </c>
      <c r="B417" s="3124" t="s">
        <v>1621</v>
      </c>
      <c r="C417" s="3124" t="s">
        <v>2757</v>
      </c>
      <c r="D417" s="3124" t="s">
        <v>2758</v>
      </c>
      <c r="E417" t="s">
        <v>2759</v>
      </c>
      <c r="F417" s="3234">
        <v>5535047824</v>
      </c>
      <c r="G417" s="3124" t="s">
        <v>2760</v>
      </c>
      <c r="H417" s="3124">
        <v>20</v>
      </c>
      <c r="I417" s="3124">
        <v>20</v>
      </c>
      <c r="J417" s="3124" t="s">
        <v>1948</v>
      </c>
      <c r="K417" s="3124">
        <v>2000</v>
      </c>
      <c r="L417" s="3124">
        <v>2180</v>
      </c>
      <c r="M417" s="3124" t="s">
        <v>1694</v>
      </c>
      <c r="N417" s="3192">
        <v>44729</v>
      </c>
      <c r="O417" s="3192">
        <v>45308</v>
      </c>
      <c r="P417" s="3192">
        <v>44729</v>
      </c>
      <c r="Q417" s="3192">
        <v>45308</v>
      </c>
      <c r="R417" s="3124" t="s">
        <v>432</v>
      </c>
      <c r="S417" s="3124" t="s">
        <v>1640</v>
      </c>
      <c r="T417" s="3124" t="s">
        <v>1850</v>
      </c>
      <c r="U417" t="s">
        <v>1869</v>
      </c>
      <c r="V417" s="3124">
        <v>5000</v>
      </c>
      <c r="W417" s="3193">
        <v>0.56399999999999995</v>
      </c>
      <c r="X417" s="3124">
        <v>2820</v>
      </c>
      <c r="Y417" s="3124"/>
      <c r="Z417" s="3124"/>
      <c r="AA417" s="3124">
        <v>25000</v>
      </c>
      <c r="AB417" t="s">
        <v>1869</v>
      </c>
      <c r="AC417" s="3124"/>
    </row>
    <row r="418" spans="1:29">
      <c r="A418" s="3124">
        <v>417</v>
      </c>
      <c r="B418" s="3124" t="s">
        <v>1625</v>
      </c>
      <c r="C418" s="3124" t="s">
        <v>2761</v>
      </c>
      <c r="D418" s="3124" t="s">
        <v>629</v>
      </c>
      <c r="E418" s="3154" t="s">
        <v>2762</v>
      </c>
      <c r="F418" s="3234" t="s">
        <v>2763</v>
      </c>
      <c r="G418" s="3124" t="s">
        <v>2764</v>
      </c>
      <c r="H418" s="3124">
        <v>20</v>
      </c>
      <c r="I418" s="3124">
        <v>20</v>
      </c>
      <c r="J418" s="3124">
        <v>1500</v>
      </c>
      <c r="K418" s="3124">
        <v>3000</v>
      </c>
      <c r="L418" s="3124">
        <v>3350</v>
      </c>
      <c r="M418" s="3124" t="s">
        <v>1247</v>
      </c>
      <c r="N418" s="3192">
        <v>44793</v>
      </c>
      <c r="O418" s="3192">
        <v>45371</v>
      </c>
      <c r="P418" s="3192">
        <v>44779</v>
      </c>
      <c r="Q418" s="3192">
        <v>45357</v>
      </c>
      <c r="R418" s="3124" t="s">
        <v>433</v>
      </c>
      <c r="S418" s="3124" t="s">
        <v>1690</v>
      </c>
      <c r="T418" s="3124" t="s">
        <v>1850</v>
      </c>
      <c r="U418" t="s">
        <v>1869</v>
      </c>
      <c r="V418" s="3124">
        <v>6700</v>
      </c>
      <c r="W418" s="3193">
        <v>0.5</v>
      </c>
      <c r="X418" s="3124">
        <v>3350</v>
      </c>
      <c r="Y418" s="3124"/>
      <c r="Z418" s="3124"/>
      <c r="AA418" s="3124">
        <v>29000</v>
      </c>
      <c r="AB418" t="s">
        <v>1869</v>
      </c>
      <c r="AC418" s="3124"/>
    </row>
    <row r="419" spans="1:29">
      <c r="A419" s="3124">
        <v>418</v>
      </c>
      <c r="B419" s="3124" t="s">
        <v>1625</v>
      </c>
      <c r="C419" s="3124" t="s">
        <v>2765</v>
      </c>
      <c r="D419" s="3124" t="s">
        <v>629</v>
      </c>
      <c r="E419" s="1973" t="s">
        <v>2766</v>
      </c>
      <c r="F419" s="3234">
        <v>6311004413</v>
      </c>
      <c r="G419" s="3124" t="s">
        <v>2767</v>
      </c>
      <c r="H419" s="3124">
        <v>20</v>
      </c>
      <c r="I419" s="3124">
        <v>20</v>
      </c>
      <c r="J419" s="3124" t="s">
        <v>1948</v>
      </c>
      <c r="K419" s="3124">
        <v>3000</v>
      </c>
      <c r="L419" s="3124">
        <v>3350</v>
      </c>
      <c r="M419" s="3124" t="s">
        <v>1247</v>
      </c>
      <c r="N419" s="3192">
        <v>44751</v>
      </c>
      <c r="O419" s="3192">
        <v>45331</v>
      </c>
      <c r="P419" s="3192">
        <v>44748</v>
      </c>
      <c r="Q419" s="3192">
        <v>45328</v>
      </c>
      <c r="R419" s="3124" t="s">
        <v>432</v>
      </c>
      <c r="S419" s="3124" t="s">
        <v>1690</v>
      </c>
      <c r="T419" s="3124" t="s">
        <v>1850</v>
      </c>
      <c r="U419" t="s">
        <v>1869</v>
      </c>
      <c r="V419" s="3124">
        <v>6700</v>
      </c>
      <c r="W419" s="3193">
        <v>0.5</v>
      </c>
      <c r="X419" s="3124">
        <v>3350</v>
      </c>
      <c r="Y419" s="3124"/>
      <c r="Z419" s="3124"/>
      <c r="AA419" s="3124">
        <v>29000</v>
      </c>
      <c r="AB419" t="s">
        <v>1869</v>
      </c>
      <c r="AC419" s="3124"/>
    </row>
    <row r="420" spans="1:29">
      <c r="A420" s="3124">
        <v>419</v>
      </c>
      <c r="B420" s="3124" t="s">
        <v>1839</v>
      </c>
      <c r="C420" s="3124" t="s">
        <v>2768</v>
      </c>
      <c r="D420" s="3124" t="s">
        <v>2769</v>
      </c>
      <c r="E420" t="s">
        <v>2770</v>
      </c>
      <c r="F420" s="3234"/>
      <c r="G420" s="3124" t="s">
        <v>2771</v>
      </c>
      <c r="H420" s="3124">
        <v>6</v>
      </c>
      <c r="I420" s="3124">
        <v>12</v>
      </c>
      <c r="J420" s="3124">
        <v>2000</v>
      </c>
      <c r="K420" s="3124"/>
      <c r="L420" s="3124">
        <v>8300</v>
      </c>
      <c r="M420" s="3124" t="s">
        <v>1345</v>
      </c>
      <c r="N420" s="3192">
        <v>43831</v>
      </c>
      <c r="O420" s="3192">
        <v>44166</v>
      </c>
      <c r="P420" s="3192">
        <v>44752</v>
      </c>
      <c r="Q420" s="3192">
        <v>44905</v>
      </c>
      <c r="R420" s="3124" t="s">
        <v>433</v>
      </c>
      <c r="S420" s="3124" t="s">
        <v>1842</v>
      </c>
      <c r="T420" s="3124" t="s">
        <v>1850</v>
      </c>
      <c r="U420" t="s">
        <v>1761</v>
      </c>
      <c r="V420" s="3124">
        <v>4200</v>
      </c>
      <c r="W420" s="3193">
        <v>-0.97619047619047616</v>
      </c>
      <c r="X420" s="3124">
        <v>-4100</v>
      </c>
      <c r="Y420" s="3124"/>
      <c r="Z420" s="3124"/>
      <c r="AA420" s="3124">
        <v>18000</v>
      </c>
      <c r="AB420" t="s">
        <v>1195</v>
      </c>
      <c r="AC420" s="3124"/>
    </row>
    <row r="421" spans="1:29">
      <c r="A421" s="3124">
        <v>420</v>
      </c>
      <c r="B421" s="3124" t="s">
        <v>1625</v>
      </c>
      <c r="C421" s="3124" t="s">
        <v>933</v>
      </c>
      <c r="D421" s="3124" t="s">
        <v>2772</v>
      </c>
      <c r="E421" s="3154" t="s">
        <v>934</v>
      </c>
      <c r="F421" s="3234" t="s">
        <v>1972</v>
      </c>
      <c r="G421" s="3124" t="s">
        <v>1973</v>
      </c>
      <c r="H421" s="3124">
        <v>20</v>
      </c>
      <c r="I421" s="3124">
        <v>20</v>
      </c>
      <c r="J421" s="3124">
        <v>0</v>
      </c>
      <c r="K421" s="3124">
        <v>3000</v>
      </c>
      <c r="L421" s="3124">
        <v>3350</v>
      </c>
      <c r="M421" s="3124" t="s">
        <v>1247</v>
      </c>
      <c r="N421" s="3192">
        <v>44779</v>
      </c>
      <c r="O421" s="3192">
        <v>45357</v>
      </c>
      <c r="P421" s="3192">
        <v>44779</v>
      </c>
      <c r="Q421" s="3192">
        <v>45357</v>
      </c>
      <c r="R421" s="3124" t="s">
        <v>432</v>
      </c>
      <c r="S421" s="3124" t="s">
        <v>1690</v>
      </c>
      <c r="T421" s="3124" t="s">
        <v>1850</v>
      </c>
      <c r="U421" t="s">
        <v>1869</v>
      </c>
      <c r="V421" s="3124">
        <v>6700</v>
      </c>
      <c r="W421" s="3193">
        <v>0.5</v>
      </c>
      <c r="X421" s="3124">
        <v>3350</v>
      </c>
      <c r="Y421" s="3124">
        <v>1</v>
      </c>
      <c r="Z421" s="3124"/>
      <c r="AA421" s="3124">
        <v>29000</v>
      </c>
      <c r="AB421" t="s">
        <v>1869</v>
      </c>
      <c r="AC421" s="3124"/>
    </row>
    <row r="422" spans="1:29">
      <c r="A422" s="3124">
        <v>421</v>
      </c>
      <c r="B422" s="3124" t="s">
        <v>1630</v>
      </c>
      <c r="C422" s="3124" t="s">
        <v>2773</v>
      </c>
      <c r="D422" s="3124" t="s">
        <v>2774</v>
      </c>
      <c r="E422" t="s">
        <v>2775</v>
      </c>
      <c r="F422" s="3234"/>
      <c r="G422" s="3124" t="s">
        <v>2776</v>
      </c>
      <c r="H422" s="3124">
        <v>36</v>
      </c>
      <c r="I422" s="3124">
        <v>36</v>
      </c>
      <c r="J422" s="3124">
        <v>2500</v>
      </c>
      <c r="K422" s="3124">
        <v>2500</v>
      </c>
      <c r="L422" s="3124">
        <v>2180</v>
      </c>
      <c r="M422" s="3124" t="s">
        <v>2777</v>
      </c>
      <c r="N422" s="3192">
        <v>43832</v>
      </c>
      <c r="O422" s="3192">
        <v>44897</v>
      </c>
      <c r="P422" s="3192">
        <v>44775</v>
      </c>
      <c r="Q422" s="3192">
        <v>45840</v>
      </c>
      <c r="R422" s="3124" t="s">
        <v>432</v>
      </c>
      <c r="S422" s="3124" t="s">
        <v>1658</v>
      </c>
      <c r="T422" s="3124" t="s">
        <v>1850</v>
      </c>
      <c r="U422" t="s">
        <v>1195</v>
      </c>
      <c r="V422" s="3124">
        <v>3150</v>
      </c>
      <c r="W422" s="3193">
        <v>0.30793650793650795</v>
      </c>
      <c r="X422" s="3124">
        <v>970</v>
      </c>
      <c r="Y422" s="3124">
        <v>4</v>
      </c>
      <c r="Z422" s="3124"/>
      <c r="AA422" s="3124">
        <v>21000</v>
      </c>
      <c r="AB422" t="s">
        <v>1195</v>
      </c>
      <c r="AC422" s="3124"/>
    </row>
    <row r="423" spans="1:29">
      <c r="A423" s="3124">
        <v>422</v>
      </c>
      <c r="B423" s="3124" t="s">
        <v>1625</v>
      </c>
      <c r="C423" s="3124" t="s">
        <v>2778</v>
      </c>
      <c r="D423" s="3124" t="s">
        <v>2779</v>
      </c>
      <c r="E423" t="s">
        <v>4626</v>
      </c>
      <c r="F423" s="3234" t="s">
        <v>2780</v>
      </c>
      <c r="G423" s="3124" t="s">
        <v>2781</v>
      </c>
      <c r="H423" s="3124">
        <v>20</v>
      </c>
      <c r="I423" s="3124">
        <v>20</v>
      </c>
      <c r="J423" s="3124">
        <v>1000</v>
      </c>
      <c r="K423" s="3124">
        <v>3000</v>
      </c>
      <c r="L423" s="3124">
        <v>3350</v>
      </c>
      <c r="M423" s="3124" t="s">
        <v>1247</v>
      </c>
      <c r="N423" s="3192">
        <v>44828</v>
      </c>
      <c r="O423" s="3192">
        <v>45406</v>
      </c>
      <c r="P423" s="3192">
        <v>44784</v>
      </c>
      <c r="Q423" s="3192">
        <v>45362</v>
      </c>
      <c r="R423" s="3124" t="s">
        <v>432</v>
      </c>
      <c r="S423" s="3124" t="s">
        <v>1690</v>
      </c>
      <c r="T423" s="3124" t="s">
        <v>1850</v>
      </c>
      <c r="U423" t="s">
        <v>1195</v>
      </c>
      <c r="V423" s="3124">
        <v>6700</v>
      </c>
      <c r="W423" s="3193">
        <v>0.5</v>
      </c>
      <c r="X423" s="3124">
        <v>3350</v>
      </c>
      <c r="Y423" s="3124">
        <v>1</v>
      </c>
      <c r="Z423" s="3124"/>
      <c r="AA423" s="3124">
        <v>29000</v>
      </c>
      <c r="AB423" t="s">
        <v>1195</v>
      </c>
      <c r="AC423" s="3124"/>
    </row>
    <row r="424" spans="1:29">
      <c r="A424" s="3124">
        <v>423</v>
      </c>
      <c r="B424" s="3124" t="s">
        <v>1625</v>
      </c>
      <c r="C424" s="3124" t="s">
        <v>2782</v>
      </c>
      <c r="D424" s="3124" t="s">
        <v>2783</v>
      </c>
      <c r="E424" t="s">
        <v>2784</v>
      </c>
      <c r="F424" s="3234" t="s">
        <v>2785</v>
      </c>
      <c r="G424" s="3124" t="s">
        <v>2786</v>
      </c>
      <c r="H424" s="3124">
        <v>20</v>
      </c>
      <c r="I424" s="3124">
        <v>20</v>
      </c>
      <c r="J424" s="3124" t="s">
        <v>1948</v>
      </c>
      <c r="K424" s="3124">
        <v>3000</v>
      </c>
      <c r="L424" s="3124">
        <v>3497</v>
      </c>
      <c r="M424" s="3124" t="s">
        <v>2787</v>
      </c>
      <c r="N424" s="3192">
        <v>44828</v>
      </c>
      <c r="O424" s="3192">
        <v>45406</v>
      </c>
      <c r="P424" s="3192">
        <v>44806</v>
      </c>
      <c r="Q424" s="3192">
        <v>45384</v>
      </c>
      <c r="R424" s="3124" t="s">
        <v>433</v>
      </c>
      <c r="S424" s="3124" t="s">
        <v>1690</v>
      </c>
      <c r="T424" s="3124" t="s">
        <v>1990</v>
      </c>
      <c r="U424" t="s">
        <v>1869</v>
      </c>
      <c r="V424" s="3124">
        <v>6700</v>
      </c>
      <c r="W424" s="3193">
        <v>0.47805970149253729</v>
      </c>
      <c r="X424" s="3124">
        <v>3203</v>
      </c>
      <c r="Y424" s="3124">
        <v>1</v>
      </c>
      <c r="Z424" s="3124"/>
      <c r="AA424" s="3124">
        <v>29000</v>
      </c>
      <c r="AB424" t="s">
        <v>1869</v>
      </c>
      <c r="AC424" s="3124"/>
    </row>
    <row r="425" spans="1:29">
      <c r="A425" s="3124">
        <v>424</v>
      </c>
      <c r="B425" s="3124" t="s">
        <v>2788</v>
      </c>
      <c r="C425" s="3124" t="s">
        <v>2789</v>
      </c>
      <c r="D425" s="3124" t="s">
        <v>2790</v>
      </c>
      <c r="E425" t="s">
        <v>2791</v>
      </c>
      <c r="F425" s="3234" t="s">
        <v>2792</v>
      </c>
      <c r="G425" s="3124" t="s">
        <v>2793</v>
      </c>
      <c r="H425" s="3124">
        <v>12</v>
      </c>
      <c r="I425" s="3124">
        <v>4</v>
      </c>
      <c r="J425" s="3124"/>
      <c r="K425" s="3124"/>
      <c r="L425" s="3124">
        <v>0</v>
      </c>
      <c r="M425" s="3124" t="s">
        <v>2794</v>
      </c>
      <c r="N425" s="3192">
        <v>44201</v>
      </c>
      <c r="O425" s="3192">
        <v>44291</v>
      </c>
      <c r="P425" s="3192">
        <v>44809</v>
      </c>
      <c r="Q425" s="3192">
        <v>45143</v>
      </c>
      <c r="R425" s="3124" t="s">
        <v>433</v>
      </c>
      <c r="S425" s="3124" t="s">
        <v>1939</v>
      </c>
      <c r="T425" s="3124" t="s">
        <v>1850</v>
      </c>
      <c r="U425" t="s">
        <v>1195</v>
      </c>
      <c r="V425" s="3124">
        <v>6700</v>
      </c>
      <c r="W425" s="3193">
        <v>1</v>
      </c>
      <c r="X425" s="3124">
        <v>6700</v>
      </c>
      <c r="Y425" s="3124">
        <v>0</v>
      </c>
      <c r="Z425" s="3124">
        <v>8000</v>
      </c>
      <c r="AA425" s="3124">
        <v>29000</v>
      </c>
      <c r="AB425" t="s">
        <v>1195</v>
      </c>
      <c r="AC425" s="3124"/>
    </row>
    <row r="426" spans="1:29">
      <c r="A426" s="3124">
        <v>425</v>
      </c>
      <c r="B426" s="3124" t="s">
        <v>1764</v>
      </c>
      <c r="C426" s="3124" t="s">
        <v>2795</v>
      </c>
      <c r="D426" s="3124" t="s">
        <v>1715</v>
      </c>
      <c r="E426" t="s">
        <v>2796</v>
      </c>
      <c r="F426" s="3234" t="s">
        <v>2797</v>
      </c>
      <c r="G426" s="3124" t="s">
        <v>2798</v>
      </c>
      <c r="H426" s="3124">
        <v>4</v>
      </c>
      <c r="I426" s="3124">
        <v>6</v>
      </c>
      <c r="J426" s="3124" t="s">
        <v>1948</v>
      </c>
      <c r="K426" s="3124"/>
      <c r="L426" s="3124">
        <v>0</v>
      </c>
      <c r="M426" s="3124" t="s">
        <v>813</v>
      </c>
      <c r="N426" s="3192">
        <v>44197</v>
      </c>
      <c r="O426" s="3192">
        <v>44348</v>
      </c>
      <c r="P426" s="3192">
        <v>44837</v>
      </c>
      <c r="Q426" s="3192">
        <v>44929</v>
      </c>
      <c r="R426" s="3124" t="s">
        <v>433</v>
      </c>
      <c r="S426" s="3124" t="s">
        <v>1917</v>
      </c>
      <c r="T426" s="3124" t="s">
        <v>1850</v>
      </c>
      <c r="U426" t="s">
        <v>1195</v>
      </c>
      <c r="V426" s="3124">
        <v>5000</v>
      </c>
      <c r="W426" s="3193">
        <v>1</v>
      </c>
      <c r="X426" s="3124">
        <v>5000</v>
      </c>
      <c r="Y426" s="3124">
        <v>0</v>
      </c>
      <c r="Z426" s="3124"/>
      <c r="AA426" s="3124">
        <v>35000</v>
      </c>
      <c r="AB426" t="s">
        <v>1195</v>
      </c>
      <c r="AC426" s="3124"/>
    </row>
    <row r="427" spans="1:29">
      <c r="A427" s="3124">
        <v>426</v>
      </c>
      <c r="B427" s="3124" t="s">
        <v>1623</v>
      </c>
      <c r="C427" s="3124" t="s">
        <v>2795</v>
      </c>
      <c r="D427" s="3124" t="s">
        <v>2799</v>
      </c>
      <c r="E427" t="s">
        <v>2796</v>
      </c>
      <c r="F427" s="3234" t="s">
        <v>2797</v>
      </c>
      <c r="G427" s="3124" t="s">
        <v>2798</v>
      </c>
      <c r="H427" s="3124">
        <v>20</v>
      </c>
      <c r="I427" s="3124">
        <v>20</v>
      </c>
      <c r="J427" s="3124" t="s">
        <v>1948</v>
      </c>
      <c r="K427" s="3124">
        <v>3000</v>
      </c>
      <c r="L427" s="3124">
        <v>3350</v>
      </c>
      <c r="M427" s="3124" t="s">
        <v>2568</v>
      </c>
      <c r="N427" s="3192">
        <v>44765</v>
      </c>
      <c r="O427" s="3192">
        <v>45345</v>
      </c>
      <c r="P427" s="3192">
        <v>44900</v>
      </c>
      <c r="Q427" s="3192">
        <v>45478</v>
      </c>
      <c r="R427" s="3124" t="s">
        <v>433</v>
      </c>
      <c r="S427" s="3124" t="s">
        <v>1974</v>
      </c>
      <c r="T427" s="3124" t="s">
        <v>1850</v>
      </c>
      <c r="U427" t="s">
        <v>1195</v>
      </c>
      <c r="V427" s="3124">
        <v>7000</v>
      </c>
      <c r="W427" s="3193">
        <v>0.52142857142857146</v>
      </c>
      <c r="X427" s="3124">
        <v>3650</v>
      </c>
      <c r="Y427" s="3124">
        <v>1</v>
      </c>
      <c r="Z427" s="3124"/>
      <c r="AA427" s="3124">
        <v>29000</v>
      </c>
      <c r="AB427" t="s">
        <v>1195</v>
      </c>
      <c r="AC427" s="3124"/>
    </row>
    <row r="428" spans="1:29">
      <c r="A428" s="3124">
        <v>427</v>
      </c>
      <c r="B428" s="3124" t="s">
        <v>1691</v>
      </c>
      <c r="C428" s="3124" t="s">
        <v>2800</v>
      </c>
      <c r="D428" s="3124" t="s">
        <v>2801</v>
      </c>
      <c r="E428" t="s">
        <v>4627</v>
      </c>
      <c r="F428" s="3234" t="s">
        <v>2802</v>
      </c>
      <c r="G428" s="3124" t="s">
        <v>2803</v>
      </c>
      <c r="H428" s="3124">
        <v>16</v>
      </c>
      <c r="I428" s="3124">
        <v>16</v>
      </c>
      <c r="J428" s="3124" t="s">
        <v>1948</v>
      </c>
      <c r="K428" s="3124">
        <v>2000</v>
      </c>
      <c r="L428" s="3124">
        <v>2275</v>
      </c>
      <c r="M428" s="3124" t="s">
        <v>407</v>
      </c>
      <c r="N428" s="3192">
        <v>44813</v>
      </c>
      <c r="O428" s="3192">
        <v>45269</v>
      </c>
      <c r="P428" s="3192">
        <v>44810</v>
      </c>
      <c r="Q428" s="3192">
        <v>45266</v>
      </c>
      <c r="R428" s="3124" t="s">
        <v>432</v>
      </c>
      <c r="S428" s="3124" t="s">
        <v>1949</v>
      </c>
      <c r="T428" s="3124" t="s">
        <v>1850</v>
      </c>
      <c r="U428" t="s">
        <v>1761</v>
      </c>
      <c r="V428" s="3124">
        <v>5000</v>
      </c>
      <c r="W428" s="3193">
        <v>0.54500000000000004</v>
      </c>
      <c r="X428" s="3124">
        <v>2725</v>
      </c>
      <c r="Y428" s="3124">
        <v>1</v>
      </c>
      <c r="Z428" s="3124"/>
      <c r="AA428" s="3124">
        <v>25000</v>
      </c>
      <c r="AB428" t="s">
        <v>1195</v>
      </c>
      <c r="AC428" s="3124"/>
    </row>
    <row r="429" spans="1:29">
      <c r="A429" s="3124">
        <v>428</v>
      </c>
      <c r="B429" s="3124" t="s">
        <v>1630</v>
      </c>
      <c r="C429" s="3124" t="s">
        <v>2804</v>
      </c>
      <c r="D429" s="3124" t="s">
        <v>138</v>
      </c>
      <c r="E429" s="3164" t="s">
        <v>2805</v>
      </c>
      <c r="F429" s="3234" t="s">
        <v>2806</v>
      </c>
      <c r="G429" s="3190" t="s">
        <v>2807</v>
      </c>
      <c r="H429" s="3124">
        <v>20</v>
      </c>
      <c r="I429" s="3124">
        <v>20</v>
      </c>
      <c r="J429" s="3124"/>
      <c r="K429" s="3124">
        <v>1000</v>
      </c>
      <c r="L429" s="3124">
        <v>1350</v>
      </c>
      <c r="M429" s="3124" t="s">
        <v>1707</v>
      </c>
      <c r="N429" s="3192">
        <v>44828</v>
      </c>
      <c r="O429" s="3192">
        <v>45406</v>
      </c>
      <c r="P429" s="3192">
        <v>44820</v>
      </c>
      <c r="Q429" s="3192">
        <v>45398</v>
      </c>
      <c r="R429" s="3124" t="s">
        <v>432</v>
      </c>
      <c r="S429" s="3124" t="s">
        <v>1658</v>
      </c>
      <c r="T429" s="3124" t="s">
        <v>1850</v>
      </c>
      <c r="U429" t="s">
        <v>1761</v>
      </c>
      <c r="V429" s="3124">
        <v>3150</v>
      </c>
      <c r="W429" s="3193">
        <v>0.5714285714285714</v>
      </c>
      <c r="X429" s="3124">
        <v>1800</v>
      </c>
      <c r="Y429" s="3124">
        <v>1</v>
      </c>
      <c r="Z429" s="3124">
        <v>5000</v>
      </c>
      <c r="AA429" s="3124">
        <v>21000</v>
      </c>
      <c r="AB429" t="s">
        <v>1195</v>
      </c>
      <c r="AC429" s="3124"/>
    </row>
    <row r="430" spans="1:29">
      <c r="A430" s="3124">
        <v>429</v>
      </c>
      <c r="B430" s="3124" t="s">
        <v>1691</v>
      </c>
      <c r="C430" s="3124" t="s">
        <v>2808</v>
      </c>
      <c r="D430" s="3124" t="s">
        <v>2809</v>
      </c>
      <c r="E430" s="3147" t="s">
        <v>2810</v>
      </c>
      <c r="F430" s="3234" t="s">
        <v>2811</v>
      </c>
      <c r="G430" s="3124" t="s">
        <v>4628</v>
      </c>
      <c r="H430" s="3124">
        <v>16</v>
      </c>
      <c r="I430" s="3124">
        <v>16</v>
      </c>
      <c r="J430" s="3124" t="s">
        <v>1948</v>
      </c>
      <c r="K430" s="3124">
        <v>2000</v>
      </c>
      <c r="L430" s="3124">
        <v>2275</v>
      </c>
      <c r="M430" s="3124" t="s">
        <v>407</v>
      </c>
      <c r="N430" s="3192">
        <v>44827</v>
      </c>
      <c r="O430" s="3192">
        <v>45283</v>
      </c>
      <c r="P430" s="3192">
        <v>44826</v>
      </c>
      <c r="Q430" s="3192">
        <v>45282</v>
      </c>
      <c r="R430" s="3124" t="s">
        <v>433</v>
      </c>
      <c r="S430" s="3124" t="s">
        <v>1949</v>
      </c>
      <c r="T430" s="3124" t="s">
        <v>1850</v>
      </c>
      <c r="U430" t="s">
        <v>1195</v>
      </c>
      <c r="V430" s="3124">
        <v>5000</v>
      </c>
      <c r="W430" s="3193">
        <v>0.54500000000000004</v>
      </c>
      <c r="X430" s="3124">
        <v>2725</v>
      </c>
      <c r="Y430" s="3124">
        <v>1</v>
      </c>
      <c r="Z430" s="3124"/>
      <c r="AA430" s="3124">
        <v>25000</v>
      </c>
      <c r="AB430" t="s">
        <v>1195</v>
      </c>
      <c r="AC430" s="3124"/>
    </row>
    <row r="431" spans="1:29">
      <c r="A431" s="3124">
        <v>430</v>
      </c>
      <c r="B431" s="3124" t="s">
        <v>1691</v>
      </c>
      <c r="C431" s="3124" t="s">
        <v>2812</v>
      </c>
      <c r="D431" s="3124" t="s">
        <v>2813</v>
      </c>
      <c r="E431" t="s">
        <v>2814</v>
      </c>
      <c r="F431" s="3234" t="s">
        <v>2815</v>
      </c>
      <c r="G431" s="3124" t="s">
        <v>2816</v>
      </c>
      <c r="H431" s="3124">
        <v>16</v>
      </c>
      <c r="I431" s="3124">
        <v>16</v>
      </c>
      <c r="J431" s="3124" t="s">
        <v>1948</v>
      </c>
      <c r="K431" s="3124">
        <v>2000</v>
      </c>
      <c r="L431" s="3124">
        <v>2275</v>
      </c>
      <c r="M431" s="3124" t="s">
        <v>407</v>
      </c>
      <c r="N431" s="3192">
        <v>44827</v>
      </c>
      <c r="O431" s="3192">
        <v>45283</v>
      </c>
      <c r="P431" s="3192">
        <v>44826</v>
      </c>
      <c r="Q431" s="3192">
        <v>45282</v>
      </c>
      <c r="R431" s="3124" t="s">
        <v>432</v>
      </c>
      <c r="S431" s="3124" t="s">
        <v>1949</v>
      </c>
      <c r="T431" s="3124" t="s">
        <v>1850</v>
      </c>
      <c r="U431" t="s">
        <v>1761</v>
      </c>
      <c r="V431" s="3124">
        <v>5000</v>
      </c>
      <c r="W431" s="3193">
        <v>0.54500000000000004</v>
      </c>
      <c r="X431" s="3124">
        <v>2725</v>
      </c>
      <c r="Y431" s="3124">
        <v>1</v>
      </c>
      <c r="Z431" s="3124"/>
      <c r="AA431" s="3124">
        <v>21000</v>
      </c>
      <c r="AB431" t="s">
        <v>1195</v>
      </c>
      <c r="AC431" s="3124"/>
    </row>
    <row r="432" spans="1:29">
      <c r="A432" s="3124">
        <v>431</v>
      </c>
      <c r="B432" s="3124" t="s">
        <v>1623</v>
      </c>
      <c r="C432" s="3124" t="s">
        <v>2817</v>
      </c>
      <c r="D432" s="3124" t="s">
        <v>2818</v>
      </c>
      <c r="E432" s="3128" t="s">
        <v>2819</v>
      </c>
      <c r="F432" s="3234" t="s">
        <v>2820</v>
      </c>
      <c r="G432" s="3124" t="s">
        <v>4629</v>
      </c>
      <c r="H432" s="3124">
        <v>20</v>
      </c>
      <c r="I432" s="3124">
        <v>20</v>
      </c>
      <c r="J432" s="3124" t="s">
        <v>1948</v>
      </c>
      <c r="K432" s="3124">
        <v>3000</v>
      </c>
      <c r="L432" s="3124">
        <v>3497</v>
      </c>
      <c r="M432" s="3124" t="s">
        <v>2821</v>
      </c>
      <c r="N432" s="3192">
        <v>44891</v>
      </c>
      <c r="O432" s="3192">
        <v>45469</v>
      </c>
      <c r="P432" s="3192">
        <v>44837</v>
      </c>
      <c r="Q432" s="3192">
        <v>45415</v>
      </c>
      <c r="R432" s="3124" t="s">
        <v>433</v>
      </c>
      <c r="S432" s="3124" t="s">
        <v>1974</v>
      </c>
      <c r="T432" s="3124" t="s">
        <v>1850</v>
      </c>
      <c r="U432" t="s">
        <v>1195</v>
      </c>
      <c r="V432" s="3124">
        <v>6700</v>
      </c>
      <c r="W432" s="3193">
        <v>0.47805970149253729</v>
      </c>
      <c r="X432" s="3124">
        <v>3203</v>
      </c>
      <c r="Y432" s="3124">
        <v>1</v>
      </c>
      <c r="Z432" s="3124"/>
      <c r="AA432" s="3124">
        <v>29000</v>
      </c>
      <c r="AB432" t="s">
        <v>1195</v>
      </c>
      <c r="AC432" s="3124"/>
    </row>
    <row r="433" spans="1:29">
      <c r="A433" s="3124">
        <v>432</v>
      </c>
      <c r="B433" s="3124" t="s">
        <v>1691</v>
      </c>
      <c r="C433" s="3124" t="s">
        <v>5187</v>
      </c>
      <c r="D433" s="3124" t="s">
        <v>2822</v>
      </c>
      <c r="E433" t="s">
        <v>2823</v>
      </c>
      <c r="F433" s="3234">
        <v>57711827</v>
      </c>
      <c r="G433" s="3124" t="s">
        <v>5172</v>
      </c>
      <c r="H433" s="3124">
        <v>16</v>
      </c>
      <c r="I433" s="3124">
        <v>16</v>
      </c>
      <c r="J433" s="3124">
        <v>2000</v>
      </c>
      <c r="K433" s="3124">
        <v>2000</v>
      </c>
      <c r="L433" s="3124">
        <v>2275</v>
      </c>
      <c r="M433" s="3124" t="s">
        <v>2824</v>
      </c>
      <c r="N433" s="3192">
        <v>44638</v>
      </c>
      <c r="O433" s="3192">
        <v>45095</v>
      </c>
      <c r="P433" s="3192">
        <v>44687</v>
      </c>
      <c r="Q433" s="3192">
        <v>45144</v>
      </c>
      <c r="R433" s="3124" t="s">
        <v>433</v>
      </c>
      <c r="S433" s="3124" t="s">
        <v>1949</v>
      </c>
      <c r="T433" s="3124" t="s">
        <v>2825</v>
      </c>
      <c r="U433" t="s">
        <v>1195</v>
      </c>
      <c r="V433" s="3124">
        <v>5000</v>
      </c>
      <c r="W433" s="3193">
        <v>0.54500000000000004</v>
      </c>
      <c r="X433" s="3124">
        <v>2725</v>
      </c>
      <c r="Y433" s="3124">
        <v>2</v>
      </c>
      <c r="Z433" s="3124"/>
      <c r="AA433" s="3124">
        <v>25000</v>
      </c>
      <c r="AB433" t="s">
        <v>1195</v>
      </c>
      <c r="AC433" s="3124"/>
    </row>
    <row r="434" spans="1:29">
      <c r="A434" s="3124">
        <v>433</v>
      </c>
      <c r="B434" s="3124" t="s">
        <v>2525</v>
      </c>
      <c r="C434" s="3124" t="s">
        <v>5188</v>
      </c>
      <c r="D434" s="3124" t="s">
        <v>2826</v>
      </c>
      <c r="E434" t="s">
        <v>2827</v>
      </c>
      <c r="F434" s="3234">
        <v>59306320</v>
      </c>
      <c r="G434" s="3124" t="s">
        <v>5173</v>
      </c>
      <c r="H434" s="3124">
        <v>6</v>
      </c>
      <c r="I434" s="3124">
        <v>6</v>
      </c>
      <c r="J434" s="3124">
        <v>2000</v>
      </c>
      <c r="K434" s="3124">
        <v>0</v>
      </c>
      <c r="L434" s="3124">
        <v>2180</v>
      </c>
      <c r="M434" s="3124" t="s">
        <v>2824</v>
      </c>
      <c r="N434" s="3192">
        <v>44827</v>
      </c>
      <c r="O434" s="3192">
        <v>44980</v>
      </c>
      <c r="P434" s="3192">
        <v>44840</v>
      </c>
      <c r="Q434" s="3192">
        <v>44991</v>
      </c>
      <c r="R434" s="3124" t="s">
        <v>432</v>
      </c>
      <c r="S434" s="3124" t="s">
        <v>2530</v>
      </c>
      <c r="T434" s="3124" t="s">
        <v>2825</v>
      </c>
      <c r="U434" t="s">
        <v>1195</v>
      </c>
      <c r="V434" s="3124">
        <v>5000</v>
      </c>
      <c r="W434" s="3193">
        <v>0.56399999999999995</v>
      </c>
      <c r="X434" s="3124">
        <v>2820</v>
      </c>
      <c r="Y434" s="3124">
        <v>0</v>
      </c>
      <c r="Z434" s="3124">
        <v>6000</v>
      </c>
      <c r="AA434" s="3124">
        <v>25000</v>
      </c>
      <c r="AB434" t="s">
        <v>1195</v>
      </c>
      <c r="AC434" s="3124"/>
    </row>
    <row r="435" spans="1:29">
      <c r="A435" s="3124">
        <v>434</v>
      </c>
      <c r="B435" s="3124" t="s">
        <v>2525</v>
      </c>
      <c r="C435" s="3124" t="s">
        <v>5189</v>
      </c>
      <c r="D435" s="3124" t="s">
        <v>2830</v>
      </c>
      <c r="E435" t="s">
        <v>2831</v>
      </c>
      <c r="F435" s="3234">
        <v>55151366</v>
      </c>
      <c r="G435" s="3124" t="s">
        <v>5174</v>
      </c>
      <c r="H435" s="3124">
        <v>6</v>
      </c>
      <c r="I435" s="3124">
        <v>6</v>
      </c>
      <c r="J435" s="3124">
        <v>2000</v>
      </c>
      <c r="K435" s="3124">
        <v>0</v>
      </c>
      <c r="L435" s="3124">
        <v>2180</v>
      </c>
      <c r="M435" s="3124" t="s">
        <v>2824</v>
      </c>
      <c r="N435" s="3192">
        <v>44827</v>
      </c>
      <c r="O435" s="3192">
        <v>44980</v>
      </c>
      <c r="P435" s="3192">
        <v>44840</v>
      </c>
      <c r="Q435" s="3192">
        <v>44991</v>
      </c>
      <c r="R435" s="3124" t="s">
        <v>432</v>
      </c>
      <c r="S435" s="3124" t="s">
        <v>2530</v>
      </c>
      <c r="T435" s="3124" t="s">
        <v>2825</v>
      </c>
      <c r="U435" t="s">
        <v>1195</v>
      </c>
      <c r="V435" s="3124">
        <v>5000</v>
      </c>
      <c r="W435" s="3193">
        <v>0.56399999999999995</v>
      </c>
      <c r="X435" s="3124">
        <v>2820</v>
      </c>
      <c r="Y435" s="3124">
        <v>0</v>
      </c>
      <c r="Z435" s="3124">
        <v>6000</v>
      </c>
      <c r="AA435" s="3124">
        <v>25000</v>
      </c>
      <c r="AB435" t="s">
        <v>1195</v>
      </c>
      <c r="AC435" s="3124"/>
    </row>
    <row r="436" spans="1:29">
      <c r="A436" s="3124">
        <v>435</v>
      </c>
      <c r="B436" s="3124" t="s">
        <v>1691</v>
      </c>
      <c r="C436" s="3124" t="s">
        <v>5190</v>
      </c>
      <c r="D436" s="3124" t="s">
        <v>2543</v>
      </c>
      <c r="E436" t="s">
        <v>2832</v>
      </c>
      <c r="F436" s="3234">
        <v>54663221</v>
      </c>
      <c r="G436" s="3124" t="s">
        <v>5175</v>
      </c>
      <c r="H436" s="3124">
        <v>16</v>
      </c>
      <c r="I436" s="3124">
        <v>16</v>
      </c>
      <c r="J436" s="3124">
        <v>2000</v>
      </c>
      <c r="K436" s="3124">
        <v>2000</v>
      </c>
      <c r="L436" s="3124">
        <v>654</v>
      </c>
      <c r="M436" s="3124" t="s">
        <v>2824</v>
      </c>
      <c r="N436" s="3192">
        <v>44638</v>
      </c>
      <c r="O436" s="3192">
        <v>45095</v>
      </c>
      <c r="P436" s="3192">
        <v>44687</v>
      </c>
      <c r="Q436" s="3192">
        <v>45144</v>
      </c>
      <c r="R436" s="3124" t="s">
        <v>433</v>
      </c>
      <c r="S436" s="3124" t="s">
        <v>1949</v>
      </c>
      <c r="T436" s="3124" t="s">
        <v>2825</v>
      </c>
      <c r="U436" t="s">
        <v>1761</v>
      </c>
      <c r="V436" s="3124">
        <v>5000</v>
      </c>
      <c r="W436" s="3193">
        <v>0.86919999999999997</v>
      </c>
      <c r="X436" s="3124">
        <v>4346</v>
      </c>
      <c r="Y436" s="3124">
        <v>2</v>
      </c>
      <c r="Z436" s="3124"/>
      <c r="AA436" s="3124">
        <v>25000</v>
      </c>
      <c r="AB436" t="s">
        <v>1195</v>
      </c>
      <c r="AC436" s="3124"/>
    </row>
    <row r="437" spans="1:29">
      <c r="A437" s="3124">
        <v>436</v>
      </c>
      <c r="B437" s="3124" t="s">
        <v>1691</v>
      </c>
      <c r="C437" s="3124" t="s">
        <v>5191</v>
      </c>
      <c r="D437" s="3124" t="s">
        <v>2833</v>
      </c>
      <c r="E437" t="s">
        <v>2834</v>
      </c>
      <c r="F437" s="3234">
        <v>58032005</v>
      </c>
      <c r="G437" s="3124" t="s">
        <v>2835</v>
      </c>
      <c r="H437" s="3124">
        <v>16</v>
      </c>
      <c r="I437" s="3124">
        <v>16</v>
      </c>
      <c r="J437" s="3124">
        <v>2000</v>
      </c>
      <c r="K437" s="3124">
        <v>2000</v>
      </c>
      <c r="L437" s="3124">
        <v>2275</v>
      </c>
      <c r="M437" s="3124" t="s">
        <v>2824</v>
      </c>
      <c r="N437" s="3192">
        <v>44708</v>
      </c>
      <c r="O437" s="3192">
        <v>45165</v>
      </c>
      <c r="P437" s="3192">
        <v>44687</v>
      </c>
      <c r="Q437" s="3192">
        <v>45144</v>
      </c>
      <c r="R437" s="3124" t="s">
        <v>432</v>
      </c>
      <c r="S437" s="3124" t="s">
        <v>1949</v>
      </c>
      <c r="T437" s="3124" t="s">
        <v>2825</v>
      </c>
      <c r="U437" t="s">
        <v>1195</v>
      </c>
      <c r="V437" s="3124">
        <v>7000</v>
      </c>
      <c r="W437" s="3193">
        <v>0.67500000000000004</v>
      </c>
      <c r="X437" s="3124">
        <v>4725</v>
      </c>
      <c r="Y437" s="3124">
        <v>2</v>
      </c>
      <c r="Z437" s="3124"/>
      <c r="AA437" s="3124">
        <v>29000</v>
      </c>
      <c r="AB437" t="s">
        <v>1195</v>
      </c>
      <c r="AC437" s="3124"/>
    </row>
    <row r="438" spans="1:29">
      <c r="A438" s="3124">
        <v>437</v>
      </c>
      <c r="B438" s="3124" t="s">
        <v>1691</v>
      </c>
      <c r="C438" s="3124" t="s">
        <v>5192</v>
      </c>
      <c r="D438" s="3124" t="s">
        <v>2836</v>
      </c>
      <c r="E438" t="s">
        <v>2837</v>
      </c>
      <c r="F438" s="3234">
        <v>37541772</v>
      </c>
      <c r="G438" s="3124" t="s">
        <v>2838</v>
      </c>
      <c r="H438" s="3124">
        <v>16</v>
      </c>
      <c r="I438" s="3124">
        <v>16</v>
      </c>
      <c r="J438" s="3124">
        <v>2000</v>
      </c>
      <c r="K438" s="3124">
        <v>2000</v>
      </c>
      <c r="L438" s="3124">
        <v>2275</v>
      </c>
      <c r="M438" s="3124" t="s">
        <v>2824</v>
      </c>
      <c r="N438" s="3192">
        <v>44638</v>
      </c>
      <c r="O438" s="3192">
        <v>45095</v>
      </c>
      <c r="P438" s="3192">
        <v>44687</v>
      </c>
      <c r="Q438" s="3192">
        <v>45144</v>
      </c>
      <c r="R438" s="3124" t="s">
        <v>432</v>
      </c>
      <c r="S438" s="3124" t="s">
        <v>1949</v>
      </c>
      <c r="T438" s="3124" t="s">
        <v>2825</v>
      </c>
      <c r="U438" t="s">
        <v>1195</v>
      </c>
      <c r="V438" s="3124">
        <v>5000</v>
      </c>
      <c r="W438" s="3193">
        <v>0.54500000000000004</v>
      </c>
      <c r="X438" s="3124">
        <v>2725</v>
      </c>
      <c r="Y438" s="3124">
        <v>2</v>
      </c>
      <c r="Z438" s="3124"/>
      <c r="AA438" s="3124">
        <v>25000</v>
      </c>
      <c r="AB438" t="s">
        <v>1195</v>
      </c>
      <c r="AC438" s="3124"/>
    </row>
    <row r="439" spans="1:29">
      <c r="A439" s="3124">
        <v>438</v>
      </c>
      <c r="B439" s="3124" t="s">
        <v>1691</v>
      </c>
      <c r="C439" s="3124" t="s">
        <v>5193</v>
      </c>
      <c r="D439" s="3124" t="s">
        <v>5078</v>
      </c>
      <c r="E439" t="s">
        <v>2839</v>
      </c>
      <c r="F439" s="3234">
        <v>42192006</v>
      </c>
      <c r="G439" s="3124" t="s">
        <v>2840</v>
      </c>
      <c r="H439" s="3124">
        <v>16</v>
      </c>
      <c r="I439" s="3124">
        <v>16</v>
      </c>
      <c r="J439" s="3124">
        <v>2000</v>
      </c>
      <c r="K439" s="3124">
        <v>2000</v>
      </c>
      <c r="L439" s="3124">
        <v>2275</v>
      </c>
      <c r="M439" s="3124" t="s">
        <v>2824</v>
      </c>
      <c r="N439" s="3192">
        <v>44638</v>
      </c>
      <c r="O439" s="3192">
        <v>45095</v>
      </c>
      <c r="P439" s="3192">
        <v>44687</v>
      </c>
      <c r="Q439" s="3192">
        <v>45144</v>
      </c>
      <c r="R439" s="3124" t="s">
        <v>432</v>
      </c>
      <c r="S439" s="3124" t="s">
        <v>1949</v>
      </c>
      <c r="T439" s="3124" t="s">
        <v>2825</v>
      </c>
      <c r="U439" t="s">
        <v>1195</v>
      </c>
      <c r="V439" s="3124">
        <v>3150</v>
      </c>
      <c r="W439" s="3193">
        <v>0.27777777777777779</v>
      </c>
      <c r="X439" s="3124">
        <v>875</v>
      </c>
      <c r="Y439" s="3124">
        <v>2</v>
      </c>
      <c r="Z439" s="3124"/>
      <c r="AA439" s="3124">
        <v>21000</v>
      </c>
      <c r="AB439" t="s">
        <v>1195</v>
      </c>
      <c r="AC439" s="3124"/>
    </row>
    <row r="440" spans="1:29">
      <c r="A440" s="3124">
        <v>439</v>
      </c>
      <c r="B440" s="3124" t="s">
        <v>1691</v>
      </c>
      <c r="C440" s="3124" t="s">
        <v>5194</v>
      </c>
      <c r="D440" s="3124" t="s">
        <v>2841</v>
      </c>
      <c r="E440" t="s">
        <v>2842</v>
      </c>
      <c r="F440" s="3234">
        <v>36041187</v>
      </c>
      <c r="G440" s="3124" t="s">
        <v>2843</v>
      </c>
      <c r="H440" s="3124">
        <v>16</v>
      </c>
      <c r="I440" s="3124">
        <v>16</v>
      </c>
      <c r="J440" s="3124">
        <v>2000</v>
      </c>
      <c r="K440" s="3124">
        <v>2000</v>
      </c>
      <c r="L440" s="3124">
        <v>2275</v>
      </c>
      <c r="M440" s="3124" t="s">
        <v>2824</v>
      </c>
      <c r="N440" s="3192">
        <v>44708</v>
      </c>
      <c r="O440" s="3192">
        <v>45165</v>
      </c>
      <c r="P440" s="3192">
        <v>44687</v>
      </c>
      <c r="Q440" s="3192">
        <v>45144</v>
      </c>
      <c r="R440" s="3124" t="s">
        <v>432</v>
      </c>
      <c r="S440" s="3124" t="s">
        <v>1949</v>
      </c>
      <c r="T440" s="3124" t="s">
        <v>2825</v>
      </c>
      <c r="U440" t="s">
        <v>2653</v>
      </c>
      <c r="V440" s="3124">
        <v>5000</v>
      </c>
      <c r="W440" s="3193">
        <v>0.54500000000000004</v>
      </c>
      <c r="X440" s="3124">
        <v>2725</v>
      </c>
      <c r="Y440" s="3124">
        <v>2</v>
      </c>
      <c r="Z440" s="3124"/>
      <c r="AA440" s="3124">
        <v>21000</v>
      </c>
      <c r="AB440" t="s">
        <v>2653</v>
      </c>
      <c r="AC440" s="3124"/>
    </row>
    <row r="441" spans="1:29">
      <c r="A441" s="3124">
        <v>440</v>
      </c>
      <c r="B441" s="3124" t="s">
        <v>1691</v>
      </c>
      <c r="C441" s="3124" t="s">
        <v>5195</v>
      </c>
      <c r="D441" s="3124" t="s">
        <v>2844</v>
      </c>
      <c r="E441" t="s">
        <v>2845</v>
      </c>
      <c r="F441" s="3234">
        <v>33998689</v>
      </c>
      <c r="G441" s="3124" t="s">
        <v>2846</v>
      </c>
      <c r="H441" s="3124">
        <v>16</v>
      </c>
      <c r="I441" s="3124">
        <v>16</v>
      </c>
      <c r="J441" s="3124">
        <v>2000</v>
      </c>
      <c r="K441" s="3124">
        <v>2000</v>
      </c>
      <c r="L441" s="3124">
        <v>2275</v>
      </c>
      <c r="M441" s="3124" t="s">
        <v>2824</v>
      </c>
      <c r="N441" s="3192">
        <v>44638</v>
      </c>
      <c r="O441" s="3192">
        <v>45095</v>
      </c>
      <c r="P441" s="3192">
        <v>44687</v>
      </c>
      <c r="Q441" s="3192">
        <v>45144</v>
      </c>
      <c r="R441" s="3124" t="s">
        <v>432</v>
      </c>
      <c r="S441" s="3124" t="s">
        <v>1949</v>
      </c>
      <c r="T441" s="3124" t="s">
        <v>2825</v>
      </c>
      <c r="U441" t="s">
        <v>1761</v>
      </c>
      <c r="V441" s="3124">
        <v>5000</v>
      </c>
      <c r="W441" s="3193">
        <v>0.54500000000000004</v>
      </c>
      <c r="X441" s="3124">
        <v>2725</v>
      </c>
      <c r="Y441" s="3124">
        <v>2</v>
      </c>
      <c r="Z441" s="3124"/>
      <c r="AA441" s="3124">
        <v>25000</v>
      </c>
      <c r="AB441" t="s">
        <v>1195</v>
      </c>
      <c r="AC441" s="3124"/>
    </row>
    <row r="442" spans="1:29">
      <c r="A442" s="3124">
        <v>441</v>
      </c>
      <c r="B442" s="3124" t="s">
        <v>1691</v>
      </c>
      <c r="C442" s="3124" t="s">
        <v>5196</v>
      </c>
      <c r="D442" s="3124" t="s">
        <v>2847</v>
      </c>
      <c r="E442" s="3142" t="s">
        <v>4169</v>
      </c>
      <c r="F442" s="3234">
        <v>56545078</v>
      </c>
      <c r="G442" s="3124" t="s">
        <v>5176</v>
      </c>
      <c r="H442" s="3124">
        <v>16</v>
      </c>
      <c r="I442" s="3124">
        <v>16</v>
      </c>
      <c r="J442" s="3124">
        <v>2000</v>
      </c>
      <c r="K442" s="3124">
        <v>2000</v>
      </c>
      <c r="L442" s="3124">
        <v>2275</v>
      </c>
      <c r="M442" s="3124" t="s">
        <v>2824</v>
      </c>
      <c r="N442" s="3192">
        <v>44708</v>
      </c>
      <c r="O442" s="3192">
        <v>45165</v>
      </c>
      <c r="P442" s="3192">
        <v>44687</v>
      </c>
      <c r="Q442" s="3192">
        <v>45144</v>
      </c>
      <c r="R442" s="3124" t="s">
        <v>433</v>
      </c>
      <c r="S442" s="3124" t="s">
        <v>1949</v>
      </c>
      <c r="T442" s="3124" t="s">
        <v>2825</v>
      </c>
      <c r="U442" t="s">
        <v>1195</v>
      </c>
      <c r="V442" s="3124">
        <v>5000</v>
      </c>
      <c r="W442" s="3193">
        <v>0.54500000000000004</v>
      </c>
      <c r="X442" s="3124">
        <v>2725</v>
      </c>
      <c r="Y442" s="3124">
        <v>2</v>
      </c>
      <c r="Z442" s="3124"/>
      <c r="AA442" s="3124">
        <v>21000</v>
      </c>
      <c r="AB442" t="s">
        <v>1195</v>
      </c>
      <c r="AC442" s="3124"/>
    </row>
    <row r="443" spans="1:29">
      <c r="A443" s="3124">
        <v>442</v>
      </c>
      <c r="B443" s="3124" t="s">
        <v>1691</v>
      </c>
      <c r="C443" s="3124" t="s">
        <v>5197</v>
      </c>
      <c r="D443" s="3124" t="s">
        <v>2848</v>
      </c>
      <c r="E443" t="s">
        <v>2849</v>
      </c>
      <c r="F443" s="3234">
        <v>50304466</v>
      </c>
      <c r="G443" s="3124" t="s">
        <v>2850</v>
      </c>
      <c r="H443" s="3124">
        <v>16</v>
      </c>
      <c r="I443" s="3124">
        <v>16</v>
      </c>
      <c r="J443" s="3124">
        <v>2000</v>
      </c>
      <c r="K443" s="3124">
        <v>2000</v>
      </c>
      <c r="L443" s="3124">
        <v>2275</v>
      </c>
      <c r="M443" s="3124" t="s">
        <v>2824</v>
      </c>
      <c r="N443" s="3192">
        <v>44638</v>
      </c>
      <c r="O443" s="3192">
        <v>45095</v>
      </c>
      <c r="P443" s="3192">
        <v>44687</v>
      </c>
      <c r="Q443" s="3192">
        <v>45144</v>
      </c>
      <c r="R443" s="3124" t="s">
        <v>433</v>
      </c>
      <c r="S443" s="3124" t="s">
        <v>1949</v>
      </c>
      <c r="T443" s="3124" t="s">
        <v>2825</v>
      </c>
      <c r="U443" t="s">
        <v>1195</v>
      </c>
      <c r="V443" s="3124">
        <v>5000</v>
      </c>
      <c r="W443" s="3193">
        <v>0.54500000000000004</v>
      </c>
      <c r="X443" s="3124">
        <v>2725</v>
      </c>
      <c r="Y443" s="3124">
        <v>2</v>
      </c>
      <c r="Z443" s="3124"/>
      <c r="AA443" s="3124">
        <v>21000</v>
      </c>
      <c r="AB443" t="s">
        <v>1195</v>
      </c>
      <c r="AC443" s="3124"/>
    </row>
    <row r="444" spans="1:29">
      <c r="A444" s="3124">
        <v>443</v>
      </c>
      <c r="B444" s="3124" t="s">
        <v>1691</v>
      </c>
      <c r="C444" s="3124" t="s">
        <v>2851</v>
      </c>
      <c r="D444" s="3124" t="s">
        <v>2852</v>
      </c>
      <c r="E444" t="s">
        <v>2853</v>
      </c>
      <c r="F444" s="3234">
        <v>42671244</v>
      </c>
      <c r="G444" s="3124" t="s">
        <v>5177</v>
      </c>
      <c r="H444" s="3124">
        <v>16</v>
      </c>
      <c r="I444" s="3124">
        <v>16</v>
      </c>
      <c r="J444" s="3124">
        <v>2000</v>
      </c>
      <c r="K444" s="3124">
        <v>2000</v>
      </c>
      <c r="L444" s="3124">
        <v>2275</v>
      </c>
      <c r="M444" s="3124" t="s">
        <v>2824</v>
      </c>
      <c r="N444" s="3192">
        <v>44638</v>
      </c>
      <c r="O444" s="3192">
        <v>45095</v>
      </c>
      <c r="P444" s="3192">
        <v>44687</v>
      </c>
      <c r="Q444" s="3192">
        <v>45144</v>
      </c>
      <c r="R444" s="3124" t="s">
        <v>433</v>
      </c>
      <c r="S444" s="3124" t="s">
        <v>1949</v>
      </c>
      <c r="T444" s="3124" t="s">
        <v>2825</v>
      </c>
      <c r="U444" t="s">
        <v>1195</v>
      </c>
      <c r="V444" s="3124">
        <v>5000</v>
      </c>
      <c r="W444" s="3193">
        <v>0.54500000000000004</v>
      </c>
      <c r="X444" s="3124">
        <v>2725</v>
      </c>
      <c r="Y444" s="3124">
        <v>2</v>
      </c>
      <c r="Z444" s="3124"/>
      <c r="AA444" s="3124">
        <v>21000</v>
      </c>
      <c r="AB444" t="s">
        <v>1195</v>
      </c>
      <c r="AC444" s="3124"/>
    </row>
    <row r="445" spans="1:29">
      <c r="A445" s="3124">
        <v>444</v>
      </c>
      <c r="B445" s="3124" t="s">
        <v>1691</v>
      </c>
      <c r="C445" s="3124" t="s">
        <v>2854</v>
      </c>
      <c r="D445" s="3124" t="s">
        <v>2855</v>
      </c>
      <c r="E445" t="s">
        <v>2856</v>
      </c>
      <c r="F445" s="3234">
        <v>55318236</v>
      </c>
      <c r="G445" s="3124" t="s">
        <v>2857</v>
      </c>
      <c r="H445" s="3124">
        <v>16</v>
      </c>
      <c r="I445" s="3124">
        <v>16</v>
      </c>
      <c r="J445" s="3124">
        <v>2000</v>
      </c>
      <c r="K445" s="3124">
        <v>2000</v>
      </c>
      <c r="L445" s="3124">
        <v>2275</v>
      </c>
      <c r="M445" s="3124" t="s">
        <v>2824</v>
      </c>
      <c r="N445" s="3192">
        <v>44638</v>
      </c>
      <c r="O445" s="3192">
        <v>45095</v>
      </c>
      <c r="P445" s="3192">
        <v>44687</v>
      </c>
      <c r="Q445" s="3192">
        <v>45144</v>
      </c>
      <c r="R445" s="3124" t="s">
        <v>433</v>
      </c>
      <c r="S445" s="3124" t="s">
        <v>1949</v>
      </c>
      <c r="T445" s="3124" t="s">
        <v>2825</v>
      </c>
      <c r="U445" t="s">
        <v>1195</v>
      </c>
      <c r="V445" s="3124">
        <v>5000</v>
      </c>
      <c r="W445" s="3193">
        <v>0.54500000000000004</v>
      </c>
      <c r="X445" s="3124">
        <v>2725</v>
      </c>
      <c r="Y445" s="3124">
        <v>2</v>
      </c>
      <c r="Z445" s="3124"/>
      <c r="AA445" s="3124">
        <v>21000</v>
      </c>
      <c r="AB445" t="s">
        <v>1195</v>
      </c>
      <c r="AC445" s="3124"/>
    </row>
    <row r="446" spans="1:29">
      <c r="A446" s="3124">
        <v>445</v>
      </c>
      <c r="B446" s="3124" t="s">
        <v>1625</v>
      </c>
      <c r="C446" s="3217" t="s">
        <v>2858</v>
      </c>
      <c r="D446" s="3124" t="s">
        <v>2859</v>
      </c>
      <c r="E446" s="3184" t="s">
        <v>2860</v>
      </c>
      <c r="F446" s="3802" t="s">
        <v>2861</v>
      </c>
      <c r="G446" s="3124" t="s">
        <v>5178</v>
      </c>
      <c r="H446" s="3124">
        <v>20</v>
      </c>
      <c r="I446" s="3124">
        <v>20</v>
      </c>
      <c r="J446" s="3124" t="s">
        <v>1948</v>
      </c>
      <c r="K446" s="3124">
        <v>3000</v>
      </c>
      <c r="L446" s="3124">
        <v>3497</v>
      </c>
      <c r="M446" s="3124" t="s">
        <v>1247</v>
      </c>
      <c r="N446" s="3192">
        <v>44856</v>
      </c>
      <c r="O446" s="3192">
        <v>45434</v>
      </c>
      <c r="P446" s="3192">
        <v>44851</v>
      </c>
      <c r="Q446" s="3192">
        <v>45429</v>
      </c>
      <c r="R446" s="3124" t="s">
        <v>433</v>
      </c>
      <c r="S446" s="3124" t="s">
        <v>1690</v>
      </c>
      <c r="T446" s="3124" t="s">
        <v>1850</v>
      </c>
      <c r="U446" t="s">
        <v>1761</v>
      </c>
      <c r="V446" s="3124">
        <v>6700</v>
      </c>
      <c r="W446" s="3193">
        <v>0.47805970149253729</v>
      </c>
      <c r="X446" s="3124">
        <v>3203</v>
      </c>
      <c r="Y446" s="3124">
        <v>1</v>
      </c>
      <c r="Z446" s="3124"/>
      <c r="AA446" s="3124">
        <v>29000</v>
      </c>
      <c r="AB446" t="s">
        <v>1195</v>
      </c>
      <c r="AC446" s="3124"/>
    </row>
    <row r="447" spans="1:29">
      <c r="A447" s="3124">
        <v>446</v>
      </c>
      <c r="B447" s="3124" t="s">
        <v>1625</v>
      </c>
      <c r="C447" s="3124" t="s">
        <v>2862</v>
      </c>
      <c r="D447" s="3124" t="s">
        <v>2863</v>
      </c>
      <c r="E447" t="s">
        <v>2864</v>
      </c>
      <c r="F447" s="3234">
        <v>6671840234</v>
      </c>
      <c r="G447" s="3124" t="s">
        <v>5179</v>
      </c>
      <c r="H447" s="3124">
        <v>1</v>
      </c>
      <c r="I447" s="3124">
        <v>20</v>
      </c>
      <c r="J447" s="3124" t="s">
        <v>1948</v>
      </c>
      <c r="K447" s="3124">
        <v>3000</v>
      </c>
      <c r="L447" s="3124">
        <v>3350</v>
      </c>
      <c r="M447" s="3124" t="s">
        <v>1247</v>
      </c>
      <c r="N447" s="3192">
        <v>44891</v>
      </c>
      <c r="O447" s="3192">
        <v>45469</v>
      </c>
      <c r="P447" s="3192">
        <v>44860</v>
      </c>
      <c r="Q447" s="3192">
        <v>44860</v>
      </c>
      <c r="R447" s="3124" t="s">
        <v>432</v>
      </c>
      <c r="S447" s="3124" t="s">
        <v>1690</v>
      </c>
      <c r="T447" s="3124" t="s">
        <v>1850</v>
      </c>
      <c r="U447" t="s">
        <v>1195</v>
      </c>
      <c r="V447" s="3124">
        <v>6700</v>
      </c>
      <c r="W447" s="3193">
        <v>0.5</v>
      </c>
      <c r="X447" s="3124">
        <v>3350</v>
      </c>
      <c r="Y447" s="3124">
        <v>1</v>
      </c>
      <c r="Z447" s="3124"/>
      <c r="AA447" s="3124">
        <v>29000</v>
      </c>
      <c r="AB447" t="s">
        <v>1195</v>
      </c>
      <c r="AC447" s="3124"/>
    </row>
    <row r="448" spans="1:29">
      <c r="A448" s="3124">
        <v>447</v>
      </c>
      <c r="B448" s="3124" t="s">
        <v>2865</v>
      </c>
      <c r="C448" s="3124" t="s">
        <v>5198</v>
      </c>
      <c r="D448" s="3124" t="s">
        <v>2866</v>
      </c>
      <c r="E448" t="s">
        <v>2867</v>
      </c>
      <c r="F448" s="3234">
        <v>9985773007</v>
      </c>
      <c r="G448" s="3124" t="s">
        <v>5180</v>
      </c>
      <c r="H448" s="3124">
        <v>1</v>
      </c>
      <c r="I448" s="3124">
        <v>1</v>
      </c>
      <c r="J448" s="3124" t="s">
        <v>1948</v>
      </c>
      <c r="K448" s="3124"/>
      <c r="L448" s="3124">
        <v>1350</v>
      </c>
      <c r="M448" s="3124" t="s">
        <v>2868</v>
      </c>
      <c r="N448" s="3192">
        <v>44883</v>
      </c>
      <c r="O448" s="3192">
        <v>44883</v>
      </c>
      <c r="P448" s="3192">
        <v>44883</v>
      </c>
      <c r="Q448" s="3192">
        <v>44883</v>
      </c>
      <c r="R448" s="3124" t="s">
        <v>432</v>
      </c>
      <c r="S448" s="3124" t="s">
        <v>4630</v>
      </c>
      <c r="T448" s="3124" t="s">
        <v>1850</v>
      </c>
      <c r="U448" t="s">
        <v>1761</v>
      </c>
      <c r="V448" s="3124"/>
      <c r="W448" s="3193"/>
      <c r="X448" s="3124">
        <v>-1350</v>
      </c>
      <c r="Y448" s="3124"/>
      <c r="Z448" s="3124"/>
      <c r="AA448" s="3124"/>
      <c r="AB448" t="s">
        <v>1195</v>
      </c>
      <c r="AC448" s="3124"/>
    </row>
    <row r="449" spans="1:29">
      <c r="A449" s="3124">
        <v>448</v>
      </c>
      <c r="B449" s="3124" t="s">
        <v>2865</v>
      </c>
      <c r="C449" s="3124" t="s">
        <v>5199</v>
      </c>
      <c r="D449" s="3124" t="s">
        <v>2866</v>
      </c>
      <c r="E449" t="s">
        <v>2869</v>
      </c>
      <c r="F449" s="3234">
        <v>9985773007</v>
      </c>
      <c r="G449" s="3124" t="s">
        <v>5181</v>
      </c>
      <c r="H449" s="3124">
        <v>1</v>
      </c>
      <c r="I449" s="3124">
        <v>1</v>
      </c>
      <c r="J449" s="3124" t="s">
        <v>1948</v>
      </c>
      <c r="K449" s="3124"/>
      <c r="L449" s="3124">
        <v>1350</v>
      </c>
      <c r="M449" s="3124" t="s">
        <v>2868</v>
      </c>
      <c r="N449" s="3192">
        <v>44883</v>
      </c>
      <c r="O449" s="3192">
        <v>44883</v>
      </c>
      <c r="P449" s="3192">
        <v>44883</v>
      </c>
      <c r="Q449" s="3192">
        <v>44883</v>
      </c>
      <c r="R449" s="3124" t="s">
        <v>433</v>
      </c>
      <c r="S449" s="3124" t="s">
        <v>4630</v>
      </c>
      <c r="T449" s="3124" t="s">
        <v>1850</v>
      </c>
      <c r="U449" t="s">
        <v>1761</v>
      </c>
      <c r="V449" s="3124"/>
      <c r="W449" s="3193"/>
      <c r="X449" s="3124">
        <v>-1350</v>
      </c>
      <c r="Y449" s="3124"/>
      <c r="Z449" s="3124"/>
      <c r="AA449" s="3124"/>
      <c r="AB449" t="s">
        <v>1195</v>
      </c>
      <c r="AC449" s="3124"/>
    </row>
    <row r="450" spans="1:29">
      <c r="A450" s="3124">
        <v>449</v>
      </c>
      <c r="B450" s="3124" t="s">
        <v>2865</v>
      </c>
      <c r="C450" s="3124" t="s">
        <v>5200</v>
      </c>
      <c r="D450" s="3124" t="s">
        <v>2866</v>
      </c>
      <c r="E450" t="s">
        <v>2870</v>
      </c>
      <c r="F450" s="3234">
        <v>9985773007</v>
      </c>
      <c r="G450" s="3124"/>
      <c r="H450" s="3124">
        <v>1</v>
      </c>
      <c r="I450" s="3124">
        <v>1</v>
      </c>
      <c r="J450" s="3124" t="s">
        <v>1948</v>
      </c>
      <c r="K450" s="3124"/>
      <c r="L450" s="3124">
        <v>1350</v>
      </c>
      <c r="M450" s="3124" t="s">
        <v>2868</v>
      </c>
      <c r="N450" s="3192">
        <v>44883</v>
      </c>
      <c r="O450" s="3192">
        <v>44883</v>
      </c>
      <c r="P450" s="3192">
        <v>44883</v>
      </c>
      <c r="Q450" s="3192">
        <v>44883</v>
      </c>
      <c r="R450" s="3124" t="s">
        <v>433</v>
      </c>
      <c r="S450" s="3124" t="s">
        <v>4630</v>
      </c>
      <c r="T450" s="3124" t="s">
        <v>1850</v>
      </c>
      <c r="U450" t="s">
        <v>1761</v>
      </c>
      <c r="V450" s="3124"/>
      <c r="W450" s="3193"/>
      <c r="X450" s="3124">
        <v>-1350</v>
      </c>
      <c r="Y450" s="3124"/>
      <c r="Z450" s="3124"/>
      <c r="AA450" s="3124"/>
      <c r="AB450" t="s">
        <v>1195</v>
      </c>
      <c r="AC450" s="3124"/>
    </row>
    <row r="451" spans="1:29">
      <c r="A451" s="3124">
        <v>450</v>
      </c>
      <c r="B451" s="3124" t="s">
        <v>2865</v>
      </c>
      <c r="C451" s="3124" t="s">
        <v>5201</v>
      </c>
      <c r="D451" s="3124" t="s">
        <v>2866</v>
      </c>
      <c r="E451" t="s">
        <v>2871</v>
      </c>
      <c r="F451" s="3234">
        <v>9985773007</v>
      </c>
      <c r="G451" s="3124" t="s">
        <v>2882</v>
      </c>
      <c r="H451" s="3124">
        <v>1</v>
      </c>
      <c r="I451" s="3124">
        <v>1</v>
      </c>
      <c r="J451" s="3124" t="s">
        <v>1948</v>
      </c>
      <c r="K451" s="3124"/>
      <c r="L451" s="3124">
        <v>1350</v>
      </c>
      <c r="M451" s="3124" t="s">
        <v>2868</v>
      </c>
      <c r="N451" s="3192">
        <v>44883</v>
      </c>
      <c r="O451" s="3192">
        <v>44883</v>
      </c>
      <c r="P451" s="3192">
        <v>44883</v>
      </c>
      <c r="Q451" s="3192">
        <v>44883</v>
      </c>
      <c r="R451" s="3124" t="s">
        <v>432</v>
      </c>
      <c r="S451" s="3124" t="s">
        <v>4630</v>
      </c>
      <c r="T451" s="3124" t="s">
        <v>1850</v>
      </c>
      <c r="U451" t="s">
        <v>1761</v>
      </c>
      <c r="V451" s="3124"/>
      <c r="W451" s="3193"/>
      <c r="X451" s="3124">
        <v>-1350</v>
      </c>
      <c r="Y451" s="3124"/>
      <c r="Z451" s="3124"/>
      <c r="AA451" s="3124"/>
      <c r="AB451" t="s">
        <v>1195</v>
      </c>
      <c r="AC451" s="3124"/>
    </row>
    <row r="452" spans="1:29">
      <c r="A452" s="3124">
        <v>451</v>
      </c>
      <c r="B452" s="3124" t="s">
        <v>1123</v>
      </c>
      <c r="C452" s="3124" t="s">
        <v>5202</v>
      </c>
      <c r="D452" s="3124" t="s">
        <v>2872</v>
      </c>
      <c r="E452" t="s">
        <v>2873</v>
      </c>
      <c r="F452" s="3234">
        <v>56304110</v>
      </c>
      <c r="G452" s="3124" t="s">
        <v>5172</v>
      </c>
      <c r="H452" s="3124">
        <v>4</v>
      </c>
      <c r="I452" s="3124">
        <v>4</v>
      </c>
      <c r="J452" s="3124">
        <v>2000</v>
      </c>
      <c r="K452" s="3124"/>
      <c r="L452" s="3124">
        <v>5500</v>
      </c>
      <c r="M452" s="3124" t="s">
        <v>1114</v>
      </c>
      <c r="N452" s="3192">
        <v>44686</v>
      </c>
      <c r="O452" s="3192">
        <v>44778</v>
      </c>
      <c r="P452" s="3192">
        <v>44749</v>
      </c>
      <c r="Q452" s="3192">
        <v>44841</v>
      </c>
      <c r="R452" s="3124" t="s">
        <v>433</v>
      </c>
      <c r="S452" s="3124" t="s">
        <v>1939</v>
      </c>
      <c r="T452" s="3124" t="s">
        <v>2825</v>
      </c>
      <c r="U452" t="s">
        <v>1195</v>
      </c>
      <c r="V452" s="3124">
        <v>6700</v>
      </c>
      <c r="W452" s="3193">
        <v>0.17910447761194029</v>
      </c>
      <c r="X452" s="3124">
        <v>1200</v>
      </c>
      <c r="Y452" s="3124">
        <v>1</v>
      </c>
      <c r="Z452" s="3124">
        <v>8000</v>
      </c>
      <c r="AA452" s="3124">
        <v>29000</v>
      </c>
      <c r="AB452" t="s">
        <v>1195</v>
      </c>
      <c r="AC452" s="3124"/>
    </row>
    <row r="453" spans="1:29">
      <c r="A453" s="3124">
        <v>452</v>
      </c>
      <c r="B453" s="3124" t="s">
        <v>4513</v>
      </c>
      <c r="C453" s="3124" t="s">
        <v>5203</v>
      </c>
      <c r="D453" s="3124" t="s">
        <v>2874</v>
      </c>
      <c r="E453" t="s">
        <v>2875</v>
      </c>
      <c r="F453" s="3234">
        <v>51351096</v>
      </c>
      <c r="G453" s="3124" t="s">
        <v>5173</v>
      </c>
      <c r="H453" s="3124">
        <v>20</v>
      </c>
      <c r="I453" s="3124">
        <v>20</v>
      </c>
      <c r="J453" s="3124">
        <v>3000</v>
      </c>
      <c r="K453" s="3124">
        <v>2500</v>
      </c>
      <c r="L453" s="3124">
        <v>3350</v>
      </c>
      <c r="M453" s="3124" t="s">
        <v>2876</v>
      </c>
      <c r="N453" s="3192">
        <v>44686</v>
      </c>
      <c r="O453" s="3192">
        <v>45265</v>
      </c>
      <c r="P453" s="3192">
        <v>44749</v>
      </c>
      <c r="Q453" s="3192">
        <v>45329</v>
      </c>
      <c r="R453" s="3124" t="s">
        <v>432</v>
      </c>
      <c r="S453" s="3124" t="s">
        <v>1690</v>
      </c>
      <c r="T453" s="3124" t="s">
        <v>2825</v>
      </c>
      <c r="U453" t="s">
        <v>1761</v>
      </c>
      <c r="V453" s="3124">
        <v>6700</v>
      </c>
      <c r="W453" s="3193">
        <v>0.5</v>
      </c>
      <c r="X453" s="3124">
        <v>3350</v>
      </c>
      <c r="Y453" s="3124">
        <v>1</v>
      </c>
      <c r="Z453" s="3124"/>
      <c r="AA453" s="3124">
        <v>29000</v>
      </c>
      <c r="AB453" t="s">
        <v>1195</v>
      </c>
      <c r="AC453" s="3124"/>
    </row>
    <row r="454" spans="1:29">
      <c r="A454" s="3124">
        <v>453</v>
      </c>
      <c r="B454" s="3124" t="s">
        <v>1691</v>
      </c>
      <c r="C454" s="3124" t="s">
        <v>2877</v>
      </c>
      <c r="D454" s="3124" t="s">
        <v>2878</v>
      </c>
      <c r="E454" t="s">
        <v>2879</v>
      </c>
      <c r="F454" s="3234">
        <v>55566307</v>
      </c>
      <c r="G454" s="3124" t="s">
        <v>5174</v>
      </c>
      <c r="H454" s="3124">
        <v>16</v>
      </c>
      <c r="I454" s="3124">
        <v>16</v>
      </c>
      <c r="J454" s="3124">
        <v>2000</v>
      </c>
      <c r="K454" s="3124">
        <v>2000</v>
      </c>
      <c r="L454" s="3124">
        <v>2180</v>
      </c>
      <c r="M454" s="3124" t="s">
        <v>2824</v>
      </c>
      <c r="N454" s="3192">
        <v>44638</v>
      </c>
      <c r="O454" s="3192">
        <v>45095</v>
      </c>
      <c r="P454" s="3192">
        <v>45248</v>
      </c>
      <c r="Q454" s="3192">
        <v>45706</v>
      </c>
      <c r="R454" s="3124" t="s">
        <v>433</v>
      </c>
      <c r="S454" s="3124" t="s">
        <v>1949</v>
      </c>
      <c r="T454" s="3124" t="s">
        <v>2825</v>
      </c>
      <c r="U454" t="s">
        <v>1195</v>
      </c>
      <c r="V454" s="3124">
        <v>5000</v>
      </c>
      <c r="W454" s="3193">
        <v>0.56399999999999995</v>
      </c>
      <c r="X454" s="3124">
        <v>2820</v>
      </c>
      <c r="Y454" s="3124">
        <v>2</v>
      </c>
      <c r="Z454" s="3124"/>
      <c r="AA454" s="3124">
        <v>25000</v>
      </c>
      <c r="AB454" t="s">
        <v>1195</v>
      </c>
      <c r="AC454" s="3124"/>
    </row>
    <row r="455" spans="1:29">
      <c r="A455" s="3124">
        <v>454</v>
      </c>
      <c r="B455" s="3124" t="s">
        <v>1691</v>
      </c>
      <c r="C455" s="3124" t="s">
        <v>3941</v>
      </c>
      <c r="D455" s="3124" t="s">
        <v>3928</v>
      </c>
      <c r="E455" t="s">
        <v>2880</v>
      </c>
      <c r="F455" s="3234">
        <v>56331092</v>
      </c>
      <c r="G455" s="3124" t="s">
        <v>5175</v>
      </c>
      <c r="H455" s="3124">
        <v>16</v>
      </c>
      <c r="I455" s="3124">
        <v>16</v>
      </c>
      <c r="J455" s="3124">
        <v>2000</v>
      </c>
      <c r="K455" s="3124">
        <v>2000</v>
      </c>
      <c r="L455" s="3124">
        <v>654</v>
      </c>
      <c r="M455" s="3124" t="s">
        <v>2824</v>
      </c>
      <c r="N455" s="3192">
        <v>44638</v>
      </c>
      <c r="O455" s="3192">
        <v>45095</v>
      </c>
      <c r="P455" s="3192">
        <v>45248</v>
      </c>
      <c r="Q455" s="3192">
        <v>45706</v>
      </c>
      <c r="R455" s="3124" t="s">
        <v>433</v>
      </c>
      <c r="S455" s="3124" t="s">
        <v>1949</v>
      </c>
      <c r="T455" s="3124" t="s">
        <v>2825</v>
      </c>
      <c r="U455" t="s">
        <v>1761</v>
      </c>
      <c r="V455" s="3124">
        <v>5000</v>
      </c>
      <c r="W455" s="3193">
        <v>0.86919999999999997</v>
      </c>
      <c r="X455" s="3124">
        <v>4346</v>
      </c>
      <c r="Y455" s="3124">
        <v>2</v>
      </c>
      <c r="Z455" s="3124"/>
      <c r="AA455" s="3124">
        <v>25000</v>
      </c>
      <c r="AB455" t="s">
        <v>1195</v>
      </c>
      <c r="AC455" s="3124"/>
    </row>
    <row r="456" spans="1:29">
      <c r="A456" s="3124">
        <v>455</v>
      </c>
      <c r="B456" s="3124" t="s">
        <v>1691</v>
      </c>
      <c r="C456" s="3124"/>
      <c r="D456" s="3124" t="s">
        <v>221</v>
      </c>
      <c r="E456" t="s">
        <v>2881</v>
      </c>
      <c r="F456" s="3234"/>
      <c r="G456" s="3124" t="s">
        <v>2835</v>
      </c>
      <c r="H456" s="3124">
        <v>20</v>
      </c>
      <c r="I456" s="3124">
        <v>20</v>
      </c>
      <c r="J456" s="3124">
        <v>2000</v>
      </c>
      <c r="K456" s="3124">
        <v>2000</v>
      </c>
      <c r="L456" s="3124">
        <v>2180</v>
      </c>
      <c r="M456" s="3124" t="s">
        <v>2824</v>
      </c>
      <c r="N456" s="3192">
        <v>44809</v>
      </c>
      <c r="O456" s="3192">
        <v>45387</v>
      </c>
      <c r="P456" s="3192">
        <v>44907</v>
      </c>
      <c r="Q456" s="3192">
        <v>45485</v>
      </c>
      <c r="R456" s="3124" t="s">
        <v>2573</v>
      </c>
      <c r="S456" s="3124" t="s">
        <v>1949</v>
      </c>
      <c r="T456" s="3124" t="s">
        <v>2825</v>
      </c>
      <c r="U456" t="s">
        <v>2653</v>
      </c>
      <c r="V456" s="3124"/>
      <c r="W456" s="3193"/>
      <c r="X456" s="3124"/>
      <c r="Y456" s="3124"/>
      <c r="Z456" s="3124"/>
      <c r="AA456" s="3124"/>
      <c r="AB456" t="s">
        <v>2653</v>
      </c>
      <c r="AC456" s="3124"/>
    </row>
    <row r="457" spans="1:29">
      <c r="A457" s="3124">
        <v>456</v>
      </c>
      <c r="B457" s="3124" t="s">
        <v>1691</v>
      </c>
      <c r="C457" s="3124" t="s">
        <v>3942</v>
      </c>
      <c r="D457" s="3124" t="s">
        <v>4631</v>
      </c>
      <c r="E457" t="s">
        <v>4632</v>
      </c>
      <c r="F457" s="3234">
        <v>59753249</v>
      </c>
      <c r="G457" s="3124" t="s">
        <v>2882</v>
      </c>
      <c r="H457" s="3124">
        <v>16</v>
      </c>
      <c r="I457" s="3124">
        <v>16</v>
      </c>
      <c r="J457" s="3124">
        <v>2000</v>
      </c>
      <c r="K457" s="3124">
        <v>2000</v>
      </c>
      <c r="L457" s="3124">
        <v>654</v>
      </c>
      <c r="M457" s="3124" t="s">
        <v>2824</v>
      </c>
      <c r="N457" s="3192">
        <v>44809</v>
      </c>
      <c r="O457" s="3192">
        <v>45265</v>
      </c>
      <c r="P457" s="3192">
        <v>44907</v>
      </c>
      <c r="Q457" s="3192">
        <v>45363</v>
      </c>
      <c r="R457" s="3124" t="s">
        <v>432</v>
      </c>
      <c r="S457" s="3124" t="s">
        <v>1949</v>
      </c>
      <c r="T457" s="3124" t="s">
        <v>2825</v>
      </c>
      <c r="U457" t="s">
        <v>1761</v>
      </c>
      <c r="V457" s="3124">
        <v>5000</v>
      </c>
      <c r="W457" s="3193">
        <v>0.86919999999999997</v>
      </c>
      <c r="X457" s="3124">
        <v>4346</v>
      </c>
      <c r="Y457" s="3124">
        <v>2</v>
      </c>
      <c r="Z457" s="3124"/>
      <c r="AA457" s="3124">
        <v>25000</v>
      </c>
      <c r="AB457" t="s">
        <v>1195</v>
      </c>
      <c r="AC457" s="3124"/>
    </row>
    <row r="458" spans="1:29">
      <c r="A458" s="3124">
        <v>457</v>
      </c>
      <c r="B458" s="3124" t="s">
        <v>2525</v>
      </c>
      <c r="C458" s="3124" t="s">
        <v>5204</v>
      </c>
      <c r="D458" s="3124" t="s">
        <v>2883</v>
      </c>
      <c r="E458" t="s">
        <v>2884</v>
      </c>
      <c r="F458" s="3234">
        <v>51308822</v>
      </c>
      <c r="G458" s="3124" t="s">
        <v>5205</v>
      </c>
      <c r="H458" s="3124">
        <v>6</v>
      </c>
      <c r="I458" s="3124">
        <v>6</v>
      </c>
      <c r="J458" s="3124">
        <v>2000</v>
      </c>
      <c r="K458" s="3124">
        <v>0</v>
      </c>
      <c r="L458" s="3124">
        <v>2180</v>
      </c>
      <c r="M458" s="3124" t="s">
        <v>2824</v>
      </c>
      <c r="N458" s="3192">
        <v>44827</v>
      </c>
      <c r="O458" s="3192">
        <v>44980</v>
      </c>
      <c r="P458" s="3192">
        <v>45069</v>
      </c>
      <c r="Q458" s="3192">
        <v>45222</v>
      </c>
      <c r="R458" s="3124" t="s">
        <v>432</v>
      </c>
      <c r="S458" s="3124" t="s">
        <v>2530</v>
      </c>
      <c r="T458" s="3124" t="s">
        <v>2825</v>
      </c>
      <c r="U458" t="s">
        <v>1195</v>
      </c>
      <c r="V458" s="3124">
        <v>5000</v>
      </c>
      <c r="W458" s="3193">
        <v>0.56399999999999995</v>
      </c>
      <c r="X458" s="3124">
        <v>2820</v>
      </c>
      <c r="Y458" s="3124">
        <v>2</v>
      </c>
      <c r="Z458" s="3124">
        <v>6000</v>
      </c>
      <c r="AA458" s="3124">
        <v>25000</v>
      </c>
      <c r="AB458" t="s">
        <v>1195</v>
      </c>
      <c r="AC458" s="3124"/>
    </row>
    <row r="459" spans="1:29">
      <c r="A459" s="3124">
        <v>458</v>
      </c>
      <c r="B459" s="3124" t="s">
        <v>2885</v>
      </c>
      <c r="C459" s="3124" t="s">
        <v>913</v>
      </c>
      <c r="D459" s="3124"/>
      <c r="E459" s="3155" t="s">
        <v>914</v>
      </c>
      <c r="F459" s="3234">
        <v>998994481</v>
      </c>
      <c r="G459" s="3190" t="s">
        <v>5206</v>
      </c>
      <c r="H459" s="3124">
        <v>6</v>
      </c>
      <c r="I459" s="3124">
        <v>6</v>
      </c>
      <c r="J459" s="3124">
        <v>0</v>
      </c>
      <c r="K459" s="3124">
        <v>0</v>
      </c>
      <c r="L459" s="3124">
        <v>0</v>
      </c>
      <c r="M459" s="3124" t="s">
        <v>2886</v>
      </c>
      <c r="N459" s="3192">
        <v>45210</v>
      </c>
      <c r="O459" s="3192">
        <v>45362</v>
      </c>
      <c r="P459" s="3192">
        <v>45215</v>
      </c>
      <c r="Q459" s="3192">
        <v>45367</v>
      </c>
      <c r="R459" s="3124" t="s">
        <v>432</v>
      </c>
      <c r="S459" s="3124" t="s">
        <v>4633</v>
      </c>
      <c r="T459" s="3124" t="s">
        <v>2887</v>
      </c>
      <c r="U459" t="s">
        <v>1195</v>
      </c>
      <c r="V459" s="3124">
        <v>5000</v>
      </c>
      <c r="W459" s="3193">
        <v>1</v>
      </c>
      <c r="X459" s="3124">
        <v>5000</v>
      </c>
      <c r="Y459" s="3124"/>
      <c r="Z459" s="3124"/>
      <c r="AA459" s="3124"/>
      <c r="AB459" t="s">
        <v>1195</v>
      </c>
      <c r="AC459" s="3124"/>
    </row>
    <row r="460" spans="1:29">
      <c r="A460" s="3124">
        <v>459</v>
      </c>
      <c r="B460" s="3124" t="s">
        <v>1691</v>
      </c>
      <c r="C460" s="3124" t="s">
        <v>2888</v>
      </c>
      <c r="D460" s="3124" t="s">
        <v>2889</v>
      </c>
      <c r="E460" t="s">
        <v>2890</v>
      </c>
      <c r="F460" s="3234">
        <v>9831589077</v>
      </c>
      <c r="G460" s="3124" t="s">
        <v>5207</v>
      </c>
      <c r="H460" s="3124">
        <v>16</v>
      </c>
      <c r="I460" s="3124">
        <v>16</v>
      </c>
      <c r="J460" s="3124">
        <v>1000</v>
      </c>
      <c r="K460" s="3124">
        <v>2000</v>
      </c>
      <c r="L460" s="3124">
        <v>2275</v>
      </c>
      <c r="M460" s="3124" t="s">
        <v>2891</v>
      </c>
      <c r="N460" s="3192">
        <v>44897</v>
      </c>
      <c r="O460" s="3192">
        <v>45353</v>
      </c>
      <c r="P460" s="3192">
        <v>44898</v>
      </c>
      <c r="Q460" s="3192">
        <v>45354</v>
      </c>
      <c r="R460" s="3124" t="s">
        <v>433</v>
      </c>
      <c r="S460" s="3124" t="s">
        <v>1949</v>
      </c>
      <c r="T460" s="3124" t="s">
        <v>1850</v>
      </c>
      <c r="U460" t="s">
        <v>1869</v>
      </c>
      <c r="V460" s="3124">
        <v>5000</v>
      </c>
      <c r="W460" s="3193">
        <v>0.54500000000000004</v>
      </c>
      <c r="X460" s="3124">
        <v>2725</v>
      </c>
      <c r="Y460" s="3124">
        <v>1</v>
      </c>
      <c r="Z460" s="3124"/>
      <c r="AA460" s="3124">
        <v>25000</v>
      </c>
      <c r="AB460" t="s">
        <v>1869</v>
      </c>
      <c r="AC460" s="3124"/>
    </row>
    <row r="461" spans="1:29">
      <c r="A461" s="3124">
        <v>460</v>
      </c>
      <c r="B461" s="3124" t="s">
        <v>1691</v>
      </c>
      <c r="C461" s="3124" t="s">
        <v>2892</v>
      </c>
      <c r="D461" s="3124" t="s">
        <v>2893</v>
      </c>
      <c r="E461" t="s">
        <v>2894</v>
      </c>
      <c r="F461" s="3234" t="s">
        <v>2895</v>
      </c>
      <c r="G461" s="3124" t="s">
        <v>5208</v>
      </c>
      <c r="H461" s="3124">
        <v>16</v>
      </c>
      <c r="I461" s="3124">
        <v>16</v>
      </c>
      <c r="J461" s="3124">
        <v>1000</v>
      </c>
      <c r="K461" s="3124">
        <v>2000</v>
      </c>
      <c r="L461" s="3124">
        <v>2275</v>
      </c>
      <c r="M461" s="3124" t="s">
        <v>2891</v>
      </c>
      <c r="N461" s="3192">
        <v>44897</v>
      </c>
      <c r="O461" s="3192">
        <v>45353</v>
      </c>
      <c r="P461" s="3192">
        <v>44898</v>
      </c>
      <c r="Q461" s="3192">
        <v>45354</v>
      </c>
      <c r="R461" s="3124" t="s">
        <v>433</v>
      </c>
      <c r="S461" s="3124" t="s">
        <v>1949</v>
      </c>
      <c r="T461" s="3124" t="s">
        <v>1850</v>
      </c>
      <c r="U461" t="s">
        <v>1761</v>
      </c>
      <c r="V461" s="3124">
        <v>5000</v>
      </c>
      <c r="W461" s="3193">
        <v>0.54500000000000004</v>
      </c>
      <c r="X461" s="3124">
        <v>2725</v>
      </c>
      <c r="Y461" s="3124">
        <v>1</v>
      </c>
      <c r="Z461" s="3124"/>
      <c r="AA461" s="3124">
        <v>25000</v>
      </c>
      <c r="AB461" t="s">
        <v>1195</v>
      </c>
      <c r="AC461" s="3124"/>
    </row>
    <row r="462" spans="1:29">
      <c r="A462" s="3124">
        <v>461</v>
      </c>
      <c r="B462" s="3124" t="s">
        <v>1623</v>
      </c>
      <c r="C462" s="3124" t="s">
        <v>3718</v>
      </c>
      <c r="D462" s="3124" t="s">
        <v>2896</v>
      </c>
      <c r="E462" t="s">
        <v>2897</v>
      </c>
      <c r="F462" s="3234" t="s">
        <v>4488</v>
      </c>
      <c r="G462" s="3124" t="s">
        <v>4363</v>
      </c>
      <c r="H462" s="3124">
        <v>20</v>
      </c>
      <c r="I462" s="3124">
        <v>20</v>
      </c>
      <c r="J462" s="3124">
        <v>0</v>
      </c>
      <c r="K462" s="3124">
        <v>0</v>
      </c>
      <c r="L462" s="3124">
        <v>3497</v>
      </c>
      <c r="M462" s="3124" t="s">
        <v>2821</v>
      </c>
      <c r="N462" s="3192">
        <v>44947</v>
      </c>
      <c r="O462" s="3192">
        <v>45525</v>
      </c>
      <c r="P462" s="3192">
        <v>44890</v>
      </c>
      <c r="Q462" s="3192">
        <v>45468</v>
      </c>
      <c r="R462" s="3124" t="s">
        <v>433</v>
      </c>
      <c r="S462" s="3124" t="s">
        <v>1974</v>
      </c>
      <c r="T462" s="3124" t="s">
        <v>1850</v>
      </c>
      <c r="U462" t="s">
        <v>1761</v>
      </c>
      <c r="V462" s="3124">
        <v>7500</v>
      </c>
      <c r="W462" s="3193">
        <v>0.53373333333333328</v>
      </c>
      <c r="X462" s="3124">
        <v>4003</v>
      </c>
      <c r="Y462" s="3124">
        <v>0</v>
      </c>
      <c r="Z462" s="3124"/>
      <c r="AA462" s="3124">
        <v>29000</v>
      </c>
      <c r="AB462" t="s">
        <v>1195</v>
      </c>
      <c r="AC462" s="3124"/>
    </row>
    <row r="463" spans="1:29">
      <c r="A463" s="3124">
        <v>462</v>
      </c>
      <c r="B463" s="3124" t="s">
        <v>1625</v>
      </c>
      <c r="C463" s="3124" t="s">
        <v>633</v>
      </c>
      <c r="D463" s="3124" t="s">
        <v>2898</v>
      </c>
      <c r="E463" t="s">
        <v>634</v>
      </c>
      <c r="F463" s="3234">
        <v>9995753204</v>
      </c>
      <c r="G463" s="3124" t="s">
        <v>4496</v>
      </c>
      <c r="H463" s="3124">
        <v>24</v>
      </c>
      <c r="I463" s="3124">
        <v>20</v>
      </c>
      <c r="J463" s="3124">
        <v>2000</v>
      </c>
      <c r="K463" s="3124">
        <v>0</v>
      </c>
      <c r="L463" s="3124">
        <v>4333.333333333333</v>
      </c>
      <c r="M463" s="3124" t="s">
        <v>2592</v>
      </c>
      <c r="N463" s="3192">
        <v>44954</v>
      </c>
      <c r="O463" s="3192">
        <v>45532</v>
      </c>
      <c r="P463" s="3192">
        <v>44932</v>
      </c>
      <c r="Q463" s="3192">
        <v>45632</v>
      </c>
      <c r="R463" s="3124" t="s">
        <v>433</v>
      </c>
      <c r="S463" s="3124" t="s">
        <v>1690</v>
      </c>
      <c r="T463" s="3124" t="s">
        <v>1850</v>
      </c>
      <c r="U463" t="s">
        <v>1195</v>
      </c>
      <c r="V463" s="3124">
        <v>7500</v>
      </c>
      <c r="W463" s="3193">
        <v>0.42222222222222228</v>
      </c>
      <c r="X463" s="3124">
        <v>3166.666666666667</v>
      </c>
      <c r="Y463" s="3124">
        <v>0</v>
      </c>
      <c r="Z463" s="3124"/>
      <c r="AA463" s="3124">
        <v>0</v>
      </c>
      <c r="AB463" t="s">
        <v>1195</v>
      </c>
      <c r="AC463" s="3124"/>
    </row>
    <row r="464" spans="1:29">
      <c r="A464" s="3124">
        <v>463</v>
      </c>
      <c r="B464" s="3124" t="s">
        <v>1625</v>
      </c>
      <c r="C464" s="3124" t="s">
        <v>744</v>
      </c>
      <c r="D464" s="3124" t="s">
        <v>2899</v>
      </c>
      <c r="E464" t="s">
        <v>1489</v>
      </c>
      <c r="F464" s="3234" t="s">
        <v>2307</v>
      </c>
      <c r="G464" s="3124" t="s">
        <v>5209</v>
      </c>
      <c r="H464" s="3124">
        <v>20</v>
      </c>
      <c r="I464" s="3124">
        <v>20</v>
      </c>
      <c r="J464" s="3124">
        <v>2000</v>
      </c>
      <c r="K464" s="3124"/>
      <c r="L464" s="3124">
        <v>5200</v>
      </c>
      <c r="M464" s="3124" t="s">
        <v>2592</v>
      </c>
      <c r="N464" s="3192">
        <v>44954</v>
      </c>
      <c r="O464" s="3192">
        <v>45532</v>
      </c>
      <c r="P464" s="3192">
        <v>44941</v>
      </c>
      <c r="Q464" s="3192">
        <v>45519</v>
      </c>
      <c r="R464" s="3124" t="s">
        <v>433</v>
      </c>
      <c r="S464" s="3124" t="s">
        <v>1690</v>
      </c>
      <c r="T464" s="3124" t="s">
        <v>1850</v>
      </c>
      <c r="U464" t="s">
        <v>1195</v>
      </c>
      <c r="V464" s="3124">
        <v>7500</v>
      </c>
      <c r="W464" s="3193">
        <v>0.30666666666666664</v>
      </c>
      <c r="X464" s="3124">
        <v>2300</v>
      </c>
      <c r="Y464" s="3124">
        <v>0</v>
      </c>
      <c r="Z464" s="3124">
        <v>0</v>
      </c>
      <c r="AA464" s="3124">
        <v>0</v>
      </c>
      <c r="AB464" t="s">
        <v>2626</v>
      </c>
      <c r="AC464" s="3124"/>
    </row>
    <row r="465" spans="1:29">
      <c r="A465" s="3124">
        <v>464</v>
      </c>
      <c r="B465" s="3124" t="s">
        <v>1625</v>
      </c>
      <c r="C465" s="3124" t="s">
        <v>2900</v>
      </c>
      <c r="D465" s="3124" t="s">
        <v>2901</v>
      </c>
      <c r="E465" t="s">
        <v>2902</v>
      </c>
      <c r="F465" s="3234" t="s">
        <v>2903</v>
      </c>
      <c r="G465" s="3124" t="s">
        <v>5210</v>
      </c>
      <c r="H465" s="3124">
        <v>20</v>
      </c>
      <c r="I465" s="3124">
        <v>20</v>
      </c>
      <c r="J465" s="3124" t="s">
        <v>1948</v>
      </c>
      <c r="K465" s="3124"/>
      <c r="L465" s="3124">
        <v>5200</v>
      </c>
      <c r="M465" s="3124" t="s">
        <v>955</v>
      </c>
      <c r="N465" s="3192">
        <v>44954</v>
      </c>
      <c r="O465" s="3192">
        <v>45532</v>
      </c>
      <c r="P465" s="3192">
        <v>44935</v>
      </c>
      <c r="Q465" s="3192">
        <v>45513</v>
      </c>
      <c r="R465" s="3124" t="s">
        <v>433</v>
      </c>
      <c r="S465" s="3124" t="s">
        <v>1690</v>
      </c>
      <c r="T465" s="3124" t="s">
        <v>1850</v>
      </c>
      <c r="U465" t="s">
        <v>1195</v>
      </c>
      <c r="V465" s="3124">
        <v>7500</v>
      </c>
      <c r="W465" s="3193">
        <v>0.30666666666666664</v>
      </c>
      <c r="X465" s="3124">
        <v>2300</v>
      </c>
      <c r="Y465" s="3124">
        <v>0</v>
      </c>
      <c r="Z465" s="3124">
        <v>0</v>
      </c>
      <c r="AA465" s="3124">
        <v>0</v>
      </c>
      <c r="AB465" t="s">
        <v>1195</v>
      </c>
      <c r="AC465" s="3124"/>
    </row>
    <row r="466" spans="1:29">
      <c r="A466" s="3124">
        <v>465</v>
      </c>
      <c r="B466" s="3124" t="s">
        <v>1625</v>
      </c>
      <c r="C466" s="3124" t="s">
        <v>2010</v>
      </c>
      <c r="D466" s="3124" t="s">
        <v>2898</v>
      </c>
      <c r="E466" t="s">
        <v>2012</v>
      </c>
      <c r="F466" s="3234">
        <v>9831079580</v>
      </c>
      <c r="G466" s="3124" t="s">
        <v>5211</v>
      </c>
      <c r="H466" s="3124">
        <v>24</v>
      </c>
      <c r="I466" s="3124">
        <v>20</v>
      </c>
      <c r="J466" s="3124" t="s">
        <v>1948</v>
      </c>
      <c r="K466" s="3124">
        <v>2000</v>
      </c>
      <c r="L466" s="3124">
        <v>2800</v>
      </c>
      <c r="M466" s="3124" t="s">
        <v>2592</v>
      </c>
      <c r="N466" s="3192">
        <v>44954</v>
      </c>
      <c r="O466" s="3192">
        <v>45532</v>
      </c>
      <c r="P466" s="3192">
        <v>44951</v>
      </c>
      <c r="Q466" s="3192">
        <v>45651</v>
      </c>
      <c r="R466" s="3124" t="s">
        <v>432</v>
      </c>
      <c r="S466" s="3124" t="s">
        <v>1690</v>
      </c>
      <c r="T466" s="3124" t="s">
        <v>1850</v>
      </c>
      <c r="U466" t="s">
        <v>1761</v>
      </c>
      <c r="V466" s="3124">
        <v>7500</v>
      </c>
      <c r="W466" s="3193">
        <v>0.62666666666666671</v>
      </c>
      <c r="X466" s="3124">
        <v>4700</v>
      </c>
      <c r="Y466" s="3124">
        <v>1</v>
      </c>
      <c r="Z466" s="3124">
        <v>0</v>
      </c>
      <c r="AA466" s="3124">
        <v>29000</v>
      </c>
      <c r="AB466" t="s">
        <v>2626</v>
      </c>
      <c r="AC466" s="3124"/>
    </row>
    <row r="467" spans="1:29">
      <c r="A467" s="3124">
        <v>466</v>
      </c>
      <c r="B467" s="3124" t="s">
        <v>1623</v>
      </c>
      <c r="C467" s="3124" t="s">
        <v>2904</v>
      </c>
      <c r="D467" s="3124" t="s">
        <v>2905</v>
      </c>
      <c r="E467" s="3155" t="s">
        <v>2906</v>
      </c>
      <c r="F467" s="3234" t="s">
        <v>2907</v>
      </c>
      <c r="G467" s="3124" t="s">
        <v>5180</v>
      </c>
      <c r="H467" s="3124">
        <v>20</v>
      </c>
      <c r="I467" s="3124">
        <v>20</v>
      </c>
      <c r="J467" s="3124">
        <v>2000</v>
      </c>
      <c r="K467" s="3124"/>
      <c r="L467" s="3124">
        <v>5200</v>
      </c>
      <c r="M467" s="3124" t="s">
        <v>2908</v>
      </c>
      <c r="N467" s="3192">
        <v>44968</v>
      </c>
      <c r="O467" s="3192">
        <v>45546</v>
      </c>
      <c r="P467" s="3192">
        <v>44593</v>
      </c>
      <c r="Q467" s="3192">
        <v>45170</v>
      </c>
      <c r="R467" s="3124" t="s">
        <v>433</v>
      </c>
      <c r="S467" s="3124" t="s">
        <v>1974</v>
      </c>
      <c r="T467" s="3124" t="s">
        <v>1850</v>
      </c>
      <c r="U467" t="s">
        <v>1195</v>
      </c>
      <c r="V467" s="3124">
        <v>7500</v>
      </c>
      <c r="W467" s="3193">
        <v>0.30666666666666664</v>
      </c>
      <c r="X467" s="3124">
        <v>2300</v>
      </c>
      <c r="Y467" s="3124">
        <v>0</v>
      </c>
      <c r="Z467" s="3124">
        <v>0</v>
      </c>
      <c r="AA467" s="3124">
        <v>0</v>
      </c>
      <c r="AB467" t="s">
        <v>1195</v>
      </c>
      <c r="AC467" s="3124"/>
    </row>
    <row r="468" spans="1:29">
      <c r="A468" s="3124">
        <v>467</v>
      </c>
      <c r="B468" s="3124" t="s">
        <v>1625</v>
      </c>
      <c r="C468" s="3124" t="s">
        <v>2003</v>
      </c>
      <c r="D468" s="3124" t="s">
        <v>2909</v>
      </c>
      <c r="E468" t="s">
        <v>2910</v>
      </c>
      <c r="F468" s="3234" t="s">
        <v>2911</v>
      </c>
      <c r="G468" s="3124" t="s">
        <v>5181</v>
      </c>
      <c r="H468" s="3124">
        <v>24</v>
      </c>
      <c r="I468" s="3124">
        <v>20</v>
      </c>
      <c r="J468" s="3124" t="s">
        <v>1948</v>
      </c>
      <c r="K468" s="3124">
        <v>2000</v>
      </c>
      <c r="L468" s="3124">
        <v>2800</v>
      </c>
      <c r="M468" s="3124" t="s">
        <v>2592</v>
      </c>
      <c r="N468" s="3192">
        <v>44954</v>
      </c>
      <c r="O468" s="3192">
        <v>45532</v>
      </c>
      <c r="P468" s="3192">
        <v>44952</v>
      </c>
      <c r="Q468" s="3192">
        <v>45652</v>
      </c>
      <c r="R468" s="3124" t="s">
        <v>433</v>
      </c>
      <c r="S468" s="3124" t="s">
        <v>1690</v>
      </c>
      <c r="T468" s="3124" t="s">
        <v>1850</v>
      </c>
      <c r="U468" t="s">
        <v>1195</v>
      </c>
      <c r="V468" s="3124">
        <v>7500</v>
      </c>
      <c r="W468" s="3193">
        <v>0.62666666666666671</v>
      </c>
      <c r="X468" s="3124">
        <v>4700</v>
      </c>
      <c r="Y468" s="3124">
        <v>1</v>
      </c>
      <c r="Z468" s="3124">
        <v>0</v>
      </c>
      <c r="AA468" s="3124">
        <v>29000</v>
      </c>
      <c r="AB468" t="s">
        <v>1195</v>
      </c>
      <c r="AC468" s="3124"/>
    </row>
    <row r="469" spans="1:29">
      <c r="A469" s="3124">
        <v>468</v>
      </c>
      <c r="B469" s="3124" t="s">
        <v>1625</v>
      </c>
      <c r="C469" s="3124" t="s">
        <v>1986</v>
      </c>
      <c r="D469" s="3124" t="s">
        <v>2912</v>
      </c>
      <c r="E469" t="s">
        <v>1988</v>
      </c>
      <c r="F469" s="3234" t="s">
        <v>2913</v>
      </c>
      <c r="G469" s="3124" t="s">
        <v>1989</v>
      </c>
      <c r="H469" s="3124">
        <v>24</v>
      </c>
      <c r="I469" s="3124">
        <v>20</v>
      </c>
      <c r="J469" s="3124">
        <v>2000</v>
      </c>
      <c r="K469" s="3124"/>
      <c r="L469" s="3124">
        <v>2800</v>
      </c>
      <c r="M469" s="3124" t="s">
        <v>2592</v>
      </c>
      <c r="N469" s="3192">
        <v>44982</v>
      </c>
      <c r="O469" s="3192">
        <v>45560</v>
      </c>
      <c r="P469" s="3192">
        <v>44972</v>
      </c>
      <c r="Q469" s="3192">
        <v>45672</v>
      </c>
      <c r="R469" s="3124" t="s">
        <v>432</v>
      </c>
      <c r="S469" s="3124" t="s">
        <v>1690</v>
      </c>
      <c r="T469" s="3124" t="s">
        <v>1850</v>
      </c>
      <c r="U469" t="s">
        <v>1761</v>
      </c>
      <c r="V469" s="3124">
        <v>7500</v>
      </c>
      <c r="W469" s="3193">
        <v>0.62666666666666671</v>
      </c>
      <c r="X469" s="3124">
        <v>4700</v>
      </c>
      <c r="Y469" s="3124">
        <v>1</v>
      </c>
      <c r="Z469" s="3124">
        <v>0</v>
      </c>
      <c r="AA469" s="3124">
        <v>29000</v>
      </c>
      <c r="AB469" t="s">
        <v>1195</v>
      </c>
      <c r="AC469" s="3124"/>
    </row>
    <row r="470" spans="1:29">
      <c r="A470" s="3124">
        <v>469</v>
      </c>
      <c r="B470" s="3124" t="s">
        <v>1630</v>
      </c>
      <c r="C470" s="3124" t="s">
        <v>2914</v>
      </c>
      <c r="D470" s="3124" t="s">
        <v>629</v>
      </c>
      <c r="E470" s="3154" t="s">
        <v>2915</v>
      </c>
      <c r="F470" s="3234">
        <v>9988452357</v>
      </c>
      <c r="G470" s="3124" t="s">
        <v>2882</v>
      </c>
      <c r="H470" s="3124">
        <v>36</v>
      </c>
      <c r="I470" s="3124">
        <v>36</v>
      </c>
      <c r="J470" s="3124">
        <v>1000</v>
      </c>
      <c r="K470" s="3124">
        <v>1000</v>
      </c>
      <c r="L470" s="3124">
        <v>1600</v>
      </c>
      <c r="M470" s="3124" t="s">
        <v>134</v>
      </c>
      <c r="N470" s="3192">
        <v>44975</v>
      </c>
      <c r="O470" s="3192">
        <v>46040</v>
      </c>
      <c r="P470" s="3192">
        <v>44986</v>
      </c>
      <c r="Q470" s="3192">
        <v>46054</v>
      </c>
      <c r="R470" s="3124" t="s">
        <v>433</v>
      </c>
      <c r="S470" s="3124" t="s">
        <v>1658</v>
      </c>
      <c r="T470" s="3124" t="s">
        <v>1850</v>
      </c>
      <c r="U470" t="s">
        <v>1761</v>
      </c>
      <c r="V470" s="3124">
        <v>3150</v>
      </c>
      <c r="W470" s="3193">
        <v>0.49206349206349204</v>
      </c>
      <c r="X470" s="3124">
        <v>1550</v>
      </c>
      <c r="Y470" s="3124">
        <v>4</v>
      </c>
      <c r="Z470" s="3124"/>
      <c r="AA470" s="3124">
        <v>21000</v>
      </c>
      <c r="AB470" t="s">
        <v>1869</v>
      </c>
      <c r="AC470" s="3124"/>
    </row>
    <row r="471" spans="1:29">
      <c r="A471" s="3124">
        <v>470</v>
      </c>
      <c r="B471" s="3124" t="s">
        <v>1625</v>
      </c>
      <c r="C471" s="3124" t="s">
        <v>2916</v>
      </c>
      <c r="D471" s="3124" t="s">
        <v>2917</v>
      </c>
      <c r="E471" s="3361" t="s">
        <v>2918</v>
      </c>
      <c r="F471" s="3234" t="s">
        <v>2919</v>
      </c>
      <c r="G471" s="3124" t="s">
        <v>5205</v>
      </c>
      <c r="H471" s="3124">
        <v>20</v>
      </c>
      <c r="I471" s="3124">
        <v>20</v>
      </c>
      <c r="J471" s="3124">
        <v>2000</v>
      </c>
      <c r="K471" s="3124"/>
      <c r="L471" s="3124">
        <v>5200</v>
      </c>
      <c r="M471" s="3124" t="s">
        <v>2592</v>
      </c>
      <c r="N471" s="3192">
        <v>45073</v>
      </c>
      <c r="O471" s="3192">
        <v>45653</v>
      </c>
      <c r="P471" s="3192">
        <v>44986</v>
      </c>
      <c r="Q471" s="3192">
        <v>45566</v>
      </c>
      <c r="R471" s="3124" t="s">
        <v>433</v>
      </c>
      <c r="S471" s="3124" t="s">
        <v>1690</v>
      </c>
      <c r="T471" s="3124" t="s">
        <v>1850</v>
      </c>
      <c r="U471" t="s">
        <v>1195</v>
      </c>
      <c r="V471" s="3124">
        <v>7500</v>
      </c>
      <c r="W471" s="3193">
        <v>0.30666666666666664</v>
      </c>
      <c r="X471" s="3124">
        <v>2300</v>
      </c>
      <c r="Y471" s="3124">
        <v>0</v>
      </c>
      <c r="Z471" s="3124">
        <v>0</v>
      </c>
      <c r="AA471" s="3124">
        <v>0</v>
      </c>
      <c r="AB471" t="s">
        <v>1195</v>
      </c>
      <c r="AC471" s="3124"/>
    </row>
    <row r="472" spans="1:29">
      <c r="A472" s="3124">
        <v>471</v>
      </c>
      <c r="B472" s="3124" t="s">
        <v>1621</v>
      </c>
      <c r="C472" s="3124" t="s">
        <v>1402</v>
      </c>
      <c r="D472" s="3124" t="s">
        <v>2920</v>
      </c>
      <c r="E472" t="s">
        <v>1404</v>
      </c>
      <c r="F472" s="3234" t="s">
        <v>2921</v>
      </c>
      <c r="G472" s="3124" t="s">
        <v>5206</v>
      </c>
      <c r="H472" s="3124">
        <v>20</v>
      </c>
      <c r="I472" s="3124">
        <v>20</v>
      </c>
      <c r="J472" s="3124" t="s">
        <v>1948</v>
      </c>
      <c r="K472" s="3124"/>
      <c r="L472" s="3124">
        <v>4200</v>
      </c>
      <c r="M472" s="3124" t="s">
        <v>2922</v>
      </c>
      <c r="N472" s="3192">
        <v>44940</v>
      </c>
      <c r="O472" s="3192">
        <v>45518</v>
      </c>
      <c r="P472" s="3192">
        <v>44979</v>
      </c>
      <c r="Q472" s="3192">
        <v>45557</v>
      </c>
      <c r="R472" s="3124" t="s">
        <v>433</v>
      </c>
      <c r="S472" s="3124" t="s">
        <v>1640</v>
      </c>
      <c r="T472" s="3124" t="s">
        <v>1850</v>
      </c>
      <c r="U472" t="s">
        <v>1761</v>
      </c>
      <c r="V472" s="3124">
        <v>5000</v>
      </c>
      <c r="W472" s="3193">
        <v>0.16</v>
      </c>
      <c r="X472" s="3124">
        <v>800</v>
      </c>
      <c r="Y472" s="3124"/>
      <c r="Z472" s="3124"/>
      <c r="AA472" s="3124">
        <v>29000</v>
      </c>
      <c r="AB472" t="s">
        <v>1195</v>
      </c>
      <c r="AC472" s="3124"/>
    </row>
    <row r="473" spans="1:29">
      <c r="A473" s="3124">
        <v>472</v>
      </c>
      <c r="B473" s="3124" t="s">
        <v>1621</v>
      </c>
      <c r="C473" s="3124" t="s">
        <v>2923</v>
      </c>
      <c r="D473" s="3124" t="s">
        <v>629</v>
      </c>
      <c r="E473" t="s">
        <v>2924</v>
      </c>
      <c r="F473" s="3802" t="s">
        <v>2925</v>
      </c>
      <c r="G473" s="3124" t="s">
        <v>5207</v>
      </c>
      <c r="H473" s="3124">
        <v>24</v>
      </c>
      <c r="I473" s="3124">
        <v>20</v>
      </c>
      <c r="J473" s="3124" t="s">
        <v>1948</v>
      </c>
      <c r="K473" s="3124"/>
      <c r="L473" s="3124">
        <v>3187</v>
      </c>
      <c r="M473" s="3124" t="s">
        <v>2922</v>
      </c>
      <c r="N473" s="3192">
        <v>45002</v>
      </c>
      <c r="O473" s="3192">
        <v>45582</v>
      </c>
      <c r="P473" s="3192">
        <v>44980</v>
      </c>
      <c r="Q473" s="3192">
        <v>45680</v>
      </c>
      <c r="R473" s="3124" t="s">
        <v>432</v>
      </c>
      <c r="S473" s="3124" t="s">
        <v>1640</v>
      </c>
      <c r="T473" s="3124" t="s">
        <v>1850</v>
      </c>
      <c r="U473" t="s">
        <v>1869</v>
      </c>
      <c r="V473" s="3124">
        <v>5000</v>
      </c>
      <c r="W473" s="3193">
        <v>0.36259999999999998</v>
      </c>
      <c r="X473" s="3124">
        <v>1813</v>
      </c>
      <c r="Y473" s="3124"/>
      <c r="Z473" s="3124"/>
      <c r="AA473" s="3124"/>
      <c r="AB473" t="s">
        <v>1869</v>
      </c>
      <c r="AC473" s="3124"/>
    </row>
    <row r="474" spans="1:29">
      <c r="A474" s="3124">
        <v>473</v>
      </c>
      <c r="B474" s="3124" t="s">
        <v>1691</v>
      </c>
      <c r="C474" s="3124" t="s">
        <v>2926</v>
      </c>
      <c r="D474" s="3124" t="s">
        <v>2927</v>
      </c>
      <c r="E474" t="s">
        <v>2928</v>
      </c>
      <c r="F474" s="3234" t="s">
        <v>2929</v>
      </c>
      <c r="G474" s="3124" t="s">
        <v>5208</v>
      </c>
      <c r="H474" s="3124">
        <v>20</v>
      </c>
      <c r="I474" s="3124">
        <v>16</v>
      </c>
      <c r="J474" s="3124">
        <v>1000</v>
      </c>
      <c r="K474" s="3124"/>
      <c r="L474" s="3124">
        <v>4200</v>
      </c>
      <c r="M474" s="3124" t="s">
        <v>2891</v>
      </c>
      <c r="N474" s="3192">
        <v>45002</v>
      </c>
      <c r="O474" s="3192">
        <v>45460</v>
      </c>
      <c r="P474" s="3192">
        <v>44980</v>
      </c>
      <c r="Q474" s="3192">
        <v>45558</v>
      </c>
      <c r="R474" s="3124" t="s">
        <v>432</v>
      </c>
      <c r="S474" s="3124" t="s">
        <v>1949</v>
      </c>
      <c r="T474" s="3124" t="s">
        <v>1850</v>
      </c>
      <c r="U474" t="s">
        <v>1761</v>
      </c>
      <c r="V474" s="3124">
        <v>5000</v>
      </c>
      <c r="W474" s="3193">
        <v>0.16</v>
      </c>
      <c r="X474" s="3124">
        <v>800</v>
      </c>
      <c r="Y474" s="3124"/>
      <c r="Z474" s="3124"/>
      <c r="AA474" s="3124">
        <v>25000</v>
      </c>
      <c r="AB474" t="s">
        <v>1869</v>
      </c>
      <c r="AC474" s="3124"/>
    </row>
    <row r="475" spans="1:29">
      <c r="A475" s="3124">
        <v>474</v>
      </c>
      <c r="B475" s="3124" t="s">
        <v>1691</v>
      </c>
      <c r="C475" s="3124" t="s">
        <v>2930</v>
      </c>
      <c r="D475" s="3124" t="s">
        <v>2931</v>
      </c>
      <c r="E475" s="1973" t="s">
        <v>2932</v>
      </c>
      <c r="F475" s="3234">
        <v>9842040021</v>
      </c>
      <c r="G475" s="3124" t="s">
        <v>4363</v>
      </c>
      <c r="H475" s="3124">
        <v>16</v>
      </c>
      <c r="I475" s="3124">
        <v>16</v>
      </c>
      <c r="J475" s="3124" t="s">
        <v>1948</v>
      </c>
      <c r="K475" s="3124"/>
      <c r="L475" s="3124">
        <v>4200</v>
      </c>
      <c r="M475" s="3124" t="s">
        <v>2933</v>
      </c>
      <c r="N475" s="3192">
        <v>44988</v>
      </c>
      <c r="O475" s="3192">
        <v>45446</v>
      </c>
      <c r="P475" s="3192">
        <v>44988</v>
      </c>
      <c r="Q475" s="3192">
        <v>45446</v>
      </c>
      <c r="R475" s="3124" t="s">
        <v>433</v>
      </c>
      <c r="S475" s="3124" t="s">
        <v>1949</v>
      </c>
      <c r="T475" s="3124" t="s">
        <v>1850</v>
      </c>
      <c r="U475" t="s">
        <v>1761</v>
      </c>
      <c r="V475" s="3124">
        <v>7500</v>
      </c>
      <c r="W475" s="3193">
        <v>0.44</v>
      </c>
      <c r="X475" s="3124">
        <v>3300</v>
      </c>
      <c r="Y475" s="3124"/>
      <c r="Z475" s="3124"/>
      <c r="AA475" s="3124">
        <v>0</v>
      </c>
      <c r="AB475" t="s">
        <v>1195</v>
      </c>
      <c r="AC475" s="3124"/>
    </row>
    <row r="476" spans="1:29">
      <c r="A476" s="3124">
        <v>475</v>
      </c>
      <c r="B476" s="3124" t="s">
        <v>1123</v>
      </c>
      <c r="C476" s="3124" t="s">
        <v>2934</v>
      </c>
      <c r="D476" s="3124" t="s">
        <v>2935</v>
      </c>
      <c r="E476" t="s">
        <v>2936</v>
      </c>
      <c r="F476" s="3234">
        <v>9981804977</v>
      </c>
      <c r="G476" s="3124" t="s">
        <v>4496</v>
      </c>
      <c r="H476" s="3124">
        <v>4</v>
      </c>
      <c r="I476" s="3124">
        <v>4</v>
      </c>
      <c r="J476" s="3124">
        <v>3000</v>
      </c>
      <c r="K476" s="3124"/>
      <c r="L476" s="3124">
        <v>3350</v>
      </c>
      <c r="M476" s="3124" t="s">
        <v>2938</v>
      </c>
      <c r="N476" s="3192">
        <v>45010</v>
      </c>
      <c r="O476" s="3192">
        <v>45102</v>
      </c>
      <c r="P476" s="3192">
        <v>44981</v>
      </c>
      <c r="Q476" s="3192">
        <v>45070</v>
      </c>
      <c r="R476" s="3124" t="s">
        <v>433</v>
      </c>
      <c r="S476" s="3124" t="s">
        <v>1939</v>
      </c>
      <c r="T476" s="3124" t="s">
        <v>1850</v>
      </c>
      <c r="U476" t="s">
        <v>1869</v>
      </c>
      <c r="V476" s="3124">
        <v>7500</v>
      </c>
      <c r="W476" s="3193">
        <v>0.55333333333333334</v>
      </c>
      <c r="X476" s="3124">
        <v>4150</v>
      </c>
      <c r="Y476" s="3124"/>
      <c r="Z476" s="3124">
        <v>8000</v>
      </c>
      <c r="AA476" s="3124">
        <v>29000</v>
      </c>
      <c r="AB476" t="s">
        <v>1869</v>
      </c>
      <c r="AC476" s="3124"/>
    </row>
    <row r="477" spans="1:29">
      <c r="A477" s="3124">
        <v>476</v>
      </c>
      <c r="B477" s="3124" t="s">
        <v>1691</v>
      </c>
      <c r="C477" s="3124" t="s">
        <v>2934</v>
      </c>
      <c r="D477" s="3124" t="s">
        <v>2931</v>
      </c>
      <c r="E477" t="s">
        <v>2936</v>
      </c>
      <c r="F477" s="3234">
        <v>9981804977</v>
      </c>
      <c r="G477" s="3124" t="s">
        <v>5209</v>
      </c>
      <c r="H477" s="3124">
        <v>16</v>
      </c>
      <c r="I477" s="3124">
        <v>16</v>
      </c>
      <c r="J477" s="3124" t="s">
        <v>1948</v>
      </c>
      <c r="K477" s="3124"/>
      <c r="L477" s="3124">
        <v>4200</v>
      </c>
      <c r="M477" s="3124" t="s">
        <v>2939</v>
      </c>
      <c r="N477" s="3192">
        <v>44995</v>
      </c>
      <c r="O477" s="3192">
        <v>45453</v>
      </c>
      <c r="P477" s="3192">
        <v>45080</v>
      </c>
      <c r="Q477" s="3192">
        <v>45538</v>
      </c>
      <c r="R477" s="3124" t="s">
        <v>433</v>
      </c>
      <c r="S477" s="3124" t="s">
        <v>1949</v>
      </c>
      <c r="T477" s="3124" t="s">
        <v>1850</v>
      </c>
      <c r="U477" t="s">
        <v>1195</v>
      </c>
      <c r="V477" s="3124">
        <v>5000</v>
      </c>
      <c r="W477" s="3193">
        <v>0.16</v>
      </c>
      <c r="X477" s="3124">
        <v>800</v>
      </c>
      <c r="Y477" s="3124"/>
      <c r="Z477" s="3124"/>
      <c r="AA477" s="3124"/>
      <c r="AB477" t="s">
        <v>1195</v>
      </c>
      <c r="AC477" s="3124"/>
    </row>
    <row r="478" spans="1:29">
      <c r="A478" s="3124">
        <v>477</v>
      </c>
      <c r="B478" s="3124" t="s">
        <v>1691</v>
      </c>
      <c r="C478" s="3124" t="s">
        <v>2940</v>
      </c>
      <c r="D478" s="3124" t="s">
        <v>2941</v>
      </c>
      <c r="E478" t="s">
        <v>2942</v>
      </c>
      <c r="F478" s="3234">
        <v>9987353540</v>
      </c>
      <c r="G478" s="3124" t="s">
        <v>5210</v>
      </c>
      <c r="H478" s="3124">
        <v>16</v>
      </c>
      <c r="I478" s="3124">
        <v>16</v>
      </c>
      <c r="J478" s="3124" t="s">
        <v>1948</v>
      </c>
      <c r="K478" s="3124"/>
      <c r="L478" s="3124">
        <v>4200</v>
      </c>
      <c r="M478" s="3124" t="s">
        <v>2939</v>
      </c>
      <c r="N478" s="3192">
        <v>44995</v>
      </c>
      <c r="O478" s="3192">
        <v>45453</v>
      </c>
      <c r="P478" s="3192">
        <v>45080</v>
      </c>
      <c r="Q478" s="3192">
        <v>45538</v>
      </c>
      <c r="R478" s="3124" t="s">
        <v>433</v>
      </c>
      <c r="S478" s="3124" t="s">
        <v>1949</v>
      </c>
      <c r="T478" s="3124" t="s">
        <v>1850</v>
      </c>
      <c r="U478" t="s">
        <v>1761</v>
      </c>
      <c r="V478" s="3124">
        <v>7500</v>
      </c>
      <c r="W478" s="3193">
        <v>0.44</v>
      </c>
      <c r="X478" s="3124">
        <v>3300</v>
      </c>
      <c r="Y478" s="3124"/>
      <c r="Z478" s="3124"/>
      <c r="AA478" s="3124"/>
      <c r="AB478" t="s">
        <v>1195</v>
      </c>
      <c r="AC478" s="3124"/>
    </row>
    <row r="479" spans="1:29">
      <c r="A479" s="3124">
        <v>478</v>
      </c>
      <c r="B479" s="3124" t="s">
        <v>1123</v>
      </c>
      <c r="C479" s="3124" t="s">
        <v>2940</v>
      </c>
      <c r="D479" s="3124" t="s">
        <v>2943</v>
      </c>
      <c r="E479" t="s">
        <v>2942</v>
      </c>
      <c r="F479" s="3234">
        <v>9987353540</v>
      </c>
      <c r="G479" s="3124" t="s">
        <v>5211</v>
      </c>
      <c r="H479" s="3124">
        <v>4</v>
      </c>
      <c r="I479" s="3124">
        <v>4</v>
      </c>
      <c r="J479" s="3124">
        <v>3000</v>
      </c>
      <c r="K479" s="3124"/>
      <c r="L479" s="3124">
        <v>3350</v>
      </c>
      <c r="M479" s="3124" t="s">
        <v>2938</v>
      </c>
      <c r="N479" s="3192">
        <v>45010</v>
      </c>
      <c r="O479" s="3192">
        <v>45102</v>
      </c>
      <c r="P479" s="3192">
        <v>44981</v>
      </c>
      <c r="Q479" s="3192">
        <v>45070</v>
      </c>
      <c r="R479" s="3124" t="s">
        <v>433</v>
      </c>
      <c r="S479" s="3124" t="s">
        <v>1939</v>
      </c>
      <c r="T479" s="3124" t="s">
        <v>1850</v>
      </c>
      <c r="U479" t="s">
        <v>1195</v>
      </c>
      <c r="V479" s="3124">
        <v>7500</v>
      </c>
      <c r="W479" s="3193">
        <v>0.55333333333333334</v>
      </c>
      <c r="X479" s="3124">
        <v>4150</v>
      </c>
      <c r="Y479" s="3124"/>
      <c r="Z479" s="3124">
        <v>8000</v>
      </c>
      <c r="AA479" s="3124">
        <v>29000</v>
      </c>
      <c r="AB479" t="s">
        <v>1195</v>
      </c>
      <c r="AC479" s="3124"/>
    </row>
    <row r="480" spans="1:29">
      <c r="A480" s="3124">
        <v>479</v>
      </c>
      <c r="B480" s="3124" t="s">
        <v>1625</v>
      </c>
      <c r="C480" s="3124" t="s">
        <v>2944</v>
      </c>
      <c r="D480" s="3124" t="s">
        <v>2945</v>
      </c>
      <c r="E480" t="s">
        <v>2946</v>
      </c>
      <c r="F480" s="3234" t="s">
        <v>2947</v>
      </c>
      <c r="G480" s="3190" t="s">
        <v>3104</v>
      </c>
      <c r="H480" s="3124">
        <v>20</v>
      </c>
      <c r="I480" s="3124">
        <v>20</v>
      </c>
      <c r="J480" s="3124" t="s">
        <v>1948</v>
      </c>
      <c r="K480" s="3191">
        <v>3000</v>
      </c>
      <c r="L480" s="3191">
        <v>3800</v>
      </c>
      <c r="M480" s="3124" t="s">
        <v>955</v>
      </c>
      <c r="N480" s="3192">
        <v>45003</v>
      </c>
      <c r="O480" s="3192">
        <v>45583</v>
      </c>
      <c r="P480" s="3192">
        <v>44980</v>
      </c>
      <c r="Q480" s="3192">
        <v>45558</v>
      </c>
      <c r="R480" s="3124" t="s">
        <v>432</v>
      </c>
      <c r="S480" s="3124" t="s">
        <v>1690</v>
      </c>
      <c r="T480" s="3124" t="s">
        <v>1850</v>
      </c>
      <c r="U480" t="s">
        <v>1869</v>
      </c>
      <c r="V480" s="3124">
        <v>7500</v>
      </c>
      <c r="W480" s="3193">
        <v>0.49333333333333335</v>
      </c>
      <c r="X480" s="3124">
        <v>3700</v>
      </c>
      <c r="Y480" s="3124">
        <v>1</v>
      </c>
      <c r="Z480" s="3124"/>
      <c r="AA480" s="3124">
        <v>29000</v>
      </c>
      <c r="AB480" t="s">
        <v>1869</v>
      </c>
      <c r="AC480" s="3124"/>
    </row>
    <row r="481" spans="1:29">
      <c r="A481" s="3124">
        <v>480</v>
      </c>
      <c r="B481" s="3124" t="s">
        <v>1691</v>
      </c>
      <c r="C481" s="3124" t="s">
        <v>2948</v>
      </c>
      <c r="D481" s="3124" t="s">
        <v>2883</v>
      </c>
      <c r="E481" s="3159" t="s">
        <v>3871</v>
      </c>
      <c r="F481" s="3234">
        <v>9985772258</v>
      </c>
      <c r="G481" s="3124" t="s">
        <v>3106</v>
      </c>
      <c r="H481" s="3124">
        <v>16</v>
      </c>
      <c r="I481" s="3124">
        <v>16</v>
      </c>
      <c r="J481" s="3124" t="s">
        <v>1948</v>
      </c>
      <c r="K481" s="3124"/>
      <c r="L481" s="3124">
        <v>4200</v>
      </c>
      <c r="M481" s="3124" t="s">
        <v>2939</v>
      </c>
      <c r="N481" s="3192">
        <v>44995</v>
      </c>
      <c r="O481" s="3192">
        <v>45453</v>
      </c>
      <c r="P481" s="3192">
        <v>45080</v>
      </c>
      <c r="Q481" s="3192">
        <v>45538</v>
      </c>
      <c r="R481" s="3124" t="s">
        <v>432</v>
      </c>
      <c r="S481" s="3124" t="s">
        <v>1949</v>
      </c>
      <c r="T481" s="3124" t="s">
        <v>1850</v>
      </c>
      <c r="U481" t="s">
        <v>1195</v>
      </c>
      <c r="V481" s="3124">
        <v>7500</v>
      </c>
      <c r="W481" s="3193">
        <v>0.44</v>
      </c>
      <c r="X481" s="3124">
        <v>3300</v>
      </c>
      <c r="Y481" s="3124">
        <v>1</v>
      </c>
      <c r="Z481" s="3124"/>
      <c r="AA481" s="3124"/>
      <c r="AB481" t="s">
        <v>1195</v>
      </c>
      <c r="AC481" s="3124"/>
    </row>
    <row r="482" spans="1:29">
      <c r="A482" s="3124">
        <v>481</v>
      </c>
      <c r="B482" s="3124" t="s">
        <v>1623</v>
      </c>
      <c r="C482" s="3124" t="s">
        <v>2949</v>
      </c>
      <c r="D482" s="3124" t="s">
        <v>629</v>
      </c>
      <c r="E482" t="s">
        <v>2950</v>
      </c>
      <c r="F482" s="3234">
        <v>9981888925</v>
      </c>
      <c r="G482" s="3124" t="s">
        <v>4495</v>
      </c>
      <c r="H482" s="3124">
        <v>20</v>
      </c>
      <c r="I482" s="3124">
        <v>20</v>
      </c>
      <c r="J482" s="3124">
        <v>2000</v>
      </c>
      <c r="K482" s="3124"/>
      <c r="L482" s="3124">
        <v>5200</v>
      </c>
      <c r="M482" s="3124" t="s">
        <v>2821</v>
      </c>
      <c r="N482" s="3192">
        <v>45003</v>
      </c>
      <c r="O482" s="3192">
        <v>45583</v>
      </c>
      <c r="P482" s="3192">
        <v>45003</v>
      </c>
      <c r="Q482" s="3192">
        <v>45583</v>
      </c>
      <c r="R482" s="3124" t="s">
        <v>433</v>
      </c>
      <c r="S482" s="3124" t="s">
        <v>1974</v>
      </c>
      <c r="T482" s="3124" t="s">
        <v>1850</v>
      </c>
      <c r="U482" t="s">
        <v>2653</v>
      </c>
      <c r="V482" s="3124">
        <v>7500</v>
      </c>
      <c r="W482" s="3193">
        <v>0.30666666666666664</v>
      </c>
      <c r="X482" s="3124">
        <v>2300</v>
      </c>
      <c r="Y482" s="3124"/>
      <c r="Z482" s="3124"/>
      <c r="AA482" s="3124"/>
      <c r="AB482" t="s">
        <v>2653</v>
      </c>
      <c r="AC482" s="3124"/>
    </row>
    <row r="483" spans="1:29">
      <c r="A483" s="3124">
        <v>482</v>
      </c>
      <c r="B483" s="3124" t="s">
        <v>1691</v>
      </c>
      <c r="C483" s="3124" t="s">
        <v>5212</v>
      </c>
      <c r="D483" s="3124" t="s">
        <v>2951</v>
      </c>
      <c r="E483" t="s">
        <v>4634</v>
      </c>
      <c r="F483" s="3234" t="s">
        <v>2952</v>
      </c>
      <c r="G483" s="3124" t="s">
        <v>5206</v>
      </c>
      <c r="H483" s="3124">
        <v>16</v>
      </c>
      <c r="I483" s="3124">
        <v>16</v>
      </c>
      <c r="J483" s="3124">
        <v>2000</v>
      </c>
      <c r="K483" s="3124">
        <v>2000</v>
      </c>
      <c r="L483" s="3124">
        <v>654</v>
      </c>
      <c r="M483" s="3124" t="s">
        <v>2824</v>
      </c>
      <c r="N483" s="3192">
        <v>44953</v>
      </c>
      <c r="O483" s="3192">
        <v>45409</v>
      </c>
      <c r="P483" s="3192">
        <v>44962</v>
      </c>
      <c r="Q483" s="3192">
        <v>45417</v>
      </c>
      <c r="R483" s="3124" t="s">
        <v>433</v>
      </c>
      <c r="S483" s="3124" t="s">
        <v>1949</v>
      </c>
      <c r="T483" s="3124" t="s">
        <v>2825</v>
      </c>
      <c r="U483" t="s">
        <v>1869</v>
      </c>
      <c r="V483" s="3124">
        <v>5000</v>
      </c>
      <c r="W483" s="3193">
        <v>0.86919999999999997</v>
      </c>
      <c r="X483" s="3124">
        <v>4346</v>
      </c>
      <c r="Y483" s="3124">
        <v>2</v>
      </c>
      <c r="Z483" s="3124"/>
      <c r="AA483" s="3124">
        <v>25000</v>
      </c>
      <c r="AB483" t="s">
        <v>1869</v>
      </c>
      <c r="AC483" s="3124"/>
    </row>
    <row r="484" spans="1:29">
      <c r="A484" s="3124">
        <v>483</v>
      </c>
      <c r="B484" s="3124" t="s">
        <v>1691</v>
      </c>
      <c r="C484" s="3124" t="s">
        <v>5470</v>
      </c>
      <c r="D484" s="3124" t="s">
        <v>2953</v>
      </c>
      <c r="E484" t="s">
        <v>2954</v>
      </c>
      <c r="F484" s="3234" t="s">
        <v>2955</v>
      </c>
      <c r="G484" s="3124" t="s">
        <v>5207</v>
      </c>
      <c r="H484" s="3124">
        <v>16</v>
      </c>
      <c r="I484" s="3124">
        <v>16</v>
      </c>
      <c r="J484" s="3124">
        <v>2000</v>
      </c>
      <c r="K484" s="3124">
        <v>2000</v>
      </c>
      <c r="L484" s="3124">
        <v>654</v>
      </c>
      <c r="M484" s="3124" t="s">
        <v>2956</v>
      </c>
      <c r="N484" s="3192">
        <v>44953</v>
      </c>
      <c r="O484" s="3192">
        <v>45409</v>
      </c>
      <c r="P484" s="3192">
        <v>44962</v>
      </c>
      <c r="Q484" s="3192">
        <v>45417</v>
      </c>
      <c r="R484" s="3124" t="s">
        <v>432</v>
      </c>
      <c r="S484" s="3124" t="s">
        <v>1949</v>
      </c>
      <c r="T484" s="3124" t="s">
        <v>2825</v>
      </c>
      <c r="U484" t="s">
        <v>1761</v>
      </c>
      <c r="V484" s="3124">
        <v>5000</v>
      </c>
      <c r="W484" s="3193">
        <v>0.86919999999999997</v>
      </c>
      <c r="X484" s="3124">
        <v>4346</v>
      </c>
      <c r="Y484" s="3124">
        <v>2</v>
      </c>
      <c r="Z484" s="3124"/>
      <c r="AA484" s="3124">
        <v>25000</v>
      </c>
      <c r="AB484" t="s">
        <v>1195</v>
      </c>
      <c r="AC484" s="3124"/>
    </row>
    <row r="485" spans="1:29">
      <c r="A485" s="3124">
        <v>484</v>
      </c>
      <c r="B485" s="3124" t="s">
        <v>1691</v>
      </c>
      <c r="C485" s="3124" t="s">
        <v>5379</v>
      </c>
      <c r="D485" s="3124" t="s">
        <v>2958</v>
      </c>
      <c r="E485" t="s">
        <v>2959</v>
      </c>
      <c r="F485" s="3234" t="s">
        <v>2960</v>
      </c>
      <c r="G485" s="3124" t="s">
        <v>5208</v>
      </c>
      <c r="H485" s="3124">
        <v>16</v>
      </c>
      <c r="I485" s="3124">
        <v>16</v>
      </c>
      <c r="J485" s="3124">
        <v>2000</v>
      </c>
      <c r="K485" s="3124">
        <v>2000</v>
      </c>
      <c r="L485" s="3124">
        <v>654</v>
      </c>
      <c r="M485" s="3124" t="s">
        <v>2956</v>
      </c>
      <c r="N485" s="3192">
        <v>44953</v>
      </c>
      <c r="O485" s="3192">
        <v>45409</v>
      </c>
      <c r="P485" s="3192">
        <v>44962</v>
      </c>
      <c r="Q485" s="3192">
        <v>45417</v>
      </c>
      <c r="R485" s="3124" t="s">
        <v>432</v>
      </c>
      <c r="S485" s="3124" t="s">
        <v>1949</v>
      </c>
      <c r="T485" s="3124" t="s">
        <v>2825</v>
      </c>
      <c r="U485" t="s">
        <v>1869</v>
      </c>
      <c r="V485" s="3124">
        <v>5000</v>
      </c>
      <c r="W485" s="3193">
        <v>0.86919999999999997</v>
      </c>
      <c r="X485" s="3124">
        <v>4346</v>
      </c>
      <c r="Y485" s="3124">
        <v>2</v>
      </c>
      <c r="Z485" s="3124"/>
      <c r="AA485" s="3124">
        <v>25000</v>
      </c>
      <c r="AB485" t="s">
        <v>1869</v>
      </c>
      <c r="AC485" s="3124"/>
    </row>
    <row r="486" spans="1:29">
      <c r="A486" s="3124">
        <v>485</v>
      </c>
      <c r="B486" s="3124" t="s">
        <v>1691</v>
      </c>
      <c r="C486" s="3124" t="s">
        <v>3943</v>
      </c>
      <c r="D486" s="3124" t="s">
        <v>2961</v>
      </c>
      <c r="E486" t="s">
        <v>2962</v>
      </c>
      <c r="F486" s="3234">
        <v>55541295</v>
      </c>
      <c r="G486" s="3124" t="s">
        <v>4363</v>
      </c>
      <c r="H486" s="3124">
        <v>16</v>
      </c>
      <c r="I486" s="3124">
        <v>16</v>
      </c>
      <c r="J486" s="3124">
        <v>2000</v>
      </c>
      <c r="K486" s="3124">
        <v>2000</v>
      </c>
      <c r="L486" s="3124">
        <v>2275</v>
      </c>
      <c r="M486" s="3124" t="s">
        <v>2956</v>
      </c>
      <c r="N486" s="3192">
        <v>44953</v>
      </c>
      <c r="O486" s="3192">
        <v>45409</v>
      </c>
      <c r="P486" s="3192">
        <v>44962</v>
      </c>
      <c r="Q486" s="3192">
        <v>45417</v>
      </c>
      <c r="R486" s="3124" t="s">
        <v>432</v>
      </c>
      <c r="S486" s="3124" t="s">
        <v>1949</v>
      </c>
      <c r="T486" s="3124" t="s">
        <v>2825</v>
      </c>
      <c r="U486" t="s">
        <v>1195</v>
      </c>
      <c r="V486" s="3124">
        <v>5000</v>
      </c>
      <c r="W486" s="3193">
        <v>0.54500000000000004</v>
      </c>
      <c r="X486" s="3124">
        <v>2725</v>
      </c>
      <c r="Y486" s="3124">
        <v>2</v>
      </c>
      <c r="Z486" s="3124"/>
      <c r="AA486" s="3124">
        <v>25000</v>
      </c>
      <c r="AB486" t="s">
        <v>1195</v>
      </c>
      <c r="AC486" s="3124"/>
    </row>
    <row r="487" spans="1:29">
      <c r="A487" s="3124">
        <v>486</v>
      </c>
      <c r="B487" s="3124" t="s">
        <v>1691</v>
      </c>
      <c r="C487" s="3124" t="s">
        <v>5471</v>
      </c>
      <c r="D487" s="3124" t="s">
        <v>2963</v>
      </c>
      <c r="E487" t="s">
        <v>2964</v>
      </c>
      <c r="F487" s="3234" t="s">
        <v>2965</v>
      </c>
      <c r="G487" s="3124" t="s">
        <v>4496</v>
      </c>
      <c r="H487" s="3124">
        <v>16</v>
      </c>
      <c r="I487" s="3124">
        <v>16</v>
      </c>
      <c r="J487" s="3124">
        <v>2000</v>
      </c>
      <c r="K487" s="3124">
        <v>2000</v>
      </c>
      <c r="L487" s="3124">
        <v>2275</v>
      </c>
      <c r="M487" s="3124" t="s">
        <v>2956</v>
      </c>
      <c r="N487" s="3192">
        <v>44953</v>
      </c>
      <c r="O487" s="3192">
        <v>45409</v>
      </c>
      <c r="P487" s="3192">
        <v>45048</v>
      </c>
      <c r="Q487" s="3192">
        <v>45506</v>
      </c>
      <c r="R487" s="3124" t="s">
        <v>433</v>
      </c>
      <c r="S487" s="3124" t="s">
        <v>1949</v>
      </c>
      <c r="T487" s="3124" t="s">
        <v>2825</v>
      </c>
      <c r="U487" t="s">
        <v>1195</v>
      </c>
      <c r="V487" s="3124">
        <v>5000</v>
      </c>
      <c r="W487" s="3193">
        <v>0.54500000000000004</v>
      </c>
      <c r="X487" s="3124">
        <v>2725</v>
      </c>
      <c r="Y487" s="3124">
        <v>2</v>
      </c>
      <c r="Z487" s="3124"/>
      <c r="AA487" s="3124">
        <v>25000</v>
      </c>
      <c r="AB487" t="s">
        <v>1195</v>
      </c>
      <c r="AC487" s="3124"/>
    </row>
    <row r="488" spans="1:29">
      <c r="A488" s="3124">
        <v>487</v>
      </c>
      <c r="B488" s="3124" t="s">
        <v>1691</v>
      </c>
      <c r="C488" s="3124" t="s">
        <v>2957</v>
      </c>
      <c r="D488" s="3124" t="s">
        <v>2966</v>
      </c>
      <c r="E488" t="s">
        <v>2967</v>
      </c>
      <c r="F488" s="3234" t="s">
        <v>2968</v>
      </c>
      <c r="G488" s="3124" t="s">
        <v>5209</v>
      </c>
      <c r="H488" s="3124">
        <v>16</v>
      </c>
      <c r="I488" s="3124">
        <v>16</v>
      </c>
      <c r="J488" s="3124">
        <v>2000</v>
      </c>
      <c r="K488" s="3124">
        <v>2000</v>
      </c>
      <c r="L488" s="3124">
        <v>654</v>
      </c>
      <c r="M488" s="3124" t="s">
        <v>2956</v>
      </c>
      <c r="N488" s="3192">
        <v>44953</v>
      </c>
      <c r="O488" s="3192">
        <v>45409</v>
      </c>
      <c r="P488" s="3192">
        <v>44962</v>
      </c>
      <c r="Q488" s="3192">
        <v>45417</v>
      </c>
      <c r="R488" s="3124" t="s">
        <v>433</v>
      </c>
      <c r="S488" s="3124" t="s">
        <v>1949</v>
      </c>
      <c r="T488" s="3124" t="s">
        <v>2825</v>
      </c>
      <c r="U488" t="s">
        <v>1869</v>
      </c>
      <c r="V488" s="3124">
        <v>5000</v>
      </c>
      <c r="W488" s="3193">
        <v>0.86919999999999997</v>
      </c>
      <c r="X488" s="3124">
        <v>4346</v>
      </c>
      <c r="Y488" s="3124">
        <v>2</v>
      </c>
      <c r="Z488" s="3124"/>
      <c r="AA488" s="3124">
        <v>25000</v>
      </c>
      <c r="AB488" t="s">
        <v>1869</v>
      </c>
      <c r="AC488" s="3124"/>
    </row>
    <row r="489" spans="1:29">
      <c r="A489" s="3124">
        <v>488</v>
      </c>
      <c r="B489" s="3124" t="s">
        <v>1839</v>
      </c>
      <c r="C489" s="3124" t="s">
        <v>2969</v>
      </c>
      <c r="D489" s="3124" t="s">
        <v>138</v>
      </c>
      <c r="E489" t="s">
        <v>2970</v>
      </c>
      <c r="F489" s="3234" t="s">
        <v>2971</v>
      </c>
      <c r="G489" s="3124" t="s">
        <v>4497</v>
      </c>
      <c r="H489" s="3124">
        <v>12</v>
      </c>
      <c r="I489" s="3124">
        <v>12</v>
      </c>
      <c r="J489" s="3124">
        <v>1000</v>
      </c>
      <c r="K489" s="3124">
        <v>0</v>
      </c>
      <c r="L489" s="3124">
        <v>2275</v>
      </c>
      <c r="M489" s="3124" t="s">
        <v>134</v>
      </c>
      <c r="N489" s="3192">
        <v>44995</v>
      </c>
      <c r="O489" s="3192">
        <v>45332</v>
      </c>
      <c r="P489" s="3192">
        <v>45000</v>
      </c>
      <c r="Q489" s="3192">
        <v>45337</v>
      </c>
      <c r="R489" s="3124" t="s">
        <v>432</v>
      </c>
      <c r="S489" s="3124" t="s">
        <v>1842</v>
      </c>
      <c r="T489" s="3124" t="s">
        <v>1850</v>
      </c>
      <c r="U489" t="s">
        <v>1195</v>
      </c>
      <c r="V489" s="3124">
        <v>4200</v>
      </c>
      <c r="W489" s="3193">
        <v>0.45833333333333331</v>
      </c>
      <c r="X489" s="3124">
        <v>1925</v>
      </c>
      <c r="Y489" s="3124">
        <v>2</v>
      </c>
      <c r="Z489" s="3124">
        <v>5000</v>
      </c>
      <c r="AA489" s="3124">
        <v>25000</v>
      </c>
      <c r="AB489" t="s">
        <v>1195</v>
      </c>
      <c r="AC489" s="3124"/>
    </row>
    <row r="490" spans="1:29">
      <c r="A490" s="3124">
        <v>489</v>
      </c>
      <c r="B490" s="3124" t="s">
        <v>1691</v>
      </c>
      <c r="C490" s="3124" t="s">
        <v>2972</v>
      </c>
      <c r="D490" s="3124" t="s">
        <v>2889</v>
      </c>
      <c r="E490" s="3135" t="s">
        <v>2973</v>
      </c>
      <c r="F490" s="3234">
        <v>9851003438</v>
      </c>
      <c r="G490" s="3124" t="s">
        <v>5214</v>
      </c>
      <c r="H490" s="3124">
        <v>16</v>
      </c>
      <c r="I490" s="3124">
        <v>16</v>
      </c>
      <c r="J490" s="3124"/>
      <c r="K490" s="3124"/>
      <c r="L490" s="3124">
        <v>3187</v>
      </c>
      <c r="M490" s="3124" t="s">
        <v>2974</v>
      </c>
      <c r="N490" s="3192">
        <v>44995</v>
      </c>
      <c r="O490" s="3192">
        <v>45453</v>
      </c>
      <c r="P490" s="3192">
        <v>44995</v>
      </c>
      <c r="Q490" s="3192">
        <v>45453</v>
      </c>
      <c r="R490" s="3124" t="s">
        <v>433</v>
      </c>
      <c r="S490" s="3124" t="s">
        <v>1949</v>
      </c>
      <c r="T490" s="3124" t="s">
        <v>1850</v>
      </c>
      <c r="U490" t="s">
        <v>1761</v>
      </c>
      <c r="V490" s="3124">
        <v>7500</v>
      </c>
      <c r="W490" s="3193">
        <v>0.57506666666666661</v>
      </c>
      <c r="X490" s="3124">
        <v>4313</v>
      </c>
      <c r="Y490" s="3124">
        <v>0</v>
      </c>
      <c r="Z490" s="3124"/>
      <c r="AA490" s="3124">
        <v>26000</v>
      </c>
      <c r="AB490" t="s">
        <v>1195</v>
      </c>
      <c r="AC490" s="3124"/>
    </row>
    <row r="491" spans="1:29">
      <c r="A491" s="3124">
        <v>490</v>
      </c>
      <c r="B491" s="3124" t="s">
        <v>1621</v>
      </c>
      <c r="C491" s="3124" t="s">
        <v>317</v>
      </c>
      <c r="D491" s="3124" t="s">
        <v>511</v>
      </c>
      <c r="E491" s="3171" t="s">
        <v>319</v>
      </c>
      <c r="F491" s="3234">
        <v>9983517073</v>
      </c>
      <c r="G491" s="3124" t="s">
        <v>1878</v>
      </c>
      <c r="H491" s="3124">
        <v>20</v>
      </c>
      <c r="I491" s="3124">
        <v>20</v>
      </c>
      <c r="J491" s="3124">
        <v>0</v>
      </c>
      <c r="K491" s="3124">
        <v>0</v>
      </c>
      <c r="L491" s="3124">
        <v>0</v>
      </c>
      <c r="M491" s="3124" t="s">
        <v>2631</v>
      </c>
      <c r="N491" s="3192">
        <v>45016</v>
      </c>
      <c r="O491" s="3192">
        <v>45596</v>
      </c>
      <c r="P491" s="3192">
        <v>45017</v>
      </c>
      <c r="Q491" s="3192">
        <v>45597</v>
      </c>
      <c r="R491" s="3124" t="s">
        <v>433</v>
      </c>
      <c r="S491" s="3124" t="s">
        <v>1640</v>
      </c>
      <c r="T491" s="3124" t="s">
        <v>1850</v>
      </c>
      <c r="U491" t="s">
        <v>1761</v>
      </c>
      <c r="V491" s="3124">
        <v>5000</v>
      </c>
      <c r="W491" s="3193">
        <v>1</v>
      </c>
      <c r="X491" s="3124">
        <v>5000</v>
      </c>
      <c r="Y491" s="3124">
        <v>0</v>
      </c>
      <c r="Z491" s="3124"/>
      <c r="AA491" s="3124">
        <v>0</v>
      </c>
      <c r="AB491" t="s">
        <v>1761</v>
      </c>
      <c r="AC491" s="3124"/>
    </row>
    <row r="492" spans="1:29">
      <c r="A492" s="3124">
        <v>491</v>
      </c>
      <c r="B492" s="3124" t="s">
        <v>1625</v>
      </c>
      <c r="C492" s="3124" t="s">
        <v>2975</v>
      </c>
      <c r="D492" s="3124" t="s">
        <v>629</v>
      </c>
      <c r="E492" t="s">
        <v>2976</v>
      </c>
      <c r="F492" s="3234">
        <v>9991297814</v>
      </c>
      <c r="G492" s="3124" t="s">
        <v>5348</v>
      </c>
      <c r="H492" s="3124">
        <v>20</v>
      </c>
      <c r="I492" s="3124">
        <v>20</v>
      </c>
      <c r="J492" s="3124">
        <v>2000</v>
      </c>
      <c r="K492" s="3124"/>
      <c r="L492" s="3124">
        <v>5200</v>
      </c>
      <c r="M492" s="3124" t="s">
        <v>955</v>
      </c>
      <c r="N492" s="3192">
        <v>45045</v>
      </c>
      <c r="O492" s="3192">
        <v>45625</v>
      </c>
      <c r="P492" s="3192">
        <v>45047</v>
      </c>
      <c r="Q492" s="3192">
        <v>45627</v>
      </c>
      <c r="R492" s="3124" t="s">
        <v>433</v>
      </c>
      <c r="S492" s="3124" t="s">
        <v>1690</v>
      </c>
      <c r="T492" s="3124" t="s">
        <v>1850</v>
      </c>
      <c r="U492" t="s">
        <v>1761</v>
      </c>
      <c r="V492" s="3124">
        <v>7500</v>
      </c>
      <c r="W492" s="3193">
        <v>0.30666666666666664</v>
      </c>
      <c r="X492" s="3124">
        <v>2300</v>
      </c>
      <c r="Y492" s="3124">
        <v>0</v>
      </c>
      <c r="Z492" s="3124">
        <v>0</v>
      </c>
      <c r="AA492" s="3124">
        <v>0</v>
      </c>
      <c r="AB492" t="s">
        <v>1869</v>
      </c>
      <c r="AC492" s="3124"/>
    </row>
    <row r="493" spans="1:29">
      <c r="A493" s="3124">
        <v>492</v>
      </c>
      <c r="B493" s="3124" t="s">
        <v>1625</v>
      </c>
      <c r="C493" s="3124" t="s">
        <v>2977</v>
      </c>
      <c r="D493" s="3124" t="s">
        <v>2978</v>
      </c>
      <c r="E493" t="s">
        <v>2979</v>
      </c>
      <c r="F493" s="3234" t="s">
        <v>2980</v>
      </c>
      <c r="G493" s="3124" t="s">
        <v>2981</v>
      </c>
      <c r="H493" s="3124">
        <v>20</v>
      </c>
      <c r="I493" s="3124">
        <v>20</v>
      </c>
      <c r="J493" s="3124">
        <v>3000</v>
      </c>
      <c r="K493" s="3124"/>
      <c r="L493" s="3124">
        <v>5200</v>
      </c>
      <c r="M493" s="3124" t="s">
        <v>2592</v>
      </c>
      <c r="N493" s="3192">
        <v>45031</v>
      </c>
      <c r="O493" s="3192">
        <v>45611</v>
      </c>
      <c r="P493" s="3192">
        <v>45061</v>
      </c>
      <c r="Q493" s="3192">
        <v>45641</v>
      </c>
      <c r="R493" s="3124" t="s">
        <v>433</v>
      </c>
      <c r="S493" s="3124" t="s">
        <v>1690</v>
      </c>
      <c r="T493" s="3124" t="s">
        <v>1850</v>
      </c>
      <c r="U493" t="s">
        <v>1195</v>
      </c>
      <c r="V493" s="3124">
        <v>7500</v>
      </c>
      <c r="W493" s="3193">
        <v>0.30666666666666664</v>
      </c>
      <c r="X493" s="3124">
        <v>2300</v>
      </c>
      <c r="Y493" s="3124">
        <v>0</v>
      </c>
      <c r="Z493" s="3124">
        <v>0</v>
      </c>
      <c r="AA493" s="3124">
        <v>0</v>
      </c>
      <c r="AB493" t="s">
        <v>1195</v>
      </c>
      <c r="AC493" s="3124"/>
    </row>
    <row r="494" spans="1:29">
      <c r="A494" s="3124">
        <v>493</v>
      </c>
      <c r="B494" s="3124" t="s">
        <v>1691</v>
      </c>
      <c r="C494" s="3124" t="s">
        <v>2982</v>
      </c>
      <c r="D494" s="3124" t="s">
        <v>4631</v>
      </c>
      <c r="E494" t="s">
        <v>2983</v>
      </c>
      <c r="F494" s="3234">
        <v>9841072113</v>
      </c>
      <c r="G494" s="3124" t="s">
        <v>5349</v>
      </c>
      <c r="H494" s="3124">
        <v>20</v>
      </c>
      <c r="I494" s="3124">
        <v>16</v>
      </c>
      <c r="J494" s="3124">
        <v>1000</v>
      </c>
      <c r="K494" s="3124"/>
      <c r="L494" s="3124">
        <v>3370</v>
      </c>
      <c r="M494" s="3124" t="s">
        <v>2974</v>
      </c>
      <c r="N494" s="3192">
        <v>45030</v>
      </c>
      <c r="O494" s="3192">
        <v>45487</v>
      </c>
      <c r="P494" s="3192">
        <v>45046</v>
      </c>
      <c r="Q494" s="3192"/>
      <c r="R494" s="3124" t="s">
        <v>432</v>
      </c>
      <c r="S494" s="3124" t="s">
        <v>1949</v>
      </c>
      <c r="T494" s="3124" t="s">
        <v>1850</v>
      </c>
      <c r="U494" t="s">
        <v>1761</v>
      </c>
      <c r="V494" s="3124">
        <v>7500</v>
      </c>
      <c r="W494" s="3193">
        <v>0.55066666666666664</v>
      </c>
      <c r="X494" s="3124">
        <v>4130</v>
      </c>
      <c r="Y494" s="3124">
        <v>0</v>
      </c>
      <c r="Z494" s="3124">
        <v>0</v>
      </c>
      <c r="AA494" s="3124">
        <v>0</v>
      </c>
      <c r="AB494" t="s">
        <v>2653</v>
      </c>
      <c r="AC494" s="3124"/>
    </row>
    <row r="495" spans="1:29">
      <c r="A495" s="3124">
        <v>494</v>
      </c>
      <c r="B495" s="3124" t="s">
        <v>1621</v>
      </c>
      <c r="C495" s="3124" t="s">
        <v>2984</v>
      </c>
      <c r="D495" s="3124" t="s">
        <v>2985</v>
      </c>
      <c r="E495" s="3171" t="s">
        <v>2986</v>
      </c>
      <c r="F495" s="3234" t="s">
        <v>2987</v>
      </c>
      <c r="G495" s="3190" t="s">
        <v>5350</v>
      </c>
      <c r="H495" s="3124">
        <v>20</v>
      </c>
      <c r="I495" s="3124">
        <v>20</v>
      </c>
      <c r="J495" s="3124" t="s">
        <v>1948</v>
      </c>
      <c r="K495" s="3124"/>
      <c r="L495" s="3124">
        <v>3575</v>
      </c>
      <c r="M495" s="3124" t="s">
        <v>2631</v>
      </c>
      <c r="N495" s="3192">
        <v>45030</v>
      </c>
      <c r="O495" s="3192">
        <v>45610</v>
      </c>
      <c r="P495" s="3192">
        <v>45120</v>
      </c>
      <c r="Q495" s="3192"/>
      <c r="R495" s="3124" t="s">
        <v>433</v>
      </c>
      <c r="S495" s="3124" t="s">
        <v>1640</v>
      </c>
      <c r="T495" s="3124" t="s">
        <v>1850</v>
      </c>
      <c r="U495" t="s">
        <v>1761</v>
      </c>
      <c r="V495" s="3124">
        <v>5000</v>
      </c>
      <c r="W495" s="3193">
        <v>0.28499999999999998</v>
      </c>
      <c r="X495" s="3124">
        <v>1425</v>
      </c>
      <c r="Y495" s="3124">
        <v>0</v>
      </c>
      <c r="Z495" s="3124">
        <v>0</v>
      </c>
      <c r="AA495" s="3124">
        <v>0</v>
      </c>
      <c r="AB495" t="s">
        <v>1195</v>
      </c>
      <c r="AC495" s="3124"/>
    </row>
    <row r="496" spans="1:29">
      <c r="A496" s="3124">
        <v>495</v>
      </c>
      <c r="B496" s="3124" t="s">
        <v>1625</v>
      </c>
      <c r="C496" s="3124" t="s">
        <v>2988</v>
      </c>
      <c r="D496" s="3124" t="s">
        <v>3181</v>
      </c>
      <c r="E496" s="3189" t="s">
        <v>2989</v>
      </c>
      <c r="F496" s="3234">
        <v>9831240654</v>
      </c>
      <c r="G496" s="3124" t="s">
        <v>5351</v>
      </c>
      <c r="H496" s="3124">
        <v>20</v>
      </c>
      <c r="I496" s="3124">
        <v>20</v>
      </c>
      <c r="J496" s="3124" t="s">
        <v>1948</v>
      </c>
      <c r="K496" s="3124"/>
      <c r="L496" s="3124">
        <v>2800</v>
      </c>
      <c r="M496" s="3124" t="s">
        <v>2592</v>
      </c>
      <c r="N496" s="3192">
        <v>45031</v>
      </c>
      <c r="O496" s="3192">
        <v>45611</v>
      </c>
      <c r="P496" s="3192">
        <v>45031</v>
      </c>
      <c r="Q496" s="3192"/>
      <c r="R496" s="3124" t="s">
        <v>433</v>
      </c>
      <c r="S496" s="3124" t="s">
        <v>1690</v>
      </c>
      <c r="T496" s="3124" t="s">
        <v>1850</v>
      </c>
      <c r="U496" t="s">
        <v>1195</v>
      </c>
      <c r="V496" s="3124">
        <v>7500</v>
      </c>
      <c r="W496" s="3193">
        <v>0.62666666666666671</v>
      </c>
      <c r="X496" s="3124">
        <v>4700</v>
      </c>
      <c r="Y496" s="3124">
        <v>0</v>
      </c>
      <c r="Z496" s="3124">
        <v>0</v>
      </c>
      <c r="AA496" s="3124">
        <v>29000</v>
      </c>
      <c r="AB496" t="s">
        <v>1195</v>
      </c>
      <c r="AC496" s="3124"/>
    </row>
    <row r="497" spans="1:29">
      <c r="A497" s="3124">
        <v>496</v>
      </c>
      <c r="B497" s="3124" t="s">
        <v>1623</v>
      </c>
      <c r="C497" s="3124" t="s">
        <v>2990</v>
      </c>
      <c r="D497" s="3124" t="s">
        <v>2896</v>
      </c>
      <c r="E497" s="3135" t="s">
        <v>2991</v>
      </c>
      <c r="F497" s="3234" t="s">
        <v>2992</v>
      </c>
      <c r="G497" s="3124" t="s">
        <v>5352</v>
      </c>
      <c r="H497" s="3124">
        <v>20</v>
      </c>
      <c r="I497" s="3124">
        <v>20</v>
      </c>
      <c r="J497" s="3124" t="s">
        <v>1948</v>
      </c>
      <c r="K497" s="3124"/>
      <c r="L497" s="3124">
        <v>5200</v>
      </c>
      <c r="M497" s="3124" t="s">
        <v>2821</v>
      </c>
      <c r="N497" s="3192">
        <v>45031</v>
      </c>
      <c r="O497" s="3192">
        <v>45611</v>
      </c>
      <c r="P497" s="3192">
        <v>45030</v>
      </c>
      <c r="Q497" s="3192"/>
      <c r="R497" s="3124" t="s">
        <v>433</v>
      </c>
      <c r="S497" s="3124" t="s">
        <v>1974</v>
      </c>
      <c r="T497" s="3124" t="s">
        <v>1850</v>
      </c>
      <c r="U497" t="s">
        <v>1195</v>
      </c>
      <c r="V497" s="3124">
        <v>7500</v>
      </c>
      <c r="W497" s="3193">
        <v>0.30666666666666664</v>
      </c>
      <c r="X497" s="3124">
        <v>2300</v>
      </c>
      <c r="Y497" s="3124">
        <v>0</v>
      </c>
      <c r="Z497" s="3124">
        <v>0</v>
      </c>
      <c r="AA497" s="3124">
        <v>0</v>
      </c>
      <c r="AB497" t="s">
        <v>1195</v>
      </c>
      <c r="AC497" s="3124"/>
    </row>
    <row r="498" spans="1:29">
      <c r="A498" s="3124">
        <v>497</v>
      </c>
      <c r="B498" s="3124" t="s">
        <v>1625</v>
      </c>
      <c r="C498" s="3124" t="s">
        <v>2993</v>
      </c>
      <c r="D498" s="3124" t="s">
        <v>2994</v>
      </c>
      <c r="E498" s="3174" t="s">
        <v>2995</v>
      </c>
      <c r="F498" s="3234">
        <v>9831365657</v>
      </c>
      <c r="G498" s="3124" t="s">
        <v>5353</v>
      </c>
      <c r="H498" s="3124">
        <v>20</v>
      </c>
      <c r="I498" s="3124">
        <v>20</v>
      </c>
      <c r="J498" s="3124">
        <v>1000</v>
      </c>
      <c r="K498" s="3124">
        <v>3000</v>
      </c>
      <c r="L498" s="3124">
        <v>3497</v>
      </c>
      <c r="M498" s="3124" t="s">
        <v>2592</v>
      </c>
      <c r="N498" s="3192">
        <v>45031</v>
      </c>
      <c r="O498" s="3192">
        <v>45611</v>
      </c>
      <c r="P498" s="3192">
        <v>45031</v>
      </c>
      <c r="Q498" s="3192"/>
      <c r="R498" s="3124" t="s">
        <v>432</v>
      </c>
      <c r="S498" s="3124" t="s">
        <v>1690</v>
      </c>
      <c r="T498" s="3124" t="s">
        <v>1850</v>
      </c>
      <c r="U498" t="s">
        <v>1195</v>
      </c>
      <c r="V498" s="3124">
        <v>7500</v>
      </c>
      <c r="W498" s="3193">
        <v>0.53373333333333328</v>
      </c>
      <c r="X498" s="3124">
        <v>4003</v>
      </c>
      <c r="Y498" s="3124">
        <v>1</v>
      </c>
      <c r="Z498" s="3124">
        <v>0</v>
      </c>
      <c r="AA498" s="3124">
        <v>0</v>
      </c>
      <c r="AB498" t="s">
        <v>1195</v>
      </c>
      <c r="AC498" s="3124"/>
    </row>
    <row r="499" spans="1:29">
      <c r="A499" s="3124">
        <v>498</v>
      </c>
      <c r="B499" s="3124" t="s">
        <v>1691</v>
      </c>
      <c r="C499" s="3124" t="s">
        <v>2996</v>
      </c>
      <c r="D499" s="3124" t="s">
        <v>2997</v>
      </c>
      <c r="E499" t="s">
        <v>2998</v>
      </c>
      <c r="F499" s="3234">
        <v>9987508474</v>
      </c>
      <c r="G499" s="3124" t="s">
        <v>5354</v>
      </c>
      <c r="H499" s="3124">
        <v>20</v>
      </c>
      <c r="I499" s="3124">
        <v>16</v>
      </c>
      <c r="J499" s="3124"/>
      <c r="K499" s="3124"/>
      <c r="L499" s="3124">
        <v>3187</v>
      </c>
      <c r="M499" s="3124" t="s">
        <v>2974</v>
      </c>
      <c r="N499" s="3192">
        <v>44995</v>
      </c>
      <c r="O499" s="3192">
        <v>45453</v>
      </c>
      <c r="P499" s="3192">
        <v>44995</v>
      </c>
      <c r="Q499" s="3192">
        <v>45575</v>
      </c>
      <c r="R499" s="3124" t="s">
        <v>432</v>
      </c>
      <c r="S499" s="3124" t="s">
        <v>1949</v>
      </c>
      <c r="T499" s="3124" t="s">
        <v>1850</v>
      </c>
      <c r="U499" t="s">
        <v>1761</v>
      </c>
      <c r="V499" s="3124">
        <v>7500</v>
      </c>
      <c r="W499" s="3193">
        <v>0.57506666666666661</v>
      </c>
      <c r="X499" s="3124">
        <v>4313</v>
      </c>
      <c r="Y499" s="3124">
        <v>0</v>
      </c>
      <c r="Z499" s="3124">
        <v>0</v>
      </c>
      <c r="AA499" s="3124">
        <v>0</v>
      </c>
      <c r="AB499" t="s">
        <v>1195</v>
      </c>
      <c r="AC499" s="3124"/>
    </row>
    <row r="500" spans="1:29">
      <c r="A500" s="3124">
        <v>499</v>
      </c>
      <c r="B500" s="3124" t="s">
        <v>1623</v>
      </c>
      <c r="C500" s="3124" t="s">
        <v>1096</v>
      </c>
      <c r="D500" s="3124" t="s">
        <v>629</v>
      </c>
      <c r="E500" t="s">
        <v>2168</v>
      </c>
      <c r="F500" s="3234" t="s">
        <v>2999</v>
      </c>
      <c r="G500" s="3124" t="s">
        <v>5355</v>
      </c>
      <c r="H500" s="3124">
        <v>20</v>
      </c>
      <c r="I500" s="3124">
        <v>20</v>
      </c>
      <c r="J500" s="3124">
        <v>750</v>
      </c>
      <c r="K500" s="3124">
        <v>2500</v>
      </c>
      <c r="L500" s="3124">
        <v>2900</v>
      </c>
      <c r="M500" s="3124" t="s">
        <v>2821</v>
      </c>
      <c r="N500" s="3192">
        <v>45031</v>
      </c>
      <c r="O500" s="3192">
        <v>45611</v>
      </c>
      <c r="P500" s="3192">
        <v>45052</v>
      </c>
      <c r="Q500" s="3192">
        <v>45455</v>
      </c>
      <c r="R500" s="3124" t="s">
        <v>433</v>
      </c>
      <c r="S500" s="3124" t="s">
        <v>1974</v>
      </c>
      <c r="T500" s="3124"/>
      <c r="U500" t="s">
        <v>2653</v>
      </c>
      <c r="V500" s="3124">
        <v>7500</v>
      </c>
      <c r="W500" s="3193">
        <v>0.61333333333333329</v>
      </c>
      <c r="X500" s="3124">
        <v>4600</v>
      </c>
      <c r="Y500" s="3124">
        <v>1</v>
      </c>
      <c r="Z500" s="3124">
        <v>0</v>
      </c>
      <c r="AA500" s="3124">
        <v>0</v>
      </c>
      <c r="AB500" t="s">
        <v>2653</v>
      </c>
      <c r="AC500" s="3124"/>
    </row>
    <row r="501" spans="1:29">
      <c r="A501" s="3124">
        <v>500</v>
      </c>
      <c r="B501" s="3124" t="s">
        <v>1621</v>
      </c>
      <c r="C501" s="3124" t="s">
        <v>3000</v>
      </c>
      <c r="D501" s="3124" t="s">
        <v>2985</v>
      </c>
      <c r="E501" t="s">
        <v>3001</v>
      </c>
      <c r="F501" s="3234" t="s">
        <v>3002</v>
      </c>
      <c r="G501" s="3124" t="s">
        <v>5356</v>
      </c>
      <c r="H501" s="3124">
        <v>20</v>
      </c>
      <c r="I501" s="3124">
        <v>20</v>
      </c>
      <c r="J501" s="3124" t="s">
        <v>1948</v>
      </c>
      <c r="K501" s="3124">
        <v>2000</v>
      </c>
      <c r="L501" s="3124">
        <v>2275</v>
      </c>
      <c r="M501" s="3124" t="s">
        <v>2631</v>
      </c>
      <c r="N501" s="3192">
        <v>45058</v>
      </c>
      <c r="O501" s="3192">
        <v>45638</v>
      </c>
      <c r="P501" s="3192">
        <v>45048</v>
      </c>
      <c r="Q501" s="3192">
        <v>45628</v>
      </c>
      <c r="R501" s="3124" t="s">
        <v>432</v>
      </c>
      <c r="S501" s="3124" t="s">
        <v>1640</v>
      </c>
      <c r="T501" s="3124" t="s">
        <v>1850</v>
      </c>
      <c r="U501" t="s">
        <v>1761</v>
      </c>
      <c r="V501" s="3124">
        <v>5000</v>
      </c>
      <c r="W501" s="3193">
        <v>0.54500000000000004</v>
      </c>
      <c r="X501" s="3124">
        <v>2725</v>
      </c>
      <c r="Y501" s="3124">
        <v>2</v>
      </c>
      <c r="Z501" s="3124"/>
      <c r="AA501" s="3124">
        <v>25000</v>
      </c>
      <c r="AB501" t="s">
        <v>1869</v>
      </c>
      <c r="AC501" s="3124"/>
    </row>
    <row r="502" spans="1:29">
      <c r="A502" s="3124">
        <v>501</v>
      </c>
      <c r="B502" s="3124" t="s">
        <v>1621</v>
      </c>
      <c r="C502" s="3124" t="s">
        <v>3003</v>
      </c>
      <c r="D502" s="3124" t="s">
        <v>3004</v>
      </c>
      <c r="E502" t="s">
        <v>3005</v>
      </c>
      <c r="F502" s="3234" t="s">
        <v>3006</v>
      </c>
      <c r="G502" s="3124" t="s">
        <v>5357</v>
      </c>
      <c r="H502" s="3124">
        <v>20</v>
      </c>
      <c r="I502" s="3124">
        <v>20</v>
      </c>
      <c r="J502" s="3124">
        <v>2000</v>
      </c>
      <c r="K502" s="3124">
        <v>2000</v>
      </c>
      <c r="L502" s="3124">
        <v>2275</v>
      </c>
      <c r="M502" s="3124" t="s">
        <v>3007</v>
      </c>
      <c r="N502" s="3192">
        <v>45048</v>
      </c>
      <c r="O502" s="3192">
        <v>45628</v>
      </c>
      <c r="P502" s="3192">
        <v>45061</v>
      </c>
      <c r="Q502" s="3192">
        <v>45641</v>
      </c>
      <c r="R502" s="3124" t="s">
        <v>433</v>
      </c>
      <c r="S502" s="3124" t="s">
        <v>1640</v>
      </c>
      <c r="T502" s="3124" t="s">
        <v>1767</v>
      </c>
      <c r="U502" t="s">
        <v>1195</v>
      </c>
      <c r="V502" s="3124">
        <v>5000</v>
      </c>
      <c r="W502" s="3193">
        <v>0.54500000000000004</v>
      </c>
      <c r="X502" s="3124">
        <v>2725</v>
      </c>
      <c r="Y502" s="3124">
        <v>2</v>
      </c>
      <c r="Z502" s="3124"/>
      <c r="AA502" s="3124">
        <v>25000</v>
      </c>
      <c r="AB502" t="s">
        <v>1195</v>
      </c>
      <c r="AC502" s="3124"/>
    </row>
    <row r="503" spans="1:29">
      <c r="A503" s="3124">
        <v>502</v>
      </c>
      <c r="B503" s="3124" t="s">
        <v>1621</v>
      </c>
      <c r="C503" s="3124" t="s">
        <v>4920</v>
      </c>
      <c r="D503" s="3124" t="s">
        <v>3008</v>
      </c>
      <c r="E503" s="3131" t="s">
        <v>4366</v>
      </c>
      <c r="F503" s="3234" t="s">
        <v>3009</v>
      </c>
      <c r="G503" s="3190"/>
      <c r="H503" s="3124">
        <v>20</v>
      </c>
      <c r="I503" s="3124">
        <v>20</v>
      </c>
      <c r="J503" s="3124">
        <v>2000</v>
      </c>
      <c r="K503" s="3124">
        <v>2000</v>
      </c>
      <c r="L503" s="3124">
        <v>2275</v>
      </c>
      <c r="M503" s="3124" t="s">
        <v>3007</v>
      </c>
      <c r="N503" s="3192">
        <v>45048</v>
      </c>
      <c r="O503" s="3192">
        <v>45628</v>
      </c>
      <c r="P503" s="3192">
        <v>45061</v>
      </c>
      <c r="Q503" s="3192">
        <v>45641</v>
      </c>
      <c r="R503" s="3124" t="s">
        <v>432</v>
      </c>
      <c r="S503" s="3124" t="s">
        <v>1640</v>
      </c>
      <c r="T503" s="3124" t="s">
        <v>1767</v>
      </c>
      <c r="U503" t="s">
        <v>1195</v>
      </c>
      <c r="V503" s="3124">
        <v>5000</v>
      </c>
      <c r="W503" s="3193">
        <v>0.54500000000000004</v>
      </c>
      <c r="X503" s="3124">
        <v>2725</v>
      </c>
      <c r="Y503" s="3124">
        <v>2</v>
      </c>
      <c r="Z503" s="3124"/>
      <c r="AA503" s="3124">
        <v>25000</v>
      </c>
      <c r="AB503" t="s">
        <v>1195</v>
      </c>
      <c r="AC503" s="3124"/>
    </row>
    <row r="504" spans="1:29">
      <c r="A504" s="3124">
        <v>503</v>
      </c>
      <c r="B504" s="3124" t="s">
        <v>1621</v>
      </c>
      <c r="C504" s="3124" t="s">
        <v>3010</v>
      </c>
      <c r="D504" s="3124" t="s">
        <v>3011</v>
      </c>
      <c r="E504" t="s">
        <v>4635</v>
      </c>
      <c r="F504" s="3234"/>
      <c r="G504" s="3124"/>
      <c r="H504" s="3124">
        <v>20</v>
      </c>
      <c r="I504" s="3124">
        <v>20</v>
      </c>
      <c r="J504" s="3124">
        <v>2000</v>
      </c>
      <c r="K504" s="3124">
        <v>2000</v>
      </c>
      <c r="L504" s="3124">
        <v>2275</v>
      </c>
      <c r="M504" s="3124" t="s">
        <v>3007</v>
      </c>
      <c r="N504" s="3192">
        <v>45048</v>
      </c>
      <c r="O504" s="3192">
        <v>45628</v>
      </c>
      <c r="P504" s="3192">
        <v>45061</v>
      </c>
      <c r="Q504" s="3192">
        <v>45641</v>
      </c>
      <c r="R504" s="3124" t="s">
        <v>433</v>
      </c>
      <c r="S504" s="3124" t="s">
        <v>1640</v>
      </c>
      <c r="T504" s="3124" t="s">
        <v>1767</v>
      </c>
      <c r="U504" t="s">
        <v>2653</v>
      </c>
      <c r="V504" s="3124">
        <v>5000</v>
      </c>
      <c r="W504" s="3193">
        <v>0.54500000000000004</v>
      </c>
      <c r="X504" s="3124">
        <v>2725</v>
      </c>
      <c r="Y504" s="3124">
        <v>2</v>
      </c>
      <c r="Z504" s="3124"/>
      <c r="AA504" s="3124">
        <v>25000</v>
      </c>
      <c r="AB504" t="s">
        <v>1869</v>
      </c>
      <c r="AC504" s="3124"/>
    </row>
    <row r="505" spans="1:29">
      <c r="A505" s="3124">
        <v>504</v>
      </c>
      <c r="B505" s="3124" t="s">
        <v>1621</v>
      </c>
      <c r="C505" s="3124" t="s">
        <v>3012</v>
      </c>
      <c r="D505" s="3124" t="s">
        <v>3013</v>
      </c>
      <c r="E505" s="3139" t="s">
        <v>3014</v>
      </c>
      <c r="F505" s="3234" t="s">
        <v>3015</v>
      </c>
      <c r="G505" s="3124" t="s">
        <v>5358</v>
      </c>
      <c r="H505" s="3124">
        <v>20</v>
      </c>
      <c r="I505" s="3124">
        <v>20</v>
      </c>
      <c r="J505" s="3124">
        <v>2000</v>
      </c>
      <c r="K505" s="3124">
        <v>2000</v>
      </c>
      <c r="L505" s="3124">
        <v>2275</v>
      </c>
      <c r="M505" s="3124" t="s">
        <v>3007</v>
      </c>
      <c r="N505" s="3192">
        <v>45048</v>
      </c>
      <c r="O505" s="3192">
        <v>45628</v>
      </c>
      <c r="P505" s="3192">
        <v>45061</v>
      </c>
      <c r="Q505" s="3192">
        <v>45641</v>
      </c>
      <c r="R505" s="3124" t="s">
        <v>433</v>
      </c>
      <c r="S505" s="3124" t="s">
        <v>1640</v>
      </c>
      <c r="T505" s="3124" t="s">
        <v>1767</v>
      </c>
      <c r="U505" t="s">
        <v>1195</v>
      </c>
      <c r="V505" s="3124">
        <v>5000</v>
      </c>
      <c r="W505" s="3193">
        <v>0.54500000000000004</v>
      </c>
      <c r="X505" s="3124">
        <v>2725</v>
      </c>
      <c r="Y505" s="3124">
        <v>2</v>
      </c>
      <c r="Z505" s="3124"/>
      <c r="AA505" s="3124">
        <v>25000</v>
      </c>
      <c r="AB505" t="s">
        <v>1195</v>
      </c>
      <c r="AC505" s="3124"/>
    </row>
    <row r="506" spans="1:29">
      <c r="A506" s="3124">
        <v>505</v>
      </c>
      <c r="B506" s="3124" t="s">
        <v>1621</v>
      </c>
      <c r="C506" s="3124" t="s">
        <v>3016</v>
      </c>
      <c r="D506" s="3124" t="s">
        <v>3017</v>
      </c>
      <c r="E506" s="3149" t="s">
        <v>3018</v>
      </c>
      <c r="F506" s="3234" t="s">
        <v>3019</v>
      </c>
      <c r="G506" s="3124" t="s">
        <v>5359</v>
      </c>
      <c r="H506" s="3124">
        <v>20</v>
      </c>
      <c r="I506" s="3124">
        <v>20</v>
      </c>
      <c r="J506" s="3124">
        <v>2000</v>
      </c>
      <c r="K506" s="3124">
        <v>2000</v>
      </c>
      <c r="L506" s="3124">
        <v>2275</v>
      </c>
      <c r="M506" s="3124" t="s">
        <v>3007</v>
      </c>
      <c r="N506" s="3192">
        <v>45048</v>
      </c>
      <c r="O506" s="3192">
        <v>45628</v>
      </c>
      <c r="P506" s="3192">
        <v>45061</v>
      </c>
      <c r="Q506" s="3192">
        <v>45641</v>
      </c>
      <c r="R506" s="3124" t="s">
        <v>433</v>
      </c>
      <c r="S506" s="3124" t="s">
        <v>1640</v>
      </c>
      <c r="T506" s="3124" t="s">
        <v>1767</v>
      </c>
      <c r="U506" t="s">
        <v>1195</v>
      </c>
      <c r="V506" s="3124">
        <v>5000</v>
      </c>
      <c r="W506" s="3193">
        <v>0.54500000000000004</v>
      </c>
      <c r="X506" s="3124">
        <v>2725</v>
      </c>
      <c r="Y506" s="3124">
        <v>2</v>
      </c>
      <c r="Z506" s="3124"/>
      <c r="AA506" s="3124">
        <v>25000</v>
      </c>
      <c r="AB506" t="s">
        <v>1195</v>
      </c>
      <c r="AC506" s="3124"/>
    </row>
    <row r="507" spans="1:29">
      <c r="A507" s="3124">
        <v>506</v>
      </c>
      <c r="B507" s="3124" t="s">
        <v>1621</v>
      </c>
      <c r="C507" s="3124" t="s">
        <v>3020</v>
      </c>
      <c r="D507" s="3124" t="s">
        <v>3021</v>
      </c>
      <c r="E507" s="3150" t="s">
        <v>3022</v>
      </c>
      <c r="F507" s="3234" t="s">
        <v>3023</v>
      </c>
      <c r="G507" s="3124" t="s">
        <v>5360</v>
      </c>
      <c r="H507" s="3124">
        <v>20</v>
      </c>
      <c r="I507" s="3124">
        <v>20</v>
      </c>
      <c r="J507" s="3124">
        <v>2000</v>
      </c>
      <c r="K507" s="3124">
        <v>2000</v>
      </c>
      <c r="L507" s="3124">
        <v>2275</v>
      </c>
      <c r="M507" s="3124" t="s">
        <v>3007</v>
      </c>
      <c r="N507" s="3192">
        <v>45048</v>
      </c>
      <c r="O507" s="3192">
        <v>45628</v>
      </c>
      <c r="P507" s="3192">
        <v>45061</v>
      </c>
      <c r="Q507" s="3192">
        <v>45641</v>
      </c>
      <c r="R507" s="3124" t="s">
        <v>432</v>
      </c>
      <c r="S507" s="3124" t="s">
        <v>1640</v>
      </c>
      <c r="T507" s="3124" t="s">
        <v>1767</v>
      </c>
      <c r="U507" t="s">
        <v>1195</v>
      </c>
      <c r="V507" s="3124">
        <v>5000</v>
      </c>
      <c r="W507" s="3193">
        <v>0.54500000000000004</v>
      </c>
      <c r="X507" s="3124">
        <v>2725</v>
      </c>
      <c r="Y507" s="3124">
        <v>2</v>
      </c>
      <c r="Z507" s="3124"/>
      <c r="AA507" s="3124">
        <v>25000</v>
      </c>
      <c r="AB507" t="s">
        <v>1195</v>
      </c>
      <c r="AC507" s="3124"/>
    </row>
    <row r="508" spans="1:29">
      <c r="A508" s="3124">
        <v>507</v>
      </c>
      <c r="B508" s="3124" t="s">
        <v>1621</v>
      </c>
      <c r="C508" s="3124" t="s">
        <v>3024</v>
      </c>
      <c r="D508" s="3124" t="s">
        <v>3025</v>
      </c>
      <c r="E508" t="s">
        <v>3026</v>
      </c>
      <c r="F508" s="3234" t="s">
        <v>3027</v>
      </c>
      <c r="G508" s="3124" t="s">
        <v>5361</v>
      </c>
      <c r="H508" s="3124">
        <v>20</v>
      </c>
      <c r="I508" s="3124">
        <v>20</v>
      </c>
      <c r="J508" s="3124">
        <v>2000</v>
      </c>
      <c r="K508" s="3124">
        <v>2000</v>
      </c>
      <c r="L508" s="3124">
        <v>2275</v>
      </c>
      <c r="M508" s="3124" t="s">
        <v>3007</v>
      </c>
      <c r="N508" s="3192">
        <v>45048</v>
      </c>
      <c r="O508" s="3192">
        <v>45628</v>
      </c>
      <c r="P508" s="3192">
        <v>45061</v>
      </c>
      <c r="Q508" s="3192">
        <v>45641</v>
      </c>
      <c r="R508" s="3124" t="s">
        <v>433</v>
      </c>
      <c r="S508" s="3124" t="s">
        <v>1640</v>
      </c>
      <c r="T508" s="3124" t="s">
        <v>1767</v>
      </c>
      <c r="U508" t="s">
        <v>1195</v>
      </c>
      <c r="V508" s="3124">
        <v>5000</v>
      </c>
      <c r="W508" s="3193">
        <v>0.54500000000000004</v>
      </c>
      <c r="X508" s="3124">
        <v>2725</v>
      </c>
      <c r="Y508" s="3124">
        <v>2</v>
      </c>
      <c r="Z508" s="3124"/>
      <c r="AA508" s="3124">
        <v>25000</v>
      </c>
      <c r="AB508" t="s">
        <v>1195</v>
      </c>
      <c r="AC508" s="3124"/>
    </row>
    <row r="509" spans="1:29">
      <c r="A509" s="3124">
        <v>508</v>
      </c>
      <c r="B509" s="3124" t="s">
        <v>1621</v>
      </c>
      <c r="C509" s="3124" t="s">
        <v>3028</v>
      </c>
      <c r="D509" s="3124" t="s">
        <v>3029</v>
      </c>
      <c r="E509" t="s">
        <v>3030</v>
      </c>
      <c r="F509" s="3234" t="s">
        <v>3031</v>
      </c>
      <c r="G509" s="3124" t="s">
        <v>5362</v>
      </c>
      <c r="H509" s="3124">
        <v>20</v>
      </c>
      <c r="I509" s="3124">
        <v>20</v>
      </c>
      <c r="J509" s="3124">
        <v>2000</v>
      </c>
      <c r="K509" s="3124">
        <v>2000</v>
      </c>
      <c r="L509" s="3124">
        <v>2275</v>
      </c>
      <c r="M509" s="3124" t="s">
        <v>3007</v>
      </c>
      <c r="N509" s="3192">
        <v>45048</v>
      </c>
      <c r="O509" s="3192">
        <v>45628</v>
      </c>
      <c r="P509" s="3192">
        <v>45061</v>
      </c>
      <c r="Q509" s="3192">
        <v>45641</v>
      </c>
      <c r="R509" s="3124" t="s">
        <v>432</v>
      </c>
      <c r="S509" s="3124" t="s">
        <v>1640</v>
      </c>
      <c r="T509" s="3124" t="s">
        <v>1767</v>
      </c>
      <c r="U509" t="s">
        <v>1195</v>
      </c>
      <c r="V509" s="3124">
        <v>5000</v>
      </c>
      <c r="W509" s="3193">
        <v>0.54500000000000004</v>
      </c>
      <c r="X509" s="3124">
        <v>2725</v>
      </c>
      <c r="Y509" s="3124">
        <v>2</v>
      </c>
      <c r="Z509" s="3124"/>
      <c r="AA509" s="3124">
        <v>25000</v>
      </c>
      <c r="AB509" t="s">
        <v>1195</v>
      </c>
      <c r="AC509" s="3124"/>
    </row>
    <row r="510" spans="1:29">
      <c r="A510" s="3124">
        <v>509</v>
      </c>
      <c r="B510" s="3124" t="s">
        <v>1621</v>
      </c>
      <c r="C510" s="3124" t="s">
        <v>3032</v>
      </c>
      <c r="D510" s="3124" t="s">
        <v>3033</v>
      </c>
      <c r="E510" t="s">
        <v>4636</v>
      </c>
      <c r="F510" s="3234" t="s">
        <v>3034</v>
      </c>
      <c r="G510" s="3124" t="s">
        <v>5363</v>
      </c>
      <c r="H510" s="3124">
        <v>20</v>
      </c>
      <c r="I510" s="3124">
        <v>20</v>
      </c>
      <c r="J510" s="3124">
        <v>2000</v>
      </c>
      <c r="K510" s="3124">
        <v>2000</v>
      </c>
      <c r="L510" s="3124">
        <v>2275</v>
      </c>
      <c r="M510" s="3124" t="s">
        <v>3007</v>
      </c>
      <c r="N510" s="3192">
        <v>45048</v>
      </c>
      <c r="O510" s="3192">
        <v>45628</v>
      </c>
      <c r="P510" s="3192">
        <v>45061</v>
      </c>
      <c r="Q510" s="3192">
        <v>45641</v>
      </c>
      <c r="R510" s="3124" t="s">
        <v>432</v>
      </c>
      <c r="S510" s="3124" t="s">
        <v>1640</v>
      </c>
      <c r="T510" s="3124" t="s">
        <v>1767</v>
      </c>
      <c r="U510" t="s">
        <v>1195</v>
      </c>
      <c r="V510" s="3124">
        <v>5000</v>
      </c>
      <c r="W510" s="3193">
        <v>0.54500000000000004</v>
      </c>
      <c r="X510" s="3124">
        <v>2725</v>
      </c>
      <c r="Y510" s="3124">
        <v>2</v>
      </c>
      <c r="Z510" s="3124"/>
      <c r="AA510" s="3124">
        <v>25000</v>
      </c>
      <c r="AB510" t="s">
        <v>1195</v>
      </c>
      <c r="AC510" s="3124"/>
    </row>
    <row r="511" spans="1:29">
      <c r="A511" s="3124">
        <v>510</v>
      </c>
      <c r="B511" s="3124" t="s">
        <v>1621</v>
      </c>
      <c r="C511" s="3124" t="s">
        <v>3035</v>
      </c>
      <c r="D511" s="3124" t="s">
        <v>3036</v>
      </c>
      <c r="E511" t="s">
        <v>3037</v>
      </c>
      <c r="F511" s="3234" t="s">
        <v>3038</v>
      </c>
      <c r="G511" s="3124" t="s">
        <v>5364</v>
      </c>
      <c r="H511" s="3124">
        <v>20</v>
      </c>
      <c r="I511" s="3124">
        <v>20</v>
      </c>
      <c r="J511" s="3124">
        <v>2000</v>
      </c>
      <c r="K511" s="3124">
        <v>2000</v>
      </c>
      <c r="L511" s="3124">
        <v>2275</v>
      </c>
      <c r="M511" s="3124" t="s">
        <v>3007</v>
      </c>
      <c r="N511" s="3192">
        <v>45048</v>
      </c>
      <c r="O511" s="3192">
        <v>45628</v>
      </c>
      <c r="P511" s="3192">
        <v>45061</v>
      </c>
      <c r="Q511" s="3192">
        <v>45641</v>
      </c>
      <c r="R511" s="3124" t="s">
        <v>433</v>
      </c>
      <c r="S511" s="3124" t="s">
        <v>1640</v>
      </c>
      <c r="T511" s="3124" t="s">
        <v>1767</v>
      </c>
      <c r="U511" t="s">
        <v>1195</v>
      </c>
      <c r="V511" s="3124">
        <v>5000</v>
      </c>
      <c r="W511" s="3193">
        <v>0.54500000000000004</v>
      </c>
      <c r="X511" s="3124">
        <v>2725</v>
      </c>
      <c r="Y511" s="3124">
        <v>2</v>
      </c>
      <c r="Z511" s="3124"/>
      <c r="AA511" s="3124">
        <v>25000</v>
      </c>
      <c r="AB511" t="s">
        <v>1195</v>
      </c>
      <c r="AC511" s="3124"/>
    </row>
    <row r="512" spans="1:29">
      <c r="A512" s="3124">
        <v>511</v>
      </c>
      <c r="B512" s="3124" t="s">
        <v>1621</v>
      </c>
      <c r="C512" s="3124" t="s">
        <v>3039</v>
      </c>
      <c r="D512" s="3124" t="s">
        <v>3040</v>
      </c>
      <c r="E512" t="s">
        <v>3041</v>
      </c>
      <c r="F512" s="3234">
        <v>66972468</v>
      </c>
      <c r="G512" s="3124" t="s">
        <v>5365</v>
      </c>
      <c r="H512" s="3124">
        <v>20</v>
      </c>
      <c r="I512" s="3124">
        <v>20</v>
      </c>
      <c r="J512" s="3124">
        <v>2000</v>
      </c>
      <c r="K512" s="3124">
        <v>2000</v>
      </c>
      <c r="L512" s="3124">
        <v>2275</v>
      </c>
      <c r="M512" s="3124" t="s">
        <v>3007</v>
      </c>
      <c r="N512" s="3192">
        <v>45048</v>
      </c>
      <c r="O512" s="3192">
        <v>45628</v>
      </c>
      <c r="P512" s="3192">
        <v>45061</v>
      </c>
      <c r="Q512" s="3192">
        <v>45641</v>
      </c>
      <c r="R512" s="3124" t="s">
        <v>432</v>
      </c>
      <c r="S512" s="3124" t="s">
        <v>1640</v>
      </c>
      <c r="T512" s="3124" t="s">
        <v>1767</v>
      </c>
      <c r="U512" t="s">
        <v>1195</v>
      </c>
      <c r="V512" s="3124">
        <v>5000</v>
      </c>
      <c r="W512" s="3193">
        <v>0.54500000000000004</v>
      </c>
      <c r="X512" s="3124">
        <v>2725</v>
      </c>
      <c r="Y512" s="3124">
        <v>2</v>
      </c>
      <c r="Z512" s="3124"/>
      <c r="AA512" s="3124">
        <v>25000</v>
      </c>
      <c r="AB512" t="s">
        <v>1195</v>
      </c>
      <c r="AC512" s="3124"/>
    </row>
    <row r="513" spans="1:29">
      <c r="A513" s="3124">
        <v>512</v>
      </c>
      <c r="B513" s="3124" t="s">
        <v>1621</v>
      </c>
      <c r="C513" s="3124" t="s">
        <v>3042</v>
      </c>
      <c r="D513" s="3124" t="s">
        <v>3043</v>
      </c>
      <c r="E513" t="s">
        <v>3044</v>
      </c>
      <c r="F513" s="3234">
        <v>66272129</v>
      </c>
      <c r="G513" s="3124" t="s">
        <v>5366</v>
      </c>
      <c r="H513" s="3124">
        <v>20</v>
      </c>
      <c r="I513" s="3124">
        <v>20</v>
      </c>
      <c r="J513" s="3124">
        <v>2000</v>
      </c>
      <c r="K513" s="3124">
        <v>2000</v>
      </c>
      <c r="L513" s="3124">
        <v>2275</v>
      </c>
      <c r="M513" s="3124" t="s">
        <v>3007</v>
      </c>
      <c r="N513" s="3192">
        <v>45048</v>
      </c>
      <c r="O513" s="3192">
        <v>45628</v>
      </c>
      <c r="P513" s="3192">
        <v>45061</v>
      </c>
      <c r="Q513" s="3192">
        <v>45641</v>
      </c>
      <c r="R513" s="3124" t="s">
        <v>432</v>
      </c>
      <c r="S513" s="3124" t="s">
        <v>1640</v>
      </c>
      <c r="T513" s="3124" t="s">
        <v>1767</v>
      </c>
      <c r="U513" t="s">
        <v>1195</v>
      </c>
      <c r="V513" s="3124">
        <v>5000</v>
      </c>
      <c r="W513" s="3193">
        <v>0.54500000000000004</v>
      </c>
      <c r="X513" s="3124">
        <v>2725</v>
      </c>
      <c r="Y513" s="3124">
        <v>2</v>
      </c>
      <c r="Z513" s="3124"/>
      <c r="AA513" s="3124">
        <v>25000</v>
      </c>
      <c r="AB513" t="s">
        <v>1195</v>
      </c>
      <c r="AC513" s="3124"/>
    </row>
    <row r="514" spans="1:29">
      <c r="A514" s="3124">
        <v>513</v>
      </c>
      <c r="B514" s="3124" t="s">
        <v>1621</v>
      </c>
      <c r="C514" s="3220" t="s">
        <v>3045</v>
      </c>
      <c r="D514" s="3220" t="s">
        <v>3046</v>
      </c>
      <c r="E514" t="s">
        <v>3047</v>
      </c>
      <c r="F514" s="3234" t="s">
        <v>3048</v>
      </c>
      <c r="G514" s="3124" t="s">
        <v>5367</v>
      </c>
      <c r="H514" s="3124">
        <v>20</v>
      </c>
      <c r="I514" s="3124">
        <v>20</v>
      </c>
      <c r="J514" s="3124">
        <v>2000</v>
      </c>
      <c r="K514" s="3124">
        <v>2000</v>
      </c>
      <c r="L514" s="3124">
        <v>2275</v>
      </c>
      <c r="M514" s="3124" t="s">
        <v>3007</v>
      </c>
      <c r="N514" s="3192">
        <v>45048</v>
      </c>
      <c r="O514" s="3192">
        <v>45628</v>
      </c>
      <c r="P514" s="3192">
        <v>45061</v>
      </c>
      <c r="Q514" s="3192">
        <v>45641</v>
      </c>
      <c r="R514" s="3124" t="s">
        <v>432</v>
      </c>
      <c r="S514" s="3124" t="s">
        <v>1640</v>
      </c>
      <c r="T514" s="3124" t="s">
        <v>1767</v>
      </c>
      <c r="U514" t="s">
        <v>1195</v>
      </c>
      <c r="V514" s="3124">
        <v>5000</v>
      </c>
      <c r="W514" s="3193">
        <v>0.54500000000000004</v>
      </c>
      <c r="X514" s="3124">
        <v>2725</v>
      </c>
      <c r="Y514" s="3124">
        <v>2</v>
      </c>
      <c r="Z514" s="3124"/>
      <c r="AA514" s="3124">
        <v>25000</v>
      </c>
      <c r="AB514" t="s">
        <v>1195</v>
      </c>
      <c r="AC514" s="3124"/>
    </row>
    <row r="515" spans="1:29">
      <c r="A515" s="3124">
        <v>514</v>
      </c>
      <c r="B515" s="3124" t="s">
        <v>1621</v>
      </c>
      <c r="C515" s="3220" t="s">
        <v>3049</v>
      </c>
      <c r="D515" s="3220" t="s">
        <v>3050</v>
      </c>
      <c r="E515" t="s">
        <v>3051</v>
      </c>
      <c r="F515" s="3234" t="s">
        <v>3052</v>
      </c>
      <c r="G515" s="3124" t="s">
        <v>5368</v>
      </c>
      <c r="H515" s="3124">
        <v>20</v>
      </c>
      <c r="I515" s="3124">
        <v>20</v>
      </c>
      <c r="J515" s="3124">
        <v>2000</v>
      </c>
      <c r="K515" s="3124">
        <v>2000</v>
      </c>
      <c r="L515" s="3124">
        <v>2275</v>
      </c>
      <c r="M515" s="3219" t="s">
        <v>3007</v>
      </c>
      <c r="N515" s="3192">
        <v>45048</v>
      </c>
      <c r="O515" s="3192">
        <v>45628</v>
      </c>
      <c r="P515" s="3192">
        <v>45061</v>
      </c>
      <c r="Q515" s="3192">
        <v>45641</v>
      </c>
      <c r="R515" s="3124" t="s">
        <v>432</v>
      </c>
      <c r="S515" s="3124" t="s">
        <v>1640</v>
      </c>
      <c r="T515" s="3124" t="s">
        <v>1767</v>
      </c>
      <c r="U515" t="s">
        <v>1195</v>
      </c>
      <c r="V515" s="3124">
        <v>5000</v>
      </c>
      <c r="W515" s="3193">
        <v>0.54500000000000004</v>
      </c>
      <c r="X515" s="3124">
        <v>2725</v>
      </c>
      <c r="Y515" s="3124">
        <v>2</v>
      </c>
      <c r="Z515" s="3124"/>
      <c r="AA515" s="3124">
        <v>25000</v>
      </c>
      <c r="AB515" t="s">
        <v>1195</v>
      </c>
      <c r="AC515" s="3124"/>
    </row>
    <row r="516" spans="1:29">
      <c r="A516" s="3124">
        <v>515</v>
      </c>
      <c r="B516" s="3124" t="s">
        <v>1621</v>
      </c>
      <c r="C516" s="3124" t="s">
        <v>3053</v>
      </c>
      <c r="D516" s="3124" t="s">
        <v>3054</v>
      </c>
      <c r="E516" t="s">
        <v>3055</v>
      </c>
      <c r="F516" s="3234">
        <v>65408057</v>
      </c>
      <c r="G516" s="3124" t="s">
        <v>5369</v>
      </c>
      <c r="H516" s="3124">
        <v>20</v>
      </c>
      <c r="I516" s="3124">
        <v>20</v>
      </c>
      <c r="J516" s="3124">
        <v>2000</v>
      </c>
      <c r="K516" s="3124">
        <v>2000</v>
      </c>
      <c r="L516" s="3124">
        <v>2275</v>
      </c>
      <c r="M516" s="3124" t="s">
        <v>3007</v>
      </c>
      <c r="N516" s="3192">
        <v>45048</v>
      </c>
      <c r="O516" s="3192">
        <v>45628</v>
      </c>
      <c r="P516" s="3192">
        <v>45061</v>
      </c>
      <c r="Q516" s="3192">
        <v>45641</v>
      </c>
      <c r="R516" s="3124" t="s">
        <v>432</v>
      </c>
      <c r="S516" s="3124" t="s">
        <v>1640</v>
      </c>
      <c r="T516" s="3124" t="s">
        <v>1767</v>
      </c>
      <c r="U516" t="s">
        <v>1195</v>
      </c>
      <c r="V516" s="3124">
        <v>5000</v>
      </c>
      <c r="W516" s="3193">
        <v>0.54500000000000004</v>
      </c>
      <c r="X516" s="3124">
        <v>2725</v>
      </c>
      <c r="Y516" s="3124">
        <v>2</v>
      </c>
      <c r="Z516" s="3124"/>
      <c r="AA516" s="3124">
        <v>25000</v>
      </c>
      <c r="AB516" t="s">
        <v>1195</v>
      </c>
      <c r="AC516" s="3124"/>
    </row>
    <row r="517" spans="1:29">
      <c r="A517" s="3124">
        <v>516</v>
      </c>
      <c r="B517" s="3124" t="s">
        <v>1621</v>
      </c>
      <c r="C517" s="3124" t="s">
        <v>3056</v>
      </c>
      <c r="D517" s="3124" t="s">
        <v>3057</v>
      </c>
      <c r="E517" t="s">
        <v>3058</v>
      </c>
      <c r="F517" s="3234" t="s">
        <v>3059</v>
      </c>
      <c r="G517" s="3124" t="s">
        <v>5370</v>
      </c>
      <c r="H517" s="3124">
        <v>20</v>
      </c>
      <c r="I517" s="3124">
        <v>20</v>
      </c>
      <c r="J517" s="3124">
        <v>2000</v>
      </c>
      <c r="K517" s="3124">
        <v>2000</v>
      </c>
      <c r="L517" s="3124">
        <v>2275</v>
      </c>
      <c r="M517" s="3124" t="s">
        <v>3007</v>
      </c>
      <c r="N517" s="3192">
        <v>45048</v>
      </c>
      <c r="O517" s="3192">
        <v>45628</v>
      </c>
      <c r="P517" s="3192">
        <v>45061</v>
      </c>
      <c r="Q517" s="3192">
        <v>45641</v>
      </c>
      <c r="R517" s="3124" t="s">
        <v>433</v>
      </c>
      <c r="S517" s="3124" t="s">
        <v>1640</v>
      </c>
      <c r="T517" s="3124" t="s">
        <v>1767</v>
      </c>
      <c r="U517" t="s">
        <v>1195</v>
      </c>
      <c r="V517" s="3124">
        <v>5000</v>
      </c>
      <c r="W517" s="3193">
        <v>0.54500000000000004</v>
      </c>
      <c r="X517" s="3124">
        <v>2725</v>
      </c>
      <c r="Y517" s="3124">
        <v>2</v>
      </c>
      <c r="Z517" s="3124"/>
      <c r="AA517" s="3124">
        <v>25000</v>
      </c>
      <c r="AB517" t="s">
        <v>1195</v>
      </c>
      <c r="AC517" s="3124"/>
    </row>
    <row r="518" spans="1:29">
      <c r="A518" s="3124">
        <v>517</v>
      </c>
      <c r="B518" s="3124" t="s">
        <v>1621</v>
      </c>
      <c r="C518" s="3124" t="s">
        <v>4921</v>
      </c>
      <c r="D518" s="3124" t="s">
        <v>3060</v>
      </c>
      <c r="E518" s="3132" t="s">
        <v>3061</v>
      </c>
      <c r="F518" s="3234" t="s">
        <v>3062</v>
      </c>
      <c r="G518" s="3190" t="s">
        <v>5371</v>
      </c>
      <c r="H518" s="3124">
        <v>20</v>
      </c>
      <c r="I518" s="3124">
        <v>20</v>
      </c>
      <c r="J518" s="3124">
        <v>2000</v>
      </c>
      <c r="K518" s="3124">
        <v>2000</v>
      </c>
      <c r="L518" s="3124">
        <v>2275</v>
      </c>
      <c r="M518" s="3124" t="s">
        <v>3007</v>
      </c>
      <c r="N518" s="3192">
        <v>45048</v>
      </c>
      <c r="O518" s="3192">
        <v>45628</v>
      </c>
      <c r="P518" s="3192">
        <v>45061</v>
      </c>
      <c r="Q518" s="3192">
        <v>45641</v>
      </c>
      <c r="R518" s="3124" t="s">
        <v>432</v>
      </c>
      <c r="S518" s="3124" t="s">
        <v>1640</v>
      </c>
      <c r="T518" s="3124" t="s">
        <v>1767</v>
      </c>
      <c r="U518" t="s">
        <v>1195</v>
      </c>
      <c r="V518" s="3124">
        <v>5000</v>
      </c>
      <c r="W518" s="3193">
        <v>0.54500000000000004</v>
      </c>
      <c r="X518" s="3124">
        <v>2725</v>
      </c>
      <c r="Y518" s="3124">
        <v>2</v>
      </c>
      <c r="Z518" s="3124"/>
      <c r="AA518" s="3124">
        <v>25000</v>
      </c>
      <c r="AB518" t="s">
        <v>1195</v>
      </c>
      <c r="AC518" s="3124"/>
    </row>
    <row r="519" spans="1:29">
      <c r="A519" s="3124">
        <v>518</v>
      </c>
      <c r="B519" s="3124" t="s">
        <v>1621</v>
      </c>
      <c r="C519" s="3124" t="s">
        <v>3063</v>
      </c>
      <c r="D519" s="3124" t="s">
        <v>3064</v>
      </c>
      <c r="E519" t="s">
        <v>3065</v>
      </c>
      <c r="F519" s="3234" t="s">
        <v>3066</v>
      </c>
      <c r="G519" s="3124" t="s">
        <v>5372</v>
      </c>
      <c r="H519" s="3124">
        <v>20</v>
      </c>
      <c r="I519" s="3124">
        <v>20</v>
      </c>
      <c r="J519" s="3124">
        <v>2000</v>
      </c>
      <c r="K519" s="3124">
        <v>2000</v>
      </c>
      <c r="L519" s="3124">
        <v>2275</v>
      </c>
      <c r="M519" s="3124" t="s">
        <v>3007</v>
      </c>
      <c r="N519" s="3192">
        <v>45048</v>
      </c>
      <c r="O519" s="3192">
        <v>45628</v>
      </c>
      <c r="P519" s="3192">
        <v>45061</v>
      </c>
      <c r="Q519" s="3192">
        <v>45641</v>
      </c>
      <c r="R519" s="3124" t="s">
        <v>432</v>
      </c>
      <c r="S519" s="3124" t="s">
        <v>1640</v>
      </c>
      <c r="T519" s="3124" t="s">
        <v>1767</v>
      </c>
      <c r="U519" t="s">
        <v>1195</v>
      </c>
      <c r="V519" s="3124">
        <v>5000</v>
      </c>
      <c r="W519" s="3193">
        <v>0.54500000000000004</v>
      </c>
      <c r="X519" s="3124">
        <v>2725</v>
      </c>
      <c r="Y519" s="3124">
        <v>2</v>
      </c>
      <c r="Z519" s="3124"/>
      <c r="AA519" s="3124">
        <v>25000</v>
      </c>
      <c r="AB519" t="s">
        <v>1195</v>
      </c>
      <c r="AC519" s="3124"/>
    </row>
    <row r="520" spans="1:29">
      <c r="A520" s="3124">
        <v>519</v>
      </c>
      <c r="B520" s="3124" t="s">
        <v>1621</v>
      </c>
      <c r="C520" s="3124" t="s">
        <v>3067</v>
      </c>
      <c r="D520" s="3124" t="s">
        <v>3068</v>
      </c>
      <c r="E520" t="s">
        <v>3069</v>
      </c>
      <c r="F520" s="3234" t="s">
        <v>3070</v>
      </c>
      <c r="G520" s="3124" t="s">
        <v>5373</v>
      </c>
      <c r="H520" s="3124">
        <v>20</v>
      </c>
      <c r="I520" s="3124">
        <v>20</v>
      </c>
      <c r="J520" s="3124">
        <v>2000</v>
      </c>
      <c r="K520" s="3124">
        <v>2000</v>
      </c>
      <c r="L520" s="3124">
        <v>2275</v>
      </c>
      <c r="M520" s="3124" t="s">
        <v>3007</v>
      </c>
      <c r="N520" s="3192">
        <v>45048</v>
      </c>
      <c r="O520" s="3192">
        <v>45628</v>
      </c>
      <c r="P520" s="3192">
        <v>45061</v>
      </c>
      <c r="Q520" s="3192">
        <v>45641</v>
      </c>
      <c r="R520" s="3124" t="s">
        <v>433</v>
      </c>
      <c r="S520" s="3124" t="s">
        <v>1640</v>
      </c>
      <c r="T520" s="3124" t="s">
        <v>1767</v>
      </c>
      <c r="U520" t="s">
        <v>1195</v>
      </c>
      <c r="V520" s="3124">
        <v>5000</v>
      </c>
      <c r="W520" s="3193">
        <v>0.54500000000000004</v>
      </c>
      <c r="X520" s="3124">
        <v>2725</v>
      </c>
      <c r="Y520" s="3124">
        <v>2</v>
      </c>
      <c r="Z520" s="3124"/>
      <c r="AA520" s="3124">
        <v>25000</v>
      </c>
      <c r="AB520" t="s">
        <v>1195</v>
      </c>
      <c r="AC520" s="3124"/>
    </row>
    <row r="521" spans="1:29">
      <c r="A521" s="3124">
        <v>520</v>
      </c>
      <c r="B521" s="3124" t="s">
        <v>1621</v>
      </c>
      <c r="C521" s="3124" t="s">
        <v>3071</v>
      </c>
      <c r="D521" s="3124" t="s">
        <v>3072</v>
      </c>
      <c r="E521" t="s">
        <v>3073</v>
      </c>
      <c r="F521" s="3234" t="s">
        <v>3074</v>
      </c>
      <c r="G521" s="3124"/>
      <c r="H521" s="3124">
        <v>20</v>
      </c>
      <c r="I521" s="3124">
        <v>20</v>
      </c>
      <c r="J521" s="3124">
        <v>2000</v>
      </c>
      <c r="K521" s="3124">
        <v>2000</v>
      </c>
      <c r="L521" s="3124">
        <v>2275</v>
      </c>
      <c r="M521" s="3124" t="s">
        <v>3007</v>
      </c>
      <c r="N521" s="3192">
        <v>45048</v>
      </c>
      <c r="O521" s="3192">
        <v>45628</v>
      </c>
      <c r="P521" s="3192">
        <v>45061</v>
      </c>
      <c r="Q521" s="3192">
        <v>45641</v>
      </c>
      <c r="R521" s="3124" t="s">
        <v>433</v>
      </c>
      <c r="S521" s="3124" t="s">
        <v>1640</v>
      </c>
      <c r="T521" s="3124" t="s">
        <v>1767</v>
      </c>
      <c r="U521" t="s">
        <v>1195</v>
      </c>
      <c r="V521" s="3124">
        <v>5000</v>
      </c>
      <c r="W521" s="3193">
        <v>0.54500000000000004</v>
      </c>
      <c r="X521" s="3124">
        <v>2725</v>
      </c>
      <c r="Y521" s="3124">
        <v>2</v>
      </c>
      <c r="Z521" s="3124"/>
      <c r="AA521" s="3124">
        <v>25000</v>
      </c>
      <c r="AB521" t="s">
        <v>1195</v>
      </c>
      <c r="AC521" s="3124"/>
    </row>
    <row r="522" spans="1:29">
      <c r="A522" s="3124">
        <v>521</v>
      </c>
      <c r="B522" s="3124" t="s">
        <v>1621</v>
      </c>
      <c r="C522" s="3124" t="s">
        <v>3075</v>
      </c>
      <c r="D522" s="3124" t="s">
        <v>3076</v>
      </c>
      <c r="E522" t="s">
        <v>3077</v>
      </c>
      <c r="F522" s="3234">
        <v>60300975</v>
      </c>
      <c r="G522" s="3124" t="s">
        <v>4170</v>
      </c>
      <c r="H522" s="3124">
        <v>20</v>
      </c>
      <c r="I522" s="3124">
        <v>20</v>
      </c>
      <c r="J522" s="3124">
        <v>2000</v>
      </c>
      <c r="K522" s="3124">
        <v>2000</v>
      </c>
      <c r="L522" s="3124">
        <v>2275</v>
      </c>
      <c r="M522" s="3124" t="s">
        <v>3007</v>
      </c>
      <c r="N522" s="3192">
        <v>45048</v>
      </c>
      <c r="O522" s="3192">
        <v>45628</v>
      </c>
      <c r="P522" s="3192">
        <v>45061</v>
      </c>
      <c r="Q522" s="3192">
        <v>45641</v>
      </c>
      <c r="R522" s="3124" t="s">
        <v>433</v>
      </c>
      <c r="S522" s="3124" t="s">
        <v>1640</v>
      </c>
      <c r="T522" s="3124" t="s">
        <v>1767</v>
      </c>
      <c r="U522" t="s">
        <v>1195</v>
      </c>
      <c r="V522" s="3124">
        <v>5000</v>
      </c>
      <c r="W522" s="3193">
        <v>0.54500000000000004</v>
      </c>
      <c r="X522" s="3124">
        <v>2725</v>
      </c>
      <c r="Y522" s="3124">
        <v>2</v>
      </c>
      <c r="Z522" s="3124"/>
      <c r="AA522" s="3124">
        <v>25000</v>
      </c>
      <c r="AB522" t="s">
        <v>1195</v>
      </c>
      <c r="AC522" s="3124"/>
    </row>
    <row r="523" spans="1:29">
      <c r="A523" s="3124">
        <v>522</v>
      </c>
      <c r="B523" s="3124" t="s">
        <v>1621</v>
      </c>
      <c r="C523" s="3124" t="s">
        <v>3078</v>
      </c>
      <c r="D523" s="3124" t="s">
        <v>3079</v>
      </c>
      <c r="E523" t="s">
        <v>4637</v>
      </c>
      <c r="F523" s="3234" t="s">
        <v>3080</v>
      </c>
      <c r="G523" s="3124" t="s">
        <v>3081</v>
      </c>
      <c r="H523" s="3124">
        <v>20</v>
      </c>
      <c r="I523" s="3124">
        <v>20</v>
      </c>
      <c r="J523" s="3124">
        <v>2000</v>
      </c>
      <c r="K523" s="3124">
        <v>2000</v>
      </c>
      <c r="L523" s="3124">
        <v>2275</v>
      </c>
      <c r="M523" s="3124" t="s">
        <v>3007</v>
      </c>
      <c r="N523" s="3192">
        <v>45048</v>
      </c>
      <c r="O523" s="3192">
        <v>45628</v>
      </c>
      <c r="P523" s="3192">
        <v>45061</v>
      </c>
      <c r="Q523" s="3192">
        <v>45641</v>
      </c>
      <c r="R523" s="3124" t="s">
        <v>432</v>
      </c>
      <c r="S523" s="3124" t="s">
        <v>1640</v>
      </c>
      <c r="T523" s="3124" t="s">
        <v>1767</v>
      </c>
      <c r="U523" t="s">
        <v>1195</v>
      </c>
      <c r="V523" s="3124">
        <v>5000</v>
      </c>
      <c r="W523" s="3193">
        <v>0.54500000000000004</v>
      </c>
      <c r="X523" s="3124">
        <v>2725</v>
      </c>
      <c r="Y523" s="3124">
        <v>2</v>
      </c>
      <c r="Z523" s="3124"/>
      <c r="AA523" s="3124">
        <v>25000</v>
      </c>
      <c r="AB523" t="s">
        <v>1195</v>
      </c>
      <c r="AC523" s="3124"/>
    </row>
    <row r="524" spans="1:29">
      <c r="A524" s="3124">
        <v>523</v>
      </c>
      <c r="B524" s="3124" t="s">
        <v>1621</v>
      </c>
      <c r="C524" s="3124" t="s">
        <v>3082</v>
      </c>
      <c r="D524" s="3124" t="s">
        <v>3083</v>
      </c>
      <c r="E524" t="s">
        <v>3084</v>
      </c>
      <c r="F524" s="3234" t="s">
        <v>3085</v>
      </c>
      <c r="G524" s="3124" t="s">
        <v>3086</v>
      </c>
      <c r="H524" s="3124">
        <v>20</v>
      </c>
      <c r="I524" s="3124">
        <v>20</v>
      </c>
      <c r="J524" s="3124">
        <v>2000</v>
      </c>
      <c r="K524" s="3124">
        <v>2000</v>
      </c>
      <c r="L524" s="3124">
        <v>2275</v>
      </c>
      <c r="M524" s="3124" t="s">
        <v>3007</v>
      </c>
      <c r="N524" s="3192">
        <v>45048</v>
      </c>
      <c r="O524" s="3192">
        <v>45628</v>
      </c>
      <c r="P524" s="3192">
        <v>45061</v>
      </c>
      <c r="Q524" s="3192">
        <v>45641</v>
      </c>
      <c r="R524" s="3124" t="s">
        <v>432</v>
      </c>
      <c r="S524" s="3124" t="s">
        <v>1640</v>
      </c>
      <c r="T524" s="3124" t="s">
        <v>1767</v>
      </c>
      <c r="U524" t="s">
        <v>1195</v>
      </c>
      <c r="V524" s="3124">
        <v>5000</v>
      </c>
      <c r="W524" s="3193">
        <v>0.54500000000000004</v>
      </c>
      <c r="X524" s="3124">
        <v>2725</v>
      </c>
      <c r="Y524" s="3124">
        <v>2</v>
      </c>
      <c r="Z524" s="3124"/>
      <c r="AA524" s="3124">
        <v>25000</v>
      </c>
      <c r="AB524" t="s">
        <v>1195</v>
      </c>
      <c r="AC524" s="3124"/>
    </row>
    <row r="525" spans="1:29">
      <c r="A525" s="3124">
        <v>524</v>
      </c>
      <c r="B525" s="3124" t="s">
        <v>1621</v>
      </c>
      <c r="C525" s="3124" t="s">
        <v>3087</v>
      </c>
      <c r="D525" s="3124" t="s">
        <v>3088</v>
      </c>
      <c r="E525" t="s">
        <v>3089</v>
      </c>
      <c r="F525" s="3234" t="s">
        <v>3090</v>
      </c>
      <c r="G525" s="3124" t="s">
        <v>3091</v>
      </c>
      <c r="H525" s="3124">
        <v>20</v>
      </c>
      <c r="I525" s="3124">
        <v>20</v>
      </c>
      <c r="J525" s="3124">
        <v>2000</v>
      </c>
      <c r="K525" s="3124">
        <v>2000</v>
      </c>
      <c r="L525" s="3124">
        <v>2275</v>
      </c>
      <c r="M525" s="3124" t="s">
        <v>3007</v>
      </c>
      <c r="N525" s="3192">
        <v>45048</v>
      </c>
      <c r="O525" s="3192">
        <v>45628</v>
      </c>
      <c r="P525" s="3192">
        <v>45061</v>
      </c>
      <c r="Q525" s="3192">
        <v>45641</v>
      </c>
      <c r="R525" s="3124" t="s">
        <v>432</v>
      </c>
      <c r="S525" s="3124" t="s">
        <v>1640</v>
      </c>
      <c r="T525" s="3124" t="s">
        <v>1767</v>
      </c>
      <c r="U525" t="s">
        <v>1195</v>
      </c>
      <c r="V525" s="3124">
        <v>5000</v>
      </c>
      <c r="W525" s="3193">
        <v>0.54500000000000004</v>
      </c>
      <c r="X525" s="3124">
        <v>2725</v>
      </c>
      <c r="Y525" s="3124">
        <v>2</v>
      </c>
      <c r="Z525" s="3124"/>
      <c r="AA525" s="3124">
        <v>25000</v>
      </c>
      <c r="AB525" t="s">
        <v>1195</v>
      </c>
      <c r="AC525" s="3124"/>
    </row>
    <row r="526" spans="1:29">
      <c r="A526" s="3124">
        <v>525</v>
      </c>
      <c r="B526" s="3124" t="s">
        <v>1630</v>
      </c>
      <c r="C526" s="3124" t="s">
        <v>3092</v>
      </c>
      <c r="D526" s="3124" t="s">
        <v>3093</v>
      </c>
      <c r="E526" t="s">
        <v>3094</v>
      </c>
      <c r="F526" s="3234" t="s">
        <v>3095</v>
      </c>
      <c r="G526" s="3190" t="s">
        <v>3096</v>
      </c>
      <c r="H526" s="3124">
        <v>36</v>
      </c>
      <c r="I526" s="3124">
        <v>36</v>
      </c>
      <c r="J526" s="3124">
        <v>1000</v>
      </c>
      <c r="K526" s="3124">
        <v>1000</v>
      </c>
      <c r="L526" s="3191">
        <v>1650</v>
      </c>
      <c r="M526" s="3124" t="s">
        <v>134</v>
      </c>
      <c r="N526" s="3192">
        <v>45059</v>
      </c>
      <c r="O526" s="3192">
        <v>46125</v>
      </c>
      <c r="P526" s="3192">
        <v>45078</v>
      </c>
      <c r="Q526" s="3192">
        <v>46143</v>
      </c>
      <c r="R526" s="3124" t="s">
        <v>433</v>
      </c>
      <c r="S526" s="3124" t="s">
        <v>1658</v>
      </c>
      <c r="T526" s="3124" t="s">
        <v>1850</v>
      </c>
      <c r="U526" t="s">
        <v>1869</v>
      </c>
      <c r="V526" s="3124">
        <v>3150</v>
      </c>
      <c r="W526" s="3193">
        <v>0.47619047619047616</v>
      </c>
      <c r="X526" s="3124">
        <v>1500</v>
      </c>
      <c r="Y526" s="3124">
        <v>4</v>
      </c>
      <c r="Z526" s="3124"/>
      <c r="AA526" s="3124">
        <v>21000</v>
      </c>
      <c r="AB526" t="s">
        <v>1869</v>
      </c>
      <c r="AC526" s="3124"/>
    </row>
    <row r="527" spans="1:29">
      <c r="A527" s="3124">
        <v>526</v>
      </c>
      <c r="B527" s="3124" t="s">
        <v>1691</v>
      </c>
      <c r="C527" s="3124" t="s">
        <v>3944</v>
      </c>
      <c r="D527" s="3124" t="s">
        <v>3097</v>
      </c>
      <c r="E527" s="3140" t="s">
        <v>3098</v>
      </c>
      <c r="F527" s="3234">
        <v>42164203</v>
      </c>
      <c r="G527" s="3124" t="s">
        <v>5210</v>
      </c>
      <c r="H527" s="3124">
        <v>16</v>
      </c>
      <c r="I527" s="3124">
        <v>16</v>
      </c>
      <c r="J527" s="3124">
        <v>2000</v>
      </c>
      <c r="K527" s="3124">
        <v>2000</v>
      </c>
      <c r="L527" s="3124">
        <v>654</v>
      </c>
      <c r="M527" s="3124" t="s">
        <v>2956</v>
      </c>
      <c r="N527" s="3192">
        <v>44998</v>
      </c>
      <c r="O527" s="3192">
        <v>45456</v>
      </c>
      <c r="P527" s="3192">
        <v>45061</v>
      </c>
      <c r="Q527" s="3192">
        <v>45519</v>
      </c>
      <c r="R527" s="3124" t="s">
        <v>433</v>
      </c>
      <c r="S527" s="3124" t="s">
        <v>1949</v>
      </c>
      <c r="T527" s="3124" t="s">
        <v>2825</v>
      </c>
      <c r="U527" t="s">
        <v>1195</v>
      </c>
      <c r="V527" s="3124">
        <v>5000</v>
      </c>
      <c r="W527" s="3193">
        <v>0.86919999999999997</v>
      </c>
      <c r="X527" s="3124">
        <v>4346</v>
      </c>
      <c r="Y527" s="3124">
        <v>2</v>
      </c>
      <c r="Z527" s="3124"/>
      <c r="AA527" s="3124">
        <v>25000</v>
      </c>
      <c r="AB527" t="s">
        <v>1195</v>
      </c>
      <c r="AC527" s="3124"/>
    </row>
    <row r="528" spans="1:29">
      <c r="A528" s="3124">
        <v>527</v>
      </c>
      <c r="B528" s="3124" t="s">
        <v>1691</v>
      </c>
      <c r="C528" s="3124" t="s">
        <v>3945</v>
      </c>
      <c r="D528" s="3124" t="s">
        <v>3099</v>
      </c>
      <c r="E528" t="s">
        <v>3100</v>
      </c>
      <c r="F528" s="3234"/>
      <c r="G528" s="3124" t="s">
        <v>5211</v>
      </c>
      <c r="H528" s="3124">
        <v>16</v>
      </c>
      <c r="I528" s="3124">
        <v>16</v>
      </c>
      <c r="J528" s="3124">
        <v>2000</v>
      </c>
      <c r="K528" s="3124">
        <v>2000</v>
      </c>
      <c r="L528" s="3124">
        <v>654</v>
      </c>
      <c r="M528" s="3124" t="s">
        <v>3101</v>
      </c>
      <c r="N528" s="3192">
        <v>45065</v>
      </c>
      <c r="O528" s="3192">
        <v>45523</v>
      </c>
      <c r="P528" s="3192">
        <v>45061</v>
      </c>
      <c r="Q528" s="3192">
        <v>45519</v>
      </c>
      <c r="R528" s="3124" t="s">
        <v>432</v>
      </c>
      <c r="S528" s="3124" t="s">
        <v>1949</v>
      </c>
      <c r="T528" s="3124" t="s">
        <v>2825</v>
      </c>
      <c r="U528" t="s">
        <v>1761</v>
      </c>
      <c r="V528" s="3124">
        <v>5000</v>
      </c>
      <c r="W528" s="3193">
        <v>0.86919999999999997</v>
      </c>
      <c r="X528" s="3124">
        <v>4346</v>
      </c>
      <c r="Y528" s="3124">
        <v>2</v>
      </c>
      <c r="Z528" s="3124"/>
      <c r="AA528" s="3124">
        <v>25000</v>
      </c>
      <c r="AB528" t="s">
        <v>1195</v>
      </c>
      <c r="AC528" s="3124"/>
    </row>
    <row r="529" spans="1:29">
      <c r="A529" s="3124">
        <v>528</v>
      </c>
      <c r="B529" s="3124" t="s">
        <v>1691</v>
      </c>
      <c r="C529" s="3124" t="s">
        <v>3946</v>
      </c>
      <c r="D529" s="3124" t="s">
        <v>3102</v>
      </c>
      <c r="E529" t="s">
        <v>3103</v>
      </c>
      <c r="F529" s="3234">
        <v>47260095</v>
      </c>
      <c r="G529" s="3124" t="s">
        <v>3104</v>
      </c>
      <c r="H529" s="3124">
        <v>16</v>
      </c>
      <c r="I529" s="3124">
        <v>16</v>
      </c>
      <c r="J529" s="3124">
        <v>2000</v>
      </c>
      <c r="K529" s="3124">
        <v>2000</v>
      </c>
      <c r="L529" s="3124">
        <v>654</v>
      </c>
      <c r="M529" s="3124" t="s">
        <v>2956</v>
      </c>
      <c r="N529" s="3192">
        <v>45017</v>
      </c>
      <c r="O529" s="3192">
        <v>45474</v>
      </c>
      <c r="P529" s="3192">
        <v>45061</v>
      </c>
      <c r="Q529" s="3192">
        <v>45519</v>
      </c>
      <c r="R529" s="3124" t="s">
        <v>432</v>
      </c>
      <c r="S529" s="3124" t="s">
        <v>1949</v>
      </c>
      <c r="T529" s="3124" t="s">
        <v>2825</v>
      </c>
      <c r="U529" t="s">
        <v>1761</v>
      </c>
      <c r="V529" s="3124">
        <v>5000</v>
      </c>
      <c r="W529" s="3193">
        <v>0.86919999999999997</v>
      </c>
      <c r="X529" s="3124">
        <v>4346</v>
      </c>
      <c r="Y529" s="3124">
        <v>2</v>
      </c>
      <c r="Z529" s="3124"/>
      <c r="AA529" s="3124">
        <v>25000</v>
      </c>
      <c r="AB529" t="s">
        <v>1195</v>
      </c>
      <c r="AC529" s="3124"/>
    </row>
    <row r="530" spans="1:29">
      <c r="A530" s="3124">
        <v>529</v>
      </c>
      <c r="B530" s="3124" t="s">
        <v>1691</v>
      </c>
      <c r="C530" s="3124" t="s">
        <v>5238</v>
      </c>
      <c r="D530" s="3124" t="s">
        <v>4638</v>
      </c>
      <c r="E530" t="s">
        <v>3105</v>
      </c>
      <c r="F530" s="3234">
        <v>56928341</v>
      </c>
      <c r="G530" s="3124" t="s">
        <v>3106</v>
      </c>
      <c r="H530" s="3124">
        <v>16</v>
      </c>
      <c r="I530" s="3124">
        <v>16</v>
      </c>
      <c r="J530" s="3124">
        <v>2000</v>
      </c>
      <c r="K530" s="3124">
        <v>2000</v>
      </c>
      <c r="L530" s="3124">
        <v>654</v>
      </c>
      <c r="M530" s="3124" t="s">
        <v>2956</v>
      </c>
      <c r="N530" s="3192">
        <v>45065</v>
      </c>
      <c r="O530" s="3192">
        <v>45523</v>
      </c>
      <c r="P530" s="3192">
        <v>45083</v>
      </c>
      <c r="Q530" s="3192">
        <v>45541</v>
      </c>
      <c r="R530" s="3124" t="s">
        <v>432</v>
      </c>
      <c r="S530" s="3124" t="s">
        <v>1949</v>
      </c>
      <c r="T530" s="3124" t="s">
        <v>2825</v>
      </c>
      <c r="U530" t="s">
        <v>1869</v>
      </c>
      <c r="V530" s="3124">
        <v>5000</v>
      </c>
      <c r="W530" s="3193">
        <v>0.86919999999999997</v>
      </c>
      <c r="X530" s="3124">
        <v>4346</v>
      </c>
      <c r="Y530" s="3124">
        <v>2</v>
      </c>
      <c r="Z530" s="3124"/>
      <c r="AA530" s="3124">
        <v>25000</v>
      </c>
      <c r="AB530" t="s">
        <v>1869</v>
      </c>
      <c r="AC530" s="3124"/>
    </row>
    <row r="531" spans="1:29">
      <c r="A531" s="3124">
        <v>530</v>
      </c>
      <c r="B531" s="3124" t="s">
        <v>1691</v>
      </c>
      <c r="C531" s="3124" t="s">
        <v>5239</v>
      </c>
      <c r="D531" s="3124" t="s">
        <v>3107</v>
      </c>
      <c r="E531" t="s">
        <v>3108</v>
      </c>
      <c r="F531" s="3234">
        <v>30388286</v>
      </c>
      <c r="G531" s="3124" t="s">
        <v>4639</v>
      </c>
      <c r="H531" s="3124">
        <v>16</v>
      </c>
      <c r="I531" s="3124">
        <v>16</v>
      </c>
      <c r="J531" s="3124">
        <v>2000</v>
      </c>
      <c r="K531" s="3124">
        <v>2000</v>
      </c>
      <c r="L531" s="3124">
        <v>2180</v>
      </c>
      <c r="M531" s="3124" t="s">
        <v>3101</v>
      </c>
      <c r="N531" s="3192">
        <v>45065</v>
      </c>
      <c r="O531" s="3192">
        <v>45523</v>
      </c>
      <c r="P531" s="3192">
        <v>45083</v>
      </c>
      <c r="Q531" s="3192">
        <v>45541</v>
      </c>
      <c r="R531" s="3124" t="s">
        <v>433</v>
      </c>
      <c r="S531" s="3124" t="s">
        <v>1949</v>
      </c>
      <c r="T531" s="3124" t="s">
        <v>2825</v>
      </c>
      <c r="U531" t="s">
        <v>1195</v>
      </c>
      <c r="V531" s="3124">
        <v>5000</v>
      </c>
      <c r="W531" s="3193">
        <v>0.56399999999999995</v>
      </c>
      <c r="X531" s="3124">
        <v>2820</v>
      </c>
      <c r="Y531" s="3124">
        <v>2</v>
      </c>
      <c r="Z531" s="3124"/>
      <c r="AA531" s="3124">
        <v>25000</v>
      </c>
      <c r="AB531" t="s">
        <v>1195</v>
      </c>
      <c r="AC531" s="3124"/>
    </row>
    <row r="532" spans="1:29">
      <c r="A532" s="3124">
        <v>531</v>
      </c>
      <c r="B532" s="3124" t="s">
        <v>1691</v>
      </c>
      <c r="C532" s="3124" t="s">
        <v>3109</v>
      </c>
      <c r="D532" s="3124" t="s">
        <v>3110</v>
      </c>
      <c r="E532" t="s">
        <v>3111</v>
      </c>
      <c r="F532" s="3234">
        <v>57017677</v>
      </c>
      <c r="G532" s="3124" t="s">
        <v>5213</v>
      </c>
      <c r="H532" s="3124">
        <v>16</v>
      </c>
      <c r="I532" s="3124">
        <v>16</v>
      </c>
      <c r="J532" s="3124">
        <v>2000</v>
      </c>
      <c r="K532" s="3124">
        <v>2000</v>
      </c>
      <c r="L532" s="3124">
        <v>654</v>
      </c>
      <c r="M532" s="3124" t="s">
        <v>3101</v>
      </c>
      <c r="N532" s="3192">
        <v>45065</v>
      </c>
      <c r="O532" s="3192">
        <v>45523</v>
      </c>
      <c r="P532" s="3192">
        <v>45083</v>
      </c>
      <c r="Q532" s="3192">
        <v>45541</v>
      </c>
      <c r="R532" s="3124" t="s">
        <v>432</v>
      </c>
      <c r="S532" s="3124" t="s">
        <v>1949</v>
      </c>
      <c r="T532" s="3124" t="s">
        <v>2825</v>
      </c>
      <c r="U532" t="s">
        <v>1761</v>
      </c>
      <c r="V532" s="3124">
        <v>5000</v>
      </c>
      <c r="W532" s="3193">
        <v>0.86919999999999997</v>
      </c>
      <c r="X532" s="3124">
        <v>4346</v>
      </c>
      <c r="Y532" s="3124">
        <v>2</v>
      </c>
      <c r="Z532" s="3124"/>
      <c r="AA532" s="3124">
        <v>25000</v>
      </c>
      <c r="AB532" t="s">
        <v>1195</v>
      </c>
      <c r="AC532" s="3124"/>
    </row>
    <row r="533" spans="1:29">
      <c r="A533" s="3124">
        <v>532</v>
      </c>
      <c r="B533" s="3124" t="s">
        <v>1691</v>
      </c>
      <c r="C533" s="3124" t="s">
        <v>3947</v>
      </c>
      <c r="D533" s="3124" t="s">
        <v>3112</v>
      </c>
      <c r="E533" t="s">
        <v>3113</v>
      </c>
      <c r="F533" s="3234">
        <v>47529599</v>
      </c>
      <c r="G533" s="3124" t="s">
        <v>3114</v>
      </c>
      <c r="H533" s="3124">
        <v>16</v>
      </c>
      <c r="I533" s="3124">
        <v>16</v>
      </c>
      <c r="J533" s="3124">
        <v>2000</v>
      </c>
      <c r="K533" s="3124">
        <v>2000</v>
      </c>
      <c r="L533" s="3124">
        <v>654</v>
      </c>
      <c r="M533" s="3124" t="s">
        <v>3101</v>
      </c>
      <c r="N533" s="3192">
        <v>45065</v>
      </c>
      <c r="O533" s="3192">
        <v>45523</v>
      </c>
      <c r="P533" s="3192">
        <v>45083</v>
      </c>
      <c r="Q533" s="3192">
        <v>45541</v>
      </c>
      <c r="R533" s="3124" t="s">
        <v>433</v>
      </c>
      <c r="S533" s="3124" t="s">
        <v>1949</v>
      </c>
      <c r="T533" s="3124" t="s">
        <v>2825</v>
      </c>
      <c r="U533" t="s">
        <v>1761</v>
      </c>
      <c r="V533" s="3124">
        <v>5000</v>
      </c>
      <c r="W533" s="3193">
        <v>0.86919999999999997</v>
      </c>
      <c r="X533" s="3124">
        <v>4346</v>
      </c>
      <c r="Y533" s="3124">
        <v>2</v>
      </c>
      <c r="Z533" s="3124"/>
      <c r="AA533" s="3124">
        <v>25000</v>
      </c>
      <c r="AB533" t="s">
        <v>1195</v>
      </c>
      <c r="AC533" s="3124"/>
    </row>
    <row r="534" spans="1:29">
      <c r="A534" s="3124">
        <v>533</v>
      </c>
      <c r="B534" s="3124" t="s">
        <v>1691</v>
      </c>
      <c r="C534" s="3124" t="s">
        <v>3948</v>
      </c>
      <c r="D534" s="3124" t="s">
        <v>3115</v>
      </c>
      <c r="E534" t="s">
        <v>3116</v>
      </c>
      <c r="F534" s="3234">
        <v>43545534</v>
      </c>
      <c r="G534" s="3124" t="s">
        <v>5135</v>
      </c>
      <c r="H534" s="3124">
        <v>16</v>
      </c>
      <c r="I534" s="3124">
        <v>16</v>
      </c>
      <c r="J534" s="3124">
        <v>2000</v>
      </c>
      <c r="K534" s="3124">
        <v>2000</v>
      </c>
      <c r="L534" s="3124">
        <v>2180</v>
      </c>
      <c r="M534" s="3124" t="s">
        <v>3101</v>
      </c>
      <c r="N534" s="3192">
        <v>45065</v>
      </c>
      <c r="O534" s="3192">
        <v>45523</v>
      </c>
      <c r="P534" s="3192">
        <v>45083</v>
      </c>
      <c r="Q534" s="3192">
        <v>45541</v>
      </c>
      <c r="R534" s="3124" t="s">
        <v>433</v>
      </c>
      <c r="S534" s="3124" t="s">
        <v>1949</v>
      </c>
      <c r="T534" s="3124" t="s">
        <v>2825</v>
      </c>
      <c r="U534" t="s">
        <v>1195</v>
      </c>
      <c r="V534" s="3124">
        <v>5000</v>
      </c>
      <c r="W534" s="3193">
        <v>0.56399999999999995</v>
      </c>
      <c r="X534" s="3124">
        <v>2820</v>
      </c>
      <c r="Y534" s="3124">
        <v>2</v>
      </c>
      <c r="Z534" s="3124"/>
      <c r="AA534" s="3124">
        <v>25000</v>
      </c>
      <c r="AB534" t="s">
        <v>1195</v>
      </c>
      <c r="AC534" s="3124"/>
    </row>
    <row r="535" spans="1:29">
      <c r="A535" s="3124">
        <v>534</v>
      </c>
      <c r="B535" s="3124" t="s">
        <v>1691</v>
      </c>
      <c r="C535" s="3124" t="s">
        <v>3949</v>
      </c>
      <c r="D535" s="3124" t="s">
        <v>3117</v>
      </c>
      <c r="E535" t="s">
        <v>3118</v>
      </c>
      <c r="F535" s="3234">
        <v>54752065</v>
      </c>
      <c r="G535" s="3124" t="s">
        <v>5093</v>
      </c>
      <c r="H535" s="3124">
        <v>16</v>
      </c>
      <c r="I535" s="3124">
        <v>16</v>
      </c>
      <c r="J535" s="3124">
        <v>2000</v>
      </c>
      <c r="K535" s="3124">
        <v>2000</v>
      </c>
      <c r="L535" s="3124">
        <v>2180</v>
      </c>
      <c r="M535" s="3124" t="s">
        <v>3101</v>
      </c>
      <c r="N535" s="3192">
        <v>45065</v>
      </c>
      <c r="O535" s="3192">
        <v>45523</v>
      </c>
      <c r="P535" s="3192">
        <v>45083</v>
      </c>
      <c r="Q535" s="3192">
        <v>45541</v>
      </c>
      <c r="R535" s="3124" t="s">
        <v>433</v>
      </c>
      <c r="S535" s="3124" t="s">
        <v>1949</v>
      </c>
      <c r="T535" s="3124" t="s">
        <v>2825</v>
      </c>
      <c r="U535" t="s">
        <v>1195</v>
      </c>
      <c r="V535" s="3124">
        <v>5000</v>
      </c>
      <c r="W535" s="3193">
        <v>0.56399999999999995</v>
      </c>
      <c r="X535" s="3124">
        <v>2820</v>
      </c>
      <c r="Y535" s="3124">
        <v>2</v>
      </c>
      <c r="Z535" s="3124"/>
      <c r="AA535" s="3124">
        <v>25000</v>
      </c>
      <c r="AB535" t="s">
        <v>1195</v>
      </c>
      <c r="AC535" s="3124"/>
    </row>
    <row r="536" spans="1:29">
      <c r="A536" s="3124">
        <v>535</v>
      </c>
      <c r="B536" s="3124" t="s">
        <v>1691</v>
      </c>
      <c r="C536" s="3124" t="s">
        <v>3950</v>
      </c>
      <c r="D536" s="3124" t="s">
        <v>3119</v>
      </c>
      <c r="E536" t="s">
        <v>3120</v>
      </c>
      <c r="F536" s="3234">
        <v>53435000</v>
      </c>
      <c r="G536" s="3124" t="s">
        <v>3121</v>
      </c>
      <c r="H536" s="3124">
        <v>16</v>
      </c>
      <c r="I536" s="3124">
        <v>16</v>
      </c>
      <c r="J536" s="3124">
        <v>2000</v>
      </c>
      <c r="K536" s="3124">
        <v>2000</v>
      </c>
      <c r="L536" s="3124">
        <v>2180</v>
      </c>
      <c r="M536" s="3124" t="s">
        <v>3101</v>
      </c>
      <c r="N536" s="3192">
        <v>45065</v>
      </c>
      <c r="O536" s="3192">
        <v>45523</v>
      </c>
      <c r="P536" s="3192">
        <v>45083</v>
      </c>
      <c r="Q536" s="3192">
        <v>45541</v>
      </c>
      <c r="R536" s="3124" t="s">
        <v>433</v>
      </c>
      <c r="S536" s="3124" t="s">
        <v>1949</v>
      </c>
      <c r="T536" s="3124" t="s">
        <v>2825</v>
      </c>
      <c r="U536" t="s">
        <v>1195</v>
      </c>
      <c r="V536" s="3124">
        <v>5000</v>
      </c>
      <c r="W536" s="3193">
        <v>0.56399999999999995</v>
      </c>
      <c r="X536" s="3124">
        <v>2820</v>
      </c>
      <c r="Y536" s="3124">
        <v>2</v>
      </c>
      <c r="Z536" s="3124"/>
      <c r="AA536" s="3124">
        <v>25000</v>
      </c>
      <c r="AB536" t="s">
        <v>1195</v>
      </c>
      <c r="AC536" s="3124"/>
    </row>
    <row r="537" spans="1:29">
      <c r="A537" s="3124">
        <v>536</v>
      </c>
      <c r="B537" s="3124" t="s">
        <v>1691</v>
      </c>
      <c r="C537" s="3124" t="s">
        <v>3951</v>
      </c>
      <c r="D537" s="3124" t="s">
        <v>3122</v>
      </c>
      <c r="E537" t="s">
        <v>3123</v>
      </c>
      <c r="F537" s="3234">
        <v>33877052</v>
      </c>
      <c r="G537" s="3124" t="s">
        <v>5136</v>
      </c>
      <c r="H537" s="3124">
        <v>16</v>
      </c>
      <c r="I537" s="3124">
        <v>16</v>
      </c>
      <c r="J537" s="3124">
        <v>2000</v>
      </c>
      <c r="K537" s="3124">
        <v>2000</v>
      </c>
      <c r="L537" s="3124">
        <v>2180</v>
      </c>
      <c r="M537" s="3124" t="s">
        <v>3101</v>
      </c>
      <c r="N537" s="3192">
        <v>45065</v>
      </c>
      <c r="O537" s="3192">
        <v>45523</v>
      </c>
      <c r="P537" s="3192">
        <v>45083</v>
      </c>
      <c r="Q537" s="3192">
        <v>45541</v>
      </c>
      <c r="R537" s="3124" t="s">
        <v>433</v>
      </c>
      <c r="S537" s="3124" t="s">
        <v>1949</v>
      </c>
      <c r="T537" s="3124" t="s">
        <v>2825</v>
      </c>
      <c r="U537" t="s">
        <v>1195</v>
      </c>
      <c r="V537" s="3124">
        <v>5000</v>
      </c>
      <c r="W537" s="3193">
        <v>0.56399999999999995</v>
      </c>
      <c r="X537" s="3124">
        <v>2820</v>
      </c>
      <c r="Y537" s="3124">
        <v>2</v>
      </c>
      <c r="Z537" s="3124"/>
      <c r="AA537" s="3124">
        <v>25000</v>
      </c>
      <c r="AB537" t="s">
        <v>1195</v>
      </c>
      <c r="AC537" s="3124"/>
    </row>
    <row r="538" spans="1:29">
      <c r="A538" s="3124">
        <v>537</v>
      </c>
      <c r="B538" s="3124" t="s">
        <v>1691</v>
      </c>
      <c r="C538" s="3124" t="s">
        <v>3952</v>
      </c>
      <c r="D538" s="3124" t="s">
        <v>3124</v>
      </c>
      <c r="E538" t="s">
        <v>3125</v>
      </c>
      <c r="F538" s="3234">
        <v>56332428</v>
      </c>
      <c r="G538" s="3124" t="s">
        <v>4497</v>
      </c>
      <c r="H538" s="3124">
        <v>16</v>
      </c>
      <c r="I538" s="3124">
        <v>16</v>
      </c>
      <c r="J538" s="3124">
        <v>2000</v>
      </c>
      <c r="K538" s="3124">
        <v>2000</v>
      </c>
      <c r="L538" s="3124">
        <v>2180</v>
      </c>
      <c r="M538" s="3124" t="s">
        <v>3101</v>
      </c>
      <c r="N538" s="3192">
        <v>45065</v>
      </c>
      <c r="O538" s="3192">
        <v>45523</v>
      </c>
      <c r="P538" s="3192">
        <v>45083</v>
      </c>
      <c r="Q538" s="3192">
        <v>45541</v>
      </c>
      <c r="R538" s="3124" t="s">
        <v>432</v>
      </c>
      <c r="S538" s="3124" t="s">
        <v>1949</v>
      </c>
      <c r="T538" s="3124" t="s">
        <v>2825</v>
      </c>
      <c r="U538" t="s">
        <v>1195</v>
      </c>
      <c r="V538" s="3124">
        <v>5000</v>
      </c>
      <c r="W538" s="3193">
        <v>0.56399999999999995</v>
      </c>
      <c r="X538" s="3124">
        <v>2820</v>
      </c>
      <c r="Y538" s="3124">
        <v>2</v>
      </c>
      <c r="Z538" s="3124"/>
      <c r="AA538" s="3124">
        <v>25000</v>
      </c>
      <c r="AB538" t="s">
        <v>1195</v>
      </c>
      <c r="AC538" s="3124"/>
    </row>
    <row r="539" spans="1:29">
      <c r="A539" s="3124">
        <v>538</v>
      </c>
      <c r="B539" s="3124" t="s">
        <v>1691</v>
      </c>
      <c r="C539" s="3124" t="s">
        <v>5381</v>
      </c>
      <c r="D539" s="3124" t="s">
        <v>3126</v>
      </c>
      <c r="E539" t="s">
        <v>3127</v>
      </c>
      <c r="F539" s="3234"/>
      <c r="G539" s="3124" t="s">
        <v>5214</v>
      </c>
      <c r="H539" s="3124">
        <v>16</v>
      </c>
      <c r="I539" s="3124">
        <v>16</v>
      </c>
      <c r="J539" s="3124">
        <v>2000</v>
      </c>
      <c r="K539" s="3124">
        <v>2000</v>
      </c>
      <c r="L539" s="3124">
        <v>2180</v>
      </c>
      <c r="M539" s="3124" t="s">
        <v>3101</v>
      </c>
      <c r="N539" s="3192">
        <v>45065</v>
      </c>
      <c r="O539" s="3192">
        <v>45523</v>
      </c>
      <c r="P539" s="3192">
        <v>45083</v>
      </c>
      <c r="Q539" s="3192">
        <v>45541</v>
      </c>
      <c r="R539" s="3124" t="s">
        <v>432</v>
      </c>
      <c r="S539" s="3124" t="s">
        <v>1949</v>
      </c>
      <c r="T539" s="3124" t="s">
        <v>2825</v>
      </c>
      <c r="U539" t="s">
        <v>1761</v>
      </c>
      <c r="V539" s="3124">
        <v>5000</v>
      </c>
      <c r="W539" s="3193">
        <v>0.56399999999999995</v>
      </c>
      <c r="X539" s="3124">
        <v>2820</v>
      </c>
      <c r="Y539" s="3124">
        <v>2</v>
      </c>
      <c r="Z539" s="3124"/>
      <c r="AA539" s="3124">
        <v>26000</v>
      </c>
      <c r="AB539" t="s">
        <v>1761</v>
      </c>
      <c r="AC539" s="3124"/>
    </row>
    <row r="540" spans="1:29">
      <c r="A540" s="3124">
        <v>539</v>
      </c>
      <c r="B540" s="3124" t="s">
        <v>2525</v>
      </c>
      <c r="C540" s="3124" t="s">
        <v>629</v>
      </c>
      <c r="D540" s="3124" t="s">
        <v>3128</v>
      </c>
      <c r="E540" t="s">
        <v>3129</v>
      </c>
      <c r="F540" s="3234">
        <v>58240442</v>
      </c>
      <c r="G540" s="3124" t="s">
        <v>5215</v>
      </c>
      <c r="H540" s="3124">
        <v>6</v>
      </c>
      <c r="I540" s="3124">
        <v>6</v>
      </c>
      <c r="J540" s="3124">
        <v>2000</v>
      </c>
      <c r="K540" s="3124"/>
      <c r="L540" s="3124">
        <v>654</v>
      </c>
      <c r="M540" s="3124" t="s">
        <v>3101</v>
      </c>
      <c r="N540" s="3192">
        <v>45065</v>
      </c>
      <c r="O540" s="3192">
        <v>45218</v>
      </c>
      <c r="P540" s="3192">
        <v>45083</v>
      </c>
      <c r="Q540" s="3192">
        <v>45236</v>
      </c>
      <c r="R540" s="3124" t="s">
        <v>2573</v>
      </c>
      <c r="S540" s="3124" t="s">
        <v>2530</v>
      </c>
      <c r="T540" s="3124" t="s">
        <v>2825</v>
      </c>
      <c r="U540" t="s">
        <v>1869</v>
      </c>
      <c r="V540" s="3124">
        <v>5000</v>
      </c>
      <c r="W540" s="3193">
        <v>0.86919999999999997</v>
      </c>
      <c r="X540" s="3124">
        <v>4346</v>
      </c>
      <c r="Y540" s="3124">
        <v>0</v>
      </c>
      <c r="Z540" s="3124">
        <v>6000</v>
      </c>
      <c r="AA540" s="3124">
        <v>25000</v>
      </c>
      <c r="AB540" t="s">
        <v>1869</v>
      </c>
      <c r="AC540" s="3124"/>
    </row>
    <row r="541" spans="1:29">
      <c r="A541" s="3124">
        <v>540</v>
      </c>
      <c r="B541" s="3124" t="s">
        <v>2525</v>
      </c>
      <c r="C541" s="3124" t="s">
        <v>629</v>
      </c>
      <c r="D541" s="3124" t="s">
        <v>3130</v>
      </c>
      <c r="E541" t="s">
        <v>3131</v>
      </c>
      <c r="F541" s="3234">
        <v>56139817</v>
      </c>
      <c r="G541" s="3124" t="s">
        <v>5216</v>
      </c>
      <c r="H541" s="3124">
        <v>6</v>
      </c>
      <c r="I541" s="3124">
        <v>6</v>
      </c>
      <c r="J541" s="3124">
        <v>2000</v>
      </c>
      <c r="K541" s="3124"/>
      <c r="L541" s="3124">
        <v>654</v>
      </c>
      <c r="M541" s="3124" t="s">
        <v>3101</v>
      </c>
      <c r="N541" s="3192">
        <v>45065</v>
      </c>
      <c r="O541" s="3192">
        <v>45218</v>
      </c>
      <c r="P541" s="3192">
        <v>45083</v>
      </c>
      <c r="Q541" s="3192">
        <v>45236</v>
      </c>
      <c r="R541" s="3124" t="s">
        <v>2573</v>
      </c>
      <c r="S541" s="3124" t="s">
        <v>2530</v>
      </c>
      <c r="T541" s="3124" t="s">
        <v>2825</v>
      </c>
      <c r="U541" t="s">
        <v>1869</v>
      </c>
      <c r="V541" s="3124">
        <v>5000</v>
      </c>
      <c r="W541" s="3193">
        <v>0.86919999999999997</v>
      </c>
      <c r="X541" s="3124">
        <v>4346</v>
      </c>
      <c r="Y541" s="3124">
        <v>0</v>
      </c>
      <c r="Z541" s="3124">
        <v>6000</v>
      </c>
      <c r="AA541" s="3124">
        <v>25000</v>
      </c>
      <c r="AB541" t="s">
        <v>1869</v>
      </c>
      <c r="AC541" s="3124"/>
    </row>
    <row r="542" spans="1:29">
      <c r="A542" s="3124">
        <v>541</v>
      </c>
      <c r="B542" s="3124" t="s">
        <v>2525</v>
      </c>
      <c r="C542" s="3124" t="s">
        <v>4671</v>
      </c>
      <c r="D542" s="3124" t="s">
        <v>3132</v>
      </c>
      <c r="E542" t="s">
        <v>3133</v>
      </c>
      <c r="F542" s="3234">
        <v>50199645</v>
      </c>
      <c r="G542" s="3124" t="s">
        <v>3134</v>
      </c>
      <c r="H542" s="3124">
        <v>6</v>
      </c>
      <c r="I542" s="3124">
        <v>6</v>
      </c>
      <c r="J542" s="3124">
        <v>2000</v>
      </c>
      <c r="K542" s="3124"/>
      <c r="L542" s="3124">
        <v>2180</v>
      </c>
      <c r="M542" s="3124" t="s">
        <v>3101</v>
      </c>
      <c r="N542" s="3192">
        <v>45065</v>
      </c>
      <c r="O542" s="3192">
        <v>45218</v>
      </c>
      <c r="P542" s="3192">
        <v>45083</v>
      </c>
      <c r="Q542" s="3192">
        <v>45236</v>
      </c>
      <c r="R542" s="3124" t="s">
        <v>433</v>
      </c>
      <c r="S542" s="3124" t="s">
        <v>2530</v>
      </c>
      <c r="T542" s="3124" t="s">
        <v>2825</v>
      </c>
      <c r="U542" t="s">
        <v>1195</v>
      </c>
      <c r="V542" s="3124">
        <v>5000</v>
      </c>
      <c r="W542" s="3193">
        <v>0.56399999999999995</v>
      </c>
      <c r="X542" s="3124">
        <v>2820</v>
      </c>
      <c r="Y542" s="3124">
        <v>0</v>
      </c>
      <c r="Z542" s="3124">
        <v>6000</v>
      </c>
      <c r="AA542" s="3124">
        <v>25000</v>
      </c>
      <c r="AB542" t="s">
        <v>1195</v>
      </c>
      <c r="AC542" s="3124"/>
    </row>
    <row r="543" spans="1:29">
      <c r="A543" s="3124">
        <v>542</v>
      </c>
      <c r="B543" s="3124" t="s">
        <v>2525</v>
      </c>
      <c r="C543" s="3124" t="s">
        <v>5240</v>
      </c>
      <c r="D543" s="3124" t="s">
        <v>3135</v>
      </c>
      <c r="E543" t="s">
        <v>3136</v>
      </c>
      <c r="F543" s="3234">
        <v>30222646</v>
      </c>
      <c r="G543" s="3124" t="s">
        <v>3137</v>
      </c>
      <c r="H543" s="3124">
        <v>6</v>
      </c>
      <c r="I543" s="3124">
        <v>6</v>
      </c>
      <c r="J543" s="3124">
        <v>2000</v>
      </c>
      <c r="K543" s="3124"/>
      <c r="L543" s="3124">
        <v>2180</v>
      </c>
      <c r="M543" s="3124" t="s">
        <v>3101</v>
      </c>
      <c r="N543" s="3192">
        <v>45065</v>
      </c>
      <c r="O543" s="3192">
        <v>45218</v>
      </c>
      <c r="P543" s="3192">
        <v>45083</v>
      </c>
      <c r="Q543" s="3192">
        <v>45236</v>
      </c>
      <c r="R543" s="3124" t="s">
        <v>433</v>
      </c>
      <c r="S543" s="3124" t="s">
        <v>2530</v>
      </c>
      <c r="T543" s="3124" t="s">
        <v>2825</v>
      </c>
      <c r="U543" t="s">
        <v>1195</v>
      </c>
      <c r="V543" s="3124">
        <v>5000</v>
      </c>
      <c r="W543" s="3193">
        <v>0.56399999999999995</v>
      </c>
      <c r="X543" s="3124">
        <v>2820</v>
      </c>
      <c r="Y543" s="3124">
        <v>0</v>
      </c>
      <c r="Z543" s="3124">
        <v>6000</v>
      </c>
      <c r="AA543" s="3124">
        <v>25000</v>
      </c>
      <c r="AB543" s="1809" t="s">
        <v>1195</v>
      </c>
      <c r="AC543" s="3124"/>
    </row>
    <row r="544" spans="1:29">
      <c r="A544" s="3124">
        <v>543</v>
      </c>
      <c r="B544" s="3124" t="s">
        <v>4513</v>
      </c>
      <c r="C544" s="3124" t="s">
        <v>3805</v>
      </c>
      <c r="D544" s="3124" t="s">
        <v>3138</v>
      </c>
      <c r="E544" s="3141" t="s">
        <v>2827</v>
      </c>
      <c r="F544" s="3234">
        <v>59306320</v>
      </c>
      <c r="G544" s="3190" t="s">
        <v>5173</v>
      </c>
      <c r="H544" s="3124">
        <v>20</v>
      </c>
      <c r="I544" s="3124">
        <v>20</v>
      </c>
      <c r="J544" s="3124">
        <v>3000</v>
      </c>
      <c r="K544" s="3124">
        <v>2500</v>
      </c>
      <c r="L544" s="3124">
        <v>3350</v>
      </c>
      <c r="M544" s="3124" t="s">
        <v>2876</v>
      </c>
      <c r="N544" s="3192">
        <v>45065</v>
      </c>
      <c r="O544" s="3192">
        <v>45645</v>
      </c>
      <c r="P544" s="3192">
        <v>45083</v>
      </c>
      <c r="Q544" s="3192">
        <v>45663</v>
      </c>
      <c r="R544" s="3124" t="s">
        <v>432</v>
      </c>
      <c r="S544" s="3124" t="s">
        <v>1690</v>
      </c>
      <c r="T544" s="3124" t="s">
        <v>2825</v>
      </c>
      <c r="U544" t="s">
        <v>1761</v>
      </c>
      <c r="V544" s="3124">
        <v>6700</v>
      </c>
      <c r="W544" s="3193">
        <v>0.5</v>
      </c>
      <c r="X544" s="3124">
        <v>3350</v>
      </c>
      <c r="Y544" s="3124">
        <v>1</v>
      </c>
      <c r="Z544" s="3124"/>
      <c r="AA544" s="3124">
        <v>30000</v>
      </c>
      <c r="AB544" t="s">
        <v>1195</v>
      </c>
      <c r="AC544" s="3124"/>
    </row>
    <row r="545" spans="1:29">
      <c r="A545" s="3124">
        <v>544</v>
      </c>
      <c r="B545" s="3124" t="s">
        <v>4513</v>
      </c>
      <c r="C545" s="3124" t="s">
        <v>2829</v>
      </c>
      <c r="D545" s="3124" t="s">
        <v>3139</v>
      </c>
      <c r="E545" t="s">
        <v>2831</v>
      </c>
      <c r="F545" s="3234">
        <v>55151366</v>
      </c>
      <c r="G545" s="3190" t="s">
        <v>5174</v>
      </c>
      <c r="H545" s="3124">
        <v>20</v>
      </c>
      <c r="I545" s="3124">
        <v>20</v>
      </c>
      <c r="J545" s="3124">
        <v>3000</v>
      </c>
      <c r="K545" s="3124">
        <v>2500</v>
      </c>
      <c r="L545" s="3124">
        <v>1049</v>
      </c>
      <c r="M545" s="3124" t="s">
        <v>2876</v>
      </c>
      <c r="N545" s="3192">
        <v>45065</v>
      </c>
      <c r="O545" s="3192">
        <v>45645</v>
      </c>
      <c r="P545" s="3192">
        <v>45083</v>
      </c>
      <c r="Q545" s="3192">
        <v>45663</v>
      </c>
      <c r="R545" s="3124" t="s">
        <v>432</v>
      </c>
      <c r="S545" s="3124" t="s">
        <v>1690</v>
      </c>
      <c r="T545" s="3124" t="s">
        <v>2825</v>
      </c>
      <c r="U545" t="s">
        <v>1761</v>
      </c>
      <c r="V545" s="3124">
        <v>6700</v>
      </c>
      <c r="W545" s="3193">
        <v>0.84343283582089557</v>
      </c>
      <c r="X545" s="3124">
        <v>5651</v>
      </c>
      <c r="Y545" s="3124">
        <v>1</v>
      </c>
      <c r="Z545" s="3124"/>
      <c r="AA545" s="3124">
        <v>30000</v>
      </c>
      <c r="AB545" t="s">
        <v>1195</v>
      </c>
      <c r="AC545" s="3124"/>
    </row>
    <row r="546" spans="1:29">
      <c r="A546" s="3124">
        <v>545</v>
      </c>
      <c r="B546" s="3124" t="s">
        <v>4513</v>
      </c>
      <c r="C546" s="3124" t="s">
        <v>5022</v>
      </c>
      <c r="D546" s="3124" t="s">
        <v>3140</v>
      </c>
      <c r="E546" t="s">
        <v>3141</v>
      </c>
      <c r="F546" s="3234">
        <v>51109464</v>
      </c>
      <c r="G546" s="3124" t="s">
        <v>5217</v>
      </c>
      <c r="H546" s="3124">
        <v>20</v>
      </c>
      <c r="I546" s="3124">
        <v>20</v>
      </c>
      <c r="J546" s="3124">
        <v>3000</v>
      </c>
      <c r="K546" s="3124">
        <v>2500</v>
      </c>
      <c r="L546" s="3124">
        <v>3350</v>
      </c>
      <c r="M546" s="3124" t="s">
        <v>2876</v>
      </c>
      <c r="N546" s="3192">
        <v>45065</v>
      </c>
      <c r="O546" s="3192">
        <v>45645</v>
      </c>
      <c r="P546" s="3192">
        <v>45083</v>
      </c>
      <c r="Q546" s="3192">
        <v>45663</v>
      </c>
      <c r="R546" s="3124" t="s">
        <v>433</v>
      </c>
      <c r="S546" s="3124" t="s">
        <v>1690</v>
      </c>
      <c r="T546" s="3124" t="s">
        <v>2825</v>
      </c>
      <c r="U546" t="s">
        <v>1761</v>
      </c>
      <c r="V546" s="3124">
        <v>6700</v>
      </c>
      <c r="W546" s="3193">
        <v>0.5</v>
      </c>
      <c r="X546" s="3124">
        <v>3350</v>
      </c>
      <c r="Y546" s="3124">
        <v>1</v>
      </c>
      <c r="Z546" s="3124"/>
      <c r="AA546" s="3124">
        <v>30000</v>
      </c>
      <c r="AB546" t="s">
        <v>1195</v>
      </c>
      <c r="AC546" s="3124"/>
    </row>
    <row r="547" spans="1:29">
      <c r="A547" s="3124">
        <v>546</v>
      </c>
      <c r="B547" s="3124" t="s">
        <v>4513</v>
      </c>
      <c r="C547" s="3124" t="s">
        <v>5023</v>
      </c>
      <c r="D547" s="3124" t="s">
        <v>3142</v>
      </c>
      <c r="E547" t="s">
        <v>3143</v>
      </c>
      <c r="F547" s="3234">
        <v>41255215</v>
      </c>
      <c r="G547" s="3124" t="s">
        <v>5218</v>
      </c>
      <c r="H547" s="3124">
        <v>20</v>
      </c>
      <c r="I547" s="3124">
        <v>20</v>
      </c>
      <c r="J547" s="3124">
        <v>3000</v>
      </c>
      <c r="K547" s="3124">
        <v>2500</v>
      </c>
      <c r="L547" s="3124">
        <v>3350</v>
      </c>
      <c r="M547" s="3124" t="s">
        <v>2876</v>
      </c>
      <c r="N547" s="3192">
        <v>45065</v>
      </c>
      <c r="O547" s="3192">
        <v>45645</v>
      </c>
      <c r="P547" s="3192">
        <v>45083</v>
      </c>
      <c r="Q547" s="3192">
        <v>45663</v>
      </c>
      <c r="R547" s="3124" t="s">
        <v>433</v>
      </c>
      <c r="S547" s="3124" t="s">
        <v>1690</v>
      </c>
      <c r="T547" s="3124" t="s">
        <v>2825</v>
      </c>
      <c r="U547" t="s">
        <v>1761</v>
      </c>
      <c r="V547" s="3124">
        <v>6700</v>
      </c>
      <c r="W547" s="3193">
        <v>0.5</v>
      </c>
      <c r="X547" s="3124">
        <v>3350</v>
      </c>
      <c r="Y547" s="3124">
        <v>1</v>
      </c>
      <c r="Z547" s="3124"/>
      <c r="AA547" s="3124">
        <v>30000</v>
      </c>
      <c r="AB547" t="s">
        <v>1195</v>
      </c>
      <c r="AC547" s="3124"/>
    </row>
    <row r="548" spans="1:29">
      <c r="A548" s="3124">
        <v>547</v>
      </c>
      <c r="B548" s="3124" t="s">
        <v>4513</v>
      </c>
      <c r="C548" s="3124" t="s">
        <v>5024</v>
      </c>
      <c r="D548" s="3124" t="s">
        <v>3144</v>
      </c>
      <c r="E548" s="3133" t="s">
        <v>3145</v>
      </c>
      <c r="F548" s="3234">
        <v>55310042</v>
      </c>
      <c r="G548" s="3124" t="s">
        <v>5219</v>
      </c>
      <c r="H548" s="3124">
        <v>20</v>
      </c>
      <c r="I548" s="3124">
        <v>20</v>
      </c>
      <c r="J548" s="3124">
        <v>3000</v>
      </c>
      <c r="K548" s="3124">
        <v>2500</v>
      </c>
      <c r="L548" s="3124">
        <v>3350</v>
      </c>
      <c r="M548" s="3124" t="s">
        <v>2876</v>
      </c>
      <c r="N548" s="3192">
        <v>45065</v>
      </c>
      <c r="O548" s="3192">
        <v>45645</v>
      </c>
      <c r="P548" s="3192">
        <v>45083</v>
      </c>
      <c r="Q548" s="3192">
        <v>45663</v>
      </c>
      <c r="R548" s="3124" t="s">
        <v>433</v>
      </c>
      <c r="S548" s="3124" t="s">
        <v>1690</v>
      </c>
      <c r="T548" s="3124" t="s">
        <v>2825</v>
      </c>
      <c r="U548" t="s">
        <v>1761</v>
      </c>
      <c r="V548" s="3124">
        <v>6700</v>
      </c>
      <c r="W548" s="3193">
        <v>0.5</v>
      </c>
      <c r="X548" s="3124">
        <v>3350</v>
      </c>
      <c r="Y548" s="3124">
        <v>1</v>
      </c>
      <c r="Z548" s="3124"/>
      <c r="AA548" s="3124">
        <v>30000</v>
      </c>
      <c r="AB548" t="s">
        <v>1195</v>
      </c>
      <c r="AC548" s="3124"/>
    </row>
    <row r="549" spans="1:29">
      <c r="A549" s="3124">
        <v>548</v>
      </c>
      <c r="B549" s="3124" t="s">
        <v>4513</v>
      </c>
      <c r="C549" s="3124" t="s">
        <v>5025</v>
      </c>
      <c r="D549" s="3124" t="s">
        <v>3146</v>
      </c>
      <c r="E549" t="s">
        <v>444</v>
      </c>
      <c r="F549" s="3234">
        <v>57670320</v>
      </c>
      <c r="G549" s="3124" t="s">
        <v>5220</v>
      </c>
      <c r="H549" s="3124">
        <v>20</v>
      </c>
      <c r="I549" s="3124">
        <v>20</v>
      </c>
      <c r="J549" s="3124">
        <v>3000</v>
      </c>
      <c r="K549" s="3124">
        <v>2500</v>
      </c>
      <c r="L549" s="3124">
        <v>3350</v>
      </c>
      <c r="M549" s="3124" t="s">
        <v>2876</v>
      </c>
      <c r="N549" s="3192">
        <v>45065</v>
      </c>
      <c r="O549" s="3192">
        <v>45645</v>
      </c>
      <c r="P549" s="3192">
        <v>45083</v>
      </c>
      <c r="Q549" s="3192">
        <v>45663</v>
      </c>
      <c r="R549" s="3124" t="s">
        <v>433</v>
      </c>
      <c r="S549" s="3124" t="s">
        <v>1690</v>
      </c>
      <c r="T549" s="3124" t="s">
        <v>2825</v>
      </c>
      <c r="U549" t="s">
        <v>1761</v>
      </c>
      <c r="V549" s="3124">
        <v>6700</v>
      </c>
      <c r="W549" s="3193">
        <v>0.5</v>
      </c>
      <c r="X549" s="3124">
        <v>3350</v>
      </c>
      <c r="Y549" s="3124">
        <v>1</v>
      </c>
      <c r="Z549" s="3124"/>
      <c r="AA549" s="3124">
        <v>30000</v>
      </c>
      <c r="AB549" t="s">
        <v>1195</v>
      </c>
      <c r="AC549" s="3124"/>
    </row>
    <row r="550" spans="1:29">
      <c r="A550" s="3124">
        <v>549</v>
      </c>
      <c r="B550" s="3124" t="s">
        <v>4513</v>
      </c>
      <c r="C550" s="3124" t="s">
        <v>3929</v>
      </c>
      <c r="D550" s="3124" t="s">
        <v>3930</v>
      </c>
      <c r="E550" t="s">
        <v>2884</v>
      </c>
      <c r="F550" s="3234">
        <v>51308822</v>
      </c>
      <c r="G550" s="3124" t="s">
        <v>5205</v>
      </c>
      <c r="H550" s="3124">
        <v>20</v>
      </c>
      <c r="I550" s="3124">
        <v>20</v>
      </c>
      <c r="J550" s="3124">
        <v>3000</v>
      </c>
      <c r="K550" s="3124">
        <v>2500</v>
      </c>
      <c r="L550" s="3124">
        <v>1049.0999999999999</v>
      </c>
      <c r="M550" s="3124" t="s">
        <v>2876</v>
      </c>
      <c r="N550" s="3192">
        <v>45065</v>
      </c>
      <c r="O550" s="3192">
        <v>45645</v>
      </c>
      <c r="P550" s="3192">
        <v>45083</v>
      </c>
      <c r="Q550" s="3192">
        <v>45663</v>
      </c>
      <c r="R550" s="3124" t="s">
        <v>432</v>
      </c>
      <c r="S550" s="3124" t="s">
        <v>1690</v>
      </c>
      <c r="T550" s="3124" t="s">
        <v>2825</v>
      </c>
      <c r="U550" t="s">
        <v>1761</v>
      </c>
      <c r="V550" s="3124">
        <v>6700</v>
      </c>
      <c r="W550" s="3193">
        <v>0.84341791044776115</v>
      </c>
      <c r="X550" s="3124">
        <v>5650.9</v>
      </c>
      <c r="Y550" s="3124">
        <v>1</v>
      </c>
      <c r="Z550" s="3124"/>
      <c r="AA550" s="3124">
        <v>30000</v>
      </c>
      <c r="AB550" t="s">
        <v>1195</v>
      </c>
      <c r="AC550" s="3124"/>
    </row>
    <row r="551" spans="1:29">
      <c r="A551" s="3124">
        <v>550</v>
      </c>
      <c r="B551" s="3124" t="s">
        <v>4513</v>
      </c>
      <c r="C551" s="3124" t="s">
        <v>5026</v>
      </c>
      <c r="D551" s="3124" t="s">
        <v>3146</v>
      </c>
      <c r="E551" t="s">
        <v>3147</v>
      </c>
      <c r="F551" s="3234">
        <v>54134290</v>
      </c>
      <c r="G551" s="3124" t="s">
        <v>2857</v>
      </c>
      <c r="H551" s="3124">
        <v>20</v>
      </c>
      <c r="I551" s="3124">
        <v>20</v>
      </c>
      <c r="J551" s="3124">
        <v>3000</v>
      </c>
      <c r="K551" s="3124">
        <v>2500</v>
      </c>
      <c r="L551" s="3124">
        <v>1049.0999999999999</v>
      </c>
      <c r="M551" s="3124" t="s">
        <v>2876</v>
      </c>
      <c r="N551" s="3192">
        <v>45065</v>
      </c>
      <c r="O551" s="3192">
        <v>45645</v>
      </c>
      <c r="P551" s="3192">
        <v>45083</v>
      </c>
      <c r="Q551" s="3192">
        <v>45663</v>
      </c>
      <c r="R551" s="3124" t="s">
        <v>433</v>
      </c>
      <c r="S551" s="3124" t="s">
        <v>1690</v>
      </c>
      <c r="T551" s="3124" t="s">
        <v>2825</v>
      </c>
      <c r="U551" t="s">
        <v>1761</v>
      </c>
      <c r="V551" s="3124">
        <v>6700</v>
      </c>
      <c r="W551" s="3193">
        <v>0.84341791044776115</v>
      </c>
      <c r="X551" s="3124">
        <v>5650.9</v>
      </c>
      <c r="Y551" s="3124">
        <v>1</v>
      </c>
      <c r="Z551" s="3124"/>
      <c r="AA551" s="3124">
        <v>30000</v>
      </c>
      <c r="AB551" t="s">
        <v>1195</v>
      </c>
      <c r="AC551" s="3124"/>
    </row>
    <row r="552" spans="1:29">
      <c r="A552" s="3124">
        <v>551</v>
      </c>
      <c r="B552" s="3124" t="s">
        <v>4513</v>
      </c>
      <c r="C552" s="3124" t="s">
        <v>5027</v>
      </c>
      <c r="D552" s="3124" t="s">
        <v>3148</v>
      </c>
      <c r="E552" s="3156" t="s">
        <v>3149</v>
      </c>
      <c r="F552" s="3234">
        <v>31041739</v>
      </c>
      <c r="G552" s="3124" t="s">
        <v>5221</v>
      </c>
      <c r="H552" s="3124">
        <v>20</v>
      </c>
      <c r="I552" s="3124">
        <v>20</v>
      </c>
      <c r="J552" s="3124">
        <v>3000</v>
      </c>
      <c r="K552" s="3124">
        <v>2500</v>
      </c>
      <c r="L552" s="3124">
        <v>1049.0999999999999</v>
      </c>
      <c r="M552" s="3124" t="s">
        <v>2876</v>
      </c>
      <c r="N552" s="3192">
        <v>45065</v>
      </c>
      <c r="O552" s="3192">
        <v>45645</v>
      </c>
      <c r="P552" s="3192">
        <v>45083</v>
      </c>
      <c r="Q552" s="3192">
        <v>45663</v>
      </c>
      <c r="R552" s="3124" t="s">
        <v>432</v>
      </c>
      <c r="S552" s="3124" t="s">
        <v>1690</v>
      </c>
      <c r="T552" s="3124" t="s">
        <v>2825</v>
      </c>
      <c r="U552" t="s">
        <v>1761</v>
      </c>
      <c r="V552" s="3124">
        <v>6700</v>
      </c>
      <c r="W552" s="3193">
        <v>0.84341791044776115</v>
      </c>
      <c r="X552" s="3124">
        <v>5650.9</v>
      </c>
      <c r="Y552" s="3124">
        <v>1</v>
      </c>
      <c r="Z552" s="3124"/>
      <c r="AA552" s="3124">
        <v>30000</v>
      </c>
      <c r="AB552" t="s">
        <v>1195</v>
      </c>
      <c r="AC552" s="3124"/>
    </row>
    <row r="553" spans="1:29">
      <c r="A553" s="3124">
        <v>552</v>
      </c>
      <c r="B553" s="3124" t="s">
        <v>1123</v>
      </c>
      <c r="C553" s="3124" t="s">
        <v>5241</v>
      </c>
      <c r="D553" s="3124" t="s">
        <v>3150</v>
      </c>
      <c r="E553" t="s">
        <v>3151</v>
      </c>
      <c r="F553" s="3234">
        <v>57150844</v>
      </c>
      <c r="G553" s="3124" t="s">
        <v>5242</v>
      </c>
      <c r="H553" s="3124">
        <v>4</v>
      </c>
      <c r="I553" s="3124">
        <v>4</v>
      </c>
      <c r="J553" s="3124">
        <v>3000</v>
      </c>
      <c r="K553" s="3124"/>
      <c r="L553" s="3124">
        <v>1049.0999999999999</v>
      </c>
      <c r="M553" s="3124" t="s">
        <v>2876</v>
      </c>
      <c r="N553" s="3192">
        <v>45065</v>
      </c>
      <c r="O553" s="3192">
        <v>45157</v>
      </c>
      <c r="P553" s="3192">
        <v>45083</v>
      </c>
      <c r="Q553" s="3192">
        <v>45175</v>
      </c>
      <c r="R553" s="3124" t="s">
        <v>433</v>
      </c>
      <c r="S553" s="3124" t="s">
        <v>1939</v>
      </c>
      <c r="T553" s="3124" t="s">
        <v>2825</v>
      </c>
      <c r="U553" t="s">
        <v>1761</v>
      </c>
      <c r="V553" s="3124">
        <v>6700</v>
      </c>
      <c r="W553" s="3193">
        <v>0.84341791044776115</v>
      </c>
      <c r="X553" s="3124">
        <v>5650.9</v>
      </c>
      <c r="Y553" s="3124">
        <v>0</v>
      </c>
      <c r="Z553" s="3124">
        <v>8000</v>
      </c>
      <c r="AA553" s="3124">
        <v>29000</v>
      </c>
      <c r="AB553" t="s">
        <v>1195</v>
      </c>
      <c r="AC553" s="3124"/>
    </row>
    <row r="554" spans="1:29">
      <c r="A554" s="3124">
        <v>553</v>
      </c>
      <c r="B554" s="3124" t="s">
        <v>1123</v>
      </c>
      <c r="C554" s="3124" t="s">
        <v>5243</v>
      </c>
      <c r="D554" s="3124" t="s">
        <v>3152</v>
      </c>
      <c r="E554" s="3875" t="s">
        <v>3153</v>
      </c>
      <c r="F554" s="3234">
        <v>57154507</v>
      </c>
      <c r="G554" s="3124" t="s">
        <v>5222</v>
      </c>
      <c r="H554" s="3124">
        <v>4</v>
      </c>
      <c r="I554" s="3852">
        <v>4</v>
      </c>
      <c r="J554" s="3124">
        <v>3000</v>
      </c>
      <c r="K554" s="3124"/>
      <c r="L554" s="3124">
        <v>1049.0999999999999</v>
      </c>
      <c r="M554" s="3124" t="s">
        <v>2876</v>
      </c>
      <c r="N554" s="3192">
        <v>45065</v>
      </c>
      <c r="O554" s="3192">
        <v>45157</v>
      </c>
      <c r="P554" s="3192">
        <v>45083</v>
      </c>
      <c r="Q554" s="3192">
        <v>45175</v>
      </c>
      <c r="R554" s="3124" t="s">
        <v>432</v>
      </c>
      <c r="S554" s="3124" t="s">
        <v>1939</v>
      </c>
      <c r="T554" s="3124" t="s">
        <v>2825</v>
      </c>
      <c r="U554" t="s">
        <v>1195</v>
      </c>
      <c r="V554" s="3124">
        <v>6700</v>
      </c>
      <c r="W554" s="3193">
        <v>0.84341791044776115</v>
      </c>
      <c r="X554" s="3124">
        <v>5650.9</v>
      </c>
      <c r="Y554" s="3124">
        <v>0</v>
      </c>
      <c r="Z554" s="3124">
        <v>8000</v>
      </c>
      <c r="AA554" s="3124">
        <v>29000</v>
      </c>
      <c r="AB554" t="s">
        <v>1195</v>
      </c>
      <c r="AC554" s="3124"/>
    </row>
    <row r="555" spans="1:29">
      <c r="A555" s="3124">
        <v>554</v>
      </c>
      <c r="B555" s="3124" t="s">
        <v>1123</v>
      </c>
      <c r="C555" s="3124" t="s">
        <v>5244</v>
      </c>
      <c r="D555" s="3124" t="s">
        <v>3154</v>
      </c>
      <c r="E555" t="s">
        <v>3155</v>
      </c>
      <c r="F555" s="3234"/>
      <c r="G555" s="3124" t="s">
        <v>5223</v>
      </c>
      <c r="H555" s="3124">
        <v>4</v>
      </c>
      <c r="I555" s="3124">
        <v>4</v>
      </c>
      <c r="J555" s="3124">
        <v>3000</v>
      </c>
      <c r="K555" s="3124"/>
      <c r="L555" s="3124">
        <v>1049.0999999999999</v>
      </c>
      <c r="M555" s="3124" t="s">
        <v>2876</v>
      </c>
      <c r="N555" s="3192">
        <v>45065</v>
      </c>
      <c r="O555" s="3192">
        <v>45157</v>
      </c>
      <c r="P555" s="3192">
        <v>45083</v>
      </c>
      <c r="Q555" s="3192">
        <v>45175</v>
      </c>
      <c r="R555" s="3124" t="s">
        <v>433</v>
      </c>
      <c r="S555" s="3124" t="s">
        <v>1939</v>
      </c>
      <c r="T555" s="3124" t="s">
        <v>2825</v>
      </c>
      <c r="U555" t="s">
        <v>1195</v>
      </c>
      <c r="V555" s="3124">
        <v>6700</v>
      </c>
      <c r="W555" s="3193">
        <v>0.84341791044776115</v>
      </c>
      <c r="X555" s="3124">
        <v>5650.9</v>
      </c>
      <c r="Y555" s="3124">
        <v>0</v>
      </c>
      <c r="Z555" s="3124">
        <v>8000</v>
      </c>
      <c r="AA555" s="3124">
        <v>29000</v>
      </c>
      <c r="AB555" t="s">
        <v>1195</v>
      </c>
      <c r="AC555" s="3124"/>
    </row>
    <row r="556" spans="1:29">
      <c r="A556" s="3124">
        <v>555</v>
      </c>
      <c r="B556" s="3124" t="s">
        <v>3156</v>
      </c>
      <c r="C556" s="3124" t="s">
        <v>5245</v>
      </c>
      <c r="D556" s="3124" t="s">
        <v>3157</v>
      </c>
      <c r="E556" t="s">
        <v>3158</v>
      </c>
      <c r="F556" s="3234">
        <v>51386562</v>
      </c>
      <c r="G556" s="3124" t="s">
        <v>5224</v>
      </c>
      <c r="H556" s="3124">
        <v>4</v>
      </c>
      <c r="I556" s="3124">
        <v>4</v>
      </c>
      <c r="J556" s="3124">
        <v>3000</v>
      </c>
      <c r="K556" s="3124"/>
      <c r="L556" s="3124">
        <v>1049.0999999999999</v>
      </c>
      <c r="M556" s="3124" t="s">
        <v>2876</v>
      </c>
      <c r="N556" s="3192">
        <v>45065</v>
      </c>
      <c r="O556" s="3192">
        <v>45157</v>
      </c>
      <c r="P556" s="3192">
        <v>45083</v>
      </c>
      <c r="Q556" s="3192">
        <v>45175</v>
      </c>
      <c r="R556" s="3124" t="s">
        <v>432</v>
      </c>
      <c r="S556" s="3124" t="s">
        <v>3159</v>
      </c>
      <c r="T556" s="3124" t="s">
        <v>2825</v>
      </c>
      <c r="U556" t="s">
        <v>1195</v>
      </c>
      <c r="V556" s="3124">
        <v>6700</v>
      </c>
      <c r="W556" s="3193">
        <v>0.84341791044776115</v>
      </c>
      <c r="X556" s="3124">
        <v>5650.9</v>
      </c>
      <c r="Y556" s="3124">
        <v>0</v>
      </c>
      <c r="Z556" s="3124">
        <v>8000</v>
      </c>
      <c r="AA556" s="3124">
        <v>29000</v>
      </c>
      <c r="AB556" t="s">
        <v>1195</v>
      </c>
      <c r="AC556" s="3124"/>
    </row>
    <row r="557" spans="1:29">
      <c r="A557" s="3124">
        <v>556</v>
      </c>
      <c r="B557" s="3124" t="s">
        <v>1123</v>
      </c>
      <c r="C557" s="3124" t="s">
        <v>5246</v>
      </c>
      <c r="D557" s="3124" t="s">
        <v>3160</v>
      </c>
      <c r="E557" t="s">
        <v>3161</v>
      </c>
      <c r="F557" s="3234">
        <v>58020141</v>
      </c>
      <c r="G557" s="3124" t="s">
        <v>5225</v>
      </c>
      <c r="H557" s="3124">
        <v>4</v>
      </c>
      <c r="I557" s="3124">
        <v>4</v>
      </c>
      <c r="J557" s="3124">
        <v>3000</v>
      </c>
      <c r="K557" s="3124"/>
      <c r="L557" s="3124">
        <v>1049.0999999999999</v>
      </c>
      <c r="M557" s="3124" t="s">
        <v>2876</v>
      </c>
      <c r="N557" s="3192">
        <v>45065</v>
      </c>
      <c r="O557" s="3192">
        <v>45157</v>
      </c>
      <c r="P557" s="3192">
        <v>45083</v>
      </c>
      <c r="Q557" s="3192">
        <v>45175</v>
      </c>
      <c r="R557" s="3124" t="s">
        <v>433</v>
      </c>
      <c r="S557" s="3124" t="s">
        <v>1939</v>
      </c>
      <c r="T557" s="3124" t="s">
        <v>2825</v>
      </c>
      <c r="U557" t="s">
        <v>1195</v>
      </c>
      <c r="V557" s="3124">
        <v>6700</v>
      </c>
      <c r="W557" s="3193">
        <v>0.84341791044776115</v>
      </c>
      <c r="X557" s="3124">
        <v>5650.9</v>
      </c>
      <c r="Y557" s="3124">
        <v>0</v>
      </c>
      <c r="Z557" s="3124">
        <v>8000</v>
      </c>
      <c r="AA557" s="3124">
        <v>29000</v>
      </c>
      <c r="AB557" t="s">
        <v>1195</v>
      </c>
      <c r="AC557" s="3124"/>
    </row>
    <row r="558" spans="1:29">
      <c r="A558" s="3124">
        <v>557</v>
      </c>
      <c r="B558" s="3124" t="s">
        <v>1123</v>
      </c>
      <c r="C558" s="3124" t="s">
        <v>5247</v>
      </c>
      <c r="D558" s="3124" t="s">
        <v>3142</v>
      </c>
      <c r="E558" s="3138" t="s">
        <v>3162</v>
      </c>
      <c r="F558" s="3234">
        <v>35668737</v>
      </c>
      <c r="G558" s="3124" t="s">
        <v>5226</v>
      </c>
      <c r="H558" s="3124">
        <v>4</v>
      </c>
      <c r="I558" s="3124">
        <v>4</v>
      </c>
      <c r="J558" s="3124">
        <v>3000</v>
      </c>
      <c r="K558" s="3124"/>
      <c r="L558" s="3124">
        <v>1049.0999999999999</v>
      </c>
      <c r="M558" s="3124" t="s">
        <v>2876</v>
      </c>
      <c r="N558" s="3192">
        <v>45065</v>
      </c>
      <c r="O558" s="3192">
        <v>45157</v>
      </c>
      <c r="P558" s="3192">
        <v>45083</v>
      </c>
      <c r="Q558" s="3192">
        <v>45175</v>
      </c>
      <c r="R558" s="3124" t="s">
        <v>432</v>
      </c>
      <c r="S558" s="3124" t="s">
        <v>1939</v>
      </c>
      <c r="T558" s="3124" t="s">
        <v>2825</v>
      </c>
      <c r="U558" t="s">
        <v>1869</v>
      </c>
      <c r="V558" s="3124">
        <v>6700</v>
      </c>
      <c r="W558" s="3193">
        <v>0.84341791044776115</v>
      </c>
      <c r="X558" s="3124">
        <v>5650.9</v>
      </c>
      <c r="Y558" s="3124">
        <v>0</v>
      </c>
      <c r="Z558" s="3124">
        <v>8000</v>
      </c>
      <c r="AA558" s="3124">
        <v>29000</v>
      </c>
      <c r="AB558" t="s">
        <v>1869</v>
      </c>
      <c r="AC558" s="3124"/>
    </row>
    <row r="559" spans="1:29">
      <c r="A559" s="3124">
        <v>558</v>
      </c>
      <c r="B559" s="3124" t="s">
        <v>1123</v>
      </c>
      <c r="C559" s="3124" t="s">
        <v>5248</v>
      </c>
      <c r="D559" s="3124" t="s">
        <v>3144</v>
      </c>
      <c r="E559" t="s">
        <v>3163</v>
      </c>
      <c r="F559" s="3234"/>
      <c r="G559" s="3124" t="s">
        <v>5227</v>
      </c>
      <c r="H559" s="3124">
        <v>4</v>
      </c>
      <c r="I559" s="3124">
        <v>4</v>
      </c>
      <c r="J559" s="3124">
        <v>3000</v>
      </c>
      <c r="K559" s="3124"/>
      <c r="L559" s="3124">
        <v>1049.0999999999999</v>
      </c>
      <c r="M559" s="3124" t="s">
        <v>2876</v>
      </c>
      <c r="N559" s="3192">
        <v>45065</v>
      </c>
      <c r="O559" s="3192">
        <v>45157</v>
      </c>
      <c r="P559" s="3192">
        <v>45083</v>
      </c>
      <c r="Q559" s="3192">
        <v>45175</v>
      </c>
      <c r="R559" s="3124" t="s">
        <v>433</v>
      </c>
      <c r="S559" s="3124" t="s">
        <v>1939</v>
      </c>
      <c r="T559" s="3124" t="s">
        <v>2825</v>
      </c>
      <c r="U559" t="s">
        <v>1195</v>
      </c>
      <c r="V559" s="3124">
        <v>6700</v>
      </c>
      <c r="W559" s="3193">
        <v>0.84341791044776115</v>
      </c>
      <c r="X559" s="3124">
        <v>5650.9</v>
      </c>
      <c r="Y559" s="3124">
        <v>0</v>
      </c>
      <c r="Z559" s="3124">
        <v>8000</v>
      </c>
      <c r="AA559" s="3124">
        <v>29000</v>
      </c>
      <c r="AB559" t="s">
        <v>1195</v>
      </c>
      <c r="AC559" s="3124"/>
    </row>
    <row r="560" spans="1:29">
      <c r="A560" s="3124">
        <v>559</v>
      </c>
      <c r="B560" s="3124" t="s">
        <v>2525</v>
      </c>
      <c r="C560" s="3124" t="s">
        <v>5249</v>
      </c>
      <c r="D560" s="3124" t="s">
        <v>3164</v>
      </c>
      <c r="E560" t="s">
        <v>3165</v>
      </c>
      <c r="F560" s="3234">
        <v>30987807</v>
      </c>
      <c r="G560" s="3124" t="s">
        <v>5228</v>
      </c>
      <c r="H560" s="3124">
        <v>6</v>
      </c>
      <c r="I560" s="3124">
        <v>6</v>
      </c>
      <c r="J560" s="3124">
        <v>2000</v>
      </c>
      <c r="K560" s="3124"/>
      <c r="L560" s="3124">
        <v>682.5</v>
      </c>
      <c r="M560" s="3124" t="s">
        <v>3101</v>
      </c>
      <c r="N560" s="3192">
        <v>45065</v>
      </c>
      <c r="O560" s="3192">
        <v>45218</v>
      </c>
      <c r="P560" s="3192">
        <v>45083</v>
      </c>
      <c r="Q560" s="3192">
        <v>45236</v>
      </c>
      <c r="R560" s="3124" t="s">
        <v>433</v>
      </c>
      <c r="S560" s="3124" t="s">
        <v>2530</v>
      </c>
      <c r="T560" s="3124" t="s">
        <v>2825</v>
      </c>
      <c r="U560" t="s">
        <v>1195</v>
      </c>
      <c r="V560" s="3124">
        <v>5000</v>
      </c>
      <c r="W560" s="3193">
        <v>0.86350000000000005</v>
      </c>
      <c r="X560" s="3124">
        <v>4317.5</v>
      </c>
      <c r="Y560" s="3124">
        <v>0</v>
      </c>
      <c r="Z560" s="3124">
        <v>6000</v>
      </c>
      <c r="AA560" s="3124">
        <v>25000</v>
      </c>
      <c r="AB560" t="s">
        <v>1195</v>
      </c>
      <c r="AC560" s="3124"/>
    </row>
    <row r="561" spans="1:29">
      <c r="A561" s="3124">
        <v>560</v>
      </c>
      <c r="B561" s="3124" t="s">
        <v>1625</v>
      </c>
      <c r="C561" s="3124" t="s">
        <v>441</v>
      </c>
      <c r="D561" s="3124" t="s">
        <v>3166</v>
      </c>
      <c r="E561" s="3139" t="s">
        <v>443</v>
      </c>
      <c r="F561" s="3234">
        <v>8332811726</v>
      </c>
      <c r="G561" s="3190" t="s">
        <v>2414</v>
      </c>
      <c r="H561" s="3124">
        <v>20</v>
      </c>
      <c r="I561" s="3124">
        <v>20</v>
      </c>
      <c r="J561" s="3124">
        <v>0</v>
      </c>
      <c r="K561" s="3124">
        <v>3000</v>
      </c>
      <c r="L561" s="3124">
        <v>3497</v>
      </c>
      <c r="M561" s="3124" t="s">
        <v>2592</v>
      </c>
      <c r="N561" s="3192">
        <v>45073</v>
      </c>
      <c r="O561" s="3192">
        <v>45653</v>
      </c>
      <c r="P561" s="3192">
        <v>45035</v>
      </c>
      <c r="Q561" s="3192">
        <v>45615</v>
      </c>
      <c r="R561" s="3124" t="s">
        <v>433</v>
      </c>
      <c r="S561" s="3124" t="s">
        <v>1690</v>
      </c>
      <c r="T561" s="3124" t="s">
        <v>1850</v>
      </c>
      <c r="U561" t="s">
        <v>1761</v>
      </c>
      <c r="V561" s="3124">
        <v>7500</v>
      </c>
      <c r="W561" s="3193">
        <v>0.53373333333333328</v>
      </c>
      <c r="X561" s="3124">
        <v>4003</v>
      </c>
      <c r="Y561" s="3124">
        <v>1</v>
      </c>
      <c r="Z561" s="3124"/>
      <c r="AA561" s="3124">
        <v>32000</v>
      </c>
      <c r="AB561" t="s">
        <v>1195</v>
      </c>
      <c r="AC561" s="3124"/>
    </row>
    <row r="562" spans="1:29">
      <c r="A562" s="3124">
        <v>561</v>
      </c>
      <c r="B562" s="3124" t="s">
        <v>4513</v>
      </c>
      <c r="C562" s="3124" t="s">
        <v>5028</v>
      </c>
      <c r="D562" s="3124" t="s">
        <v>3167</v>
      </c>
      <c r="E562" t="s">
        <v>3168</v>
      </c>
      <c r="F562" s="3234">
        <v>54951372</v>
      </c>
      <c r="G562" s="3124" t="s">
        <v>5229</v>
      </c>
      <c r="H562" s="3124">
        <v>20</v>
      </c>
      <c r="I562" s="3124">
        <v>20</v>
      </c>
      <c r="J562" s="3124">
        <v>3000</v>
      </c>
      <c r="K562" s="3124">
        <v>2500</v>
      </c>
      <c r="L562" s="3124">
        <v>1049.0999999999999</v>
      </c>
      <c r="M562" s="3124" t="s">
        <v>2876</v>
      </c>
      <c r="N562" s="3192">
        <v>45073</v>
      </c>
      <c r="O562" s="3192">
        <v>45653</v>
      </c>
      <c r="P562" s="3192">
        <v>45083</v>
      </c>
      <c r="Q562" s="3192">
        <v>45663</v>
      </c>
      <c r="R562" s="3124" t="s">
        <v>433</v>
      </c>
      <c r="S562" s="3124" t="s">
        <v>1690</v>
      </c>
      <c r="T562" s="3124" t="s">
        <v>2825</v>
      </c>
      <c r="U562" t="s">
        <v>1761</v>
      </c>
      <c r="V562" s="3124">
        <v>7500</v>
      </c>
      <c r="W562" s="3193">
        <v>0.86012</v>
      </c>
      <c r="X562" s="3124">
        <v>6450.9</v>
      </c>
      <c r="Y562" s="3124">
        <v>1</v>
      </c>
      <c r="Z562" s="3124"/>
      <c r="AA562" s="3124">
        <v>30000</v>
      </c>
      <c r="AB562" t="s">
        <v>1195</v>
      </c>
      <c r="AC562" s="3124"/>
    </row>
    <row r="563" spans="1:29">
      <c r="A563" s="3124">
        <v>562</v>
      </c>
      <c r="B563" s="3124" t="s">
        <v>4513</v>
      </c>
      <c r="C563" s="3124" t="s">
        <v>5029</v>
      </c>
      <c r="D563" s="3124" t="s">
        <v>3169</v>
      </c>
      <c r="E563" s="3152" t="s">
        <v>3170</v>
      </c>
      <c r="F563" s="3234">
        <v>55354739</v>
      </c>
      <c r="G563" s="3190" t="s">
        <v>5230</v>
      </c>
      <c r="H563" s="3124">
        <v>20</v>
      </c>
      <c r="I563" s="3124">
        <v>20</v>
      </c>
      <c r="J563" s="3124">
        <v>3000</v>
      </c>
      <c r="K563" s="3124">
        <v>2500</v>
      </c>
      <c r="L563" s="3124">
        <v>1049.0999999999999</v>
      </c>
      <c r="M563" s="3124" t="s">
        <v>2876</v>
      </c>
      <c r="N563" s="3192">
        <v>45073</v>
      </c>
      <c r="O563" s="3192">
        <v>45653</v>
      </c>
      <c r="P563" s="3192">
        <v>45083</v>
      </c>
      <c r="Q563" s="3192">
        <v>45663</v>
      </c>
      <c r="R563" s="3124" t="s">
        <v>433</v>
      </c>
      <c r="S563" s="3124" t="s">
        <v>1690</v>
      </c>
      <c r="T563" s="3124" t="s">
        <v>2825</v>
      </c>
      <c r="U563" t="s">
        <v>1761</v>
      </c>
      <c r="V563" s="3124">
        <v>7500</v>
      </c>
      <c r="W563" s="3193">
        <v>0.86012</v>
      </c>
      <c r="X563" s="3124">
        <v>6450.9</v>
      </c>
      <c r="Y563" s="3124">
        <v>1</v>
      </c>
      <c r="Z563" s="3124"/>
      <c r="AA563" s="3124">
        <v>30000</v>
      </c>
      <c r="AB563" t="s">
        <v>1195</v>
      </c>
      <c r="AC563" s="3124"/>
    </row>
    <row r="564" spans="1:29">
      <c r="A564" s="3124">
        <v>563</v>
      </c>
      <c r="B564" s="3124" t="s">
        <v>1691</v>
      </c>
      <c r="C564" s="3124" t="s">
        <v>3171</v>
      </c>
      <c r="D564" s="3124" t="s">
        <v>3172</v>
      </c>
      <c r="E564" t="s">
        <v>3173</v>
      </c>
      <c r="F564" s="3234">
        <v>5539759499</v>
      </c>
      <c r="G564" s="3124" t="s">
        <v>3174</v>
      </c>
      <c r="H564" s="3124">
        <v>16</v>
      </c>
      <c r="I564" s="3124">
        <v>16</v>
      </c>
      <c r="J564" s="3124">
        <v>2000</v>
      </c>
      <c r="K564" s="3124">
        <v>2000</v>
      </c>
      <c r="L564" s="3124">
        <v>2275</v>
      </c>
      <c r="M564" s="3124" t="s">
        <v>2891</v>
      </c>
      <c r="N564" s="3192">
        <v>45103</v>
      </c>
      <c r="O564" s="3192">
        <v>45561</v>
      </c>
      <c r="P564" s="3192">
        <v>45079</v>
      </c>
      <c r="Q564" s="3192">
        <v>45537</v>
      </c>
      <c r="R564" s="3124" t="s">
        <v>433</v>
      </c>
      <c r="S564" s="3124" t="s">
        <v>1949</v>
      </c>
      <c r="T564" s="3124" t="s">
        <v>1850</v>
      </c>
      <c r="U564" t="s">
        <v>1195</v>
      </c>
      <c r="V564" s="3124">
        <v>5000</v>
      </c>
      <c r="W564" s="3193">
        <v>0.54500000000000004</v>
      </c>
      <c r="X564" s="3124">
        <v>2725</v>
      </c>
      <c r="Y564" s="3124">
        <v>1</v>
      </c>
      <c r="Z564" s="3124"/>
      <c r="AA564" s="3124">
        <v>25000</v>
      </c>
      <c r="AB564" t="s">
        <v>1195</v>
      </c>
      <c r="AC564" s="3124"/>
    </row>
    <row r="565" spans="1:29">
      <c r="A565" s="3124">
        <v>564</v>
      </c>
      <c r="B565" s="3124" t="s">
        <v>2525</v>
      </c>
      <c r="C565" s="3124" t="s">
        <v>5250</v>
      </c>
      <c r="D565" s="3124" t="s">
        <v>3175</v>
      </c>
      <c r="E565" s="3133" t="s">
        <v>3176</v>
      </c>
      <c r="F565" s="3234">
        <v>51521260</v>
      </c>
      <c r="G565" s="3190" t="s">
        <v>5224</v>
      </c>
      <c r="H565" s="3124">
        <v>6</v>
      </c>
      <c r="I565" s="3124">
        <v>6</v>
      </c>
      <c r="J565" s="3124">
        <v>2000</v>
      </c>
      <c r="K565" s="3124"/>
      <c r="L565" s="3124">
        <v>682.5</v>
      </c>
      <c r="M565" s="3124" t="s">
        <v>3101</v>
      </c>
      <c r="N565" s="3192">
        <v>45083</v>
      </c>
      <c r="O565" s="3192">
        <v>45236</v>
      </c>
      <c r="P565" s="3192">
        <v>45087</v>
      </c>
      <c r="Q565" s="3192">
        <v>45240</v>
      </c>
      <c r="R565" s="3124" t="s">
        <v>433</v>
      </c>
      <c r="S565" s="3124" t="s">
        <v>2530</v>
      </c>
      <c r="T565" s="3124" t="s">
        <v>2825</v>
      </c>
      <c r="U565" t="s">
        <v>1195</v>
      </c>
      <c r="V565" s="3124">
        <v>5000</v>
      </c>
      <c r="W565" s="3193">
        <v>0.86350000000000005</v>
      </c>
      <c r="X565" s="3124">
        <v>4317.5</v>
      </c>
      <c r="Y565" s="3124"/>
      <c r="Z565" s="3124">
        <v>6000</v>
      </c>
      <c r="AA565" s="3124">
        <v>26000</v>
      </c>
      <c r="AB565" t="s">
        <v>1195</v>
      </c>
      <c r="AC565" s="3124"/>
    </row>
    <row r="566" spans="1:29">
      <c r="A566" s="3124">
        <v>565</v>
      </c>
      <c r="B566" s="3124" t="s">
        <v>1839</v>
      </c>
      <c r="C566" s="3124" t="s">
        <v>5251</v>
      </c>
      <c r="D566" s="3124" t="s">
        <v>3177</v>
      </c>
      <c r="E566" t="s">
        <v>3178</v>
      </c>
      <c r="F566" s="3234" t="s">
        <v>3179</v>
      </c>
      <c r="G566" s="3124" t="s">
        <v>4640</v>
      </c>
      <c r="H566" s="3124">
        <v>8</v>
      </c>
      <c r="I566" s="3124">
        <v>12</v>
      </c>
      <c r="J566" s="3124">
        <v>2000</v>
      </c>
      <c r="K566" s="3124"/>
      <c r="L566" s="3124">
        <v>2275</v>
      </c>
      <c r="M566" s="3124" t="s">
        <v>134</v>
      </c>
      <c r="N566" s="3192">
        <v>45087</v>
      </c>
      <c r="O566" s="3192">
        <v>45422</v>
      </c>
      <c r="P566" s="3192">
        <v>45077</v>
      </c>
      <c r="Q566" s="3192">
        <v>45291</v>
      </c>
      <c r="R566" s="3124" t="s">
        <v>432</v>
      </c>
      <c r="S566" s="3124" t="s">
        <v>1842</v>
      </c>
      <c r="T566" s="3124" t="s">
        <v>1850</v>
      </c>
      <c r="U566" t="s">
        <v>1195</v>
      </c>
      <c r="V566" s="3124">
        <v>4200</v>
      </c>
      <c r="W566" s="3193">
        <v>0.45833333333333331</v>
      </c>
      <c r="X566" s="3124">
        <v>1925</v>
      </c>
      <c r="Y566" s="3124">
        <v>0</v>
      </c>
      <c r="Z566" s="3124">
        <v>5000</v>
      </c>
      <c r="AA566" s="3124">
        <v>18000</v>
      </c>
      <c r="AB566" t="s">
        <v>1195</v>
      </c>
      <c r="AC566" s="3124"/>
    </row>
    <row r="567" spans="1:29">
      <c r="A567" s="3124">
        <v>566</v>
      </c>
      <c r="B567" s="3124" t="s">
        <v>1625</v>
      </c>
      <c r="C567" s="3124" t="s">
        <v>3180</v>
      </c>
      <c r="D567" s="3124" t="s">
        <v>3181</v>
      </c>
      <c r="E567" t="s">
        <v>3182</v>
      </c>
      <c r="F567" s="3234" t="s">
        <v>3183</v>
      </c>
      <c r="G567" s="3124" t="s">
        <v>3184</v>
      </c>
      <c r="H567" s="3124">
        <v>20</v>
      </c>
      <c r="I567" s="3124">
        <v>20</v>
      </c>
      <c r="J567" s="3124" t="s">
        <v>1948</v>
      </c>
      <c r="K567" s="3124"/>
      <c r="L567" s="3124">
        <v>5200</v>
      </c>
      <c r="M567" s="3124" t="s">
        <v>2592</v>
      </c>
      <c r="N567" s="3192">
        <v>45094</v>
      </c>
      <c r="O567" s="3192">
        <v>45674</v>
      </c>
      <c r="P567" s="3192">
        <v>45108</v>
      </c>
      <c r="Q567" s="3192">
        <v>45689</v>
      </c>
      <c r="R567" s="3124" t="s">
        <v>433</v>
      </c>
      <c r="S567" s="3124" t="s">
        <v>1690</v>
      </c>
      <c r="T567" s="3124" t="s">
        <v>1850</v>
      </c>
      <c r="U567" t="s">
        <v>1869</v>
      </c>
      <c r="V567" s="3124">
        <v>7500</v>
      </c>
      <c r="W567" s="3193">
        <v>0.30666666666666664</v>
      </c>
      <c r="X567" s="3124">
        <v>2300</v>
      </c>
      <c r="Y567" s="3124">
        <v>0</v>
      </c>
      <c r="Z567" s="3124"/>
      <c r="AA567" s="3124">
        <v>0</v>
      </c>
      <c r="AB567" t="s">
        <v>1869</v>
      </c>
      <c r="AC567" s="3124"/>
    </row>
    <row r="568" spans="1:29">
      <c r="A568" s="3124">
        <v>567</v>
      </c>
      <c r="B568" s="3124" t="s">
        <v>2525</v>
      </c>
      <c r="C568" s="3124" t="s">
        <v>5382</v>
      </c>
      <c r="D568" s="3124" t="s">
        <v>2847</v>
      </c>
      <c r="E568" t="s">
        <v>3185</v>
      </c>
      <c r="F568" s="3234"/>
      <c r="G568" s="3124" t="s">
        <v>5231</v>
      </c>
      <c r="H568" s="3124">
        <v>6</v>
      </c>
      <c r="I568" s="3124">
        <v>6</v>
      </c>
      <c r="J568" s="3124">
        <v>2000</v>
      </c>
      <c r="K568" s="3124"/>
      <c r="L568" s="3124">
        <v>682.5</v>
      </c>
      <c r="M568" s="3124" t="s">
        <v>3101</v>
      </c>
      <c r="N568" s="3192">
        <v>45093</v>
      </c>
      <c r="O568" s="3192">
        <v>45246</v>
      </c>
      <c r="P568" s="3192">
        <v>45122</v>
      </c>
      <c r="Q568" s="3192">
        <v>45275</v>
      </c>
      <c r="R568" s="3124" t="s">
        <v>433</v>
      </c>
      <c r="S568" s="3124" t="s">
        <v>2530</v>
      </c>
      <c r="T568" s="3124" t="s">
        <v>2825</v>
      </c>
      <c r="U568" t="s">
        <v>1761</v>
      </c>
      <c r="V568" s="3124">
        <v>5000</v>
      </c>
      <c r="W568" s="3193">
        <v>0.86350000000000005</v>
      </c>
      <c r="X568" s="3124">
        <v>4317.5</v>
      </c>
      <c r="Y568" s="3124"/>
      <c r="Z568" s="3124">
        <v>6000</v>
      </c>
      <c r="AA568" s="3124">
        <v>26000</v>
      </c>
      <c r="AB568" t="s">
        <v>1195</v>
      </c>
      <c r="AC568" s="3124"/>
    </row>
    <row r="569" spans="1:29">
      <c r="A569" s="3124">
        <v>568</v>
      </c>
      <c r="B569" s="3124" t="s">
        <v>3156</v>
      </c>
      <c r="C569" s="3124" t="s">
        <v>5252</v>
      </c>
      <c r="D569" s="3124" t="s">
        <v>3186</v>
      </c>
      <c r="E569" t="s">
        <v>3187</v>
      </c>
      <c r="F569" s="3234">
        <v>50252027558</v>
      </c>
      <c r="G569" s="3124" t="s">
        <v>3188</v>
      </c>
      <c r="H569" s="3124">
        <v>6</v>
      </c>
      <c r="I569" s="3124">
        <v>6</v>
      </c>
      <c r="J569" s="3124">
        <v>3000</v>
      </c>
      <c r="K569" s="3124"/>
      <c r="L569" s="3124">
        <v>4599.96</v>
      </c>
      <c r="M569" s="3124" t="s">
        <v>2821</v>
      </c>
      <c r="N569" s="3192">
        <v>45122</v>
      </c>
      <c r="O569" s="3192">
        <v>45275</v>
      </c>
      <c r="P569" s="3192">
        <v>45113</v>
      </c>
      <c r="Q569" s="3192">
        <v>45266</v>
      </c>
      <c r="R569" s="3124" t="s">
        <v>432</v>
      </c>
      <c r="S569" s="3124" t="s">
        <v>3159</v>
      </c>
      <c r="T569" s="3124" t="s">
        <v>1850</v>
      </c>
      <c r="U569" t="s">
        <v>1761</v>
      </c>
      <c r="V569" s="3124">
        <v>7500</v>
      </c>
      <c r="W569" s="3193">
        <v>0.38667200000000002</v>
      </c>
      <c r="X569" s="3124">
        <v>2900.04</v>
      </c>
      <c r="Y569" s="3124"/>
      <c r="Z569" s="3124">
        <v>8000</v>
      </c>
      <c r="AA569" s="3124">
        <v>25000</v>
      </c>
      <c r="AB569" t="s">
        <v>1195</v>
      </c>
      <c r="AC569" s="3124"/>
    </row>
    <row r="570" spans="1:29">
      <c r="A570" s="3124">
        <v>569</v>
      </c>
      <c r="B570" s="3124" t="s">
        <v>3156</v>
      </c>
      <c r="C570" s="3124" t="s">
        <v>5253</v>
      </c>
      <c r="D570" s="3124" t="s">
        <v>3189</v>
      </c>
      <c r="E570" t="s">
        <v>3190</v>
      </c>
      <c r="F570" s="3234">
        <v>50252050836</v>
      </c>
      <c r="G570" s="3124" t="s">
        <v>3191</v>
      </c>
      <c r="H570" s="3124">
        <v>6</v>
      </c>
      <c r="I570" s="3124">
        <v>6</v>
      </c>
      <c r="J570" s="3124">
        <v>3000</v>
      </c>
      <c r="K570" s="3124"/>
      <c r="L570" s="3124">
        <v>4599.96</v>
      </c>
      <c r="M570" s="3124" t="s">
        <v>2821</v>
      </c>
      <c r="N570" s="3192">
        <v>45122</v>
      </c>
      <c r="O570" s="3192">
        <v>45275</v>
      </c>
      <c r="P570" s="3192">
        <v>45113</v>
      </c>
      <c r="Q570" s="3192">
        <v>45266</v>
      </c>
      <c r="R570" s="3124" t="s">
        <v>433</v>
      </c>
      <c r="S570" s="3124" t="s">
        <v>3159</v>
      </c>
      <c r="T570" s="3124" t="s">
        <v>1850</v>
      </c>
      <c r="U570" t="s">
        <v>1195</v>
      </c>
      <c r="V570" s="3124">
        <v>7500</v>
      </c>
      <c r="W570" s="3193">
        <v>0.38667200000000002</v>
      </c>
      <c r="X570" s="3124">
        <v>2900.04</v>
      </c>
      <c r="Y570" s="3124"/>
      <c r="Z570" s="3124">
        <v>8000</v>
      </c>
      <c r="AA570" s="3124">
        <v>25000</v>
      </c>
      <c r="AB570" t="s">
        <v>1195</v>
      </c>
      <c r="AC570" s="3124"/>
    </row>
    <row r="571" spans="1:29">
      <c r="A571" s="3124">
        <v>570</v>
      </c>
      <c r="B571" s="3124" t="s">
        <v>3156</v>
      </c>
      <c r="C571" s="3124" t="s">
        <v>5254</v>
      </c>
      <c r="D571" s="3124" t="s">
        <v>3192</v>
      </c>
      <c r="E571" s="3139" t="s">
        <v>3193</v>
      </c>
      <c r="F571" s="3234">
        <v>50259387700</v>
      </c>
      <c r="G571" s="3124" t="s">
        <v>3194</v>
      </c>
      <c r="H571" s="3124">
        <v>6</v>
      </c>
      <c r="I571" s="3124">
        <v>6</v>
      </c>
      <c r="J571" s="3124">
        <v>3000</v>
      </c>
      <c r="K571" s="3124"/>
      <c r="L571" s="3124">
        <v>4599.96</v>
      </c>
      <c r="M571" s="3124" t="s">
        <v>2821</v>
      </c>
      <c r="N571" s="3192">
        <v>45122</v>
      </c>
      <c r="O571" s="3192">
        <v>45275</v>
      </c>
      <c r="P571" s="3192">
        <v>45113</v>
      </c>
      <c r="Q571" s="3192">
        <v>45266</v>
      </c>
      <c r="R571" s="3124" t="s">
        <v>433</v>
      </c>
      <c r="S571" s="3124" t="s">
        <v>3159</v>
      </c>
      <c r="T571" s="3124" t="s">
        <v>1850</v>
      </c>
      <c r="U571" t="s">
        <v>1195</v>
      </c>
      <c r="V571" s="3124">
        <v>7500</v>
      </c>
      <c r="W571" s="3193">
        <v>0.38667200000000002</v>
      </c>
      <c r="X571" s="3124">
        <v>2900.04</v>
      </c>
      <c r="Y571" s="3124"/>
      <c r="Z571" s="3124">
        <v>8000</v>
      </c>
      <c r="AA571" s="3124">
        <v>25000</v>
      </c>
      <c r="AB571" t="s">
        <v>1195</v>
      </c>
      <c r="AC571" s="3124"/>
    </row>
    <row r="572" spans="1:29">
      <c r="A572" s="3124">
        <v>571</v>
      </c>
      <c r="B572" s="3124" t="s">
        <v>3156</v>
      </c>
      <c r="C572" s="3124" t="s">
        <v>5255</v>
      </c>
      <c r="D572" s="3124" t="s">
        <v>3195</v>
      </c>
      <c r="E572" t="s">
        <v>3196</v>
      </c>
      <c r="F572" s="3234">
        <v>50242404590</v>
      </c>
      <c r="G572" s="3124" t="s">
        <v>3197</v>
      </c>
      <c r="H572" s="3124">
        <v>6</v>
      </c>
      <c r="I572" s="3124">
        <v>6</v>
      </c>
      <c r="J572" s="3124">
        <v>3000</v>
      </c>
      <c r="K572" s="3124"/>
      <c r="L572" s="3124">
        <v>4599.96</v>
      </c>
      <c r="M572" s="3124" t="s">
        <v>2821</v>
      </c>
      <c r="N572" s="3192">
        <v>45122</v>
      </c>
      <c r="O572" s="3192">
        <v>45275</v>
      </c>
      <c r="P572" s="3192">
        <v>45113</v>
      </c>
      <c r="Q572" s="3192">
        <v>45266</v>
      </c>
      <c r="R572" s="3124" t="s">
        <v>433</v>
      </c>
      <c r="S572" s="3124" t="s">
        <v>3159</v>
      </c>
      <c r="T572" s="3124" t="s">
        <v>1850</v>
      </c>
      <c r="U572" t="s">
        <v>1195</v>
      </c>
      <c r="V572" s="3124">
        <v>7500</v>
      </c>
      <c r="W572" s="3193">
        <v>0.38667200000000002</v>
      </c>
      <c r="X572" s="3124">
        <v>2900.04</v>
      </c>
      <c r="Y572" s="3124"/>
      <c r="Z572" s="3124">
        <v>8000</v>
      </c>
      <c r="AA572" s="3124">
        <v>25000</v>
      </c>
      <c r="AB572" t="s">
        <v>1195</v>
      </c>
      <c r="AC572" s="3124"/>
    </row>
    <row r="573" spans="1:29">
      <c r="A573" s="3124">
        <v>572</v>
      </c>
      <c r="B573" s="3233" t="s">
        <v>1625</v>
      </c>
      <c r="C573" s="3124" t="s">
        <v>3198</v>
      </c>
      <c r="D573" s="3124" t="s">
        <v>3199</v>
      </c>
      <c r="E573" s="3161" t="s">
        <v>5447</v>
      </c>
      <c r="F573" s="3234" t="s">
        <v>3200</v>
      </c>
      <c r="G573" s="3124" t="s">
        <v>3201</v>
      </c>
      <c r="H573" s="3124">
        <v>20</v>
      </c>
      <c r="I573" s="3124">
        <v>20</v>
      </c>
      <c r="J573" s="3124" t="s">
        <v>1948</v>
      </c>
      <c r="K573" s="3124">
        <v>3197</v>
      </c>
      <c r="L573" s="3124">
        <v>3497</v>
      </c>
      <c r="M573" s="3124" t="s">
        <v>2592</v>
      </c>
      <c r="N573" s="3192">
        <v>45095</v>
      </c>
      <c r="O573" s="3192">
        <v>45675</v>
      </c>
      <c r="P573" s="3192">
        <v>45113</v>
      </c>
      <c r="Q573" s="3192">
        <v>45694</v>
      </c>
      <c r="R573" s="3124" t="s">
        <v>433</v>
      </c>
      <c r="S573" s="3124" t="s">
        <v>1690</v>
      </c>
      <c r="T573" s="3124" t="s">
        <v>1850</v>
      </c>
      <c r="U573" t="s">
        <v>1195</v>
      </c>
      <c r="V573" s="3124">
        <v>7500</v>
      </c>
      <c r="W573" s="3193">
        <v>0.53373333333333328</v>
      </c>
      <c r="X573" s="3124">
        <v>4003</v>
      </c>
      <c r="Y573" s="3124">
        <v>1</v>
      </c>
      <c r="Z573" s="3124"/>
      <c r="AA573" s="3124">
        <v>34000</v>
      </c>
      <c r="AB573" t="s">
        <v>1195</v>
      </c>
      <c r="AC573" s="3124"/>
    </row>
    <row r="574" spans="1:29">
      <c r="A574" s="3124">
        <v>573</v>
      </c>
      <c r="B574" s="3124" t="s">
        <v>1625</v>
      </c>
      <c r="C574" s="3124" t="s">
        <v>3202</v>
      </c>
      <c r="D574" s="3124" t="s">
        <v>4641</v>
      </c>
      <c r="E574" s="3139" t="s">
        <v>3203</v>
      </c>
      <c r="F574" s="3234">
        <v>5548006442</v>
      </c>
      <c r="G574" s="3124" t="s">
        <v>3204</v>
      </c>
      <c r="H574" s="3124">
        <v>20</v>
      </c>
      <c r="I574" s="3124">
        <v>20</v>
      </c>
      <c r="J574" s="3124" t="s">
        <v>1948</v>
      </c>
      <c r="K574" s="3124">
        <v>3197</v>
      </c>
      <c r="L574" s="3124">
        <v>3497</v>
      </c>
      <c r="M574" s="3124" t="s">
        <v>2592</v>
      </c>
      <c r="N574" s="3192">
        <v>45129</v>
      </c>
      <c r="O574" s="3192">
        <v>45710</v>
      </c>
      <c r="P574" s="3192">
        <v>45096</v>
      </c>
      <c r="Q574" s="3192">
        <v>45676</v>
      </c>
      <c r="R574" s="3124" t="s">
        <v>432</v>
      </c>
      <c r="S574" s="3124" t="s">
        <v>1690</v>
      </c>
      <c r="T574" s="3124" t="s">
        <v>1850</v>
      </c>
      <c r="U574" t="s">
        <v>1195</v>
      </c>
      <c r="V574" s="3124">
        <v>7500</v>
      </c>
      <c r="W574" s="3193">
        <v>0.53373333333333328</v>
      </c>
      <c r="X574" s="3124">
        <v>4003</v>
      </c>
      <c r="Y574" s="3124">
        <v>1</v>
      </c>
      <c r="Z574" s="3124"/>
      <c r="AA574" s="3124">
        <v>29000</v>
      </c>
      <c r="AB574" t="s">
        <v>1195</v>
      </c>
      <c r="AC574" s="3124"/>
    </row>
    <row r="575" spans="1:29">
      <c r="A575" s="3124">
        <v>574</v>
      </c>
      <c r="B575" s="3124" t="s">
        <v>1691</v>
      </c>
      <c r="C575" s="3124" t="s">
        <v>3205</v>
      </c>
      <c r="D575" s="3124" t="s">
        <v>3206</v>
      </c>
      <c r="E575" t="s">
        <v>3207</v>
      </c>
      <c r="F575" s="3799" t="s">
        <v>3208</v>
      </c>
      <c r="G575" s="3124" t="s">
        <v>3209</v>
      </c>
      <c r="H575" s="3124">
        <v>16</v>
      </c>
      <c r="I575" s="3124">
        <v>16</v>
      </c>
      <c r="J575" s="3124" t="s">
        <v>1948</v>
      </c>
      <c r="K575" s="3124"/>
      <c r="L575" s="3124">
        <v>3575</v>
      </c>
      <c r="M575" s="3124" t="s">
        <v>2939</v>
      </c>
      <c r="N575" s="3192">
        <v>45100</v>
      </c>
      <c r="O575" s="3192"/>
      <c r="P575" s="3192">
        <v>45094</v>
      </c>
      <c r="Q575" s="3192">
        <v>45552</v>
      </c>
      <c r="R575" s="3124" t="s">
        <v>433</v>
      </c>
      <c r="S575" s="3124" t="s">
        <v>1949</v>
      </c>
      <c r="T575" s="3124" t="s">
        <v>1850</v>
      </c>
      <c r="U575" t="s">
        <v>1761</v>
      </c>
      <c r="V575" s="3124">
        <v>5000</v>
      </c>
      <c r="W575" s="3193">
        <v>0.28499999999999998</v>
      </c>
      <c r="X575" s="3124">
        <v>1425</v>
      </c>
      <c r="Y575" s="3124">
        <v>1</v>
      </c>
      <c r="Z575" s="3124"/>
      <c r="AA575" s="3124">
        <v>25000</v>
      </c>
      <c r="AB575" t="s">
        <v>1195</v>
      </c>
      <c r="AC575" s="3124"/>
    </row>
    <row r="576" spans="1:29">
      <c r="A576" s="3124">
        <v>575</v>
      </c>
      <c r="B576" s="3124" t="s">
        <v>1630</v>
      </c>
      <c r="C576" s="3124" t="s">
        <v>3210</v>
      </c>
      <c r="D576" s="3124" t="s">
        <v>3211</v>
      </c>
      <c r="E576" s="3361" t="s">
        <v>3212</v>
      </c>
      <c r="F576" s="3234" t="s">
        <v>3213</v>
      </c>
      <c r="G576" s="3124" t="s">
        <v>3214</v>
      </c>
      <c r="H576" s="3124">
        <v>36</v>
      </c>
      <c r="I576" s="3124">
        <v>36</v>
      </c>
      <c r="J576" s="3124">
        <v>1000</v>
      </c>
      <c r="K576" s="3124">
        <v>1000</v>
      </c>
      <c r="L576" s="3124">
        <v>1600</v>
      </c>
      <c r="M576" s="3124" t="s">
        <v>134</v>
      </c>
      <c r="N576" s="3192">
        <v>45108</v>
      </c>
      <c r="O576" s="3192">
        <v>46174</v>
      </c>
      <c r="P576" s="3192">
        <v>45106</v>
      </c>
      <c r="Q576" s="3192">
        <v>46171</v>
      </c>
      <c r="R576" s="3124" t="s">
        <v>432</v>
      </c>
      <c r="S576" s="3124" t="s">
        <v>1658</v>
      </c>
      <c r="T576" s="3124" t="s">
        <v>1850</v>
      </c>
      <c r="U576" t="s">
        <v>1761</v>
      </c>
      <c r="V576" s="3124">
        <v>3150</v>
      </c>
      <c r="W576" s="3193">
        <v>0.49206349206349204</v>
      </c>
      <c r="X576" s="3124">
        <v>1550</v>
      </c>
      <c r="Y576" s="3124">
        <v>4</v>
      </c>
      <c r="Z576" s="3124"/>
      <c r="AA576" s="3124">
        <v>21000</v>
      </c>
      <c r="AB576" t="s">
        <v>1195</v>
      </c>
      <c r="AC576" s="3124"/>
    </row>
    <row r="577" spans="1:29">
      <c r="A577" s="3124">
        <v>576</v>
      </c>
      <c r="B577" s="3124" t="s">
        <v>1123</v>
      </c>
      <c r="C577" s="3124" t="s">
        <v>3215</v>
      </c>
      <c r="D577" s="3124" t="s">
        <v>3216</v>
      </c>
      <c r="E577" t="s">
        <v>3217</v>
      </c>
      <c r="F577" s="3234" t="s">
        <v>3218</v>
      </c>
      <c r="G577" s="3124" t="s">
        <v>3219</v>
      </c>
      <c r="H577" s="3124">
        <v>6</v>
      </c>
      <c r="I577" s="3124">
        <v>6</v>
      </c>
      <c r="J577" s="3124" t="s">
        <v>1948</v>
      </c>
      <c r="K577" s="3124"/>
      <c r="L577" s="3124">
        <v>3497</v>
      </c>
      <c r="M577" s="3124" t="s">
        <v>2592</v>
      </c>
      <c r="N577" s="3192">
        <v>45129</v>
      </c>
      <c r="O577" s="3192">
        <v>45282</v>
      </c>
      <c r="P577" s="3192">
        <v>45113</v>
      </c>
      <c r="Q577" s="3192">
        <v>45266</v>
      </c>
      <c r="R577" s="3124" t="s">
        <v>433</v>
      </c>
      <c r="S577" s="3124" t="s">
        <v>1939</v>
      </c>
      <c r="T577" s="3124" t="s">
        <v>1850</v>
      </c>
      <c r="U577" t="s">
        <v>1195</v>
      </c>
      <c r="V577" s="3124">
        <v>7500</v>
      </c>
      <c r="W577" s="3193">
        <v>0.53373333333333328</v>
      </c>
      <c r="X577" s="3124">
        <v>4003</v>
      </c>
      <c r="Y577" s="3124">
        <v>0</v>
      </c>
      <c r="Z577" s="3124">
        <v>8000</v>
      </c>
      <c r="AA577" s="3124">
        <v>25000</v>
      </c>
      <c r="AB577" t="s">
        <v>1195</v>
      </c>
      <c r="AC577" s="3124"/>
    </row>
    <row r="578" spans="1:29">
      <c r="A578" s="3124">
        <v>577</v>
      </c>
      <c r="B578" s="3124" t="s">
        <v>1625</v>
      </c>
      <c r="C578" s="3124" t="s">
        <v>1561</v>
      </c>
      <c r="D578" s="3124" t="s">
        <v>2899</v>
      </c>
      <c r="E578" s="3841" t="s">
        <v>1563</v>
      </c>
      <c r="F578" s="3234" t="s">
        <v>1946</v>
      </c>
      <c r="G578" s="3124" t="s">
        <v>3220</v>
      </c>
      <c r="H578" s="3124">
        <v>20</v>
      </c>
      <c r="I578" s="3124">
        <v>20</v>
      </c>
      <c r="J578" s="3124" t="s">
        <v>1948</v>
      </c>
      <c r="K578" s="3124"/>
      <c r="L578" s="3124">
        <v>5200</v>
      </c>
      <c r="M578" s="3124" t="s">
        <v>2592</v>
      </c>
      <c r="N578" s="3192">
        <v>45157</v>
      </c>
      <c r="O578" s="3192">
        <v>45735</v>
      </c>
      <c r="P578" s="3192">
        <v>44935</v>
      </c>
      <c r="Q578" s="3192">
        <v>45513</v>
      </c>
      <c r="R578" s="3124" t="s">
        <v>433</v>
      </c>
      <c r="S578" s="3124" t="s">
        <v>1690</v>
      </c>
      <c r="T578" s="3124" t="s">
        <v>1850</v>
      </c>
      <c r="U578" t="s">
        <v>1761</v>
      </c>
      <c r="V578" s="3124">
        <v>7500</v>
      </c>
      <c r="W578" s="3193">
        <v>0.30666666666666664</v>
      </c>
      <c r="X578" s="3124">
        <v>2300</v>
      </c>
      <c r="Y578" s="3124">
        <v>0</v>
      </c>
      <c r="Z578" s="3124"/>
      <c r="AA578" s="3124">
        <v>0</v>
      </c>
      <c r="AB578" t="s">
        <v>2626</v>
      </c>
      <c r="AC578" s="3124"/>
    </row>
    <row r="579" spans="1:29">
      <c r="A579" s="3124">
        <v>578</v>
      </c>
      <c r="B579" s="3124" t="s">
        <v>4513</v>
      </c>
      <c r="C579" s="3124" t="s">
        <v>3931</v>
      </c>
      <c r="D579" s="3124" t="s">
        <v>3932</v>
      </c>
      <c r="E579" s="3167" t="s">
        <v>3221</v>
      </c>
      <c r="F579" s="3234">
        <v>53951372</v>
      </c>
      <c r="G579" s="3124" t="s">
        <v>5232</v>
      </c>
      <c r="H579" s="3124">
        <v>20</v>
      </c>
      <c r="I579" s="3124">
        <v>20</v>
      </c>
      <c r="J579" s="3124">
        <v>3000</v>
      </c>
      <c r="K579" s="3124">
        <v>2500</v>
      </c>
      <c r="L579" s="3124">
        <v>1049.0999999999999</v>
      </c>
      <c r="M579" s="3124" t="s">
        <v>2876</v>
      </c>
      <c r="N579" s="3192">
        <v>45114</v>
      </c>
      <c r="O579" s="3192">
        <v>45695</v>
      </c>
      <c r="P579" s="3192">
        <v>45145</v>
      </c>
      <c r="Q579" s="3192">
        <v>45723</v>
      </c>
      <c r="R579" s="3124" t="s">
        <v>433</v>
      </c>
      <c r="S579" s="3124" t="s">
        <v>1690</v>
      </c>
      <c r="T579" s="3124" t="s">
        <v>2825</v>
      </c>
      <c r="U579" t="s">
        <v>1761</v>
      </c>
      <c r="V579" s="3124">
        <v>7500</v>
      </c>
      <c r="W579" s="3193">
        <v>0.86012</v>
      </c>
      <c r="X579" s="3124">
        <v>6450.9</v>
      </c>
      <c r="Y579" s="3124">
        <v>1</v>
      </c>
      <c r="Z579" s="3124"/>
      <c r="AA579" s="3124">
        <v>30000</v>
      </c>
      <c r="AB579" t="s">
        <v>1195</v>
      </c>
      <c r="AC579" s="3124"/>
    </row>
    <row r="580" spans="1:29">
      <c r="A580" s="3124">
        <v>579</v>
      </c>
      <c r="B580" s="3124" t="s">
        <v>1625</v>
      </c>
      <c r="C580" s="3124" t="s">
        <v>2499</v>
      </c>
      <c r="D580" s="3124" t="s">
        <v>3222</v>
      </c>
      <c r="E580" t="s">
        <v>3223</v>
      </c>
      <c r="F580" s="3234">
        <v>9983213750</v>
      </c>
      <c r="G580" s="3124" t="s">
        <v>2500</v>
      </c>
      <c r="H580" s="3124">
        <v>24</v>
      </c>
      <c r="I580" s="3124">
        <v>20</v>
      </c>
      <c r="J580" s="3124">
        <v>1000</v>
      </c>
      <c r="K580" s="3124">
        <v>2500</v>
      </c>
      <c r="L580" s="3124">
        <v>2800</v>
      </c>
      <c r="M580" s="3124" t="s">
        <v>3224</v>
      </c>
      <c r="N580" s="3192">
        <v>45129</v>
      </c>
      <c r="O580" s="3192">
        <v>45710</v>
      </c>
      <c r="P580" s="3192">
        <v>45125</v>
      </c>
      <c r="Q580" s="3192">
        <v>45826</v>
      </c>
      <c r="R580" s="3124" t="s">
        <v>432</v>
      </c>
      <c r="S580" s="3124" t="s">
        <v>1690</v>
      </c>
      <c r="T580" s="3124" t="s">
        <v>1850</v>
      </c>
      <c r="U580" t="s">
        <v>1869</v>
      </c>
      <c r="V580" s="3124">
        <v>7500</v>
      </c>
      <c r="W580" s="3193">
        <v>0.62666666666666671</v>
      </c>
      <c r="X580" s="3124">
        <v>4700</v>
      </c>
      <c r="Y580" s="3124">
        <v>2</v>
      </c>
      <c r="Z580" s="3124"/>
      <c r="AA580" s="3124">
        <v>29000</v>
      </c>
      <c r="AB580" t="s">
        <v>1869</v>
      </c>
      <c r="AC580" s="3124"/>
    </row>
    <row r="581" spans="1:29">
      <c r="A581" s="3124">
        <v>580</v>
      </c>
      <c r="B581" s="3124" t="s">
        <v>1691</v>
      </c>
      <c r="C581" s="3124" t="s">
        <v>5383</v>
      </c>
      <c r="D581" s="3124" t="s">
        <v>629</v>
      </c>
      <c r="E581" t="s">
        <v>3225</v>
      </c>
      <c r="F581" s="3234"/>
      <c r="G581" s="3124" t="s">
        <v>5233</v>
      </c>
      <c r="H581" s="3124">
        <v>16</v>
      </c>
      <c r="I581" s="3124">
        <v>16</v>
      </c>
      <c r="J581" s="3124">
        <v>2000</v>
      </c>
      <c r="K581" s="3124">
        <v>2000</v>
      </c>
      <c r="L581" s="3124">
        <v>654</v>
      </c>
      <c r="M581" s="3124" t="s">
        <v>3226</v>
      </c>
      <c r="N581" s="3192">
        <v>45065</v>
      </c>
      <c r="O581" s="3192">
        <v>45523</v>
      </c>
      <c r="P581" s="3192">
        <v>45179</v>
      </c>
      <c r="Q581" s="3192">
        <v>45636</v>
      </c>
      <c r="R581" s="3124" t="s">
        <v>433</v>
      </c>
      <c r="S581" s="3124" t="s">
        <v>1949</v>
      </c>
      <c r="T581" s="3124" t="s">
        <v>2825</v>
      </c>
      <c r="U581" t="s">
        <v>1869</v>
      </c>
      <c r="V581" s="3124">
        <v>5000</v>
      </c>
      <c r="W581" s="3193">
        <v>0.86919999999999997</v>
      </c>
      <c r="X581" s="3124">
        <v>4346</v>
      </c>
      <c r="Y581" s="3124">
        <v>2</v>
      </c>
      <c r="Z581" s="3124"/>
      <c r="AA581" s="3124">
        <v>25000</v>
      </c>
      <c r="AB581" t="s">
        <v>1869</v>
      </c>
      <c r="AC581" s="3124"/>
    </row>
    <row r="582" spans="1:29">
      <c r="A582" s="3124">
        <v>581</v>
      </c>
      <c r="B582" s="3124" t="s">
        <v>1625</v>
      </c>
      <c r="C582" s="3124"/>
      <c r="D582" s="3124" t="s">
        <v>629</v>
      </c>
      <c r="E582" t="s">
        <v>4660</v>
      </c>
      <c r="F582" s="3234"/>
      <c r="G582" s="3124"/>
      <c r="H582" s="3124"/>
      <c r="I582" s="3124"/>
      <c r="J582" s="3124"/>
      <c r="K582" s="3124"/>
      <c r="L582" s="3124"/>
      <c r="M582" s="3124"/>
      <c r="N582" s="3192">
        <v>45108</v>
      </c>
      <c r="O582" s="3192">
        <v>45078</v>
      </c>
      <c r="P582" s="3192">
        <v>45179</v>
      </c>
      <c r="Q582" s="3192">
        <v>45148</v>
      </c>
      <c r="R582" s="3124" t="s">
        <v>433</v>
      </c>
      <c r="S582" s="3124" t="s">
        <v>1690</v>
      </c>
      <c r="T582" s="3124"/>
      <c r="U582" t="s">
        <v>1869</v>
      </c>
      <c r="V582" s="3124">
        <v>7000</v>
      </c>
      <c r="W582" s="3193">
        <v>0</v>
      </c>
      <c r="X582" s="3124"/>
      <c r="Y582" s="3124"/>
      <c r="Z582" s="3124"/>
      <c r="AA582" s="3124">
        <v>29000</v>
      </c>
      <c r="AB582" t="s">
        <v>2653</v>
      </c>
      <c r="AC582" s="3124"/>
    </row>
    <row r="583" spans="1:29">
      <c r="A583" s="3124">
        <v>582</v>
      </c>
      <c r="B583" s="3124" t="s">
        <v>1625</v>
      </c>
      <c r="C583" s="3124" t="s">
        <v>3806</v>
      </c>
      <c r="D583" s="3124" t="s">
        <v>3228</v>
      </c>
      <c r="E583" t="s">
        <v>3807</v>
      </c>
      <c r="F583" s="3234">
        <v>573157696455</v>
      </c>
      <c r="G583" s="3124" t="s">
        <v>3229</v>
      </c>
      <c r="H583" s="3124">
        <v>20</v>
      </c>
      <c r="I583" s="3124">
        <v>20</v>
      </c>
      <c r="J583" s="3124" t="s">
        <v>1948</v>
      </c>
      <c r="K583" s="3124">
        <v>3197</v>
      </c>
      <c r="L583" s="3124">
        <v>3497</v>
      </c>
      <c r="M583" s="3124" t="s">
        <v>2592</v>
      </c>
      <c r="N583" s="3192">
        <v>45157</v>
      </c>
      <c r="O583" s="3192">
        <v>45735</v>
      </c>
      <c r="P583" s="3192">
        <v>45146</v>
      </c>
      <c r="Q583" s="3192">
        <v>45724</v>
      </c>
      <c r="R583" s="3124" t="s">
        <v>432</v>
      </c>
      <c r="S583" s="3124" t="s">
        <v>1690</v>
      </c>
      <c r="T583" s="3124" t="s">
        <v>1850</v>
      </c>
      <c r="U583" t="s">
        <v>1195</v>
      </c>
      <c r="V583" s="3124">
        <v>7000</v>
      </c>
      <c r="W583" s="3193">
        <v>0.50042857142857144</v>
      </c>
      <c r="X583" s="3124">
        <v>3503</v>
      </c>
      <c r="Y583" s="3124">
        <v>1</v>
      </c>
      <c r="Z583" s="3124"/>
      <c r="AA583" s="3124">
        <v>29000</v>
      </c>
      <c r="AB583" t="s">
        <v>1195</v>
      </c>
      <c r="AC583" s="3124"/>
    </row>
    <row r="584" spans="1:29">
      <c r="A584" s="3124">
        <v>583</v>
      </c>
      <c r="B584" s="3124" t="s">
        <v>1625</v>
      </c>
      <c r="C584" s="3124" t="s">
        <v>4642</v>
      </c>
      <c r="D584" s="3124" t="s">
        <v>3222</v>
      </c>
      <c r="E584" t="s">
        <v>3230</v>
      </c>
      <c r="F584" s="3234">
        <v>573157696455</v>
      </c>
      <c r="G584" s="3124" t="s">
        <v>3231</v>
      </c>
      <c r="H584" s="3124">
        <v>20</v>
      </c>
      <c r="I584" s="3124">
        <v>20</v>
      </c>
      <c r="J584" s="3124" t="s">
        <v>1948</v>
      </c>
      <c r="K584" s="3124">
        <v>3197</v>
      </c>
      <c r="L584" s="3124">
        <v>3497</v>
      </c>
      <c r="M584" s="3124" t="s">
        <v>2592</v>
      </c>
      <c r="N584" s="3192">
        <v>45157</v>
      </c>
      <c r="O584" s="3192">
        <v>45735</v>
      </c>
      <c r="P584" s="3192">
        <v>45146</v>
      </c>
      <c r="Q584" s="3192">
        <v>45724</v>
      </c>
      <c r="R584" s="3124" t="s">
        <v>433</v>
      </c>
      <c r="S584" s="3124" t="s">
        <v>1690</v>
      </c>
      <c r="T584" s="3124" t="s">
        <v>1850</v>
      </c>
      <c r="U584" t="s">
        <v>1761</v>
      </c>
      <c r="V584" s="3124">
        <v>7000</v>
      </c>
      <c r="W584" s="3193">
        <v>0.50042857142857144</v>
      </c>
      <c r="X584" s="3124">
        <v>3503</v>
      </c>
      <c r="Y584" s="3124">
        <v>1</v>
      </c>
      <c r="Z584" s="3124"/>
      <c r="AA584" s="3124">
        <v>29000</v>
      </c>
      <c r="AB584" t="s">
        <v>2626</v>
      </c>
      <c r="AC584" s="3124"/>
    </row>
    <row r="585" spans="1:29">
      <c r="A585" s="3124">
        <v>584</v>
      </c>
      <c r="B585" s="3124" t="s">
        <v>1691</v>
      </c>
      <c r="C585" s="3124"/>
      <c r="D585" s="3124"/>
      <c r="E585" t="s">
        <v>5166</v>
      </c>
      <c r="F585" s="3234"/>
      <c r="G585" s="3124"/>
      <c r="H585" s="3124">
        <v>16</v>
      </c>
      <c r="I585" s="3124">
        <v>16</v>
      </c>
      <c r="J585" s="3124">
        <v>2000</v>
      </c>
      <c r="K585" s="3124">
        <v>2000</v>
      </c>
      <c r="L585" s="3124">
        <v>2275</v>
      </c>
      <c r="M585" s="3124" t="s">
        <v>3226</v>
      </c>
      <c r="N585" s="3192">
        <v>45163</v>
      </c>
      <c r="O585" s="3192">
        <v>45621</v>
      </c>
      <c r="P585" s="3192">
        <v>45179</v>
      </c>
      <c r="Q585" s="3192">
        <v>45636</v>
      </c>
      <c r="R585" s="3124" t="s">
        <v>433</v>
      </c>
      <c r="S585" s="3124" t="s">
        <v>1949</v>
      </c>
      <c r="T585" s="3124"/>
      <c r="U585" t="s">
        <v>2653</v>
      </c>
      <c r="V585" s="3124">
        <v>5000</v>
      </c>
      <c r="W585" s="3193">
        <v>0.54500000000000004</v>
      </c>
      <c r="X585" s="3124">
        <v>2725</v>
      </c>
      <c r="Y585" s="3124">
        <v>2</v>
      </c>
      <c r="Z585" s="3124"/>
      <c r="AA585" s="3124"/>
      <c r="AB585" t="s">
        <v>2653</v>
      </c>
      <c r="AC585" s="3124"/>
    </row>
    <row r="586" spans="1:29">
      <c r="A586" s="3124">
        <v>585</v>
      </c>
      <c r="B586" s="3124" t="s">
        <v>4513</v>
      </c>
      <c r="C586" s="3124" t="s">
        <v>3933</v>
      </c>
      <c r="D586" s="3124" t="s">
        <v>4813</v>
      </c>
      <c r="E586" t="s">
        <v>3176</v>
      </c>
      <c r="F586" s="3234">
        <v>51521260</v>
      </c>
      <c r="G586" s="3124" t="s">
        <v>5224</v>
      </c>
      <c r="H586" s="3124">
        <v>20</v>
      </c>
      <c r="I586" s="3124">
        <v>20</v>
      </c>
      <c r="J586" s="3124">
        <v>3000</v>
      </c>
      <c r="K586" s="3124"/>
      <c r="L586" s="3124">
        <v>1005</v>
      </c>
      <c r="M586" s="3124" t="s">
        <v>2876</v>
      </c>
      <c r="N586" s="3192">
        <v>45515</v>
      </c>
      <c r="O586" s="3192">
        <v>46092</v>
      </c>
      <c r="P586" s="3192">
        <v>45575</v>
      </c>
      <c r="Q586" s="3192">
        <v>46152</v>
      </c>
      <c r="R586" s="3124" t="s">
        <v>433</v>
      </c>
      <c r="S586" s="3124" t="s">
        <v>1690</v>
      </c>
      <c r="T586" s="3124" t="s">
        <v>2825</v>
      </c>
      <c r="U586" t="s">
        <v>1761</v>
      </c>
      <c r="V586" s="3124">
        <v>7000</v>
      </c>
      <c r="W586" s="3193">
        <v>0.85642857142857143</v>
      </c>
      <c r="X586" s="3124">
        <v>5995</v>
      </c>
      <c r="Y586" s="3124">
        <v>1</v>
      </c>
      <c r="Z586" s="3124"/>
      <c r="AA586" s="3124">
        <v>30000</v>
      </c>
      <c r="AB586" t="s">
        <v>1761</v>
      </c>
      <c r="AC586" s="3124"/>
    </row>
    <row r="587" spans="1:29">
      <c r="A587" s="3124">
        <v>586</v>
      </c>
      <c r="B587" s="3124" t="s">
        <v>1625</v>
      </c>
      <c r="C587" s="3124" t="s">
        <v>3233</v>
      </c>
      <c r="D587" s="3124" t="s">
        <v>3234</v>
      </c>
      <c r="E587" t="s">
        <v>3235</v>
      </c>
      <c r="F587" s="3234" t="s">
        <v>3236</v>
      </c>
      <c r="G587" s="3124" t="s">
        <v>3237</v>
      </c>
      <c r="H587" s="3124">
        <v>20</v>
      </c>
      <c r="I587" s="3124">
        <v>20</v>
      </c>
      <c r="J587" s="3124" t="s">
        <v>1948</v>
      </c>
      <c r="K587" s="3124">
        <v>2000</v>
      </c>
      <c r="L587" s="3124">
        <v>3800</v>
      </c>
      <c r="M587" s="3124" t="s">
        <v>3224</v>
      </c>
      <c r="N587" s="3192">
        <v>45157</v>
      </c>
      <c r="O587" s="3192">
        <v>45735</v>
      </c>
      <c r="P587" s="3192">
        <v>45156</v>
      </c>
      <c r="Q587" s="3192">
        <v>45734</v>
      </c>
      <c r="R587" s="3124" t="s">
        <v>433</v>
      </c>
      <c r="S587" s="3124" t="s">
        <v>1690</v>
      </c>
      <c r="T587" s="3124" t="s">
        <v>1850</v>
      </c>
      <c r="U587" s="3177" t="s">
        <v>1869</v>
      </c>
      <c r="V587" s="3124">
        <v>7000</v>
      </c>
      <c r="W587" s="3193">
        <v>0.45714285714285713</v>
      </c>
      <c r="X587" s="3124">
        <v>3200</v>
      </c>
      <c r="Y587" s="3124">
        <v>1</v>
      </c>
      <c r="Z587" s="3124"/>
      <c r="AA587" s="3124">
        <v>29000</v>
      </c>
      <c r="AB587" t="s">
        <v>1869</v>
      </c>
      <c r="AC587" s="3124"/>
    </row>
    <row r="588" spans="1:29">
      <c r="A588" s="3124">
        <v>587</v>
      </c>
      <c r="B588" s="3124" t="s">
        <v>1630</v>
      </c>
      <c r="C588" s="3124" t="s">
        <v>3238</v>
      </c>
      <c r="D588" s="3124" t="s">
        <v>629</v>
      </c>
      <c r="E588" t="s">
        <v>3239</v>
      </c>
      <c r="F588" s="3234" t="s">
        <v>4643</v>
      </c>
      <c r="G588" s="3124" t="s">
        <v>3240</v>
      </c>
      <c r="H588" s="3124">
        <v>36</v>
      </c>
      <c r="I588" s="3124">
        <v>36</v>
      </c>
      <c r="J588" s="3124">
        <v>2050</v>
      </c>
      <c r="K588" s="3124">
        <v>2050</v>
      </c>
      <c r="L588" s="3124">
        <v>2050</v>
      </c>
      <c r="M588" s="3124" t="s">
        <v>1707</v>
      </c>
      <c r="N588" s="3192">
        <v>45171</v>
      </c>
      <c r="O588" s="3192">
        <v>46236</v>
      </c>
      <c r="P588" s="3192">
        <v>45175</v>
      </c>
      <c r="Q588" s="3192">
        <v>46240</v>
      </c>
      <c r="R588" s="3124" t="s">
        <v>432</v>
      </c>
      <c r="S588" s="3124" t="s">
        <v>1658</v>
      </c>
      <c r="T588" s="3124" t="s">
        <v>1850</v>
      </c>
      <c r="U588" t="s">
        <v>1869</v>
      </c>
      <c r="V588" s="3124">
        <v>3150</v>
      </c>
      <c r="W588" s="3193">
        <v>0.34920634920634919</v>
      </c>
      <c r="X588" s="3124">
        <v>1100</v>
      </c>
      <c r="Y588" s="3124">
        <v>4</v>
      </c>
      <c r="Z588" s="3124"/>
      <c r="AA588" s="3124">
        <v>23000</v>
      </c>
      <c r="AB588" t="s">
        <v>1869</v>
      </c>
      <c r="AC588" s="3124"/>
    </row>
    <row r="589" spans="1:29">
      <c r="A589" s="3124">
        <v>588</v>
      </c>
      <c r="B589" s="3124" t="s">
        <v>1630</v>
      </c>
      <c r="C589" s="3124" t="s">
        <v>3241</v>
      </c>
      <c r="D589" s="3124" t="s">
        <v>3242</v>
      </c>
      <c r="E589" t="s">
        <v>3243</v>
      </c>
      <c r="F589" s="3234" t="s">
        <v>3244</v>
      </c>
      <c r="G589" s="3124" t="s">
        <v>3245</v>
      </c>
      <c r="H589" s="3124">
        <v>36</v>
      </c>
      <c r="I589" s="3124">
        <v>36</v>
      </c>
      <c r="J589" s="3124" t="s">
        <v>1948</v>
      </c>
      <c r="K589" s="3124">
        <v>1000</v>
      </c>
      <c r="L589" s="3124">
        <v>1600</v>
      </c>
      <c r="M589" s="3124" t="s">
        <v>134</v>
      </c>
      <c r="N589" s="3192">
        <v>45171</v>
      </c>
      <c r="O589" s="3192">
        <v>46236</v>
      </c>
      <c r="P589" s="3192">
        <v>45168</v>
      </c>
      <c r="Q589" s="3192">
        <v>46233</v>
      </c>
      <c r="R589" s="3124" t="s">
        <v>432</v>
      </c>
      <c r="S589" s="3124" t="s">
        <v>1658</v>
      </c>
      <c r="T589" s="3124" t="s">
        <v>1850</v>
      </c>
      <c r="U589" t="s">
        <v>1761</v>
      </c>
      <c r="V589" s="3124">
        <v>3150</v>
      </c>
      <c r="W589" s="3193">
        <v>0.49206349206349204</v>
      </c>
      <c r="X589" s="3124">
        <v>1550</v>
      </c>
      <c r="Y589" s="3124">
        <v>4</v>
      </c>
      <c r="Z589" s="3124"/>
      <c r="AA589" s="3124">
        <v>23000</v>
      </c>
      <c r="AB589" t="s">
        <v>1869</v>
      </c>
      <c r="AC589" s="3124"/>
    </row>
    <row r="590" spans="1:29">
      <c r="A590" s="3124">
        <v>589</v>
      </c>
      <c r="B590" s="3124" t="s">
        <v>1691</v>
      </c>
      <c r="C590" s="3124" t="s">
        <v>3246</v>
      </c>
      <c r="D590" s="3124" t="s">
        <v>3247</v>
      </c>
      <c r="E590" s="3127" t="s">
        <v>3248</v>
      </c>
      <c r="F590" s="3234" t="s">
        <v>3249</v>
      </c>
      <c r="G590" s="3190" t="s">
        <v>3250</v>
      </c>
      <c r="H590" s="3124">
        <v>16</v>
      </c>
      <c r="I590" s="3124">
        <v>16</v>
      </c>
      <c r="J590" s="3124" t="s">
        <v>1948</v>
      </c>
      <c r="K590" s="3124">
        <v>2100</v>
      </c>
      <c r="L590" s="3124">
        <v>1650</v>
      </c>
      <c r="M590" s="3124" t="s">
        <v>2974</v>
      </c>
      <c r="N590" s="3192">
        <v>45176</v>
      </c>
      <c r="O590" s="3192">
        <v>45633</v>
      </c>
      <c r="P590" s="3192">
        <v>45171</v>
      </c>
      <c r="Q590" s="3192">
        <v>45628</v>
      </c>
      <c r="R590" s="3124" t="s">
        <v>432</v>
      </c>
      <c r="S590" s="3124" t="s">
        <v>1949</v>
      </c>
      <c r="T590" s="3124" t="s">
        <v>1850</v>
      </c>
      <c r="U590" t="s">
        <v>1761</v>
      </c>
      <c r="V590" s="3124">
        <v>5000</v>
      </c>
      <c r="W590" s="3193">
        <v>0.67</v>
      </c>
      <c r="X590" s="3124">
        <v>3350</v>
      </c>
      <c r="Y590" s="3124">
        <v>1</v>
      </c>
      <c r="Z590" s="3124"/>
      <c r="AA590" s="3124">
        <v>25000</v>
      </c>
      <c r="AB590" t="s">
        <v>1195</v>
      </c>
      <c r="AC590" s="3124"/>
    </row>
    <row r="591" spans="1:29">
      <c r="A591" s="3124">
        <v>590</v>
      </c>
      <c r="B591" s="3124" t="s">
        <v>1691</v>
      </c>
      <c r="C591" s="3124" t="s">
        <v>3251</v>
      </c>
      <c r="D591" s="3124" t="s">
        <v>3172</v>
      </c>
      <c r="E591" t="s">
        <v>3252</v>
      </c>
      <c r="F591" s="3234" t="s">
        <v>3253</v>
      </c>
      <c r="G591" s="3124" t="s">
        <v>3254</v>
      </c>
      <c r="H591" s="3124">
        <v>16</v>
      </c>
      <c r="I591" s="3124">
        <v>16</v>
      </c>
      <c r="J591" s="3124" t="s">
        <v>1948</v>
      </c>
      <c r="K591" s="3124">
        <v>2000</v>
      </c>
      <c r="L591" s="3124">
        <v>1650</v>
      </c>
      <c r="M591" s="3124" t="s">
        <v>2974</v>
      </c>
      <c r="N591" s="3192">
        <v>45176</v>
      </c>
      <c r="O591" s="3192">
        <v>45633</v>
      </c>
      <c r="P591" s="3192">
        <v>45143</v>
      </c>
      <c r="Q591" s="3192">
        <v>45601</v>
      </c>
      <c r="R591" s="3124" t="s">
        <v>433</v>
      </c>
      <c r="S591" s="3124" t="s">
        <v>1949</v>
      </c>
      <c r="T591" s="3124" t="s">
        <v>1850</v>
      </c>
      <c r="U591" t="s">
        <v>1761</v>
      </c>
      <c r="V591" s="3124">
        <v>5000</v>
      </c>
      <c r="W591" s="3193">
        <v>0.67</v>
      </c>
      <c r="X591" s="3124">
        <v>3350</v>
      </c>
      <c r="Y591" s="3124">
        <v>1</v>
      </c>
      <c r="Z591" s="3124"/>
      <c r="AA591" s="3124">
        <v>25000</v>
      </c>
      <c r="AB591" t="s">
        <v>1869</v>
      </c>
      <c r="AC591" s="3124"/>
    </row>
    <row r="592" spans="1:29">
      <c r="A592" s="3124">
        <v>591</v>
      </c>
      <c r="B592" s="3124" t="s">
        <v>1691</v>
      </c>
      <c r="C592" s="3124" t="s">
        <v>3255</v>
      </c>
      <c r="D592" s="3124" t="s">
        <v>3256</v>
      </c>
      <c r="E592" t="s">
        <v>3257</v>
      </c>
      <c r="F592" s="3234" t="s">
        <v>3258</v>
      </c>
      <c r="G592" s="3124" t="s">
        <v>3259</v>
      </c>
      <c r="H592" s="3124">
        <v>16</v>
      </c>
      <c r="I592" s="3124">
        <v>16</v>
      </c>
      <c r="J592" s="3124">
        <v>1000</v>
      </c>
      <c r="K592" s="3124">
        <v>2000</v>
      </c>
      <c r="L592" s="3124">
        <v>1650</v>
      </c>
      <c r="M592" s="3124" t="s">
        <v>2974</v>
      </c>
      <c r="N592" s="3192">
        <v>45176</v>
      </c>
      <c r="O592" s="3192">
        <v>45633</v>
      </c>
      <c r="P592" s="3192">
        <v>45144</v>
      </c>
      <c r="Q592" s="3192">
        <v>45602</v>
      </c>
      <c r="R592" s="3124" t="s">
        <v>433</v>
      </c>
      <c r="S592" s="3124" t="s">
        <v>1949</v>
      </c>
      <c r="T592" s="3124" t="s">
        <v>1850</v>
      </c>
      <c r="U592" t="s">
        <v>1761</v>
      </c>
      <c r="V592" s="3124">
        <v>5000</v>
      </c>
      <c r="W592" s="3193">
        <v>0.67</v>
      </c>
      <c r="X592" s="3124">
        <v>3350</v>
      </c>
      <c r="Y592" s="3124">
        <v>1</v>
      </c>
      <c r="Z592" s="3124"/>
      <c r="AA592" s="3124">
        <v>25000</v>
      </c>
      <c r="AB592" t="s">
        <v>1195</v>
      </c>
      <c r="AC592" s="3124"/>
    </row>
    <row r="593" spans="1:29">
      <c r="A593" s="3124">
        <v>592</v>
      </c>
      <c r="B593" s="3124" t="s">
        <v>1691</v>
      </c>
      <c r="C593" s="3124" t="s">
        <v>3260</v>
      </c>
      <c r="D593" s="3124" t="s">
        <v>3261</v>
      </c>
      <c r="E593" t="s">
        <v>3262</v>
      </c>
      <c r="F593" s="3234">
        <v>9981806749</v>
      </c>
      <c r="G593" s="3124" t="s">
        <v>3263</v>
      </c>
      <c r="H593" s="3124">
        <v>16</v>
      </c>
      <c r="I593" s="3124">
        <v>16</v>
      </c>
      <c r="J593" s="3124" t="s">
        <v>1948</v>
      </c>
      <c r="K593" s="3124">
        <v>2000</v>
      </c>
      <c r="L593" s="3124">
        <v>1650</v>
      </c>
      <c r="M593" s="3124" t="s">
        <v>2974</v>
      </c>
      <c r="N593" s="3192">
        <v>45177</v>
      </c>
      <c r="O593" s="3192">
        <v>45634</v>
      </c>
      <c r="P593" s="3192">
        <v>45146</v>
      </c>
      <c r="Q593" s="3192">
        <v>45604</v>
      </c>
      <c r="R593" s="3124" t="s">
        <v>432</v>
      </c>
      <c r="S593" s="3124" t="s">
        <v>1949</v>
      </c>
      <c r="T593" s="3124" t="s">
        <v>1850</v>
      </c>
      <c r="U593" t="s">
        <v>1761</v>
      </c>
      <c r="V593" s="3124">
        <v>5000</v>
      </c>
      <c r="W593" s="3193">
        <v>0.67</v>
      </c>
      <c r="X593" s="3124">
        <v>3350</v>
      </c>
      <c r="Y593" s="3124">
        <v>1</v>
      </c>
      <c r="Z593" s="3124"/>
      <c r="AA593" s="3124">
        <v>25000</v>
      </c>
      <c r="AB593" t="s">
        <v>1195</v>
      </c>
      <c r="AC593" s="3124"/>
    </row>
    <row r="594" spans="1:29">
      <c r="A594" s="3124">
        <v>593</v>
      </c>
      <c r="B594" s="3124" t="s">
        <v>1691</v>
      </c>
      <c r="C594" s="3124" t="s">
        <v>3264</v>
      </c>
      <c r="D594" s="3124" t="s">
        <v>3265</v>
      </c>
      <c r="E594" t="s">
        <v>3266</v>
      </c>
      <c r="F594" s="3234">
        <v>9982926079</v>
      </c>
      <c r="G594" s="3124" t="s">
        <v>4644</v>
      </c>
      <c r="H594" s="3124">
        <v>16</v>
      </c>
      <c r="I594" s="3124">
        <v>16</v>
      </c>
      <c r="J594" s="3124" t="s">
        <v>1948</v>
      </c>
      <c r="K594" s="3124">
        <v>2000</v>
      </c>
      <c r="L594" s="3124">
        <v>1650</v>
      </c>
      <c r="M594" s="3124" t="s">
        <v>2974</v>
      </c>
      <c r="N594" s="3192">
        <v>45178</v>
      </c>
      <c r="O594" s="3192">
        <v>45635</v>
      </c>
      <c r="P594" s="3192">
        <v>45178</v>
      </c>
      <c r="Q594" s="3192">
        <v>45635</v>
      </c>
      <c r="R594" s="3124" t="s">
        <v>433</v>
      </c>
      <c r="S594" s="3124" t="s">
        <v>1949</v>
      </c>
      <c r="T594" s="3124" t="s">
        <v>1850</v>
      </c>
      <c r="U594" t="s">
        <v>1195</v>
      </c>
      <c r="V594" s="3124">
        <v>5000</v>
      </c>
      <c r="W594" s="3193">
        <v>0.67</v>
      </c>
      <c r="X594" s="3124">
        <v>3350</v>
      </c>
      <c r="Y594" s="3124">
        <v>1</v>
      </c>
      <c r="Z594" s="3124"/>
      <c r="AA594" s="3124">
        <v>25000</v>
      </c>
      <c r="AB594" t="s">
        <v>1195</v>
      </c>
      <c r="AC594" s="3124"/>
    </row>
    <row r="595" spans="1:29">
      <c r="A595" s="3124">
        <v>594</v>
      </c>
      <c r="B595" s="3124" t="s">
        <v>1630</v>
      </c>
      <c r="C595" s="3124" t="s">
        <v>3267</v>
      </c>
      <c r="D595" s="3124" t="s">
        <v>2570</v>
      </c>
      <c r="E595" t="s">
        <v>3268</v>
      </c>
      <c r="F595" s="3234">
        <v>9984771911</v>
      </c>
      <c r="G595" s="3124" t="s">
        <v>3269</v>
      </c>
      <c r="H595" s="3124">
        <v>36</v>
      </c>
      <c r="I595" s="3124">
        <v>36</v>
      </c>
      <c r="J595" s="3124">
        <v>1000</v>
      </c>
      <c r="K595" s="3124">
        <v>1000</v>
      </c>
      <c r="L595" s="3124">
        <v>1600</v>
      </c>
      <c r="M595" s="3124" t="s">
        <v>134</v>
      </c>
      <c r="N595" s="3192">
        <v>45192</v>
      </c>
      <c r="O595" s="3192">
        <v>46257</v>
      </c>
      <c r="P595" s="3192">
        <v>45187</v>
      </c>
      <c r="Q595" s="3192">
        <v>46252</v>
      </c>
      <c r="R595" s="3124" t="s">
        <v>432</v>
      </c>
      <c r="S595" s="3124" t="s">
        <v>1658</v>
      </c>
      <c r="T595" s="3124" t="s">
        <v>1850</v>
      </c>
      <c r="U595" t="s">
        <v>2653</v>
      </c>
      <c r="V595" s="3124">
        <v>3150</v>
      </c>
      <c r="W595" s="3193">
        <v>0.49206349206349204</v>
      </c>
      <c r="X595" s="3124">
        <v>1550</v>
      </c>
      <c r="Y595" s="3124">
        <v>4</v>
      </c>
      <c r="Z595" s="3124"/>
      <c r="AA595" s="3124">
        <v>23000</v>
      </c>
      <c r="AB595" t="s">
        <v>2653</v>
      </c>
      <c r="AC595" s="3124"/>
    </row>
    <row r="596" spans="1:29">
      <c r="A596" s="3124">
        <v>595</v>
      </c>
      <c r="B596" s="3124" t="s">
        <v>1625</v>
      </c>
      <c r="C596" s="3124" t="s">
        <v>3270</v>
      </c>
      <c r="D596" s="3124" t="s">
        <v>3271</v>
      </c>
      <c r="E596" s="3171" t="s">
        <v>4645</v>
      </c>
      <c r="F596" s="3234">
        <v>9996058863</v>
      </c>
      <c r="G596" s="3124" t="s">
        <v>3272</v>
      </c>
      <c r="H596" s="3124">
        <v>20</v>
      </c>
      <c r="I596" s="3124">
        <v>20</v>
      </c>
      <c r="J596" s="3124">
        <v>1500</v>
      </c>
      <c r="K596" s="3124">
        <v>3197</v>
      </c>
      <c r="L596" s="3124">
        <v>3497</v>
      </c>
      <c r="M596" s="3124"/>
      <c r="N596" s="3192">
        <v>45199</v>
      </c>
      <c r="O596" s="3192">
        <v>45777</v>
      </c>
      <c r="P596" s="3192">
        <v>410417</v>
      </c>
      <c r="Q596" s="3192">
        <v>410995</v>
      </c>
      <c r="R596" s="3124" t="s">
        <v>432</v>
      </c>
      <c r="S596" s="3124" t="s">
        <v>1690</v>
      </c>
      <c r="T596" s="3124" t="s">
        <v>1850</v>
      </c>
      <c r="U596" t="s">
        <v>1869</v>
      </c>
      <c r="V596" s="3124">
        <v>7000</v>
      </c>
      <c r="W596" s="3193">
        <v>0.50042857142857144</v>
      </c>
      <c r="X596" s="3124">
        <v>3503</v>
      </c>
      <c r="Y596" s="3124">
        <v>1</v>
      </c>
      <c r="Z596" s="3124"/>
      <c r="AA596" s="3124">
        <v>29000</v>
      </c>
      <c r="AB596" t="s">
        <v>1869</v>
      </c>
      <c r="AC596" s="3124"/>
    </row>
    <row r="597" spans="1:29">
      <c r="A597" s="3124">
        <v>596</v>
      </c>
      <c r="B597" s="3124" t="s">
        <v>1621</v>
      </c>
      <c r="C597" s="3124" t="s">
        <v>3273</v>
      </c>
      <c r="D597" s="3124" t="s">
        <v>3274</v>
      </c>
      <c r="E597" t="s">
        <v>3275</v>
      </c>
      <c r="F597" s="3234">
        <v>3131009065</v>
      </c>
      <c r="G597" s="3124" t="s">
        <v>3276</v>
      </c>
      <c r="H597" s="3124">
        <v>20</v>
      </c>
      <c r="I597" s="3124">
        <v>20</v>
      </c>
      <c r="J597" s="3124">
        <v>1000</v>
      </c>
      <c r="K597" s="3124">
        <v>2050</v>
      </c>
      <c r="L597" s="3124">
        <v>2275</v>
      </c>
      <c r="M597" s="3124" t="s">
        <v>3007</v>
      </c>
      <c r="N597" s="3192">
        <v>45219</v>
      </c>
      <c r="O597" s="3192">
        <v>45797</v>
      </c>
      <c r="P597" s="3192">
        <v>45202</v>
      </c>
      <c r="Q597" s="3192"/>
      <c r="R597" s="3124" t="s">
        <v>432</v>
      </c>
      <c r="S597" s="3124" t="s">
        <v>1640</v>
      </c>
      <c r="T597" s="3124" t="s">
        <v>1850</v>
      </c>
      <c r="U597" t="s">
        <v>1195</v>
      </c>
      <c r="V597" s="3124">
        <v>5000</v>
      </c>
      <c r="W597" s="3193">
        <v>0.54500000000000004</v>
      </c>
      <c r="X597" s="3124">
        <v>2725</v>
      </c>
      <c r="Y597" s="3124">
        <v>2</v>
      </c>
      <c r="Z597" s="3124"/>
      <c r="AA597" s="3124">
        <v>25000</v>
      </c>
      <c r="AB597" t="s">
        <v>1195</v>
      </c>
      <c r="AC597" s="3124"/>
    </row>
    <row r="598" spans="1:29">
      <c r="A598" s="3124">
        <v>597</v>
      </c>
      <c r="B598" s="3124" t="s">
        <v>2885</v>
      </c>
      <c r="C598" s="3124" t="s">
        <v>3277</v>
      </c>
      <c r="D598" s="3124" t="s">
        <v>5256</v>
      </c>
      <c r="E598" s="3145" t="s">
        <v>3278</v>
      </c>
      <c r="F598" s="3234">
        <v>9633458300</v>
      </c>
      <c r="G598" s="3124" t="s">
        <v>3279</v>
      </c>
      <c r="H598" s="3124">
        <v>6</v>
      </c>
      <c r="I598" s="3124">
        <v>6</v>
      </c>
      <c r="J598" s="3124" t="s">
        <v>1948</v>
      </c>
      <c r="K598" s="3124"/>
      <c r="L598" s="3124">
        <v>1800</v>
      </c>
      <c r="M598" s="3124" t="s">
        <v>2886</v>
      </c>
      <c r="N598" s="3192">
        <v>45210</v>
      </c>
      <c r="O598" s="3192">
        <v>45362</v>
      </c>
      <c r="P598" s="3192">
        <v>45215</v>
      </c>
      <c r="Q598" s="3192">
        <v>45367</v>
      </c>
      <c r="R598" s="3124" t="s">
        <v>432</v>
      </c>
      <c r="S598" s="3124" t="s">
        <v>4633</v>
      </c>
      <c r="T598" s="3124" t="s">
        <v>2887</v>
      </c>
      <c r="U598" t="s">
        <v>1195</v>
      </c>
      <c r="V598" s="3124">
        <v>5000</v>
      </c>
      <c r="W598" s="3193">
        <v>0.64</v>
      </c>
      <c r="X598" s="3124">
        <v>3200</v>
      </c>
      <c r="Y598" s="3124"/>
      <c r="Z598" s="3124"/>
      <c r="AA598" s="3124"/>
      <c r="AB598" t="s">
        <v>1195</v>
      </c>
      <c r="AC598" s="3124"/>
    </row>
    <row r="599" spans="1:29">
      <c r="A599" s="3124">
        <v>598</v>
      </c>
      <c r="B599" s="3124" t="s">
        <v>2885</v>
      </c>
      <c r="C599" s="3124" t="s">
        <v>3280</v>
      </c>
      <c r="D599" s="3124" t="s">
        <v>5257</v>
      </c>
      <c r="E599" t="s">
        <v>3281</v>
      </c>
      <c r="F599" s="3234">
        <v>9631481918</v>
      </c>
      <c r="G599" s="3124" t="s">
        <v>3282</v>
      </c>
      <c r="H599" s="3124">
        <v>6</v>
      </c>
      <c r="I599" s="3124">
        <v>6</v>
      </c>
      <c r="J599" s="3124" t="s">
        <v>1948</v>
      </c>
      <c r="K599" s="3124"/>
      <c r="L599" s="3124">
        <v>1800</v>
      </c>
      <c r="M599" s="3124" t="s">
        <v>2886</v>
      </c>
      <c r="N599" s="3192">
        <v>45210</v>
      </c>
      <c r="O599" s="3192">
        <v>45362</v>
      </c>
      <c r="P599" s="3192">
        <v>45215</v>
      </c>
      <c r="Q599" s="3192">
        <v>45367</v>
      </c>
      <c r="R599" s="3124" t="s">
        <v>433</v>
      </c>
      <c r="S599" s="3124" t="s">
        <v>4633</v>
      </c>
      <c r="T599" s="3124" t="s">
        <v>2887</v>
      </c>
      <c r="U599" t="s">
        <v>1195</v>
      </c>
      <c r="V599" s="3124">
        <v>5000</v>
      </c>
      <c r="W599" s="3193">
        <v>0.64</v>
      </c>
      <c r="X599" s="3124">
        <v>3200</v>
      </c>
      <c r="Y599" s="3124"/>
      <c r="Z599" s="3124"/>
      <c r="AA599" s="3124"/>
      <c r="AB599" t="s">
        <v>1195</v>
      </c>
      <c r="AC599" s="3124"/>
    </row>
    <row r="600" spans="1:29">
      <c r="A600" s="3124">
        <v>599</v>
      </c>
      <c r="B600" s="3124" t="s">
        <v>2885</v>
      </c>
      <c r="C600" s="3124" t="s">
        <v>924</v>
      </c>
      <c r="D600" s="3124" t="s">
        <v>5258</v>
      </c>
      <c r="E600" s="3155" t="s">
        <v>2443</v>
      </c>
      <c r="F600" s="3234">
        <v>9632526121</v>
      </c>
      <c r="G600" s="3124" t="s">
        <v>2445</v>
      </c>
      <c r="H600" s="3124">
        <v>6</v>
      </c>
      <c r="I600" s="3124">
        <v>6</v>
      </c>
      <c r="J600" s="3124" t="s">
        <v>1948</v>
      </c>
      <c r="K600" s="3124"/>
      <c r="L600" s="3124">
        <v>0</v>
      </c>
      <c r="M600" s="3124" t="s">
        <v>2886</v>
      </c>
      <c r="N600" s="3192">
        <v>45210</v>
      </c>
      <c r="O600" s="3192">
        <v>45362</v>
      </c>
      <c r="P600" s="3192">
        <v>45215</v>
      </c>
      <c r="Q600" s="3192">
        <v>45367</v>
      </c>
      <c r="R600" s="3124" t="s">
        <v>433</v>
      </c>
      <c r="S600" s="3124" t="s">
        <v>4633</v>
      </c>
      <c r="T600" s="3124" t="s">
        <v>2887</v>
      </c>
      <c r="U600" t="s">
        <v>1195</v>
      </c>
      <c r="V600" s="3124">
        <v>5000</v>
      </c>
      <c r="W600" s="3193">
        <v>1</v>
      </c>
      <c r="X600" s="3124">
        <v>5000</v>
      </c>
      <c r="Y600" s="3124"/>
      <c r="Z600" s="3124"/>
      <c r="AA600" s="3124"/>
      <c r="AB600" t="s">
        <v>1195</v>
      </c>
      <c r="AC600" s="3124"/>
    </row>
    <row r="601" spans="1:29">
      <c r="A601" s="3124">
        <v>600</v>
      </c>
      <c r="B601" s="3124" t="s">
        <v>2885</v>
      </c>
      <c r="C601" s="3124" t="s">
        <v>3283</v>
      </c>
      <c r="D601" s="3124" t="s">
        <v>5259</v>
      </c>
      <c r="E601" s="3155" t="s">
        <v>3284</v>
      </c>
      <c r="F601" s="3234">
        <v>9831374951</v>
      </c>
      <c r="G601" s="3124" t="s">
        <v>4646</v>
      </c>
      <c r="H601" s="3124">
        <v>6</v>
      </c>
      <c r="I601" s="3124">
        <v>6</v>
      </c>
      <c r="J601" s="3124" t="s">
        <v>1948</v>
      </c>
      <c r="K601" s="3124"/>
      <c r="L601" s="3124">
        <v>2520</v>
      </c>
      <c r="M601" s="3124" t="s">
        <v>2886</v>
      </c>
      <c r="N601" s="3192">
        <v>45210</v>
      </c>
      <c r="O601" s="3192">
        <v>45362</v>
      </c>
      <c r="P601" s="3192">
        <v>45210</v>
      </c>
      <c r="Q601" s="3192">
        <v>45362</v>
      </c>
      <c r="R601" s="3124" t="s">
        <v>432</v>
      </c>
      <c r="S601" s="3124" t="s">
        <v>4633</v>
      </c>
      <c r="T601" s="3124" t="s">
        <v>2887</v>
      </c>
      <c r="U601" t="s">
        <v>1195</v>
      </c>
      <c r="V601" s="3124">
        <v>5000</v>
      </c>
      <c r="W601" s="3193">
        <v>0.496</v>
      </c>
      <c r="X601" s="3124">
        <v>2480</v>
      </c>
      <c r="Y601" s="3124"/>
      <c r="Z601" s="3124"/>
      <c r="AA601" s="3124"/>
      <c r="AB601" t="s">
        <v>1195</v>
      </c>
      <c r="AC601" s="3124"/>
    </row>
    <row r="602" spans="1:29">
      <c r="A602" s="3124">
        <v>601</v>
      </c>
      <c r="B602" s="3124" t="s">
        <v>2885</v>
      </c>
      <c r="C602" s="3124" t="s">
        <v>3285</v>
      </c>
      <c r="D602" s="3124" t="s">
        <v>5260</v>
      </c>
      <c r="E602" t="s">
        <v>3286</v>
      </c>
      <c r="F602" s="3234">
        <v>9831018842</v>
      </c>
      <c r="G602" s="3124" t="s">
        <v>3287</v>
      </c>
      <c r="H602" s="3124">
        <v>6</v>
      </c>
      <c r="I602" s="3124">
        <v>6</v>
      </c>
      <c r="J602" s="3124" t="s">
        <v>1948</v>
      </c>
      <c r="K602" s="3124"/>
      <c r="L602" s="3124">
        <v>2520</v>
      </c>
      <c r="M602" s="3124" t="s">
        <v>2886</v>
      </c>
      <c r="N602" s="3192">
        <v>45210</v>
      </c>
      <c r="O602" s="3192">
        <v>45362</v>
      </c>
      <c r="P602" s="3192">
        <v>45210</v>
      </c>
      <c r="Q602" s="3192">
        <v>45362</v>
      </c>
      <c r="R602" s="3124" t="s">
        <v>432</v>
      </c>
      <c r="S602" s="3124" t="s">
        <v>4633</v>
      </c>
      <c r="T602" s="3124" t="s">
        <v>2887</v>
      </c>
      <c r="U602" t="s">
        <v>1195</v>
      </c>
      <c r="V602" s="3124">
        <v>5000</v>
      </c>
      <c r="W602" s="3193">
        <v>0.496</v>
      </c>
      <c r="X602" s="3124">
        <v>2480</v>
      </c>
      <c r="Y602" s="3124"/>
      <c r="Z602" s="3124"/>
      <c r="AA602" s="3124"/>
      <c r="AB602" t="s">
        <v>1195</v>
      </c>
      <c r="AC602" s="3124"/>
    </row>
    <row r="603" spans="1:29">
      <c r="A603" s="3124">
        <v>602</v>
      </c>
      <c r="B603" s="3124" t="s">
        <v>2885</v>
      </c>
      <c r="C603" s="3124" t="s">
        <v>3288</v>
      </c>
      <c r="D603" s="3124" t="s">
        <v>5261</v>
      </c>
      <c r="E603" s="3157" t="s">
        <v>3289</v>
      </c>
      <c r="F603" s="3234">
        <v>9631595972</v>
      </c>
      <c r="G603" s="3124" t="s">
        <v>3290</v>
      </c>
      <c r="H603" s="3124">
        <v>6</v>
      </c>
      <c r="I603" s="3124">
        <v>6</v>
      </c>
      <c r="J603" s="3124" t="s">
        <v>1948</v>
      </c>
      <c r="K603" s="3124"/>
      <c r="L603" s="3124">
        <v>1800</v>
      </c>
      <c r="M603" s="3124" t="s">
        <v>2886</v>
      </c>
      <c r="N603" s="3192">
        <v>45210</v>
      </c>
      <c r="O603" s="3192">
        <v>45362</v>
      </c>
      <c r="P603" s="3192">
        <v>45215</v>
      </c>
      <c r="Q603" s="3192">
        <v>45367</v>
      </c>
      <c r="R603" s="3124" t="s">
        <v>432</v>
      </c>
      <c r="S603" s="3124" t="s">
        <v>4633</v>
      </c>
      <c r="T603" s="3124" t="s">
        <v>2887</v>
      </c>
      <c r="U603" t="s">
        <v>1195</v>
      </c>
      <c r="V603" s="3124">
        <v>5000</v>
      </c>
      <c r="W603" s="3193">
        <v>0.64</v>
      </c>
      <c r="X603" s="3124">
        <v>3200</v>
      </c>
      <c r="Y603" s="3124"/>
      <c r="Z603" s="3124"/>
      <c r="AA603" s="3124"/>
      <c r="AB603" t="s">
        <v>1195</v>
      </c>
      <c r="AC603" s="3124"/>
    </row>
    <row r="604" spans="1:29">
      <c r="A604" s="3124">
        <v>603</v>
      </c>
      <c r="B604" s="3124" t="s">
        <v>2885</v>
      </c>
      <c r="C604" s="3124" t="s">
        <v>3291</v>
      </c>
      <c r="D604" s="3124" t="s">
        <v>5262</v>
      </c>
      <c r="E604" t="s">
        <v>3292</v>
      </c>
      <c r="F604" s="3799">
        <v>8136600222</v>
      </c>
      <c r="G604" s="3124" t="s">
        <v>3293</v>
      </c>
      <c r="H604" s="3124">
        <v>6</v>
      </c>
      <c r="I604" s="3124">
        <v>6</v>
      </c>
      <c r="J604" s="3124">
        <v>1000</v>
      </c>
      <c r="K604" s="3124"/>
      <c r="L604" s="3124">
        <v>2520</v>
      </c>
      <c r="M604" s="3124" t="s">
        <v>2886</v>
      </c>
      <c r="N604" s="3192">
        <v>45210</v>
      </c>
      <c r="O604" s="3192">
        <v>45362</v>
      </c>
      <c r="P604" s="3192">
        <v>45209</v>
      </c>
      <c r="Q604" s="3192">
        <v>45361</v>
      </c>
      <c r="R604" s="3124" t="s">
        <v>432</v>
      </c>
      <c r="S604" s="3124" t="s">
        <v>4633</v>
      </c>
      <c r="T604" s="3124" t="s">
        <v>2887</v>
      </c>
      <c r="U604" t="s">
        <v>2653</v>
      </c>
      <c r="V604" s="3124">
        <v>5000</v>
      </c>
      <c r="W604" s="3193">
        <v>0.496</v>
      </c>
      <c r="X604" s="3124">
        <v>2480</v>
      </c>
      <c r="Y604" s="3124"/>
      <c r="Z604" s="3124"/>
      <c r="AA604" s="3124"/>
      <c r="AB604" t="s">
        <v>2653</v>
      </c>
      <c r="AC604" s="3124"/>
    </row>
    <row r="605" spans="1:29">
      <c r="A605" s="3124">
        <v>604</v>
      </c>
      <c r="B605" s="3124" t="s">
        <v>2885</v>
      </c>
      <c r="C605" s="3124" t="s">
        <v>3294</v>
      </c>
      <c r="D605" s="3124" t="s">
        <v>5263</v>
      </c>
      <c r="E605" t="s">
        <v>3295</v>
      </c>
      <c r="F605" s="3234">
        <v>9631534008</v>
      </c>
      <c r="G605" s="3124" t="s">
        <v>3296</v>
      </c>
      <c r="H605" s="3124">
        <v>6</v>
      </c>
      <c r="I605" s="3124">
        <v>6</v>
      </c>
      <c r="J605" s="3124" t="s">
        <v>1948</v>
      </c>
      <c r="K605" s="3124"/>
      <c r="L605" s="3124">
        <v>1800</v>
      </c>
      <c r="M605" s="3124" t="s">
        <v>2886</v>
      </c>
      <c r="N605" s="3192">
        <v>45210</v>
      </c>
      <c r="O605" s="3192">
        <v>45362</v>
      </c>
      <c r="P605" s="3192">
        <v>45215</v>
      </c>
      <c r="Q605" s="3192">
        <v>45367</v>
      </c>
      <c r="R605" s="3124" t="s">
        <v>432</v>
      </c>
      <c r="S605" s="3124" t="s">
        <v>4633</v>
      </c>
      <c r="T605" s="3124" t="s">
        <v>2887</v>
      </c>
      <c r="U605" t="s">
        <v>1195</v>
      </c>
      <c r="V605" s="3124">
        <v>5000</v>
      </c>
      <c r="W605" s="3193">
        <v>0.64</v>
      </c>
      <c r="X605" s="3124">
        <v>3200</v>
      </c>
      <c r="Y605" s="3124"/>
      <c r="Z605" s="3124"/>
      <c r="AA605" s="3124"/>
      <c r="AB605" t="s">
        <v>1195</v>
      </c>
      <c r="AC605" s="3124"/>
    </row>
    <row r="606" spans="1:29">
      <c r="A606" s="3124">
        <v>605</v>
      </c>
      <c r="B606" s="3124" t="s">
        <v>2885</v>
      </c>
      <c r="C606" s="3124" t="s">
        <v>3297</v>
      </c>
      <c r="D606" s="3124" t="s">
        <v>5264</v>
      </c>
      <c r="E606" s="3164" t="s">
        <v>3298</v>
      </c>
      <c r="F606" s="3234">
        <v>9631840352</v>
      </c>
      <c r="G606" s="3124" t="s">
        <v>3299</v>
      </c>
      <c r="H606" s="3124">
        <v>6</v>
      </c>
      <c r="I606" s="3124">
        <v>6</v>
      </c>
      <c r="J606" s="3124" t="s">
        <v>1948</v>
      </c>
      <c r="K606" s="3124"/>
      <c r="L606" s="3124">
        <v>1800</v>
      </c>
      <c r="M606" s="3124" t="s">
        <v>2886</v>
      </c>
      <c r="N606" s="3192">
        <v>45210</v>
      </c>
      <c r="O606" s="3192">
        <v>45362</v>
      </c>
      <c r="P606" s="3192">
        <v>45215</v>
      </c>
      <c r="Q606" s="3192">
        <v>45367</v>
      </c>
      <c r="R606" s="3124" t="s">
        <v>432</v>
      </c>
      <c r="S606" s="3124" t="s">
        <v>4633</v>
      </c>
      <c r="T606" s="3124" t="s">
        <v>2887</v>
      </c>
      <c r="U606" t="s">
        <v>2653</v>
      </c>
      <c r="V606" s="3124">
        <v>5000</v>
      </c>
      <c r="W606" s="3193">
        <v>0.64</v>
      </c>
      <c r="X606" s="3124">
        <v>3200</v>
      </c>
      <c r="Y606" s="3124"/>
      <c r="Z606" s="3124"/>
      <c r="AA606" s="3124"/>
      <c r="AB606" t="s">
        <v>2653</v>
      </c>
      <c r="AC606" s="3124"/>
    </row>
    <row r="607" spans="1:29">
      <c r="A607" s="3124">
        <v>606</v>
      </c>
      <c r="B607" s="3124" t="s">
        <v>2885</v>
      </c>
      <c r="C607" s="3124" t="s">
        <v>3300</v>
      </c>
      <c r="D607" s="3124" t="s">
        <v>5265</v>
      </c>
      <c r="E607" t="s">
        <v>3301</v>
      </c>
      <c r="F607" s="3234">
        <v>9831587970</v>
      </c>
      <c r="G607" s="3124" t="s">
        <v>3302</v>
      </c>
      <c r="H607" s="3124">
        <v>6</v>
      </c>
      <c r="I607" s="3124">
        <v>6</v>
      </c>
      <c r="J607" s="3124" t="s">
        <v>1948</v>
      </c>
      <c r="K607" s="3124"/>
      <c r="L607" s="3124">
        <v>2520</v>
      </c>
      <c r="M607" s="3124" t="s">
        <v>2886</v>
      </c>
      <c r="N607" s="3192">
        <v>45210</v>
      </c>
      <c r="O607" s="3192">
        <v>45362</v>
      </c>
      <c r="P607" s="3192">
        <v>45210</v>
      </c>
      <c r="Q607" s="3192">
        <v>45362</v>
      </c>
      <c r="R607" s="3124" t="s">
        <v>433</v>
      </c>
      <c r="S607" s="3124" t="s">
        <v>4633</v>
      </c>
      <c r="T607" s="3124" t="s">
        <v>2887</v>
      </c>
      <c r="U607" t="s">
        <v>1195</v>
      </c>
      <c r="V607" s="3124">
        <v>5000</v>
      </c>
      <c r="W607" s="3193">
        <v>0.496</v>
      </c>
      <c r="X607" s="3124">
        <v>2480</v>
      </c>
      <c r="Y607" s="3124"/>
      <c r="Z607" s="3124"/>
      <c r="AA607" s="3124"/>
      <c r="AB607" t="s">
        <v>1195</v>
      </c>
      <c r="AC607" s="3124"/>
    </row>
    <row r="608" spans="1:29">
      <c r="A608" s="3124">
        <v>607</v>
      </c>
      <c r="B608" s="3124" t="s">
        <v>2885</v>
      </c>
      <c r="C608" s="3124" t="s">
        <v>3303</v>
      </c>
      <c r="D608" s="3124" t="s">
        <v>5266</v>
      </c>
      <c r="E608" t="s">
        <v>3304</v>
      </c>
      <c r="F608" s="3234" t="s">
        <v>3305</v>
      </c>
      <c r="G608" s="3124" t="s">
        <v>3306</v>
      </c>
      <c r="H608" s="3124">
        <v>6</v>
      </c>
      <c r="I608" s="3124">
        <v>6</v>
      </c>
      <c r="J608" s="3124" t="s">
        <v>1948</v>
      </c>
      <c r="K608" s="3124"/>
      <c r="L608" s="3124">
        <v>2520</v>
      </c>
      <c r="M608" s="3124" t="s">
        <v>2886</v>
      </c>
      <c r="N608" s="3192">
        <v>45210</v>
      </c>
      <c r="O608" s="3192">
        <v>45362</v>
      </c>
      <c r="P608" s="3192">
        <v>45215</v>
      </c>
      <c r="Q608" s="3192">
        <v>45367</v>
      </c>
      <c r="R608" s="3124" t="s">
        <v>433</v>
      </c>
      <c r="S608" s="3124" t="s">
        <v>4633</v>
      </c>
      <c r="T608" s="3124" t="s">
        <v>2887</v>
      </c>
      <c r="U608" t="s">
        <v>2653</v>
      </c>
      <c r="V608" s="3124">
        <v>5000</v>
      </c>
      <c r="W608" s="3193">
        <v>0.496</v>
      </c>
      <c r="X608" s="3124">
        <v>2480</v>
      </c>
      <c r="Y608" s="3124"/>
      <c r="Z608" s="3124"/>
      <c r="AA608" s="3124"/>
      <c r="AB608" t="s">
        <v>2653</v>
      </c>
      <c r="AC608" s="3124"/>
    </row>
    <row r="609" spans="1:29">
      <c r="A609" s="3124">
        <v>608</v>
      </c>
      <c r="B609" s="3124" t="s">
        <v>2885</v>
      </c>
      <c r="C609" s="3124" t="s">
        <v>3307</v>
      </c>
      <c r="D609" s="3124" t="s">
        <v>5267</v>
      </c>
      <c r="E609" t="s">
        <v>3308</v>
      </c>
      <c r="F609" s="3234" t="s">
        <v>3309</v>
      </c>
      <c r="G609" s="3124" t="s">
        <v>3310</v>
      </c>
      <c r="H609" s="3124">
        <v>6</v>
      </c>
      <c r="I609" s="3124">
        <v>6</v>
      </c>
      <c r="J609" s="3124" t="s">
        <v>1948</v>
      </c>
      <c r="K609" s="3124"/>
      <c r="L609" s="3124">
        <v>2520</v>
      </c>
      <c r="M609" s="3124" t="s">
        <v>2886</v>
      </c>
      <c r="N609" s="3192">
        <v>45210</v>
      </c>
      <c r="O609" s="3192">
        <v>45362</v>
      </c>
      <c r="P609" s="3192">
        <v>45215</v>
      </c>
      <c r="Q609" s="3192">
        <v>45367</v>
      </c>
      <c r="R609" s="3124" t="s">
        <v>432</v>
      </c>
      <c r="S609" s="3124" t="s">
        <v>4633</v>
      </c>
      <c r="T609" s="3124" t="s">
        <v>2887</v>
      </c>
      <c r="U609" t="s">
        <v>1195</v>
      </c>
      <c r="V609" s="3124">
        <v>5000</v>
      </c>
      <c r="W609" s="3193">
        <v>0.496</v>
      </c>
      <c r="X609" s="3124">
        <v>2480</v>
      </c>
      <c r="Y609" s="3124"/>
      <c r="Z609" s="3124"/>
      <c r="AA609" s="3124"/>
      <c r="AB609" t="s">
        <v>1195</v>
      </c>
      <c r="AC609" s="3124"/>
    </row>
    <row r="610" spans="1:29">
      <c r="A610" s="3124">
        <v>609</v>
      </c>
      <c r="B610" s="3124" t="s">
        <v>2885</v>
      </c>
      <c r="C610" s="3124" t="s">
        <v>3311</v>
      </c>
      <c r="D610" s="3124" t="s">
        <v>5268</v>
      </c>
      <c r="E610" t="s">
        <v>3312</v>
      </c>
      <c r="F610" s="3234">
        <v>9632527788</v>
      </c>
      <c r="G610" s="3124" t="s">
        <v>3313</v>
      </c>
      <c r="H610" s="3124">
        <v>6</v>
      </c>
      <c r="I610" s="3124">
        <v>6</v>
      </c>
      <c r="J610" s="3124" t="s">
        <v>1948</v>
      </c>
      <c r="K610" s="3124"/>
      <c r="L610" s="3124">
        <v>1800</v>
      </c>
      <c r="M610" s="3124" t="s">
        <v>2886</v>
      </c>
      <c r="N610" s="3192">
        <v>45215</v>
      </c>
      <c r="O610" s="3192">
        <v>45367</v>
      </c>
      <c r="P610" s="3192">
        <v>45215</v>
      </c>
      <c r="Q610" s="3192">
        <v>45367</v>
      </c>
      <c r="R610" s="3124" t="s">
        <v>432</v>
      </c>
      <c r="S610" s="3124" t="s">
        <v>4633</v>
      </c>
      <c r="T610" s="3124" t="s">
        <v>2887</v>
      </c>
      <c r="U610" t="s">
        <v>1195</v>
      </c>
      <c r="V610" s="3124">
        <v>5000</v>
      </c>
      <c r="W610" s="3193">
        <v>0.64</v>
      </c>
      <c r="X610" s="3124">
        <v>3200</v>
      </c>
      <c r="Y610" s="3124"/>
      <c r="Z610" s="3124"/>
      <c r="AA610" s="3124"/>
      <c r="AB610" t="s">
        <v>1195</v>
      </c>
      <c r="AC610" s="3124"/>
    </row>
    <row r="611" spans="1:29">
      <c r="A611" s="3124">
        <v>610</v>
      </c>
      <c r="B611" s="3124" t="s">
        <v>1621</v>
      </c>
      <c r="C611" s="3124" t="s">
        <v>3314</v>
      </c>
      <c r="D611" s="3124" t="s">
        <v>3315</v>
      </c>
      <c r="E611" t="s">
        <v>3316</v>
      </c>
      <c r="F611" s="3234" t="s">
        <v>3317</v>
      </c>
      <c r="G611" s="3124" t="s">
        <v>3318</v>
      </c>
      <c r="H611" s="3124">
        <v>20</v>
      </c>
      <c r="I611" s="3124">
        <v>20</v>
      </c>
      <c r="J611" s="3124">
        <v>1000</v>
      </c>
      <c r="K611" s="3124">
        <v>2100</v>
      </c>
      <c r="L611" s="3124">
        <v>2275</v>
      </c>
      <c r="M611" s="3124" t="s">
        <v>3007</v>
      </c>
      <c r="N611" s="3192">
        <v>45219</v>
      </c>
      <c r="O611" s="3192">
        <v>45797</v>
      </c>
      <c r="P611" s="3192">
        <v>45231</v>
      </c>
      <c r="Q611" s="3192">
        <v>410995</v>
      </c>
      <c r="R611" s="3124" t="s">
        <v>433</v>
      </c>
      <c r="S611" s="3124" t="s">
        <v>1640</v>
      </c>
      <c r="T611" s="3124" t="s">
        <v>1850</v>
      </c>
      <c r="U611" t="s">
        <v>1195</v>
      </c>
      <c r="V611" s="3124">
        <v>5000</v>
      </c>
      <c r="W611" s="3193">
        <v>0.54500000000000004</v>
      </c>
      <c r="X611" s="3124">
        <v>2725</v>
      </c>
      <c r="Y611" s="3124">
        <v>2</v>
      </c>
      <c r="Z611" s="3124"/>
      <c r="AA611" s="3124">
        <v>25000</v>
      </c>
      <c r="AB611" t="s">
        <v>1195</v>
      </c>
      <c r="AC611" s="3124"/>
    </row>
    <row r="612" spans="1:29">
      <c r="A612" s="3124">
        <v>611</v>
      </c>
      <c r="B612" s="3124" t="s">
        <v>3319</v>
      </c>
      <c r="C612" s="3124" t="s">
        <v>3320</v>
      </c>
      <c r="D612" s="3124" t="s">
        <v>3321</v>
      </c>
      <c r="E612" t="s">
        <v>3322</v>
      </c>
      <c r="F612" s="3234" t="s">
        <v>3323</v>
      </c>
      <c r="G612" s="3124" t="s">
        <v>3324</v>
      </c>
      <c r="H612" s="3124">
        <v>1</v>
      </c>
      <c r="I612" s="3124">
        <v>1</v>
      </c>
      <c r="J612" s="3124" t="s">
        <v>1948</v>
      </c>
      <c r="K612" s="3124"/>
      <c r="L612" s="3124">
        <v>2000</v>
      </c>
      <c r="M612" s="3124" t="s">
        <v>3325</v>
      </c>
      <c r="N612" s="3192">
        <v>45248</v>
      </c>
      <c r="O612" s="3192">
        <v>45248</v>
      </c>
      <c r="P612" s="3192">
        <v>45203</v>
      </c>
      <c r="Q612" s="3192">
        <v>45245</v>
      </c>
      <c r="R612" s="3124" t="s">
        <v>432</v>
      </c>
      <c r="S612" s="3124" t="s">
        <v>3326</v>
      </c>
      <c r="T612" s="3124" t="s">
        <v>1850</v>
      </c>
      <c r="U612" t="s">
        <v>1195</v>
      </c>
      <c r="V612" s="3124">
        <v>15000</v>
      </c>
      <c r="W612" s="3193">
        <v>0.8666666666666667</v>
      </c>
      <c r="X612" s="3124">
        <v>13000</v>
      </c>
      <c r="Y612" s="3124"/>
      <c r="Z612" s="3124"/>
      <c r="AA612" s="3124"/>
      <c r="AB612" t="s">
        <v>1195</v>
      </c>
      <c r="AC612" s="3124"/>
    </row>
    <row r="613" spans="1:29">
      <c r="A613" s="3124">
        <v>612</v>
      </c>
      <c r="B613" s="3124" t="s">
        <v>3319</v>
      </c>
      <c r="C613" s="3124" t="s">
        <v>3862</v>
      </c>
      <c r="D613" s="3124" t="s">
        <v>3321</v>
      </c>
      <c r="E613" t="s">
        <v>3328</v>
      </c>
      <c r="F613" s="3234" t="s">
        <v>3329</v>
      </c>
      <c r="G613" s="3124" t="s">
        <v>3330</v>
      </c>
      <c r="H613" s="3124">
        <v>1</v>
      </c>
      <c r="I613" s="3124">
        <v>1</v>
      </c>
      <c r="J613" s="3124" t="s">
        <v>1948</v>
      </c>
      <c r="K613" s="3124"/>
      <c r="L613" s="3124">
        <v>2000</v>
      </c>
      <c r="M613" s="3124" t="s">
        <v>3325</v>
      </c>
      <c r="N613" s="3192">
        <v>45248</v>
      </c>
      <c r="O613" s="3192">
        <v>45248</v>
      </c>
      <c r="P613" s="3192">
        <v>45218</v>
      </c>
      <c r="Q613" s="3192">
        <v>44995</v>
      </c>
      <c r="R613" s="3124" t="s">
        <v>432</v>
      </c>
      <c r="S613" s="3124" t="s">
        <v>3326</v>
      </c>
      <c r="T613" s="3124" t="s">
        <v>1850</v>
      </c>
      <c r="U613" t="s">
        <v>1195</v>
      </c>
      <c r="V613" s="3124">
        <v>15000</v>
      </c>
      <c r="W613" s="3193">
        <v>0.8666666666666667</v>
      </c>
      <c r="X613" s="3124">
        <v>13000</v>
      </c>
      <c r="Y613" s="3124"/>
      <c r="Z613" s="3124"/>
      <c r="AA613" s="3124"/>
      <c r="AB613" t="s">
        <v>1195</v>
      </c>
      <c r="AC613" s="3124"/>
    </row>
    <row r="614" spans="1:29">
      <c r="A614" s="3124">
        <v>613</v>
      </c>
      <c r="B614" s="3124" t="s">
        <v>1839</v>
      </c>
      <c r="C614" s="3124" t="s">
        <v>3331</v>
      </c>
      <c r="D614" s="3124" t="s">
        <v>629</v>
      </c>
      <c r="E614" s="3154" t="s">
        <v>3332</v>
      </c>
      <c r="F614" s="3234" t="s">
        <v>3333</v>
      </c>
      <c r="G614" s="3124" t="s">
        <v>3334</v>
      </c>
      <c r="H614" s="3124">
        <v>24</v>
      </c>
      <c r="I614" s="3124">
        <v>28</v>
      </c>
      <c r="J614" s="3124" t="s">
        <v>1948</v>
      </c>
      <c r="K614" s="3124">
        <v>1000</v>
      </c>
      <c r="L614" s="3124">
        <v>1650</v>
      </c>
      <c r="M614" s="3124" t="s">
        <v>3335</v>
      </c>
      <c r="N614" s="3192">
        <v>45265</v>
      </c>
      <c r="O614" s="3192">
        <v>46086</v>
      </c>
      <c r="P614" s="3192">
        <v>45223</v>
      </c>
      <c r="Q614" s="3192">
        <v>44995</v>
      </c>
      <c r="R614" s="3124" t="s">
        <v>433</v>
      </c>
      <c r="S614" s="3124" t="s">
        <v>1842</v>
      </c>
      <c r="T614" s="3124" t="s">
        <v>1850</v>
      </c>
      <c r="U614" t="s">
        <v>2653</v>
      </c>
      <c r="V614" s="3124">
        <v>5000</v>
      </c>
      <c r="W614" s="3193">
        <v>0.67</v>
      </c>
      <c r="X614" s="3124">
        <v>3350</v>
      </c>
      <c r="Y614" s="3124">
        <v>4</v>
      </c>
      <c r="Z614" s="3124">
        <v>5000</v>
      </c>
      <c r="AA614" s="3124">
        <v>23000</v>
      </c>
      <c r="AB614" t="s">
        <v>2653</v>
      </c>
      <c r="AC614" s="3124"/>
    </row>
    <row r="615" spans="1:29">
      <c r="A615" s="3124">
        <v>614</v>
      </c>
      <c r="B615" s="3124" t="s">
        <v>3319</v>
      </c>
      <c r="C615" s="3124" t="s">
        <v>3855</v>
      </c>
      <c r="D615" s="3124" t="s">
        <v>3336</v>
      </c>
      <c r="E615" t="s">
        <v>2602</v>
      </c>
      <c r="F615" s="3234" t="s">
        <v>3337</v>
      </c>
      <c r="G615" s="3124" t="s">
        <v>3338</v>
      </c>
      <c r="H615" s="3124"/>
      <c r="I615" s="3124"/>
      <c r="J615" s="3124"/>
      <c r="K615" s="3124"/>
      <c r="L615" s="3124">
        <v>5500</v>
      </c>
      <c r="M615" s="3124" t="s">
        <v>1843</v>
      </c>
      <c r="N615" s="3192"/>
      <c r="O615" s="3192"/>
      <c r="P615" s="3192"/>
      <c r="Q615" s="3192"/>
      <c r="R615" s="3124" t="s">
        <v>433</v>
      </c>
      <c r="S615" s="3124" t="s">
        <v>3326</v>
      </c>
      <c r="T615" s="3124" t="s">
        <v>1850</v>
      </c>
      <c r="U615" t="s">
        <v>1195</v>
      </c>
      <c r="V615" s="3124">
        <v>15000</v>
      </c>
      <c r="W615" s="3193">
        <v>0.6333333333333333</v>
      </c>
      <c r="X615" s="3124">
        <v>9500</v>
      </c>
      <c r="Y615" s="3124"/>
      <c r="Z615" s="3124"/>
      <c r="AA615" s="3124"/>
      <c r="AB615" t="s">
        <v>1195</v>
      </c>
      <c r="AC615" s="3124"/>
    </row>
    <row r="616" spans="1:29">
      <c r="A616" s="3124">
        <v>615</v>
      </c>
      <c r="B616" s="3124" t="s">
        <v>3319</v>
      </c>
      <c r="C616" s="3220" t="s">
        <v>2377</v>
      </c>
      <c r="D616" s="3220" t="s">
        <v>3336</v>
      </c>
      <c r="E616" t="s">
        <v>3339</v>
      </c>
      <c r="F616" s="3234" t="s">
        <v>2379</v>
      </c>
      <c r="G616" s="3124"/>
      <c r="H616" s="3124"/>
      <c r="I616" s="3124"/>
      <c r="J616" s="3124"/>
      <c r="K616" s="3124"/>
      <c r="L616" s="3124"/>
      <c r="M616" s="3124" t="s">
        <v>1843</v>
      </c>
      <c r="N616" s="3192"/>
      <c r="O616" s="3192"/>
      <c r="P616" s="3192"/>
      <c r="Q616" s="3192"/>
      <c r="R616" s="3124" t="s">
        <v>432</v>
      </c>
      <c r="S616" s="3124" t="s">
        <v>3326</v>
      </c>
      <c r="T616" s="3124" t="s">
        <v>1850</v>
      </c>
      <c r="U616" t="s">
        <v>1195</v>
      </c>
      <c r="V616" s="3124">
        <v>15000</v>
      </c>
      <c r="W616" s="3193">
        <v>1</v>
      </c>
      <c r="X616" s="3124">
        <v>15000</v>
      </c>
      <c r="Y616" s="3124"/>
      <c r="Z616" s="3124"/>
      <c r="AA616" s="3124"/>
      <c r="AB616" t="s">
        <v>1195</v>
      </c>
      <c r="AC616" s="3124"/>
    </row>
    <row r="617" spans="1:29">
      <c r="A617" s="3124">
        <v>616</v>
      </c>
      <c r="B617" s="3124" t="s">
        <v>3319</v>
      </c>
      <c r="C617" s="3124"/>
      <c r="D617" s="3124" t="s">
        <v>3336</v>
      </c>
      <c r="E617" t="s">
        <v>3340</v>
      </c>
      <c r="F617" s="3234">
        <v>9841163461</v>
      </c>
      <c r="G617" s="3124" t="s">
        <v>3341</v>
      </c>
      <c r="H617" s="3124"/>
      <c r="I617" s="3124"/>
      <c r="J617" s="3124"/>
      <c r="K617" s="3124"/>
      <c r="L617" s="3124"/>
      <c r="M617" s="3124" t="s">
        <v>1843</v>
      </c>
      <c r="N617" s="3192"/>
      <c r="O617" s="3192"/>
      <c r="P617" s="3192"/>
      <c r="Q617" s="3192"/>
      <c r="R617" s="3124" t="s">
        <v>2573</v>
      </c>
      <c r="S617" s="3124" t="s">
        <v>3326</v>
      </c>
      <c r="T617" s="3124" t="s">
        <v>1850</v>
      </c>
      <c r="U617" t="s">
        <v>1195</v>
      </c>
      <c r="V617" s="3124">
        <v>15000</v>
      </c>
      <c r="W617" s="3193">
        <v>1</v>
      </c>
      <c r="X617" s="3124">
        <v>15000</v>
      </c>
      <c r="Y617" s="3124"/>
      <c r="Z617" s="3124"/>
      <c r="AA617" s="3124"/>
      <c r="AB617" t="s">
        <v>1195</v>
      </c>
      <c r="AC617" s="3124"/>
    </row>
    <row r="618" spans="1:29">
      <c r="A618" s="3124">
        <v>617</v>
      </c>
      <c r="B618" s="3124" t="s">
        <v>3319</v>
      </c>
      <c r="C618" s="3124" t="s">
        <v>2601</v>
      </c>
      <c r="D618" s="3124" t="s">
        <v>3336</v>
      </c>
      <c r="E618" s="3161" t="s">
        <v>2615</v>
      </c>
      <c r="F618" s="3802" t="s">
        <v>3342</v>
      </c>
      <c r="G618" s="3124"/>
      <c r="H618" s="3124"/>
      <c r="I618" s="3124"/>
      <c r="J618" s="3124"/>
      <c r="K618" s="3124"/>
      <c r="L618" s="3124"/>
      <c r="M618" s="3124"/>
      <c r="N618" s="3192"/>
      <c r="O618" s="3192"/>
      <c r="P618" s="3192"/>
      <c r="Q618" s="3192"/>
      <c r="R618" s="3124" t="s">
        <v>432</v>
      </c>
      <c r="S618" s="3124" t="s">
        <v>3326</v>
      </c>
      <c r="T618" s="3124" t="s">
        <v>1850</v>
      </c>
      <c r="U618" t="s">
        <v>1195</v>
      </c>
      <c r="V618" s="3124">
        <v>15000</v>
      </c>
      <c r="W618" s="3193">
        <v>1</v>
      </c>
      <c r="X618" s="3124">
        <v>15000</v>
      </c>
      <c r="Y618" s="3124"/>
      <c r="Z618" s="3124"/>
      <c r="AA618" s="3124"/>
      <c r="AB618" t="s">
        <v>1195</v>
      </c>
      <c r="AC618" s="3124"/>
    </row>
    <row r="619" spans="1:29">
      <c r="A619" s="3124">
        <v>618</v>
      </c>
      <c r="B619" s="3124" t="s">
        <v>3343</v>
      </c>
      <c r="C619" s="3124" t="s">
        <v>3344</v>
      </c>
      <c r="D619" s="3124" t="s">
        <v>3345</v>
      </c>
      <c r="E619" t="s">
        <v>3346</v>
      </c>
      <c r="F619" s="3234">
        <v>5543444448</v>
      </c>
      <c r="G619" s="3124" t="s">
        <v>3347</v>
      </c>
      <c r="H619" s="3124">
        <v>6</v>
      </c>
      <c r="I619" s="3124">
        <v>6</v>
      </c>
      <c r="J619" s="3124" t="s">
        <v>1948</v>
      </c>
      <c r="K619" s="3124"/>
      <c r="L619" s="3124">
        <v>2520</v>
      </c>
      <c r="M619" s="3124" t="s">
        <v>3348</v>
      </c>
      <c r="N619" s="3192">
        <v>45268</v>
      </c>
      <c r="O619" s="3192">
        <v>45420</v>
      </c>
      <c r="P619" s="3192">
        <v>45266</v>
      </c>
      <c r="Q619" s="3192">
        <v>45052</v>
      </c>
      <c r="R619" s="3124" t="s">
        <v>433</v>
      </c>
      <c r="S619" s="3124" t="s">
        <v>2574</v>
      </c>
      <c r="T619" s="3124" t="s">
        <v>2887</v>
      </c>
      <c r="U619" t="s">
        <v>2653</v>
      </c>
      <c r="V619" s="3124">
        <v>5000</v>
      </c>
      <c r="W619" s="3193">
        <v>0.496</v>
      </c>
      <c r="X619" s="3124">
        <v>2480</v>
      </c>
      <c r="Y619" s="3124"/>
      <c r="Z619" s="3124"/>
      <c r="AA619" s="3124"/>
      <c r="AB619" t="s">
        <v>2653</v>
      </c>
      <c r="AC619" s="3124"/>
    </row>
    <row r="620" spans="1:29">
      <c r="A620" s="3124">
        <v>619</v>
      </c>
      <c r="B620" s="3124" t="s">
        <v>3343</v>
      </c>
      <c r="C620" s="3124" t="s">
        <v>3349</v>
      </c>
      <c r="D620" s="3124" t="s">
        <v>3350</v>
      </c>
      <c r="E620" t="s">
        <v>3351</v>
      </c>
      <c r="F620" s="3234">
        <v>9381106781</v>
      </c>
      <c r="G620" s="3124" t="s">
        <v>3352</v>
      </c>
      <c r="H620" s="3124">
        <v>6</v>
      </c>
      <c r="I620" s="3124">
        <v>6</v>
      </c>
      <c r="J620" s="3124">
        <v>1200</v>
      </c>
      <c r="K620" s="3124"/>
      <c r="L620" s="3124">
        <v>2520</v>
      </c>
      <c r="M620" s="3124" t="s">
        <v>3348</v>
      </c>
      <c r="N620" s="3192">
        <v>45268</v>
      </c>
      <c r="O620" s="3192">
        <v>45420</v>
      </c>
      <c r="P620" s="3192">
        <v>45265</v>
      </c>
      <c r="Q620" s="3192">
        <v>45417</v>
      </c>
      <c r="R620" s="3124" t="s">
        <v>433</v>
      </c>
      <c r="S620" s="3124" t="s">
        <v>2574</v>
      </c>
      <c r="T620" s="3124" t="s">
        <v>2887</v>
      </c>
      <c r="U620" t="s">
        <v>1195</v>
      </c>
      <c r="V620" s="3124">
        <v>5000</v>
      </c>
      <c r="W620" s="3193">
        <v>0.496</v>
      </c>
      <c r="X620" s="3124">
        <v>2480</v>
      </c>
      <c r="Y620" s="3124">
        <v>0</v>
      </c>
      <c r="Z620" s="3124"/>
      <c r="AA620" s="3124">
        <v>0</v>
      </c>
      <c r="AB620" t="s">
        <v>1195</v>
      </c>
      <c r="AC620" s="3124"/>
    </row>
    <row r="621" spans="1:29">
      <c r="A621" s="3124">
        <v>620</v>
      </c>
      <c r="B621" s="3124" t="s">
        <v>3319</v>
      </c>
      <c r="C621" s="3124" t="s">
        <v>3353</v>
      </c>
      <c r="D621" s="3124"/>
      <c r="E621" s="3153" t="s">
        <v>3354</v>
      </c>
      <c r="F621" s="3234">
        <v>5520655247</v>
      </c>
      <c r="G621" s="3124" t="s">
        <v>3355</v>
      </c>
      <c r="H621" s="3124">
        <v>1</v>
      </c>
      <c r="I621" s="3124">
        <v>1</v>
      </c>
      <c r="J621" s="3124"/>
      <c r="K621" s="3124"/>
      <c r="L621" s="3124">
        <v>5500</v>
      </c>
      <c r="M621" s="3124" t="s">
        <v>1843</v>
      </c>
      <c r="N621" s="3192">
        <v>45224</v>
      </c>
      <c r="O621" s="3192">
        <v>45224</v>
      </c>
      <c r="P621" s="3192"/>
      <c r="Q621" s="3192"/>
      <c r="R621" s="3124"/>
      <c r="S621" s="3124" t="s">
        <v>3326</v>
      </c>
      <c r="T621" s="3124" t="s">
        <v>1850</v>
      </c>
      <c r="U621" t="s">
        <v>1195</v>
      </c>
      <c r="V621" s="3124">
        <v>15000</v>
      </c>
      <c r="W621" s="3193">
        <v>0.6333333333333333</v>
      </c>
      <c r="X621" s="3124">
        <v>9500</v>
      </c>
      <c r="Y621" s="3124"/>
      <c r="Z621" s="3124"/>
      <c r="AA621" s="3124"/>
      <c r="AB621" t="s">
        <v>1195</v>
      </c>
      <c r="AC621" s="3124"/>
    </row>
    <row r="622" spans="1:29">
      <c r="A622" s="3124">
        <v>621</v>
      </c>
      <c r="B622" s="3124" t="s">
        <v>3319</v>
      </c>
      <c r="C622" s="3124"/>
      <c r="D622" s="3124" t="s">
        <v>3336</v>
      </c>
      <c r="E622" t="s">
        <v>3356</v>
      </c>
      <c r="F622" s="3234">
        <v>7772575382</v>
      </c>
      <c r="G622" s="3124" t="s">
        <v>3357</v>
      </c>
      <c r="H622" s="3124">
        <v>1</v>
      </c>
      <c r="I622" s="3124">
        <v>1</v>
      </c>
      <c r="J622" s="3124"/>
      <c r="K622" s="3124"/>
      <c r="L622" s="3124">
        <v>5500</v>
      </c>
      <c r="M622" s="3124" t="s">
        <v>1843</v>
      </c>
      <c r="N622" s="3192">
        <v>45224</v>
      </c>
      <c r="O622" s="3192">
        <v>45224</v>
      </c>
      <c r="P622" s="3192"/>
      <c r="Q622" s="3192"/>
      <c r="R622" s="3124"/>
      <c r="S622" s="3124" t="s">
        <v>3326</v>
      </c>
      <c r="T622" s="3124" t="s">
        <v>1850</v>
      </c>
      <c r="U622" t="s">
        <v>1195</v>
      </c>
      <c r="V622" s="3124">
        <v>15000</v>
      </c>
      <c r="W622" s="3193">
        <v>0.6333333333333333</v>
      </c>
      <c r="X622" s="3124">
        <v>9500</v>
      </c>
      <c r="Y622" s="3124"/>
      <c r="Z622" s="3124"/>
      <c r="AA622" s="3124"/>
      <c r="AB622" t="s">
        <v>1195</v>
      </c>
      <c r="AC622" s="3124"/>
    </row>
    <row r="623" spans="1:29">
      <c r="A623" s="3124">
        <v>622</v>
      </c>
      <c r="B623" s="3124" t="s">
        <v>3319</v>
      </c>
      <c r="C623" s="3124"/>
      <c r="D623" s="3124" t="s">
        <v>3358</v>
      </c>
      <c r="E623" t="s">
        <v>3359</v>
      </c>
      <c r="F623" s="3234" t="s">
        <v>3360</v>
      </c>
      <c r="G623" s="3124"/>
      <c r="H623" s="3124">
        <v>1</v>
      </c>
      <c r="I623" s="3124">
        <v>1</v>
      </c>
      <c r="J623" s="3124"/>
      <c r="K623" s="3124"/>
      <c r="L623" s="3124">
        <v>5500</v>
      </c>
      <c r="M623" s="3124" t="s">
        <v>3361</v>
      </c>
      <c r="N623" s="3192">
        <v>45224</v>
      </c>
      <c r="O623" s="3192">
        <v>45224</v>
      </c>
      <c r="P623" s="3192"/>
      <c r="Q623" s="3192"/>
      <c r="R623" s="3124"/>
      <c r="S623" s="3124" t="s">
        <v>3326</v>
      </c>
      <c r="T623" s="3124" t="s">
        <v>1850</v>
      </c>
      <c r="U623" t="s">
        <v>1195</v>
      </c>
      <c r="V623" s="3124">
        <v>15000</v>
      </c>
      <c r="W623" s="3193">
        <v>0.6333333333333333</v>
      </c>
      <c r="X623" s="3124">
        <v>9500</v>
      </c>
      <c r="Y623" s="3124"/>
      <c r="Z623" s="3124"/>
      <c r="AA623" s="3124"/>
      <c r="AB623" t="s">
        <v>1195</v>
      </c>
      <c r="AC623" s="3124"/>
    </row>
    <row r="624" spans="1:29">
      <c r="A624" s="3124">
        <v>623</v>
      </c>
      <c r="B624" s="3124" t="s">
        <v>3319</v>
      </c>
      <c r="C624" s="3124"/>
      <c r="D624" s="3124" t="s">
        <v>3358</v>
      </c>
      <c r="E624" t="s">
        <v>3362</v>
      </c>
      <c r="F624" s="3234" t="s">
        <v>3363</v>
      </c>
      <c r="G624" s="3124" t="s">
        <v>3364</v>
      </c>
      <c r="H624" s="3124">
        <v>1</v>
      </c>
      <c r="I624" s="3124">
        <v>1</v>
      </c>
      <c r="J624" s="3124">
        <v>1000</v>
      </c>
      <c r="K624" s="3124"/>
      <c r="L624" s="3124">
        <v>5500</v>
      </c>
      <c r="M624" s="3124" t="s">
        <v>3361</v>
      </c>
      <c r="N624" s="3192">
        <v>45224</v>
      </c>
      <c r="O624" s="3192">
        <v>45224</v>
      </c>
      <c r="P624" s="3192"/>
      <c r="Q624" s="3192"/>
      <c r="R624" s="3124"/>
      <c r="S624" s="3124" t="s">
        <v>3326</v>
      </c>
      <c r="T624" s="3124" t="s">
        <v>1850</v>
      </c>
      <c r="U624" t="s">
        <v>1195</v>
      </c>
      <c r="V624" s="3124">
        <v>15000</v>
      </c>
      <c r="W624" s="3193">
        <v>0.6333333333333333</v>
      </c>
      <c r="X624" s="3124">
        <v>9500</v>
      </c>
      <c r="Y624" s="3124"/>
      <c r="Z624" s="3124"/>
      <c r="AA624" s="3124"/>
      <c r="AB624" t="s">
        <v>1195</v>
      </c>
      <c r="AC624" s="3124"/>
    </row>
    <row r="625" spans="1:29">
      <c r="A625" s="3124">
        <v>624</v>
      </c>
      <c r="B625" s="3124" t="s">
        <v>3319</v>
      </c>
      <c r="C625" s="3124" t="s">
        <v>3365</v>
      </c>
      <c r="D625" s="3124" t="s">
        <v>3336</v>
      </c>
      <c r="E625" t="s">
        <v>3366</v>
      </c>
      <c r="F625" s="3234" t="s">
        <v>3367</v>
      </c>
      <c r="G625" s="3124" t="s">
        <v>4647</v>
      </c>
      <c r="H625" s="3124">
        <v>1</v>
      </c>
      <c r="I625" s="3124">
        <v>1</v>
      </c>
      <c r="J625" s="3124"/>
      <c r="K625" s="3124"/>
      <c r="L625" s="3124">
        <v>5500</v>
      </c>
      <c r="M625" s="3124" t="s">
        <v>1850</v>
      </c>
      <c r="N625" s="3192">
        <v>45224</v>
      </c>
      <c r="O625" s="3192">
        <v>45224</v>
      </c>
      <c r="P625" s="3192"/>
      <c r="Q625" s="3192"/>
      <c r="R625" s="3124" t="s">
        <v>433</v>
      </c>
      <c r="S625" s="3124" t="s">
        <v>3326</v>
      </c>
      <c r="T625" s="3124" t="s">
        <v>1850</v>
      </c>
      <c r="U625" t="s">
        <v>1195</v>
      </c>
      <c r="V625" s="3124">
        <v>15000</v>
      </c>
      <c r="W625" s="3193">
        <v>0.6333333333333333</v>
      </c>
      <c r="X625" s="3124">
        <v>9500</v>
      </c>
      <c r="Y625" s="3124"/>
      <c r="Z625" s="3124"/>
      <c r="AA625" s="3124"/>
      <c r="AB625" t="s">
        <v>1195</v>
      </c>
      <c r="AC625" s="3124"/>
    </row>
    <row r="626" spans="1:29">
      <c r="A626" s="3124">
        <v>625</v>
      </c>
      <c r="B626" s="3124" t="s">
        <v>3319</v>
      </c>
      <c r="C626" s="3124"/>
      <c r="D626" s="3124" t="s">
        <v>3336</v>
      </c>
      <c r="E626" t="s">
        <v>3368</v>
      </c>
      <c r="F626" s="3234" t="s">
        <v>3369</v>
      </c>
      <c r="G626" s="3124" t="s">
        <v>3370</v>
      </c>
      <c r="H626" s="3124">
        <v>1</v>
      </c>
      <c r="I626" s="3124">
        <v>1</v>
      </c>
      <c r="J626" s="3124">
        <v>1000</v>
      </c>
      <c r="K626" s="3124"/>
      <c r="L626" s="3124">
        <v>5500</v>
      </c>
      <c r="M626" s="3124" t="s">
        <v>1843</v>
      </c>
      <c r="N626" s="3192">
        <v>45224</v>
      </c>
      <c r="O626" s="3192">
        <v>45224</v>
      </c>
      <c r="P626" s="3192"/>
      <c r="Q626" s="3192"/>
      <c r="R626" s="3124" t="s">
        <v>2573</v>
      </c>
      <c r="S626" s="3124" t="s">
        <v>3326</v>
      </c>
      <c r="T626" s="3124" t="s">
        <v>1850</v>
      </c>
      <c r="U626" t="s">
        <v>1195</v>
      </c>
      <c r="V626" s="3124">
        <v>15000</v>
      </c>
      <c r="W626" s="3193">
        <v>0.6333333333333333</v>
      </c>
      <c r="X626" s="3124">
        <v>9500</v>
      </c>
      <c r="Y626" s="3124"/>
      <c r="Z626" s="3124"/>
      <c r="AA626" s="3124"/>
      <c r="AB626" t="s">
        <v>1195</v>
      </c>
      <c r="AC626" s="3124"/>
    </row>
    <row r="627" spans="1:29">
      <c r="A627" s="3124">
        <v>626</v>
      </c>
      <c r="B627" s="3124" t="s">
        <v>3319</v>
      </c>
      <c r="C627" s="3124" t="s">
        <v>220</v>
      </c>
      <c r="D627" s="3124" t="s">
        <v>3336</v>
      </c>
      <c r="E627" t="s">
        <v>5460</v>
      </c>
      <c r="F627" s="3234" t="s">
        <v>2237</v>
      </c>
      <c r="G627" s="3124" t="s">
        <v>2238</v>
      </c>
      <c r="H627" s="3124">
        <v>1</v>
      </c>
      <c r="I627" s="3124">
        <v>1</v>
      </c>
      <c r="J627" s="3124">
        <v>1500</v>
      </c>
      <c r="K627" s="3124"/>
      <c r="L627" s="3124">
        <v>5500</v>
      </c>
      <c r="M627" s="3124" t="s">
        <v>3371</v>
      </c>
      <c r="N627" s="3192">
        <v>45224</v>
      </c>
      <c r="O627" s="3192">
        <v>45224</v>
      </c>
      <c r="P627" s="3192"/>
      <c r="Q627" s="3192"/>
      <c r="R627" s="3124" t="s">
        <v>432</v>
      </c>
      <c r="S627" s="3124" t="s">
        <v>3326</v>
      </c>
      <c r="T627" s="3124" t="s">
        <v>1850</v>
      </c>
      <c r="U627" t="s">
        <v>1195</v>
      </c>
      <c r="V627" s="3124">
        <v>15000</v>
      </c>
      <c r="W627" s="3193">
        <v>0.6333333333333333</v>
      </c>
      <c r="X627" s="3124">
        <v>9500</v>
      </c>
      <c r="Y627" s="3124"/>
      <c r="Z627" s="3124"/>
      <c r="AA627" s="3124"/>
      <c r="AB627" t="s">
        <v>1195</v>
      </c>
      <c r="AC627" s="3124"/>
    </row>
    <row r="628" spans="1:29">
      <c r="A628" s="3124">
        <v>627</v>
      </c>
      <c r="B628" s="3124" t="s">
        <v>3319</v>
      </c>
      <c r="C628" s="3124" t="s">
        <v>205</v>
      </c>
      <c r="D628" s="3124" t="s">
        <v>3336</v>
      </c>
      <c r="E628" t="s">
        <v>207</v>
      </c>
      <c r="F628" s="3234" t="s">
        <v>2237</v>
      </c>
      <c r="G628" s="3124" t="s">
        <v>5269</v>
      </c>
      <c r="H628" s="3124">
        <v>1</v>
      </c>
      <c r="I628" s="3124">
        <v>1</v>
      </c>
      <c r="J628" s="3124">
        <v>1500</v>
      </c>
      <c r="K628" s="3124"/>
      <c r="L628" s="3124">
        <v>5500</v>
      </c>
      <c r="M628" s="3124" t="s">
        <v>3371</v>
      </c>
      <c r="N628" s="3192">
        <v>45224</v>
      </c>
      <c r="O628" s="3192">
        <v>45224</v>
      </c>
      <c r="P628" s="3192"/>
      <c r="Q628" s="3192"/>
      <c r="R628" s="3124" t="s">
        <v>432</v>
      </c>
      <c r="S628" s="3124" t="s">
        <v>3326</v>
      </c>
      <c r="T628" s="3124" t="s">
        <v>1850</v>
      </c>
      <c r="U628" t="s">
        <v>1195</v>
      </c>
      <c r="V628" s="3124">
        <v>15000</v>
      </c>
      <c r="W628" s="3193">
        <v>0.6333333333333333</v>
      </c>
      <c r="X628" s="3124">
        <v>9500</v>
      </c>
      <c r="Y628" s="3124"/>
      <c r="Z628" s="3124"/>
      <c r="AA628" s="3124"/>
      <c r="AB628" t="s">
        <v>1195</v>
      </c>
      <c r="AC628" s="3124"/>
    </row>
    <row r="629" spans="1:29">
      <c r="A629" s="3124">
        <v>628</v>
      </c>
      <c r="B629" s="3124" t="s">
        <v>3319</v>
      </c>
      <c r="C629" s="3124"/>
      <c r="D629" s="3124" t="s">
        <v>3336</v>
      </c>
      <c r="E629" t="s">
        <v>3372</v>
      </c>
      <c r="F629" s="3234" t="s">
        <v>2237</v>
      </c>
      <c r="G629" s="3124"/>
      <c r="H629" s="3124">
        <v>1</v>
      </c>
      <c r="I629" s="3124">
        <v>1</v>
      </c>
      <c r="J629" s="3124">
        <v>1500</v>
      </c>
      <c r="K629" s="3124"/>
      <c r="L629" s="3124">
        <v>5500</v>
      </c>
      <c r="M629" s="3124" t="s">
        <v>3371</v>
      </c>
      <c r="N629" s="3192">
        <v>45224</v>
      </c>
      <c r="O629" s="3192">
        <v>45224</v>
      </c>
      <c r="P629" s="3192"/>
      <c r="Q629" s="3192"/>
      <c r="R629" s="3124" t="s">
        <v>2573</v>
      </c>
      <c r="S629" s="3124" t="s">
        <v>3326</v>
      </c>
      <c r="T629" s="3124" t="s">
        <v>1850</v>
      </c>
      <c r="U629" t="s">
        <v>1195</v>
      </c>
      <c r="V629" s="3124">
        <v>15000</v>
      </c>
      <c r="W629" s="3193">
        <v>0.6333333333333333</v>
      </c>
      <c r="X629" s="3124">
        <v>9500</v>
      </c>
      <c r="Y629" s="3124"/>
      <c r="Z629" s="3124"/>
      <c r="AA629" s="3124"/>
      <c r="AB629" t="s">
        <v>1195</v>
      </c>
      <c r="AC629" s="3124"/>
    </row>
    <row r="630" spans="1:29">
      <c r="A630" s="3124">
        <v>629</v>
      </c>
      <c r="B630" s="3124" t="s">
        <v>3319</v>
      </c>
      <c r="C630" s="3124"/>
      <c r="D630" s="3124" t="s">
        <v>3373</v>
      </c>
      <c r="E630" t="s">
        <v>3374</v>
      </c>
      <c r="F630" s="3234" t="s">
        <v>2237</v>
      </c>
      <c r="G630" s="3124"/>
      <c r="H630" s="3124">
        <v>1</v>
      </c>
      <c r="I630" s="3124">
        <v>1</v>
      </c>
      <c r="J630" s="3124">
        <v>1500</v>
      </c>
      <c r="K630" s="3124"/>
      <c r="L630" s="3124">
        <v>5500</v>
      </c>
      <c r="M630" s="3124" t="s">
        <v>3371</v>
      </c>
      <c r="N630" s="3192">
        <v>45224</v>
      </c>
      <c r="O630" s="3192">
        <v>45224</v>
      </c>
      <c r="P630" s="3192"/>
      <c r="Q630" s="3192"/>
      <c r="R630" s="3124" t="s">
        <v>2573</v>
      </c>
      <c r="S630" s="3124" t="s">
        <v>3326</v>
      </c>
      <c r="T630" s="3124" t="s">
        <v>1850</v>
      </c>
      <c r="U630" t="s">
        <v>1195</v>
      </c>
      <c r="V630" s="3124">
        <v>15000</v>
      </c>
      <c r="W630" s="3193">
        <v>0.6333333333333333</v>
      </c>
      <c r="X630" s="3124">
        <v>9500</v>
      </c>
      <c r="Y630" s="3124"/>
      <c r="Z630" s="3124"/>
      <c r="AA630" s="3124"/>
      <c r="AB630" t="s">
        <v>1195</v>
      </c>
      <c r="AC630" s="3124"/>
    </row>
    <row r="631" spans="1:29">
      <c r="A631" s="3124">
        <v>630</v>
      </c>
      <c r="B631" s="3124" t="s">
        <v>3319</v>
      </c>
      <c r="C631" s="3124"/>
      <c r="D631" s="3124" t="s">
        <v>3336</v>
      </c>
      <c r="E631" t="s">
        <v>3375</v>
      </c>
      <c r="F631" s="3234" t="s">
        <v>3376</v>
      </c>
      <c r="G631" s="3124"/>
      <c r="H631" s="3124">
        <v>1</v>
      </c>
      <c r="I631" s="3124">
        <v>1</v>
      </c>
      <c r="J631" s="3124">
        <v>1000</v>
      </c>
      <c r="K631" s="3124"/>
      <c r="L631" s="3124">
        <v>5500</v>
      </c>
      <c r="M631" s="3124" t="s">
        <v>3371</v>
      </c>
      <c r="N631" s="3192">
        <v>45224</v>
      </c>
      <c r="O631" s="3192">
        <v>45224</v>
      </c>
      <c r="P631" s="3192"/>
      <c r="Q631" s="3192"/>
      <c r="R631" s="3124" t="s">
        <v>2573</v>
      </c>
      <c r="S631" s="3124" t="s">
        <v>3326</v>
      </c>
      <c r="T631" s="3124" t="s">
        <v>1850</v>
      </c>
      <c r="U631" t="s">
        <v>1195</v>
      </c>
      <c r="V631" s="3124">
        <v>15000</v>
      </c>
      <c r="W631" s="3193">
        <v>0.6333333333333333</v>
      </c>
      <c r="X631" s="3124">
        <v>9500</v>
      </c>
      <c r="Y631" s="3124"/>
      <c r="Z631" s="3124"/>
      <c r="AA631" s="3124"/>
      <c r="AB631" t="s">
        <v>1195</v>
      </c>
      <c r="AC631" s="3124"/>
    </row>
    <row r="632" spans="1:29">
      <c r="A632" s="3124">
        <v>631</v>
      </c>
      <c r="B632" s="3124" t="s">
        <v>3319</v>
      </c>
      <c r="C632" s="3124" t="s">
        <v>3377</v>
      </c>
      <c r="D632" s="3124" t="s">
        <v>3358</v>
      </c>
      <c r="E632" t="s">
        <v>2014</v>
      </c>
      <c r="F632" s="3234" t="s">
        <v>3378</v>
      </c>
      <c r="G632" s="3124" t="s">
        <v>3379</v>
      </c>
      <c r="H632" s="3124">
        <v>1</v>
      </c>
      <c r="I632" s="3124">
        <v>1</v>
      </c>
      <c r="J632" s="3124">
        <v>2000</v>
      </c>
      <c r="K632" s="3124"/>
      <c r="L632" s="3124">
        <v>5500</v>
      </c>
      <c r="M632" s="3124" t="s">
        <v>3380</v>
      </c>
      <c r="N632" s="3192">
        <v>45248</v>
      </c>
      <c r="O632" s="3192">
        <v>45248</v>
      </c>
      <c r="P632" s="3192"/>
      <c r="Q632" s="3192"/>
      <c r="R632" s="3124" t="s">
        <v>433</v>
      </c>
      <c r="S632" s="3124" t="s">
        <v>3326</v>
      </c>
      <c r="T632" s="3124" t="s">
        <v>3361</v>
      </c>
      <c r="U632" t="s">
        <v>1195</v>
      </c>
      <c r="V632" s="3124">
        <v>15000</v>
      </c>
      <c r="W632" s="3193">
        <v>0.6333333333333333</v>
      </c>
      <c r="X632" s="3124">
        <v>9500</v>
      </c>
      <c r="Y632" s="3124"/>
      <c r="Z632" s="3124"/>
      <c r="AA632" s="3124"/>
      <c r="AB632" t="s">
        <v>1195</v>
      </c>
      <c r="AC632" s="3124"/>
    </row>
    <row r="633" spans="1:29">
      <c r="A633" s="3124">
        <v>632</v>
      </c>
      <c r="B633" s="3124" t="s">
        <v>3319</v>
      </c>
      <c r="C633" s="3124" t="s">
        <v>935</v>
      </c>
      <c r="D633" s="3124" t="s">
        <v>3373</v>
      </c>
      <c r="E633" t="s">
        <v>1128</v>
      </c>
      <c r="F633" s="3234">
        <v>9871191661</v>
      </c>
      <c r="G633" s="3124" t="s">
        <v>3381</v>
      </c>
      <c r="H633" s="3124">
        <v>1</v>
      </c>
      <c r="I633" s="3124">
        <v>1</v>
      </c>
      <c r="J633" s="3124"/>
      <c r="K633" s="3124"/>
      <c r="L633" s="3124">
        <v>5500</v>
      </c>
      <c r="M633" s="3124" t="s">
        <v>3371</v>
      </c>
      <c r="N633" s="3192">
        <v>45224</v>
      </c>
      <c r="O633" s="3192">
        <v>45224</v>
      </c>
      <c r="P633" s="3192">
        <v>45236</v>
      </c>
      <c r="Q633" s="3192">
        <v>45236</v>
      </c>
      <c r="R633" s="3124" t="s">
        <v>432</v>
      </c>
      <c r="S633" s="3124" t="s">
        <v>3326</v>
      </c>
      <c r="T633" s="3124" t="s">
        <v>1850</v>
      </c>
      <c r="U633" t="s">
        <v>1195</v>
      </c>
      <c r="V633" s="3124">
        <v>15000</v>
      </c>
      <c r="W633" s="3193">
        <v>0.6333333333333333</v>
      </c>
      <c r="X633" s="3124">
        <v>9500</v>
      </c>
      <c r="Y633" s="3124"/>
      <c r="Z633" s="3124"/>
      <c r="AA633" s="3124"/>
      <c r="AB633" t="s">
        <v>1195</v>
      </c>
      <c r="AC633" s="3124"/>
    </row>
    <row r="634" spans="1:29">
      <c r="A634" s="3124">
        <v>633</v>
      </c>
      <c r="B634" s="3124" t="s">
        <v>3319</v>
      </c>
      <c r="C634" s="3124"/>
      <c r="D634" s="3124" t="s">
        <v>3358</v>
      </c>
      <c r="E634" t="s">
        <v>3382</v>
      </c>
      <c r="F634" s="3234" t="s">
        <v>3383</v>
      </c>
      <c r="G634" s="3124"/>
      <c r="H634" s="3124">
        <v>1</v>
      </c>
      <c r="I634" s="3124">
        <v>1</v>
      </c>
      <c r="J634" s="3124">
        <v>1000</v>
      </c>
      <c r="K634" s="3124"/>
      <c r="L634" s="3124"/>
      <c r="M634" s="3124" t="s">
        <v>3380</v>
      </c>
      <c r="N634" s="3192">
        <v>45248</v>
      </c>
      <c r="O634" s="3192">
        <v>45248</v>
      </c>
      <c r="P634" s="3192"/>
      <c r="Q634" s="3192"/>
      <c r="R634" s="3124" t="s">
        <v>2573</v>
      </c>
      <c r="S634" s="3124" t="s">
        <v>3326</v>
      </c>
      <c r="T634" s="3124" t="s">
        <v>3361</v>
      </c>
      <c r="U634" t="s">
        <v>1195</v>
      </c>
      <c r="V634" s="3124">
        <v>15000</v>
      </c>
      <c r="W634" s="3193">
        <v>1</v>
      </c>
      <c r="X634" s="3124">
        <v>15000</v>
      </c>
      <c r="Y634" s="3124"/>
      <c r="Z634" s="3124"/>
      <c r="AA634" s="3124"/>
      <c r="AB634" t="s">
        <v>1195</v>
      </c>
      <c r="AC634" s="3124"/>
    </row>
    <row r="635" spans="1:29">
      <c r="A635" s="3124">
        <v>634</v>
      </c>
      <c r="B635" s="3124" t="s">
        <v>3319</v>
      </c>
      <c r="C635" s="3124"/>
      <c r="D635" s="3124" t="s">
        <v>3358</v>
      </c>
      <c r="E635" t="s">
        <v>3384</v>
      </c>
      <c r="F635" s="3234" t="s">
        <v>3385</v>
      </c>
      <c r="G635" s="3124"/>
      <c r="H635" s="3124">
        <v>1</v>
      </c>
      <c r="I635" s="3124">
        <v>1</v>
      </c>
      <c r="J635" s="3124">
        <v>1000</v>
      </c>
      <c r="K635" s="3124"/>
      <c r="L635" s="3124"/>
      <c r="M635" s="3124" t="s">
        <v>3380</v>
      </c>
      <c r="N635" s="3192">
        <v>45248</v>
      </c>
      <c r="O635" s="3192">
        <v>45248</v>
      </c>
      <c r="P635" s="3192"/>
      <c r="Q635" s="3192"/>
      <c r="R635" s="3124" t="s">
        <v>2573</v>
      </c>
      <c r="S635" s="3124" t="s">
        <v>3326</v>
      </c>
      <c r="T635" s="3124" t="s">
        <v>3361</v>
      </c>
      <c r="U635" t="s">
        <v>1195</v>
      </c>
      <c r="V635" s="3124">
        <v>15000</v>
      </c>
      <c r="W635" s="3193">
        <v>1</v>
      </c>
      <c r="X635" s="3124">
        <v>15000</v>
      </c>
      <c r="Y635" s="3124"/>
      <c r="Z635" s="3124"/>
      <c r="AA635" s="3124"/>
      <c r="AB635" t="s">
        <v>1195</v>
      </c>
      <c r="AC635" s="3124"/>
    </row>
    <row r="636" spans="1:29">
      <c r="A636" s="3124">
        <v>635</v>
      </c>
      <c r="B636" s="3124" t="s">
        <v>3319</v>
      </c>
      <c r="C636" s="3124"/>
      <c r="D636" s="3124" t="s">
        <v>3358</v>
      </c>
      <c r="E636" t="s">
        <v>3386</v>
      </c>
      <c r="F636" s="3234" t="s">
        <v>3387</v>
      </c>
      <c r="G636" s="3124"/>
      <c r="H636" s="3124">
        <v>1</v>
      </c>
      <c r="I636" s="3124">
        <v>1</v>
      </c>
      <c r="J636" s="3124">
        <v>1000</v>
      </c>
      <c r="K636" s="3124"/>
      <c r="L636" s="3124"/>
      <c r="M636" s="3124" t="s">
        <v>3380</v>
      </c>
      <c r="N636" s="3192">
        <v>45248</v>
      </c>
      <c r="O636" s="3192">
        <v>45248</v>
      </c>
      <c r="P636" s="3192"/>
      <c r="Q636" s="3192"/>
      <c r="R636" s="3124" t="s">
        <v>2573</v>
      </c>
      <c r="S636" s="3124" t="s">
        <v>3326</v>
      </c>
      <c r="T636" s="3124" t="s">
        <v>3361</v>
      </c>
      <c r="U636" t="s">
        <v>1195</v>
      </c>
      <c r="V636" s="3124">
        <v>15000</v>
      </c>
      <c r="W636" s="3193">
        <v>1</v>
      </c>
      <c r="X636" s="3124">
        <v>15000</v>
      </c>
      <c r="Y636" s="3124"/>
      <c r="Z636" s="3124"/>
      <c r="AA636" s="3124"/>
      <c r="AB636" t="s">
        <v>1195</v>
      </c>
      <c r="AC636" s="3124"/>
    </row>
    <row r="637" spans="1:29">
      <c r="A637" s="3124">
        <v>636</v>
      </c>
      <c r="B637" s="3124" t="s">
        <v>3319</v>
      </c>
      <c r="C637" s="3124"/>
      <c r="D637" s="3124" t="s">
        <v>3358</v>
      </c>
      <c r="E637" s="3136" t="s">
        <v>3388</v>
      </c>
      <c r="F637" s="3234" t="s">
        <v>3389</v>
      </c>
      <c r="G637" s="3124" t="s">
        <v>3390</v>
      </c>
      <c r="H637" s="3124">
        <v>1</v>
      </c>
      <c r="I637" s="3124">
        <v>1</v>
      </c>
      <c r="J637" s="3124"/>
      <c r="K637" s="3124"/>
      <c r="L637" s="3124">
        <v>5499</v>
      </c>
      <c r="M637" s="3124" t="s">
        <v>3380</v>
      </c>
      <c r="N637" s="3192">
        <v>45248</v>
      </c>
      <c r="O637" s="3192">
        <v>45248</v>
      </c>
      <c r="P637" s="3192"/>
      <c r="Q637" s="3192"/>
      <c r="R637" s="3124" t="s">
        <v>2573</v>
      </c>
      <c r="S637" s="3124" t="s">
        <v>3326</v>
      </c>
      <c r="T637" s="3124" t="s">
        <v>3361</v>
      </c>
      <c r="U637" t="s">
        <v>1195</v>
      </c>
      <c r="V637" s="3124">
        <v>15000</v>
      </c>
      <c r="W637" s="3193">
        <v>0.63339999999999996</v>
      </c>
      <c r="X637" s="3124">
        <v>9501</v>
      </c>
      <c r="Y637" s="3124"/>
      <c r="Z637" s="3124"/>
      <c r="AA637" s="3124"/>
      <c r="AB637" t="s">
        <v>1195</v>
      </c>
      <c r="AC637" s="3124"/>
    </row>
    <row r="638" spans="1:29">
      <c r="A638" s="3124">
        <v>637</v>
      </c>
      <c r="B638" s="3124" t="s">
        <v>3319</v>
      </c>
      <c r="C638" s="3124"/>
      <c r="D638" s="3124" t="s">
        <v>3358</v>
      </c>
      <c r="E638" t="s">
        <v>3391</v>
      </c>
      <c r="F638" s="3234" t="s">
        <v>3392</v>
      </c>
      <c r="G638" s="3124"/>
      <c r="H638" s="3124">
        <v>1</v>
      </c>
      <c r="I638" s="3124">
        <v>1</v>
      </c>
      <c r="J638" s="3124"/>
      <c r="K638" s="3124"/>
      <c r="L638" s="3124">
        <v>5499</v>
      </c>
      <c r="M638" s="3124" t="s">
        <v>3380</v>
      </c>
      <c r="N638" s="3192">
        <v>45248</v>
      </c>
      <c r="O638" s="3192">
        <v>45248</v>
      </c>
      <c r="P638" s="3192"/>
      <c r="Q638" s="3192"/>
      <c r="R638" s="3124" t="s">
        <v>2573</v>
      </c>
      <c r="S638" s="3124" t="s">
        <v>3326</v>
      </c>
      <c r="T638" s="3124" t="s">
        <v>3361</v>
      </c>
      <c r="U638" t="s">
        <v>1195</v>
      </c>
      <c r="V638" s="3124">
        <v>15000</v>
      </c>
      <c r="W638" s="3193">
        <v>0.63339999999999996</v>
      </c>
      <c r="X638" s="3124">
        <v>9501</v>
      </c>
      <c r="Y638" s="3124"/>
      <c r="Z638" s="3124"/>
      <c r="AA638" s="3124"/>
      <c r="AB638" t="s">
        <v>1195</v>
      </c>
      <c r="AC638" s="3124"/>
    </row>
    <row r="639" spans="1:29">
      <c r="A639" s="3124">
        <v>638</v>
      </c>
      <c r="B639" s="3124" t="s">
        <v>3319</v>
      </c>
      <c r="C639" s="3124"/>
      <c r="D639" s="3124" t="s">
        <v>3358</v>
      </c>
      <c r="E639" t="s">
        <v>3393</v>
      </c>
      <c r="F639" s="3234" t="s">
        <v>3392</v>
      </c>
      <c r="G639" s="3124"/>
      <c r="H639" s="3124">
        <v>1</v>
      </c>
      <c r="I639" s="3124">
        <v>1</v>
      </c>
      <c r="J639" s="3124"/>
      <c r="K639" s="3124"/>
      <c r="L639" s="3124">
        <v>5499</v>
      </c>
      <c r="M639" s="3124" t="s">
        <v>3380</v>
      </c>
      <c r="N639" s="3192">
        <v>45248</v>
      </c>
      <c r="O639" s="3192">
        <v>45248</v>
      </c>
      <c r="P639" s="3192"/>
      <c r="Q639" s="3192"/>
      <c r="R639" s="3124" t="s">
        <v>2573</v>
      </c>
      <c r="S639" s="3124" t="s">
        <v>3326</v>
      </c>
      <c r="T639" s="3124" t="s">
        <v>3361</v>
      </c>
      <c r="U639" t="s">
        <v>1195</v>
      </c>
      <c r="V639" s="3124">
        <v>15000</v>
      </c>
      <c r="W639" s="3193">
        <v>0.63339999999999996</v>
      </c>
      <c r="X639" s="3124">
        <v>9501</v>
      </c>
      <c r="Y639" s="3124"/>
      <c r="Z639" s="3124"/>
      <c r="AA639" s="3124"/>
      <c r="AB639" t="s">
        <v>1195</v>
      </c>
      <c r="AC639" s="3124"/>
    </row>
    <row r="640" spans="1:29">
      <c r="A640" s="3124">
        <v>639</v>
      </c>
      <c r="B640" s="3124" t="s">
        <v>3319</v>
      </c>
      <c r="C640" s="3124"/>
      <c r="D640" s="3124" t="s">
        <v>3358</v>
      </c>
      <c r="E640" t="s">
        <v>3394</v>
      </c>
      <c r="F640" s="3234"/>
      <c r="G640" s="3124"/>
      <c r="H640" s="3124">
        <v>1</v>
      </c>
      <c r="I640" s="3124">
        <v>1</v>
      </c>
      <c r="J640" s="3124"/>
      <c r="K640" s="3124"/>
      <c r="L640" s="3124">
        <v>5499</v>
      </c>
      <c r="M640" s="3124" t="s">
        <v>3380</v>
      </c>
      <c r="N640" s="3192">
        <v>45248</v>
      </c>
      <c r="O640" s="3192">
        <v>45248</v>
      </c>
      <c r="P640" s="3192"/>
      <c r="Q640" s="3192"/>
      <c r="R640" s="3124" t="s">
        <v>2573</v>
      </c>
      <c r="S640" s="3124" t="s">
        <v>3326</v>
      </c>
      <c r="T640" s="3124" t="s">
        <v>3361</v>
      </c>
      <c r="U640" t="s">
        <v>1195</v>
      </c>
      <c r="V640" s="3124">
        <v>15000</v>
      </c>
      <c r="W640" s="3193">
        <v>0.63339999999999996</v>
      </c>
      <c r="X640" s="3124">
        <v>9501</v>
      </c>
      <c r="Y640" s="3124"/>
      <c r="Z640" s="3124"/>
      <c r="AA640" s="3124"/>
      <c r="AB640" t="s">
        <v>1195</v>
      </c>
      <c r="AC640" s="3124"/>
    </row>
    <row r="641" spans="1:29">
      <c r="A641" s="3124">
        <v>640</v>
      </c>
      <c r="B641" s="3124" t="s">
        <v>3343</v>
      </c>
      <c r="C641" s="3124" t="s">
        <v>3395</v>
      </c>
      <c r="D641" s="3124" t="s">
        <v>3396</v>
      </c>
      <c r="E641" t="s">
        <v>3397</v>
      </c>
      <c r="F641" s="3234">
        <v>6141677521</v>
      </c>
      <c r="G641" s="3124" t="s">
        <v>3398</v>
      </c>
      <c r="H641" s="3124">
        <v>6</v>
      </c>
      <c r="I641" s="3124">
        <v>6</v>
      </c>
      <c r="J641" s="3124"/>
      <c r="K641" s="3124"/>
      <c r="L641" s="3124">
        <v>2520</v>
      </c>
      <c r="M641" s="3124" t="s">
        <v>3348</v>
      </c>
      <c r="N641" s="3192">
        <v>45268</v>
      </c>
      <c r="O641" s="3192">
        <v>45420</v>
      </c>
      <c r="P641" s="3192">
        <v>45267</v>
      </c>
      <c r="Q641" s="3192">
        <v>45419</v>
      </c>
      <c r="R641" s="3124" t="s">
        <v>433</v>
      </c>
      <c r="S641" s="3124" t="s">
        <v>2574</v>
      </c>
      <c r="T641" s="3124" t="s">
        <v>2887</v>
      </c>
      <c r="U641" t="s">
        <v>1195</v>
      </c>
      <c r="V641" s="3124">
        <v>5000</v>
      </c>
      <c r="W641" s="3193">
        <v>0.496</v>
      </c>
      <c r="X641" s="3124">
        <v>2480</v>
      </c>
      <c r="Y641" s="3124"/>
      <c r="Z641" s="3124"/>
      <c r="AA641" s="3124"/>
      <c r="AB641" t="s">
        <v>1195</v>
      </c>
      <c r="AC641" s="3124"/>
    </row>
    <row r="642" spans="1:29">
      <c r="A642" s="3124">
        <v>641</v>
      </c>
      <c r="B642" s="3124" t="s">
        <v>3343</v>
      </c>
      <c r="C642" s="3124" t="s">
        <v>3399</v>
      </c>
      <c r="D642" s="3124" t="s">
        <v>3400</v>
      </c>
      <c r="E642" t="s">
        <v>3401</v>
      </c>
      <c r="F642" s="3234">
        <v>9631619763</v>
      </c>
      <c r="G642" s="3124" t="s">
        <v>3402</v>
      </c>
      <c r="H642" s="3124">
        <v>6</v>
      </c>
      <c r="I642" s="3124">
        <v>6</v>
      </c>
      <c r="J642" s="3124" t="s">
        <v>1948</v>
      </c>
      <c r="K642" s="3124"/>
      <c r="L642" s="3124">
        <v>1800</v>
      </c>
      <c r="M642" s="3124" t="s">
        <v>3348</v>
      </c>
      <c r="N642" s="3192">
        <v>45268</v>
      </c>
      <c r="O642" s="3192">
        <v>45420</v>
      </c>
      <c r="P642" s="3192">
        <v>45264</v>
      </c>
      <c r="Q642" s="3192">
        <v>45416</v>
      </c>
      <c r="R642" s="3124" t="s">
        <v>432</v>
      </c>
      <c r="S642" s="3124" t="s">
        <v>2574</v>
      </c>
      <c r="T642" s="3124" t="s">
        <v>2887</v>
      </c>
      <c r="U642" t="s">
        <v>1195</v>
      </c>
      <c r="V642" s="3124">
        <v>5000</v>
      </c>
      <c r="W642" s="3193">
        <v>0.64</v>
      </c>
      <c r="X642" s="3124">
        <v>3200</v>
      </c>
      <c r="Y642" s="3124"/>
      <c r="Z642" s="3124"/>
      <c r="AA642" s="3124"/>
      <c r="AB642" t="s">
        <v>1195</v>
      </c>
      <c r="AC642" s="3124"/>
    </row>
    <row r="643" spans="1:29">
      <c r="A643" s="3124">
        <v>642</v>
      </c>
      <c r="B643" s="3124" t="s">
        <v>3343</v>
      </c>
      <c r="C643" s="3124" t="s">
        <v>3403</v>
      </c>
      <c r="D643" s="3124" t="s">
        <v>3404</v>
      </c>
      <c r="E643" t="s">
        <v>3405</v>
      </c>
      <c r="F643" s="3234">
        <v>4447260010</v>
      </c>
      <c r="G643" s="3124" t="s">
        <v>3406</v>
      </c>
      <c r="H643" s="3124">
        <v>6</v>
      </c>
      <c r="I643" s="3124">
        <v>6</v>
      </c>
      <c r="J643" s="3124" t="s">
        <v>1948</v>
      </c>
      <c r="K643" s="3124"/>
      <c r="L643" s="3124">
        <v>1800</v>
      </c>
      <c r="M643" s="3124" t="s">
        <v>3348</v>
      </c>
      <c r="N643" s="3192">
        <v>45268</v>
      </c>
      <c r="O643" s="3192">
        <v>45420</v>
      </c>
      <c r="P643" s="3192">
        <v>45254</v>
      </c>
      <c r="Q643" s="3192">
        <v>45406</v>
      </c>
      <c r="R643" s="3124" t="s">
        <v>432</v>
      </c>
      <c r="S643" s="3124" t="s">
        <v>2574</v>
      </c>
      <c r="T643" s="3124" t="s">
        <v>2887</v>
      </c>
      <c r="U643" t="s">
        <v>1195</v>
      </c>
      <c r="V643" s="3124">
        <v>5000</v>
      </c>
      <c r="W643" s="3193">
        <v>0.64</v>
      </c>
      <c r="X643" s="3124">
        <v>3200</v>
      </c>
      <c r="Y643" s="3124"/>
      <c r="Z643" s="3124"/>
      <c r="AA643" s="3124"/>
      <c r="AB643" t="s">
        <v>1195</v>
      </c>
      <c r="AC643" s="3124"/>
    </row>
    <row r="644" spans="1:29">
      <c r="A644" s="3124">
        <v>643</v>
      </c>
      <c r="B644" s="3124" t="s">
        <v>3343</v>
      </c>
      <c r="C644" s="3124" t="s">
        <v>924</v>
      </c>
      <c r="D644" s="3124" t="s">
        <v>3407</v>
      </c>
      <c r="E644" t="s">
        <v>2443</v>
      </c>
      <c r="F644" s="3234">
        <v>9632526121</v>
      </c>
      <c r="G644" s="3124" t="s">
        <v>2445</v>
      </c>
      <c r="H644" s="3124">
        <v>6</v>
      </c>
      <c r="I644" s="3124">
        <v>6</v>
      </c>
      <c r="J644" s="3124" t="s">
        <v>1948</v>
      </c>
      <c r="K644" s="3124"/>
      <c r="L644" s="3124">
        <v>0</v>
      </c>
      <c r="M644" s="3124" t="s">
        <v>3348</v>
      </c>
      <c r="N644" s="3192">
        <v>45268</v>
      </c>
      <c r="O644" s="3192">
        <v>45420</v>
      </c>
      <c r="P644" s="3192"/>
      <c r="Q644" s="3192"/>
      <c r="R644" s="3124" t="s">
        <v>433</v>
      </c>
      <c r="S644" s="3124" t="s">
        <v>2574</v>
      </c>
      <c r="T644" s="3124" t="s">
        <v>2887</v>
      </c>
      <c r="U644" t="s">
        <v>1195</v>
      </c>
      <c r="V644" s="3124">
        <v>5000</v>
      </c>
      <c r="W644" s="3193">
        <v>1</v>
      </c>
      <c r="X644" s="3124">
        <v>5000</v>
      </c>
      <c r="Y644" s="3124"/>
      <c r="Z644" s="3124"/>
      <c r="AA644" s="3124"/>
      <c r="AB644" t="s">
        <v>1195</v>
      </c>
      <c r="AC644" s="3124"/>
    </row>
    <row r="645" spans="1:29">
      <c r="A645" s="3124">
        <v>644</v>
      </c>
      <c r="B645" s="3124" t="s">
        <v>3343</v>
      </c>
      <c r="C645" s="3124" t="s">
        <v>3408</v>
      </c>
      <c r="D645" s="3124" t="s">
        <v>3409</v>
      </c>
      <c r="E645" t="s">
        <v>3410</v>
      </c>
      <c r="F645" s="3234">
        <v>9631296962</v>
      </c>
      <c r="G645" s="3124" t="s">
        <v>3411</v>
      </c>
      <c r="H645" s="3124">
        <v>6</v>
      </c>
      <c r="I645" s="3124">
        <v>6</v>
      </c>
      <c r="J645" s="3124" t="s">
        <v>1948</v>
      </c>
      <c r="K645" s="3124"/>
      <c r="L645" s="3124">
        <v>1800</v>
      </c>
      <c r="M645" s="3124" t="s">
        <v>3348</v>
      </c>
      <c r="N645" s="3192">
        <v>45268</v>
      </c>
      <c r="O645" s="3192">
        <v>45420</v>
      </c>
      <c r="P645" s="3192"/>
      <c r="Q645" s="3192"/>
      <c r="R645" s="3124" t="s">
        <v>432</v>
      </c>
      <c r="S645" s="3124" t="s">
        <v>2574</v>
      </c>
      <c r="T645" s="3124" t="s">
        <v>2887</v>
      </c>
      <c r="U645" t="s">
        <v>1195</v>
      </c>
      <c r="V645" s="3124">
        <v>5000</v>
      </c>
      <c r="W645" s="3193">
        <v>0.64</v>
      </c>
      <c r="X645" s="3124">
        <v>3200</v>
      </c>
      <c r="Y645" s="3124"/>
      <c r="Z645" s="3124"/>
      <c r="AA645" s="3124"/>
      <c r="AB645" t="s">
        <v>1195</v>
      </c>
      <c r="AC645" s="3124"/>
    </row>
    <row r="646" spans="1:29">
      <c r="A646" s="3124">
        <v>645</v>
      </c>
      <c r="B646" s="3124" t="s">
        <v>3343</v>
      </c>
      <c r="C646" s="3124" t="s">
        <v>3412</v>
      </c>
      <c r="D646" s="3124" t="s">
        <v>629</v>
      </c>
      <c r="E646" t="s">
        <v>3413</v>
      </c>
      <c r="F646" s="3234">
        <v>5530605277</v>
      </c>
      <c r="G646" s="3124" t="s">
        <v>3414</v>
      </c>
      <c r="H646" s="3124">
        <v>6</v>
      </c>
      <c r="I646" s="3124">
        <v>6</v>
      </c>
      <c r="J646" s="3124">
        <v>600</v>
      </c>
      <c r="K646" s="3124"/>
      <c r="L646" s="3124">
        <v>2520</v>
      </c>
      <c r="M646" s="3124" t="s">
        <v>3348</v>
      </c>
      <c r="N646" s="3192">
        <v>45268</v>
      </c>
      <c r="O646" s="3192">
        <v>45420</v>
      </c>
      <c r="P646" s="3192">
        <v>45266</v>
      </c>
      <c r="Q646" s="3192">
        <v>45418</v>
      </c>
      <c r="R646" s="3124" t="s">
        <v>433</v>
      </c>
      <c r="S646" s="3124" t="s">
        <v>2574</v>
      </c>
      <c r="T646" s="3124" t="s">
        <v>2887</v>
      </c>
      <c r="U646" t="s">
        <v>2653</v>
      </c>
      <c r="V646" s="3124">
        <v>5000</v>
      </c>
      <c r="W646" s="3193">
        <v>0.496</v>
      </c>
      <c r="X646" s="3124">
        <v>2480</v>
      </c>
      <c r="Y646" s="3124"/>
      <c r="Z646" s="3124"/>
      <c r="AA646" s="3124"/>
      <c r="AB646" t="s">
        <v>2653</v>
      </c>
      <c r="AC646" s="3124"/>
    </row>
    <row r="647" spans="1:29">
      <c r="A647" s="3124">
        <v>646</v>
      </c>
      <c r="B647" s="3124" t="s">
        <v>3343</v>
      </c>
      <c r="C647" s="3124" t="s">
        <v>3415</v>
      </c>
      <c r="D647" s="3124" t="s">
        <v>3416</v>
      </c>
      <c r="E647" t="s">
        <v>3417</v>
      </c>
      <c r="F647" s="3234">
        <v>7225604807</v>
      </c>
      <c r="G647" s="3124" t="s">
        <v>3418</v>
      </c>
      <c r="H647" s="3124">
        <v>6</v>
      </c>
      <c r="I647" s="3124">
        <v>6</v>
      </c>
      <c r="J647" s="3124">
        <v>600</v>
      </c>
      <c r="K647" s="3124"/>
      <c r="L647" s="3124">
        <v>2520</v>
      </c>
      <c r="M647" s="3124" t="s">
        <v>3348</v>
      </c>
      <c r="N647" s="3192">
        <v>45268</v>
      </c>
      <c r="O647" s="3192">
        <v>45420</v>
      </c>
      <c r="P647" s="3192">
        <v>45266</v>
      </c>
      <c r="Q647" s="3192">
        <v>45418</v>
      </c>
      <c r="R647" s="3124" t="s">
        <v>432</v>
      </c>
      <c r="S647" s="3124" t="s">
        <v>2574</v>
      </c>
      <c r="T647" s="3124" t="s">
        <v>2887</v>
      </c>
      <c r="U647" t="s">
        <v>1195</v>
      </c>
      <c r="V647" s="3124">
        <v>5000</v>
      </c>
      <c r="W647" s="3193">
        <v>0.496</v>
      </c>
      <c r="X647" s="3124">
        <v>2480</v>
      </c>
      <c r="Y647" s="3124"/>
      <c r="Z647" s="3124"/>
      <c r="AA647" s="3124"/>
      <c r="AB647" t="s">
        <v>1195</v>
      </c>
      <c r="AC647" s="3124"/>
    </row>
    <row r="648" spans="1:29">
      <c r="A648" s="3124">
        <v>647</v>
      </c>
      <c r="B648" s="3124" t="s">
        <v>1621</v>
      </c>
      <c r="C648" s="3124" t="s">
        <v>3419</v>
      </c>
      <c r="D648" s="3124" t="s">
        <v>3420</v>
      </c>
      <c r="E648" s="3161" t="s">
        <v>3421</v>
      </c>
      <c r="F648" s="3234">
        <v>7221864789</v>
      </c>
      <c r="G648" s="3190"/>
      <c r="H648" s="3124">
        <v>20</v>
      </c>
      <c r="I648" s="3124">
        <v>20</v>
      </c>
      <c r="J648" s="3124">
        <v>1000</v>
      </c>
      <c r="K648" s="3124">
        <v>0</v>
      </c>
      <c r="L648" s="3124">
        <v>3575</v>
      </c>
      <c r="M648" s="3124" t="s">
        <v>3422</v>
      </c>
      <c r="N648" s="3192">
        <v>45310</v>
      </c>
      <c r="O648" s="3192">
        <v>45888</v>
      </c>
      <c r="P648" s="3192">
        <v>45210</v>
      </c>
      <c r="Q648" s="3192">
        <v>45888</v>
      </c>
      <c r="R648" s="3124" t="s">
        <v>432</v>
      </c>
      <c r="S648" s="3124" t="s">
        <v>1640</v>
      </c>
      <c r="T648" s="3124" t="s">
        <v>1918</v>
      </c>
      <c r="U648" t="s">
        <v>1761</v>
      </c>
      <c r="V648" s="3124">
        <v>5000</v>
      </c>
      <c r="W648" s="3193">
        <v>0.28499999999999998</v>
      </c>
      <c r="X648" s="3124">
        <v>1425</v>
      </c>
      <c r="Y648" s="3124">
        <v>2</v>
      </c>
      <c r="Z648" s="3124"/>
      <c r="AA648" s="3124"/>
      <c r="AB648" t="s">
        <v>1195</v>
      </c>
      <c r="AC648" s="3124"/>
    </row>
    <row r="649" spans="1:29">
      <c r="A649" s="3124">
        <v>648</v>
      </c>
      <c r="B649" s="3124" t="s">
        <v>1839</v>
      </c>
      <c r="C649" s="3848" t="s">
        <v>3423</v>
      </c>
      <c r="D649" s="3843" t="s">
        <v>4648</v>
      </c>
      <c r="E649" s="3153" t="s">
        <v>3424</v>
      </c>
      <c r="F649" s="3234">
        <v>722474858</v>
      </c>
      <c r="G649" s="3124" t="s">
        <v>3425</v>
      </c>
      <c r="H649" s="3124">
        <v>8</v>
      </c>
      <c r="I649" s="3124">
        <v>8</v>
      </c>
      <c r="J649" s="3124">
        <v>1000</v>
      </c>
      <c r="K649" s="3124"/>
      <c r="L649" s="3124">
        <v>2275</v>
      </c>
      <c r="M649" s="3843" t="s">
        <v>3426</v>
      </c>
      <c r="N649" s="3192">
        <v>45409</v>
      </c>
      <c r="O649" s="3192">
        <v>45653</v>
      </c>
      <c r="P649" s="3192">
        <v>45239</v>
      </c>
      <c r="Q649" s="3192">
        <v>45670</v>
      </c>
      <c r="R649" s="3124" t="s">
        <v>433</v>
      </c>
      <c r="S649" s="3124" t="s">
        <v>1842</v>
      </c>
      <c r="T649" s="3124" t="s">
        <v>1918</v>
      </c>
      <c r="U649" t="s">
        <v>1761</v>
      </c>
      <c r="V649" s="3124">
        <v>5000</v>
      </c>
      <c r="W649" s="3193">
        <v>0.54500000000000004</v>
      </c>
      <c r="X649" s="3124">
        <v>2725</v>
      </c>
      <c r="Y649" s="3124"/>
      <c r="Z649" s="3124">
        <v>5000</v>
      </c>
      <c r="AA649" s="3124">
        <v>21000</v>
      </c>
      <c r="AB649" t="s">
        <v>1869</v>
      </c>
      <c r="AC649" s="3124"/>
    </row>
    <row r="650" spans="1:29">
      <c r="A650" s="3124">
        <v>649</v>
      </c>
      <c r="B650" s="3124" t="s">
        <v>1123</v>
      </c>
      <c r="C650" s="3124" t="s">
        <v>2596</v>
      </c>
      <c r="D650" s="3124" t="s">
        <v>3427</v>
      </c>
      <c r="E650" t="s">
        <v>2602</v>
      </c>
      <c r="F650" s="3234" t="s">
        <v>3337</v>
      </c>
      <c r="G650" s="3124" t="s">
        <v>3338</v>
      </c>
      <c r="H650" s="3124">
        <v>4</v>
      </c>
      <c r="I650" s="3124">
        <v>4</v>
      </c>
      <c r="J650" s="3124">
        <v>1500</v>
      </c>
      <c r="K650" s="3124"/>
      <c r="L650" s="3124">
        <v>3497</v>
      </c>
      <c r="M650" s="3124" t="s">
        <v>2592</v>
      </c>
      <c r="N650" s="3192">
        <v>45304</v>
      </c>
      <c r="O650" s="3192">
        <v>45456</v>
      </c>
      <c r="P650" s="3192">
        <v>45229</v>
      </c>
      <c r="Q650" s="3192">
        <v>45456</v>
      </c>
      <c r="R650" s="3124" t="s">
        <v>433</v>
      </c>
      <c r="S650" s="3124" t="s">
        <v>1939</v>
      </c>
      <c r="T650" s="3124" t="s">
        <v>1918</v>
      </c>
      <c r="U650" t="s">
        <v>1195</v>
      </c>
      <c r="V650" s="3124">
        <v>7500</v>
      </c>
      <c r="W650" s="3193">
        <v>0.53373333333333328</v>
      </c>
      <c r="X650" s="3124">
        <v>4003</v>
      </c>
      <c r="Y650" s="3124"/>
      <c r="Z650" s="3124">
        <v>8000</v>
      </c>
      <c r="AA650" s="3124">
        <v>25000</v>
      </c>
      <c r="AB650" t="s">
        <v>1195</v>
      </c>
      <c r="AC650" s="3124"/>
    </row>
    <row r="651" spans="1:29">
      <c r="A651" s="3124">
        <v>650</v>
      </c>
      <c r="B651" s="3124" t="s">
        <v>1123</v>
      </c>
      <c r="C651" s="3124" t="s">
        <v>2597</v>
      </c>
      <c r="D651" s="3124" t="s">
        <v>2606</v>
      </c>
      <c r="E651" t="s">
        <v>2607</v>
      </c>
      <c r="F651" s="3234">
        <v>7228516342</v>
      </c>
      <c r="G651" s="3124" t="s">
        <v>3428</v>
      </c>
      <c r="H651" s="3124">
        <v>4</v>
      </c>
      <c r="I651" s="3124">
        <v>4</v>
      </c>
      <c r="J651" s="3124">
        <v>1500</v>
      </c>
      <c r="K651" s="3124"/>
      <c r="L651" s="3124">
        <v>3497</v>
      </c>
      <c r="M651" s="3124" t="s">
        <v>2592</v>
      </c>
      <c r="N651" s="3192">
        <v>45304</v>
      </c>
      <c r="O651" s="3192">
        <v>45395</v>
      </c>
      <c r="P651" s="3192">
        <v>45296</v>
      </c>
      <c r="Q651" s="3192">
        <v>45456</v>
      </c>
      <c r="R651" s="3124" t="s">
        <v>432</v>
      </c>
      <c r="S651" s="3124" t="s">
        <v>1939</v>
      </c>
      <c r="T651" s="3124" t="s">
        <v>1918</v>
      </c>
      <c r="U651" t="s">
        <v>1195</v>
      </c>
      <c r="V651" s="3124">
        <v>7500</v>
      </c>
      <c r="W651" s="3193">
        <v>0.53373333333333328</v>
      </c>
      <c r="X651" s="3124">
        <v>4003</v>
      </c>
      <c r="Y651" s="3124"/>
      <c r="Z651" s="3124">
        <v>8000</v>
      </c>
      <c r="AA651" s="3124">
        <v>25000</v>
      </c>
      <c r="AB651" t="s">
        <v>1195</v>
      </c>
      <c r="AC651" s="3124"/>
    </row>
    <row r="652" spans="1:29">
      <c r="A652" s="3124">
        <v>651</v>
      </c>
      <c r="B652" s="3124" t="s">
        <v>1123</v>
      </c>
      <c r="C652" s="3124" t="s">
        <v>2598</v>
      </c>
      <c r="D652" s="3124" t="s">
        <v>2608</v>
      </c>
      <c r="E652" t="s">
        <v>2609</v>
      </c>
      <c r="F652" s="3234"/>
      <c r="G652" s="3124" t="s">
        <v>3429</v>
      </c>
      <c r="H652" s="3124">
        <v>4</v>
      </c>
      <c r="I652" s="3124">
        <v>4</v>
      </c>
      <c r="J652" s="3124">
        <v>1500</v>
      </c>
      <c r="K652" s="3124"/>
      <c r="L652" s="3124">
        <v>3497</v>
      </c>
      <c r="M652" s="3124" t="s">
        <v>2592</v>
      </c>
      <c r="N652" s="3192">
        <v>45304</v>
      </c>
      <c r="O652" s="3192">
        <v>45395</v>
      </c>
      <c r="P652" s="3192">
        <v>45201</v>
      </c>
      <c r="Q652" s="3192">
        <v>45456</v>
      </c>
      <c r="R652" s="3124" t="s">
        <v>432</v>
      </c>
      <c r="S652" s="3124" t="s">
        <v>1939</v>
      </c>
      <c r="T652" s="3124" t="s">
        <v>1918</v>
      </c>
      <c r="U652" t="s">
        <v>1195</v>
      </c>
      <c r="V652" s="3124">
        <v>7500</v>
      </c>
      <c r="W652" s="3193">
        <v>0.53373333333333328</v>
      </c>
      <c r="X652" s="3124">
        <v>4003</v>
      </c>
      <c r="Y652" s="3124"/>
      <c r="Z652" s="3124">
        <v>8000</v>
      </c>
      <c r="AA652" s="3124">
        <v>25000</v>
      </c>
      <c r="AB652" t="s">
        <v>1195</v>
      </c>
      <c r="AC652" s="3124"/>
    </row>
    <row r="653" spans="1:29">
      <c r="A653" s="3124">
        <v>652</v>
      </c>
      <c r="B653" s="3124" t="s">
        <v>1621</v>
      </c>
      <c r="C653" s="3124" t="s">
        <v>3430</v>
      </c>
      <c r="D653" s="3124" t="s">
        <v>3431</v>
      </c>
      <c r="E653" s="3161" t="s">
        <v>3432</v>
      </c>
      <c r="F653" s="3234" t="s">
        <v>3433</v>
      </c>
      <c r="G653" s="3124" t="s">
        <v>3434</v>
      </c>
      <c r="H653" s="3124">
        <v>20</v>
      </c>
      <c r="I653" s="3124">
        <v>20</v>
      </c>
      <c r="J653" s="3124" t="s">
        <v>1948</v>
      </c>
      <c r="K653" s="3124">
        <v>2100</v>
      </c>
      <c r="L653" s="3124">
        <v>2000</v>
      </c>
      <c r="M653" s="3124" t="s">
        <v>3422</v>
      </c>
      <c r="N653" s="3192">
        <v>45310</v>
      </c>
      <c r="O653" s="3192">
        <v>45879</v>
      </c>
      <c r="P653" s="3192">
        <v>45308</v>
      </c>
      <c r="Q653" s="3192">
        <v>45879</v>
      </c>
      <c r="R653" s="3124" t="s">
        <v>432</v>
      </c>
      <c r="S653" s="3124" t="s">
        <v>1640</v>
      </c>
      <c r="T653" s="3124" t="s">
        <v>1850</v>
      </c>
      <c r="U653" t="s">
        <v>1761</v>
      </c>
      <c r="V653" s="3124">
        <v>5000</v>
      </c>
      <c r="W653" s="3193">
        <v>0.6</v>
      </c>
      <c r="X653" s="3124">
        <v>3000</v>
      </c>
      <c r="Y653" s="3124">
        <v>2</v>
      </c>
      <c r="Z653" s="3124"/>
      <c r="AA653" s="3124">
        <v>25000</v>
      </c>
      <c r="AB653" t="s">
        <v>1195</v>
      </c>
      <c r="AC653" s="3124"/>
    </row>
    <row r="654" spans="1:29">
      <c r="A654" s="3124">
        <v>653</v>
      </c>
      <c r="B654" s="3124" t="s">
        <v>1123</v>
      </c>
      <c r="C654" s="3124" t="s">
        <v>2599</v>
      </c>
      <c r="D654" s="3124" t="s">
        <v>2610</v>
      </c>
      <c r="E654" t="s">
        <v>2611</v>
      </c>
      <c r="F654" s="3234"/>
      <c r="G654" s="3124" t="s">
        <v>3435</v>
      </c>
      <c r="H654" s="3124">
        <v>4</v>
      </c>
      <c r="I654" s="3124">
        <v>4</v>
      </c>
      <c r="J654" s="3124">
        <v>1500</v>
      </c>
      <c r="K654" s="3124"/>
      <c r="L654" s="3124">
        <v>3497</v>
      </c>
      <c r="M654" s="3124" t="s">
        <v>2592</v>
      </c>
      <c r="N654" s="3192">
        <v>45304</v>
      </c>
      <c r="O654" s="3192">
        <v>45395</v>
      </c>
      <c r="P654" s="3192">
        <v>45303</v>
      </c>
      <c r="Q654" s="3192">
        <v>45395</v>
      </c>
      <c r="R654" s="3124" t="s">
        <v>433</v>
      </c>
      <c r="S654" s="3124" t="s">
        <v>1939</v>
      </c>
      <c r="T654" s="3124" t="s">
        <v>1918</v>
      </c>
      <c r="U654" t="s">
        <v>1761</v>
      </c>
      <c r="V654" s="3124">
        <v>7000</v>
      </c>
      <c r="W654" s="3193">
        <v>0.50042857142857144</v>
      </c>
      <c r="X654" s="3124">
        <v>3503</v>
      </c>
      <c r="Y654" s="3124"/>
      <c r="Z654" s="3124">
        <v>8000</v>
      </c>
      <c r="AA654" s="3124">
        <v>25000</v>
      </c>
      <c r="AB654" t="s">
        <v>1195</v>
      </c>
      <c r="AC654" s="3124"/>
    </row>
    <row r="655" spans="1:29">
      <c r="A655" s="3124">
        <v>654</v>
      </c>
      <c r="B655" s="3124" t="s">
        <v>1123</v>
      </c>
      <c r="C655" s="3124" t="s">
        <v>2600</v>
      </c>
      <c r="D655" s="3124" t="s">
        <v>2612</v>
      </c>
      <c r="E655" t="s">
        <v>2613</v>
      </c>
      <c r="F655" s="3234"/>
      <c r="G655" s="3124" t="s">
        <v>3436</v>
      </c>
      <c r="H655" s="3124">
        <v>4</v>
      </c>
      <c r="I655" s="3124">
        <v>4</v>
      </c>
      <c r="J655" s="3124">
        <v>1500</v>
      </c>
      <c r="K655" s="3124"/>
      <c r="L655" s="3124">
        <v>3497</v>
      </c>
      <c r="M655" s="3124" t="s">
        <v>2592</v>
      </c>
      <c r="N655" s="3192">
        <v>45304</v>
      </c>
      <c r="O655" s="3192">
        <v>45395</v>
      </c>
      <c r="P655" s="3192">
        <v>45303</v>
      </c>
      <c r="Q655" s="3192">
        <v>45395</v>
      </c>
      <c r="R655" s="3124" t="s">
        <v>432</v>
      </c>
      <c r="S655" s="3124" t="s">
        <v>1939</v>
      </c>
      <c r="T655" s="3124" t="s">
        <v>1918</v>
      </c>
      <c r="U655" t="s">
        <v>1195</v>
      </c>
      <c r="V655" s="3124">
        <v>7000</v>
      </c>
      <c r="W655" s="3193">
        <v>0.50042857142857144</v>
      </c>
      <c r="X655" s="3124">
        <v>3503</v>
      </c>
      <c r="Y655" s="3124"/>
      <c r="Z655" s="3124">
        <v>8000</v>
      </c>
      <c r="AA655" s="3124">
        <v>25000</v>
      </c>
      <c r="AB655" t="s">
        <v>1195</v>
      </c>
      <c r="AC655" s="3124"/>
    </row>
    <row r="656" spans="1:29">
      <c r="A656" s="3124">
        <v>655</v>
      </c>
      <c r="B656" s="3124" t="s">
        <v>1621</v>
      </c>
      <c r="C656" s="3124" t="s">
        <v>3437</v>
      </c>
      <c r="D656" s="3124" t="s">
        <v>3438</v>
      </c>
      <c r="E656" t="s">
        <v>3439</v>
      </c>
      <c r="F656" s="3234" t="s">
        <v>3440</v>
      </c>
      <c r="G656" s="3124" t="s">
        <v>3441</v>
      </c>
      <c r="H656" s="3124">
        <v>20</v>
      </c>
      <c r="I656" s="3124">
        <v>20</v>
      </c>
      <c r="J656" s="3124" t="s">
        <v>1948</v>
      </c>
      <c r="K656" s="3124">
        <v>2100</v>
      </c>
      <c r="L656" s="3124">
        <v>2000</v>
      </c>
      <c r="M656" s="3124" t="s">
        <v>3422</v>
      </c>
      <c r="N656" s="3192">
        <v>45310</v>
      </c>
      <c r="O656" s="3192">
        <v>45888</v>
      </c>
      <c r="P656" s="3192">
        <v>45309</v>
      </c>
      <c r="Q656" s="3192">
        <v>45888</v>
      </c>
      <c r="R656" s="3124" t="s">
        <v>432</v>
      </c>
      <c r="S656" s="3124" t="s">
        <v>1640</v>
      </c>
      <c r="T656" s="3124" t="s">
        <v>1850</v>
      </c>
      <c r="U656" t="s">
        <v>1761</v>
      </c>
      <c r="V656" s="3124">
        <v>5000</v>
      </c>
      <c r="W656" s="3193">
        <v>0.6</v>
      </c>
      <c r="X656" s="3124">
        <v>3000</v>
      </c>
      <c r="Y656" s="3124">
        <v>2</v>
      </c>
      <c r="Z656" s="3124"/>
      <c r="AA656" s="3124">
        <v>26000</v>
      </c>
      <c r="AB656" t="s">
        <v>1195</v>
      </c>
      <c r="AC656" s="3124"/>
    </row>
    <row r="657" spans="1:29">
      <c r="A657" s="3124">
        <v>656</v>
      </c>
      <c r="B657" s="3124" t="s">
        <v>1621</v>
      </c>
      <c r="C657" s="3124" t="s">
        <v>3442</v>
      </c>
      <c r="D657" s="3124" t="s">
        <v>3443</v>
      </c>
      <c r="E657" s="3135" t="s">
        <v>3444</v>
      </c>
      <c r="F657" s="3234" t="s">
        <v>3445</v>
      </c>
      <c r="G657" s="3124" t="s">
        <v>3446</v>
      </c>
      <c r="H657" s="3124">
        <v>20</v>
      </c>
      <c r="I657" s="3124">
        <v>20</v>
      </c>
      <c r="J657" s="3124" t="s">
        <v>1948</v>
      </c>
      <c r="K657" s="3124">
        <v>2100</v>
      </c>
      <c r="L657" s="3124">
        <v>2000</v>
      </c>
      <c r="M657" s="3124" t="s">
        <v>3422</v>
      </c>
      <c r="N657" s="3192">
        <v>45310</v>
      </c>
      <c r="O657" s="3192">
        <v>45888</v>
      </c>
      <c r="P657" s="3192">
        <v>45310</v>
      </c>
      <c r="Q657" s="3192">
        <v>45888</v>
      </c>
      <c r="R657" s="3124" t="s">
        <v>432</v>
      </c>
      <c r="S657" s="3124" t="s">
        <v>1640</v>
      </c>
      <c r="T657" s="3124" t="s">
        <v>1850</v>
      </c>
      <c r="U657" t="s">
        <v>1869</v>
      </c>
      <c r="V657" s="3124">
        <v>5000</v>
      </c>
      <c r="W657" s="3193">
        <v>0.6</v>
      </c>
      <c r="X657" s="3124">
        <v>3000</v>
      </c>
      <c r="Y657" s="3124">
        <v>2</v>
      </c>
      <c r="Z657" s="3124"/>
      <c r="AA657" s="3124">
        <v>26000</v>
      </c>
      <c r="AB657" t="s">
        <v>1869</v>
      </c>
      <c r="AC657" s="3124"/>
    </row>
    <row r="658" spans="1:29">
      <c r="A658" s="3124">
        <v>657</v>
      </c>
      <c r="B658" s="3124" t="s">
        <v>1621</v>
      </c>
      <c r="C658" s="3124" t="s">
        <v>3447</v>
      </c>
      <c r="D658" s="3124" t="s">
        <v>3448</v>
      </c>
      <c r="E658" t="s">
        <v>3449</v>
      </c>
      <c r="F658" s="3234"/>
      <c r="G658" s="3190"/>
      <c r="H658" s="3124">
        <v>20</v>
      </c>
      <c r="I658" s="3124">
        <v>20</v>
      </c>
      <c r="J658" s="3124">
        <v>1000</v>
      </c>
      <c r="K658" s="3124">
        <v>2000</v>
      </c>
      <c r="L658" s="3124">
        <v>2275</v>
      </c>
      <c r="M658" s="3124" t="s">
        <v>3422</v>
      </c>
      <c r="N658" s="3192">
        <v>45310</v>
      </c>
      <c r="O658" s="3192">
        <v>45888</v>
      </c>
      <c r="P658" s="3192">
        <v>41652</v>
      </c>
      <c r="Q658" s="3192">
        <v>45890</v>
      </c>
      <c r="R658" s="3124" t="s">
        <v>432</v>
      </c>
      <c r="S658" s="3124" t="s">
        <v>1640</v>
      </c>
      <c r="T658" s="3124" t="s">
        <v>1918</v>
      </c>
      <c r="U658" t="s">
        <v>1761</v>
      </c>
      <c r="V658" s="3124">
        <v>5000</v>
      </c>
      <c r="W658" s="3193">
        <v>0.54500000000000004</v>
      </c>
      <c r="X658" s="3124">
        <v>2725</v>
      </c>
      <c r="Y658" s="3124"/>
      <c r="Z658" s="3124"/>
      <c r="AA658" s="3124">
        <v>25000</v>
      </c>
      <c r="AB658" t="s">
        <v>1195</v>
      </c>
      <c r="AC658" s="3124"/>
    </row>
    <row r="659" spans="1:29">
      <c r="A659" s="3124">
        <v>658</v>
      </c>
      <c r="B659" s="3124" t="s">
        <v>1839</v>
      </c>
      <c r="C659" s="3124" t="s">
        <v>3450</v>
      </c>
      <c r="D659" s="3124" t="s">
        <v>2679</v>
      </c>
      <c r="E659" t="s">
        <v>3451</v>
      </c>
      <c r="F659" s="3234">
        <v>9999691877</v>
      </c>
      <c r="G659" s="3124" t="s">
        <v>3452</v>
      </c>
      <c r="H659" s="3124">
        <v>10</v>
      </c>
      <c r="I659" s="3124">
        <v>10</v>
      </c>
      <c r="J659" s="3124" t="s">
        <v>1948</v>
      </c>
      <c r="K659" s="3124"/>
      <c r="L659" s="3124">
        <v>1600</v>
      </c>
      <c r="M659" s="3124" t="s">
        <v>134</v>
      </c>
      <c r="N659" s="3192">
        <v>45332</v>
      </c>
      <c r="O659" s="3192">
        <v>45630</v>
      </c>
      <c r="P659" s="3192">
        <v>45321</v>
      </c>
      <c r="Q659" s="3192">
        <v>45606</v>
      </c>
      <c r="R659" s="3124" t="s">
        <v>433</v>
      </c>
      <c r="S659" s="3124" t="s">
        <v>1658</v>
      </c>
      <c r="T659" s="3124" t="s">
        <v>1850</v>
      </c>
      <c r="U659" t="s">
        <v>1195</v>
      </c>
      <c r="V659" s="3124">
        <v>5000</v>
      </c>
      <c r="W659" s="3193">
        <v>0.68</v>
      </c>
      <c r="X659" s="3124">
        <v>3400</v>
      </c>
      <c r="Y659" s="3124">
        <v>0</v>
      </c>
      <c r="Z659" s="3124">
        <v>5000</v>
      </c>
      <c r="AA659" s="3124">
        <v>21000</v>
      </c>
      <c r="AB659" t="s">
        <v>1195</v>
      </c>
      <c r="AC659" s="3124"/>
    </row>
    <row r="660" spans="1:29">
      <c r="A660" s="3124">
        <v>659</v>
      </c>
      <c r="B660" s="3124" t="s">
        <v>1123</v>
      </c>
      <c r="C660" s="3124" t="s">
        <v>2601</v>
      </c>
      <c r="D660" s="3124" t="s">
        <v>2614</v>
      </c>
      <c r="E660" t="s">
        <v>2615</v>
      </c>
      <c r="F660" s="3234" t="s">
        <v>3453</v>
      </c>
      <c r="G660" s="3124" t="s">
        <v>5270</v>
      </c>
      <c r="H660" s="3124">
        <v>4</v>
      </c>
      <c r="I660" s="3124">
        <v>4</v>
      </c>
      <c r="J660" s="3124">
        <v>1500</v>
      </c>
      <c r="K660" s="3124"/>
      <c r="L660" s="3124">
        <v>3497</v>
      </c>
      <c r="M660" s="3124" t="s">
        <v>2592</v>
      </c>
      <c r="N660" s="3192">
        <v>45304</v>
      </c>
      <c r="O660" s="3192">
        <v>45394</v>
      </c>
      <c r="P660" s="3192">
        <v>45303</v>
      </c>
      <c r="Q660" s="3192">
        <v>45395</v>
      </c>
      <c r="R660" s="3124" t="s">
        <v>432</v>
      </c>
      <c r="S660" s="3124" t="s">
        <v>1939</v>
      </c>
      <c r="T660" s="3124" t="s">
        <v>1918</v>
      </c>
      <c r="U660" t="s">
        <v>1195</v>
      </c>
      <c r="V660" s="3124">
        <v>7000</v>
      </c>
      <c r="W660" s="3193">
        <v>0.50042857142857144</v>
      </c>
      <c r="X660" s="3124">
        <v>3503</v>
      </c>
      <c r="Y660" s="3124"/>
      <c r="Z660" s="3124">
        <v>8000</v>
      </c>
      <c r="AA660" s="3124">
        <v>25000</v>
      </c>
      <c r="AB660" t="s">
        <v>1195</v>
      </c>
      <c r="AC660" s="3124"/>
    </row>
    <row r="661" spans="1:29">
      <c r="A661" s="3124">
        <v>660</v>
      </c>
      <c r="B661" s="3124" t="s">
        <v>1625</v>
      </c>
      <c r="C661" s="3124" t="s">
        <v>2591</v>
      </c>
      <c r="D661" s="3124" t="s">
        <v>2603</v>
      </c>
      <c r="E661" s="3842" t="s">
        <v>3961</v>
      </c>
      <c r="F661" s="3234" t="s">
        <v>5154</v>
      </c>
      <c r="G661" s="3124"/>
      <c r="H661" s="3124">
        <v>20</v>
      </c>
      <c r="I661" s="3124">
        <v>20</v>
      </c>
      <c r="J661" s="3124">
        <v>1500</v>
      </c>
      <c r="K661" s="3124">
        <v>3000</v>
      </c>
      <c r="L661" s="3124">
        <v>3497</v>
      </c>
      <c r="M661" s="3124" t="s">
        <v>2592</v>
      </c>
      <c r="N661" s="3192">
        <v>45304</v>
      </c>
      <c r="O661" s="3192">
        <v>45893</v>
      </c>
      <c r="P661" s="3192">
        <v>45304</v>
      </c>
      <c r="Q661" s="3192">
        <v>45882</v>
      </c>
      <c r="R661" s="3124" t="s">
        <v>433</v>
      </c>
      <c r="S661" s="3124" t="s">
        <v>1690</v>
      </c>
      <c r="T661" s="3124" t="s">
        <v>1918</v>
      </c>
      <c r="U661" t="s">
        <v>1761</v>
      </c>
      <c r="V661" s="3124">
        <v>7000</v>
      </c>
      <c r="W661" s="3193">
        <v>0.50042857142857144</v>
      </c>
      <c r="X661" s="3124">
        <v>3503</v>
      </c>
      <c r="Y661" s="3124">
        <v>1</v>
      </c>
      <c r="Z661" s="3124"/>
      <c r="AA661" s="3124">
        <v>29000</v>
      </c>
      <c r="AB661" t="s">
        <v>1195</v>
      </c>
      <c r="AC661" s="3124"/>
    </row>
    <row r="662" spans="1:29">
      <c r="A662" s="3124">
        <v>661</v>
      </c>
      <c r="B662" s="3124" t="s">
        <v>1625</v>
      </c>
      <c r="C662" s="3124" t="s">
        <v>2593</v>
      </c>
      <c r="D662" s="3124" t="s">
        <v>2604</v>
      </c>
      <c r="E662" s="3361" t="s">
        <v>2605</v>
      </c>
      <c r="F662" s="3234">
        <v>7223992045</v>
      </c>
      <c r="G662" s="3124" t="s">
        <v>5271</v>
      </c>
      <c r="H662" s="3124">
        <v>20</v>
      </c>
      <c r="I662" s="3124">
        <v>20</v>
      </c>
      <c r="J662" s="3124">
        <v>1500</v>
      </c>
      <c r="K662" s="3124">
        <v>3000</v>
      </c>
      <c r="L662" s="3124">
        <v>3497</v>
      </c>
      <c r="M662" s="3124" t="s">
        <v>2592</v>
      </c>
      <c r="N662" s="3192">
        <v>45304</v>
      </c>
      <c r="O662" s="3192">
        <v>45893</v>
      </c>
      <c r="P662" s="3192">
        <v>45304</v>
      </c>
      <c r="Q662" s="3192">
        <v>45882</v>
      </c>
      <c r="R662" s="3124" t="s">
        <v>432</v>
      </c>
      <c r="S662" s="3124" t="s">
        <v>1690</v>
      </c>
      <c r="T662" s="3124" t="s">
        <v>1918</v>
      </c>
      <c r="U662" t="s">
        <v>1761</v>
      </c>
      <c r="V662" s="3124">
        <v>7000</v>
      </c>
      <c r="W662" s="3193">
        <v>0.50042857142857144</v>
      </c>
      <c r="X662" s="3124">
        <v>3503</v>
      </c>
      <c r="Y662" s="3124">
        <v>1</v>
      </c>
      <c r="Z662" s="3124"/>
      <c r="AA662" s="3124">
        <v>29000</v>
      </c>
      <c r="AB662" t="s">
        <v>1195</v>
      </c>
      <c r="AC662" s="3124"/>
    </row>
    <row r="663" spans="1:29">
      <c r="A663" s="3124">
        <v>662</v>
      </c>
      <c r="B663" s="3124" t="s">
        <v>1623</v>
      </c>
      <c r="C663" s="3124" t="s">
        <v>3454</v>
      </c>
      <c r="D663" s="3124" t="s">
        <v>4649</v>
      </c>
      <c r="E663" t="s">
        <v>3455</v>
      </c>
      <c r="F663" s="3234">
        <v>9985772988</v>
      </c>
      <c r="G663" s="3124" t="s">
        <v>3456</v>
      </c>
      <c r="H663" s="3124">
        <v>20</v>
      </c>
      <c r="I663" s="3124">
        <v>20</v>
      </c>
      <c r="J663" s="3124" t="s">
        <v>1948</v>
      </c>
      <c r="K663" s="3124"/>
      <c r="L663" s="3124">
        <v>5200</v>
      </c>
      <c r="M663" s="3124" t="s">
        <v>3457</v>
      </c>
      <c r="N663" s="3192">
        <v>45339</v>
      </c>
      <c r="O663" s="3192">
        <v>45913</v>
      </c>
      <c r="P663" s="3192">
        <v>45323</v>
      </c>
      <c r="Q663" s="3192">
        <v>45917</v>
      </c>
      <c r="R663" s="3124" t="s">
        <v>432</v>
      </c>
      <c r="S663" s="3124" t="s">
        <v>1974</v>
      </c>
      <c r="T663" s="3124" t="s">
        <v>1850</v>
      </c>
      <c r="U663" t="s">
        <v>1761</v>
      </c>
      <c r="V663" s="3124">
        <v>7000</v>
      </c>
      <c r="W663" s="3193">
        <v>0.25714285714285712</v>
      </c>
      <c r="X663" s="3124">
        <v>1800</v>
      </c>
      <c r="Y663" s="3124">
        <v>1</v>
      </c>
      <c r="Z663" s="3124"/>
      <c r="AA663" s="3124">
        <v>0</v>
      </c>
      <c r="AB663" t="s">
        <v>1195</v>
      </c>
      <c r="AC663" s="3124"/>
    </row>
    <row r="664" spans="1:29">
      <c r="A664" s="3124">
        <v>663</v>
      </c>
      <c r="B664" s="3124" t="s">
        <v>1630</v>
      </c>
      <c r="C664" s="3124" t="s">
        <v>3458</v>
      </c>
      <c r="D664" s="3124" t="s">
        <v>5272</v>
      </c>
      <c r="E664" s="3178" t="s">
        <v>3459</v>
      </c>
      <c r="F664" s="3234">
        <v>9843094976</v>
      </c>
      <c r="G664" s="3124" t="s">
        <v>3460</v>
      </c>
      <c r="H664" s="3124">
        <v>36</v>
      </c>
      <c r="I664" s="3124">
        <v>36</v>
      </c>
      <c r="J664" s="3124">
        <v>1000</v>
      </c>
      <c r="K664" s="3124">
        <v>1500</v>
      </c>
      <c r="L664" s="3124">
        <v>1800</v>
      </c>
      <c r="M664" s="3124" t="s">
        <v>134</v>
      </c>
      <c r="N664" s="3192">
        <v>45332</v>
      </c>
      <c r="O664" s="3192">
        <v>45882</v>
      </c>
      <c r="P664" s="3192">
        <v>45323</v>
      </c>
      <c r="Q664" s="3192">
        <v>45882</v>
      </c>
      <c r="R664" s="3124" t="s">
        <v>432</v>
      </c>
      <c r="S664" s="3124" t="s">
        <v>1658</v>
      </c>
      <c r="T664" s="3124" t="s">
        <v>1850</v>
      </c>
      <c r="U664" t="s">
        <v>1869</v>
      </c>
      <c r="V664" s="3124">
        <v>3150</v>
      </c>
      <c r="W664" s="3193">
        <v>0.42857142857142855</v>
      </c>
      <c r="X664" s="3124">
        <v>1350</v>
      </c>
      <c r="Y664" s="3124">
        <v>4</v>
      </c>
      <c r="Z664" s="3124"/>
      <c r="AA664" s="3124">
        <v>23000</v>
      </c>
      <c r="AB664" t="s">
        <v>1869</v>
      </c>
      <c r="AC664" s="3124"/>
    </row>
    <row r="665" spans="1:29">
      <c r="A665" s="3124">
        <v>664</v>
      </c>
      <c r="B665" s="3124" t="s">
        <v>1621</v>
      </c>
      <c r="C665" s="3124" t="s">
        <v>2746</v>
      </c>
      <c r="D665" s="3124" t="s">
        <v>221</v>
      </c>
      <c r="E665" t="s">
        <v>2747</v>
      </c>
      <c r="F665" s="3234">
        <v>9841423687</v>
      </c>
      <c r="G665" s="3124" t="s">
        <v>2748</v>
      </c>
      <c r="H665" s="3124">
        <v>20</v>
      </c>
      <c r="I665" s="3124">
        <v>20</v>
      </c>
      <c r="J665" s="3124" t="s">
        <v>1948</v>
      </c>
      <c r="K665" s="3124">
        <v>2000</v>
      </c>
      <c r="L665" s="3124">
        <v>2275</v>
      </c>
      <c r="M665" s="3124" t="s">
        <v>3461</v>
      </c>
      <c r="N665" s="3192">
        <v>45401</v>
      </c>
      <c r="O665" s="3192">
        <v>45323</v>
      </c>
      <c r="P665" s="3192">
        <v>45980</v>
      </c>
      <c r="Q665" s="3192">
        <v>45606</v>
      </c>
      <c r="R665" s="3124" t="s">
        <v>433</v>
      </c>
      <c r="S665" s="3124" t="s">
        <v>1640</v>
      </c>
      <c r="T665" s="3124" t="s">
        <v>1850</v>
      </c>
      <c r="U665" t="s">
        <v>1761</v>
      </c>
      <c r="V665" s="3124">
        <v>5000</v>
      </c>
      <c r="W665" s="3193">
        <v>0.54500000000000004</v>
      </c>
      <c r="X665" s="3124">
        <v>2725</v>
      </c>
      <c r="Y665" s="3124">
        <v>2</v>
      </c>
      <c r="Z665" s="3124"/>
      <c r="AA665" s="3124">
        <v>26000</v>
      </c>
      <c r="AB665" t="s">
        <v>1195</v>
      </c>
      <c r="AC665" s="3124"/>
    </row>
    <row r="666" spans="1:29">
      <c r="A666" s="3124">
        <v>665</v>
      </c>
      <c r="B666" s="3124" t="s">
        <v>1691</v>
      </c>
      <c r="C666" s="3124" t="s">
        <v>3901</v>
      </c>
      <c r="D666" s="3124" t="s">
        <v>3674</v>
      </c>
      <c r="E666" t="s">
        <v>3462</v>
      </c>
      <c r="F666" s="3234"/>
      <c r="G666" s="3124" t="s">
        <v>5273</v>
      </c>
      <c r="H666" s="3124">
        <v>16</v>
      </c>
      <c r="I666" s="3124">
        <v>16</v>
      </c>
      <c r="J666" s="3124">
        <v>2000</v>
      </c>
      <c r="K666" s="3124">
        <v>2000</v>
      </c>
      <c r="L666" s="3124">
        <v>682.5</v>
      </c>
      <c r="M666" s="3124" t="s">
        <v>3463</v>
      </c>
      <c r="N666" s="3192">
        <v>45306</v>
      </c>
      <c r="O666" s="3192">
        <v>45762</v>
      </c>
      <c r="P666" s="3192">
        <v>45337</v>
      </c>
      <c r="Q666" s="3192">
        <v>45762</v>
      </c>
      <c r="R666" s="3124" t="s">
        <v>433</v>
      </c>
      <c r="S666" s="3124" t="s">
        <v>1949</v>
      </c>
      <c r="T666" s="3124" t="s">
        <v>2825</v>
      </c>
      <c r="U666" t="s">
        <v>1761</v>
      </c>
      <c r="V666" s="3124">
        <v>5000</v>
      </c>
      <c r="W666" s="3193">
        <v>0.86350000000000005</v>
      </c>
      <c r="X666" s="3124">
        <v>4317.5</v>
      </c>
      <c r="Y666" s="3124">
        <v>2</v>
      </c>
      <c r="Z666" s="3124"/>
      <c r="AA666" s="3124">
        <v>26000</v>
      </c>
      <c r="AB666" t="s">
        <v>1761</v>
      </c>
      <c r="AC666" s="3124"/>
    </row>
    <row r="667" spans="1:29">
      <c r="A667" s="3124">
        <v>666</v>
      </c>
      <c r="B667" s="3124" t="s">
        <v>1691</v>
      </c>
      <c r="C667" s="3124" t="s">
        <v>3902</v>
      </c>
      <c r="D667" s="3124" t="s">
        <v>3675</v>
      </c>
      <c r="E667" t="s">
        <v>3464</v>
      </c>
      <c r="F667" s="3234">
        <v>55237300</v>
      </c>
      <c r="G667" s="3124" t="s">
        <v>5274</v>
      </c>
      <c r="H667" s="3124">
        <v>16</v>
      </c>
      <c r="I667" s="3124">
        <v>16</v>
      </c>
      <c r="J667" s="3124">
        <v>2000</v>
      </c>
      <c r="K667" s="3124">
        <v>2000</v>
      </c>
      <c r="L667" s="3124">
        <v>682.5</v>
      </c>
      <c r="M667" s="3124" t="s">
        <v>3463</v>
      </c>
      <c r="N667" s="3192">
        <v>45306</v>
      </c>
      <c r="O667" s="3192">
        <v>45762</v>
      </c>
      <c r="P667" s="3192">
        <v>45337</v>
      </c>
      <c r="Q667" s="3192">
        <v>45762</v>
      </c>
      <c r="R667" s="3124" t="s">
        <v>432</v>
      </c>
      <c r="S667" s="3124" t="s">
        <v>1949</v>
      </c>
      <c r="T667" s="3124" t="s">
        <v>2825</v>
      </c>
      <c r="U667" t="s">
        <v>1761</v>
      </c>
      <c r="V667" s="3124">
        <v>5000</v>
      </c>
      <c r="W667" s="3193">
        <v>0.86350000000000005</v>
      </c>
      <c r="X667" s="3124">
        <v>4317.5</v>
      </c>
      <c r="Y667" s="3124">
        <v>2</v>
      </c>
      <c r="Z667" s="3124"/>
      <c r="AA667" s="3124">
        <v>26000</v>
      </c>
      <c r="AB667" t="s">
        <v>1761</v>
      </c>
      <c r="AC667" s="3124"/>
    </row>
    <row r="668" spans="1:29">
      <c r="A668" s="3124">
        <v>667</v>
      </c>
      <c r="B668" s="3124" t="s">
        <v>1691</v>
      </c>
      <c r="C668" s="3124" t="s">
        <v>3903</v>
      </c>
      <c r="D668" s="3124" t="s">
        <v>3677</v>
      </c>
      <c r="E668" t="s">
        <v>3232</v>
      </c>
      <c r="F668" s="3234">
        <v>47559436</v>
      </c>
      <c r="G668" s="3124" t="s">
        <v>5275</v>
      </c>
      <c r="H668" s="3124">
        <v>16</v>
      </c>
      <c r="I668" s="3124">
        <v>16</v>
      </c>
      <c r="J668" s="3124">
        <v>2000</v>
      </c>
      <c r="K668" s="3124">
        <v>2000</v>
      </c>
      <c r="L668" s="3124">
        <v>682.5</v>
      </c>
      <c r="M668" s="3124" t="s">
        <v>3463</v>
      </c>
      <c r="N668" s="3192">
        <v>45306</v>
      </c>
      <c r="O668" s="3192">
        <v>45762</v>
      </c>
      <c r="P668" s="3192">
        <v>45337</v>
      </c>
      <c r="Q668" s="3192">
        <v>45762</v>
      </c>
      <c r="R668" s="3124" t="s">
        <v>433</v>
      </c>
      <c r="S668" s="3124" t="s">
        <v>1949</v>
      </c>
      <c r="T668" s="3124" t="s">
        <v>2825</v>
      </c>
      <c r="U668" t="s">
        <v>1195</v>
      </c>
      <c r="V668" s="3124">
        <v>5000</v>
      </c>
      <c r="W668" s="3193">
        <v>0.86350000000000005</v>
      </c>
      <c r="X668" s="3124">
        <v>4317.5</v>
      </c>
      <c r="Y668" s="3124">
        <v>2</v>
      </c>
      <c r="Z668" s="3124"/>
      <c r="AA668" s="3124">
        <v>26000</v>
      </c>
      <c r="AB668" t="s">
        <v>1195</v>
      </c>
      <c r="AC668" s="3124"/>
    </row>
    <row r="669" spans="1:29">
      <c r="A669" s="3124">
        <v>668</v>
      </c>
      <c r="B669" s="3124" t="s">
        <v>1691</v>
      </c>
      <c r="C669" s="3124" t="s">
        <v>3904</v>
      </c>
      <c r="D669" s="3124" t="s">
        <v>3676</v>
      </c>
      <c r="E669" t="s">
        <v>3465</v>
      </c>
      <c r="F669" s="3234">
        <v>41923306</v>
      </c>
      <c r="G669" s="3124" t="s">
        <v>5276</v>
      </c>
      <c r="H669" s="3124">
        <v>16</v>
      </c>
      <c r="I669" s="3124">
        <v>16</v>
      </c>
      <c r="J669" s="3124">
        <v>2000</v>
      </c>
      <c r="K669" s="3124">
        <v>2000</v>
      </c>
      <c r="L669" s="3124">
        <v>682.5</v>
      </c>
      <c r="M669" s="3124" t="s">
        <v>3463</v>
      </c>
      <c r="N669" s="3192">
        <v>45306</v>
      </c>
      <c r="O669" s="3192">
        <v>45762</v>
      </c>
      <c r="P669" s="3192">
        <v>45337</v>
      </c>
      <c r="Q669" s="3192">
        <v>45762</v>
      </c>
      <c r="R669" s="3124" t="s">
        <v>432</v>
      </c>
      <c r="S669" s="3124" t="s">
        <v>1949</v>
      </c>
      <c r="T669" s="3124" t="s">
        <v>2825</v>
      </c>
      <c r="U669" t="s">
        <v>1761</v>
      </c>
      <c r="V669" s="3124">
        <v>5000</v>
      </c>
      <c r="W669" s="3193">
        <v>0.86350000000000005</v>
      </c>
      <c r="X669" s="3124">
        <v>4317.5</v>
      </c>
      <c r="Y669" s="3124">
        <v>2</v>
      </c>
      <c r="Z669" s="3124"/>
      <c r="AA669" s="3124">
        <v>26000</v>
      </c>
      <c r="AB669" t="s">
        <v>1195</v>
      </c>
      <c r="AC669" s="3124"/>
    </row>
    <row r="670" spans="1:29">
      <c r="A670" s="3124">
        <v>669</v>
      </c>
      <c r="B670" s="3124" t="s">
        <v>1691</v>
      </c>
      <c r="C670" s="3124" t="s">
        <v>3905</v>
      </c>
      <c r="D670" s="3124" t="s">
        <v>3677</v>
      </c>
      <c r="E670" t="s">
        <v>3466</v>
      </c>
      <c r="F670" s="3234">
        <v>50182141</v>
      </c>
      <c r="G670" s="3124" t="s">
        <v>5277</v>
      </c>
      <c r="H670" s="3124">
        <v>16</v>
      </c>
      <c r="I670" s="3124">
        <v>16</v>
      </c>
      <c r="J670" s="3124">
        <v>2000</v>
      </c>
      <c r="K670" s="3124">
        <v>2000</v>
      </c>
      <c r="L670" s="3124">
        <v>682.5</v>
      </c>
      <c r="M670" s="3124" t="s">
        <v>3463</v>
      </c>
      <c r="N670" s="3192">
        <v>45306</v>
      </c>
      <c r="O670" s="3192">
        <v>45762</v>
      </c>
      <c r="P670" s="3192">
        <v>45337</v>
      </c>
      <c r="Q670" s="3192">
        <v>45762</v>
      </c>
      <c r="R670" s="3124" t="s">
        <v>433</v>
      </c>
      <c r="S670" s="3124" t="s">
        <v>1949</v>
      </c>
      <c r="T670" s="3124" t="s">
        <v>2825</v>
      </c>
      <c r="U670" t="s">
        <v>1761</v>
      </c>
      <c r="V670" s="3124">
        <v>5000</v>
      </c>
      <c r="W670" s="3193">
        <v>0.86350000000000005</v>
      </c>
      <c r="X670" s="3124">
        <v>4317.5</v>
      </c>
      <c r="Y670" s="3124">
        <v>2</v>
      </c>
      <c r="Z670" s="3124"/>
      <c r="AA670" s="3124">
        <v>26000</v>
      </c>
      <c r="AB670" t="s">
        <v>1195</v>
      </c>
      <c r="AC670" s="3124"/>
    </row>
    <row r="671" spans="1:29">
      <c r="A671" s="3124">
        <v>670</v>
      </c>
      <c r="B671" s="3124" t="s">
        <v>4513</v>
      </c>
      <c r="C671" s="3124" t="s">
        <v>3906</v>
      </c>
      <c r="D671" s="3124" t="s">
        <v>3680</v>
      </c>
      <c r="E671" s="3140" t="s">
        <v>3467</v>
      </c>
      <c r="F671" s="3234">
        <v>41517700</v>
      </c>
      <c r="G671" s="3124" t="s">
        <v>5278</v>
      </c>
      <c r="H671" s="3124">
        <v>20</v>
      </c>
      <c r="I671" s="3124">
        <v>20</v>
      </c>
      <c r="J671" s="3124">
        <v>3497</v>
      </c>
      <c r="K671" s="3124">
        <v>3350</v>
      </c>
      <c r="L671" s="3124">
        <v>1049.0999999999999</v>
      </c>
      <c r="M671" s="3124" t="s">
        <v>3468</v>
      </c>
      <c r="N671" s="3192">
        <v>45306</v>
      </c>
      <c r="O671" s="3192">
        <v>45884</v>
      </c>
      <c r="P671" s="3192">
        <v>45337</v>
      </c>
      <c r="Q671" s="3192">
        <v>45458</v>
      </c>
      <c r="R671" s="3124" t="s">
        <v>433</v>
      </c>
      <c r="S671" s="3124" t="s">
        <v>1690</v>
      </c>
      <c r="T671" s="3124" t="s">
        <v>2825</v>
      </c>
      <c r="U671" t="s">
        <v>1761</v>
      </c>
      <c r="V671" s="3124">
        <v>7000</v>
      </c>
      <c r="W671" s="3193">
        <v>0.85012857142857134</v>
      </c>
      <c r="X671" s="3124">
        <v>5950.9</v>
      </c>
      <c r="Y671" s="3124">
        <v>1</v>
      </c>
      <c r="Z671" s="3124"/>
      <c r="AA671" s="3124">
        <v>30000</v>
      </c>
      <c r="AB671" t="s">
        <v>1761</v>
      </c>
      <c r="AC671" s="3124"/>
    </row>
    <row r="672" spans="1:29">
      <c r="A672" s="3124">
        <v>671</v>
      </c>
      <c r="B672" s="3875" t="s">
        <v>3156</v>
      </c>
      <c r="C672" s="3875" t="s">
        <v>3907</v>
      </c>
      <c r="D672" s="3875" t="s">
        <v>3681</v>
      </c>
      <c r="E672" s="3875" t="s">
        <v>3469</v>
      </c>
      <c r="F672" s="3234">
        <v>53067498</v>
      </c>
      <c r="G672" s="3124" t="s">
        <v>5279</v>
      </c>
      <c r="H672" s="3124">
        <v>6</v>
      </c>
      <c r="I672" s="3124">
        <v>6</v>
      </c>
      <c r="J672" s="3124">
        <v>3000</v>
      </c>
      <c r="K672" s="3124">
        <v>0</v>
      </c>
      <c r="L672" s="3124">
        <v>1049.0999999999999</v>
      </c>
      <c r="M672" s="3875" t="s">
        <v>3468</v>
      </c>
      <c r="N672" s="3192">
        <v>45306</v>
      </c>
      <c r="O672" s="3192">
        <v>45884</v>
      </c>
      <c r="P672" s="3192">
        <v>45337</v>
      </c>
      <c r="Q672" s="3192">
        <v>45884</v>
      </c>
      <c r="R672" s="3124" t="s">
        <v>433</v>
      </c>
      <c r="S672" s="3124" t="s">
        <v>3159</v>
      </c>
      <c r="T672" s="3124" t="s">
        <v>2825</v>
      </c>
      <c r="U672" t="s">
        <v>1195</v>
      </c>
      <c r="V672" s="3124">
        <v>7000</v>
      </c>
      <c r="W672" s="3193">
        <v>0.85012857142857134</v>
      </c>
      <c r="X672" s="3124">
        <v>5950.9</v>
      </c>
      <c r="Y672" s="3124">
        <v>1</v>
      </c>
      <c r="Z672" s="3124">
        <v>8000</v>
      </c>
      <c r="AA672" s="3124">
        <v>29000</v>
      </c>
      <c r="AB672" t="s">
        <v>1195</v>
      </c>
      <c r="AC672" s="3124"/>
    </row>
    <row r="673" spans="1:29">
      <c r="A673" s="3124">
        <v>672</v>
      </c>
      <c r="B673" s="3124" t="s">
        <v>4513</v>
      </c>
      <c r="C673" s="3124" t="s">
        <v>3908</v>
      </c>
      <c r="D673" s="3124" t="s">
        <v>3682</v>
      </c>
      <c r="E673" s="3181" t="s">
        <v>5280</v>
      </c>
      <c r="F673" s="3234">
        <v>52028129</v>
      </c>
      <c r="G673" s="3190" t="s">
        <v>5281</v>
      </c>
      <c r="H673" s="3124">
        <v>20</v>
      </c>
      <c r="I673" s="3124">
        <v>20</v>
      </c>
      <c r="J673" s="3124">
        <v>3000</v>
      </c>
      <c r="K673" s="3124">
        <v>3350</v>
      </c>
      <c r="L673" s="3124">
        <v>1049.0999999999999</v>
      </c>
      <c r="M673" s="3124" t="s">
        <v>3468</v>
      </c>
      <c r="N673" s="3192">
        <v>45306</v>
      </c>
      <c r="O673" s="3192">
        <v>45884</v>
      </c>
      <c r="P673" s="3192">
        <v>45337</v>
      </c>
      <c r="Q673" s="3192">
        <v>45884</v>
      </c>
      <c r="R673" s="3124" t="s">
        <v>433</v>
      </c>
      <c r="S673" s="3124" t="s">
        <v>1690</v>
      </c>
      <c r="T673" s="3124" t="s">
        <v>2825</v>
      </c>
      <c r="U673" t="s">
        <v>1761</v>
      </c>
      <c r="V673" s="3124">
        <v>7000</v>
      </c>
      <c r="W673" s="3193">
        <v>0.85012857142857134</v>
      </c>
      <c r="X673" s="3124">
        <v>5950.9</v>
      </c>
      <c r="Y673" s="3124">
        <v>1</v>
      </c>
      <c r="Z673" s="3124"/>
      <c r="AA673" s="3124">
        <v>30000</v>
      </c>
      <c r="AB673" t="s">
        <v>1761</v>
      </c>
      <c r="AC673" s="3124"/>
    </row>
    <row r="674" spans="1:29">
      <c r="A674" s="3124">
        <v>673</v>
      </c>
      <c r="B674" s="3124" t="s">
        <v>4513</v>
      </c>
      <c r="C674" s="3124" t="s">
        <v>3909</v>
      </c>
      <c r="D674" s="3124" t="s">
        <v>3683</v>
      </c>
      <c r="E674" t="s">
        <v>3470</v>
      </c>
      <c r="F674" s="3234">
        <v>42511230</v>
      </c>
      <c r="G674" s="3124" t="s">
        <v>5282</v>
      </c>
      <c r="H674" s="3124">
        <v>20</v>
      </c>
      <c r="I674" s="3124">
        <v>20</v>
      </c>
      <c r="J674" s="3124">
        <v>3000</v>
      </c>
      <c r="K674" s="3124">
        <v>3350</v>
      </c>
      <c r="L674" s="3124">
        <v>1049.0999999999999</v>
      </c>
      <c r="M674" s="3124" t="s">
        <v>3468</v>
      </c>
      <c r="N674" s="3192">
        <v>45306</v>
      </c>
      <c r="O674" s="3192">
        <v>45884</v>
      </c>
      <c r="P674" s="3192">
        <v>45337</v>
      </c>
      <c r="Q674" s="3192">
        <v>45884</v>
      </c>
      <c r="R674" s="3124" t="s">
        <v>432</v>
      </c>
      <c r="S674" s="3124" t="s">
        <v>1690</v>
      </c>
      <c r="T674" s="3124" t="s">
        <v>2825</v>
      </c>
      <c r="U674" t="s">
        <v>1761</v>
      </c>
      <c r="V674" s="3124">
        <v>7000</v>
      </c>
      <c r="W674" s="3193">
        <v>0.85012857142857134</v>
      </c>
      <c r="X674" s="3124">
        <v>5950.9</v>
      </c>
      <c r="Y674" s="3124">
        <v>1</v>
      </c>
      <c r="Z674" s="3124"/>
      <c r="AA674" s="3124">
        <v>30000</v>
      </c>
      <c r="AB674" t="s">
        <v>1761</v>
      </c>
      <c r="AC674" s="3124"/>
    </row>
    <row r="675" spans="1:29">
      <c r="A675" s="3124">
        <v>674</v>
      </c>
      <c r="B675" s="3124" t="s">
        <v>1123</v>
      </c>
      <c r="C675" s="3124" t="s">
        <v>3910</v>
      </c>
      <c r="D675" s="3124" t="s">
        <v>3934</v>
      </c>
      <c r="E675" t="s">
        <v>3884</v>
      </c>
      <c r="F675" s="3234">
        <v>30077043</v>
      </c>
      <c r="G675" s="3124" t="s">
        <v>5283</v>
      </c>
      <c r="H675" s="3124">
        <v>6</v>
      </c>
      <c r="I675" s="3124">
        <v>6</v>
      </c>
      <c r="J675" s="3124">
        <v>3000</v>
      </c>
      <c r="K675" s="3124">
        <v>3350</v>
      </c>
      <c r="L675" s="3124">
        <v>1049.0999999999999</v>
      </c>
      <c r="M675" s="3124" t="s">
        <v>3468</v>
      </c>
      <c r="N675" s="3192">
        <v>45306</v>
      </c>
      <c r="O675" s="3192">
        <v>45488</v>
      </c>
      <c r="P675" s="3192">
        <v>45337</v>
      </c>
      <c r="Q675" s="3192">
        <v>45884</v>
      </c>
      <c r="R675" s="3124" t="s">
        <v>433</v>
      </c>
      <c r="S675" s="3124" t="s">
        <v>1939</v>
      </c>
      <c r="T675" s="3124" t="s">
        <v>2825</v>
      </c>
      <c r="U675" t="s">
        <v>1195</v>
      </c>
      <c r="V675" s="3124">
        <v>7000</v>
      </c>
      <c r="W675" s="3193">
        <v>0.85012857142857134</v>
      </c>
      <c r="X675" s="3124">
        <v>5950.9</v>
      </c>
      <c r="Y675" s="3124">
        <v>0</v>
      </c>
      <c r="Z675" s="3124">
        <v>8000</v>
      </c>
      <c r="AA675" s="3124">
        <v>30000</v>
      </c>
      <c r="AB675" t="s">
        <v>1195</v>
      </c>
      <c r="AC675" s="3124"/>
    </row>
    <row r="676" spans="1:29">
      <c r="A676" s="3124">
        <v>675</v>
      </c>
      <c r="B676" s="3124" t="s">
        <v>4513</v>
      </c>
      <c r="C676" s="3124" t="s">
        <v>3911</v>
      </c>
      <c r="D676" s="3124" t="s">
        <v>3684</v>
      </c>
      <c r="E676" t="s">
        <v>3471</v>
      </c>
      <c r="F676" s="3234">
        <v>56987560</v>
      </c>
      <c r="G676" s="3124" t="s">
        <v>5284</v>
      </c>
      <c r="H676" s="3124">
        <v>20</v>
      </c>
      <c r="I676" s="3124">
        <v>20</v>
      </c>
      <c r="J676" s="3124">
        <v>3000</v>
      </c>
      <c r="K676" s="3124">
        <v>3350</v>
      </c>
      <c r="L676" s="3124">
        <v>1049.0999999999999</v>
      </c>
      <c r="M676" s="3124" t="s">
        <v>3468</v>
      </c>
      <c r="N676" s="3192">
        <v>45306</v>
      </c>
      <c r="O676" s="3192">
        <v>45884</v>
      </c>
      <c r="P676" s="3192">
        <v>45337</v>
      </c>
      <c r="Q676" s="3192">
        <v>45884</v>
      </c>
      <c r="R676" s="3124" t="s">
        <v>433</v>
      </c>
      <c r="S676" s="3124" t="s">
        <v>1690</v>
      </c>
      <c r="T676" s="3124" t="s">
        <v>2825</v>
      </c>
      <c r="U676" t="s">
        <v>1761</v>
      </c>
      <c r="V676" s="3124">
        <v>7000</v>
      </c>
      <c r="W676" s="3193">
        <v>0.85012857142857134</v>
      </c>
      <c r="X676" s="3124">
        <v>5950.9</v>
      </c>
      <c r="Y676" s="3124">
        <v>1</v>
      </c>
      <c r="Z676" s="3124"/>
      <c r="AA676" s="3124">
        <v>30000</v>
      </c>
      <c r="AB676" t="s">
        <v>1761</v>
      </c>
      <c r="AC676" s="3124"/>
    </row>
    <row r="677" spans="1:29">
      <c r="A677" s="3124">
        <v>676</v>
      </c>
      <c r="B677" s="3124" t="s">
        <v>1625</v>
      </c>
      <c r="C677" s="3124" t="s">
        <v>3472</v>
      </c>
      <c r="D677" s="3124" t="s">
        <v>3672</v>
      </c>
      <c r="E677" t="s">
        <v>3473</v>
      </c>
      <c r="F677" s="3234" t="s">
        <v>4711</v>
      </c>
      <c r="G677" s="3124" t="s">
        <v>5285</v>
      </c>
      <c r="H677" s="3124">
        <v>20</v>
      </c>
      <c r="I677" s="3124">
        <v>20</v>
      </c>
      <c r="J677" s="3124">
        <v>1500</v>
      </c>
      <c r="K677" s="3124">
        <v>3000</v>
      </c>
      <c r="L677" s="3124">
        <v>5200</v>
      </c>
      <c r="M677" s="3124" t="s">
        <v>3474</v>
      </c>
      <c r="N677" s="3192">
        <v>45339</v>
      </c>
      <c r="O677" s="3192">
        <v>45917</v>
      </c>
      <c r="P677" s="3192">
        <v>45328</v>
      </c>
      <c r="Q677" s="3192">
        <v>45917</v>
      </c>
      <c r="R677" s="3124" t="s">
        <v>432</v>
      </c>
      <c r="S677" s="3124" t="s">
        <v>1690</v>
      </c>
      <c r="T677" s="3124" t="s">
        <v>1850</v>
      </c>
      <c r="U677" t="s">
        <v>1761</v>
      </c>
      <c r="V677" s="3124">
        <v>7000</v>
      </c>
      <c r="W677" s="3193">
        <v>0.25714285714285712</v>
      </c>
      <c r="X677" s="3124">
        <v>1800</v>
      </c>
      <c r="Y677" s="3124">
        <v>0</v>
      </c>
      <c r="Z677" s="3124"/>
      <c r="AA677" s="3124">
        <v>29000</v>
      </c>
      <c r="AB677" t="s">
        <v>1761</v>
      </c>
      <c r="AC677" s="3124"/>
    </row>
    <row r="678" spans="1:29">
      <c r="A678" s="3124">
        <v>677</v>
      </c>
      <c r="B678" s="3124" t="s">
        <v>1625</v>
      </c>
      <c r="C678" s="3124" t="s">
        <v>3475</v>
      </c>
      <c r="D678" s="3124" t="s">
        <v>3673</v>
      </c>
      <c r="E678" s="3842" t="s">
        <v>3476</v>
      </c>
      <c r="F678" s="3234" t="s">
        <v>4712</v>
      </c>
      <c r="G678" s="3124" t="s">
        <v>5286</v>
      </c>
      <c r="H678" s="3124">
        <v>20</v>
      </c>
      <c r="I678" s="3124">
        <v>20</v>
      </c>
      <c r="J678" s="3124">
        <v>1500</v>
      </c>
      <c r="K678" s="3124">
        <v>3000</v>
      </c>
      <c r="L678" s="3124">
        <v>5200</v>
      </c>
      <c r="M678" s="3124" t="s">
        <v>3474</v>
      </c>
      <c r="N678" s="3192">
        <v>45339</v>
      </c>
      <c r="O678" s="3192">
        <v>45917</v>
      </c>
      <c r="P678" s="3192">
        <v>45328</v>
      </c>
      <c r="Q678" s="3192">
        <v>45917</v>
      </c>
      <c r="R678" s="3124" t="s">
        <v>432</v>
      </c>
      <c r="S678" s="3124" t="s">
        <v>1690</v>
      </c>
      <c r="T678" s="3124" t="s">
        <v>1850</v>
      </c>
      <c r="U678" t="s">
        <v>1761</v>
      </c>
      <c r="V678" s="3124">
        <v>7000</v>
      </c>
      <c r="W678" s="3193">
        <v>0.25714285714285712</v>
      </c>
      <c r="X678" s="3124">
        <v>1800</v>
      </c>
      <c r="Y678" s="3124">
        <v>0</v>
      </c>
      <c r="Z678" s="3124"/>
      <c r="AA678" s="3124">
        <v>29000</v>
      </c>
      <c r="AB678" t="s">
        <v>1195</v>
      </c>
      <c r="AC678" s="3124"/>
    </row>
    <row r="679" spans="1:29">
      <c r="A679" s="3124">
        <v>678</v>
      </c>
      <c r="B679" s="3124" t="s">
        <v>1123</v>
      </c>
      <c r="C679" s="3124" t="s">
        <v>3912</v>
      </c>
      <c r="D679" s="3124" t="s">
        <v>3678</v>
      </c>
      <c r="E679" s="3140" t="s">
        <v>3679</v>
      </c>
      <c r="F679" s="3234">
        <v>56300577</v>
      </c>
      <c r="G679" s="3124" t="s">
        <v>5287</v>
      </c>
      <c r="H679" s="3124">
        <v>6</v>
      </c>
      <c r="I679" s="3124">
        <v>6</v>
      </c>
      <c r="J679" s="3124">
        <v>3497</v>
      </c>
      <c r="K679" s="3124">
        <v>0</v>
      </c>
      <c r="L679" s="3124">
        <v>1049.0999999999999</v>
      </c>
      <c r="M679" s="3124" t="s">
        <v>3463</v>
      </c>
      <c r="N679" s="3192">
        <v>45303</v>
      </c>
      <c r="O679" s="3192">
        <v>45455</v>
      </c>
      <c r="P679" s="3192">
        <v>45342</v>
      </c>
      <c r="Q679" s="3192">
        <v>45493</v>
      </c>
      <c r="R679" s="3124" t="s">
        <v>432</v>
      </c>
      <c r="S679" s="3124" t="s">
        <v>1939</v>
      </c>
      <c r="T679" s="3124" t="s">
        <v>2825</v>
      </c>
      <c r="U679" t="s">
        <v>1761</v>
      </c>
      <c r="V679" s="3124">
        <v>7000</v>
      </c>
      <c r="W679" s="3193">
        <v>0.85012857142857134</v>
      </c>
      <c r="X679" s="3124">
        <v>5950.9</v>
      </c>
      <c r="Y679" s="3124">
        <v>0</v>
      </c>
      <c r="Z679" s="3124">
        <v>8000</v>
      </c>
      <c r="AA679" s="3124">
        <v>30000</v>
      </c>
      <c r="AB679" t="s">
        <v>1195</v>
      </c>
      <c r="AC679" s="3124"/>
    </row>
    <row r="680" spans="1:29">
      <c r="A680" s="3124">
        <v>679</v>
      </c>
      <c r="B680" s="3124" t="s">
        <v>1123</v>
      </c>
      <c r="C680" s="3124" t="s">
        <v>3913</v>
      </c>
      <c r="D680" s="3124" t="s">
        <v>3685</v>
      </c>
      <c r="E680" t="s">
        <v>3686</v>
      </c>
      <c r="F680" s="3234"/>
      <c r="G680" s="3124" t="s">
        <v>5234</v>
      </c>
      <c r="H680" s="3124">
        <v>6</v>
      </c>
      <c r="I680" s="3124">
        <v>6</v>
      </c>
      <c r="J680" s="3124">
        <v>3000</v>
      </c>
      <c r="K680" s="3124">
        <v>3000</v>
      </c>
      <c r="L680" s="3124">
        <v>1049.0999999999999</v>
      </c>
      <c r="M680" s="3124" t="s">
        <v>3468</v>
      </c>
      <c r="N680" s="3192">
        <v>45339</v>
      </c>
      <c r="O680" s="3192">
        <v>45490</v>
      </c>
      <c r="P680" s="3192">
        <v>45344</v>
      </c>
      <c r="Q680" s="3192">
        <v>45495</v>
      </c>
      <c r="R680" s="3124" t="s">
        <v>432</v>
      </c>
      <c r="S680" s="3124" t="s">
        <v>1939</v>
      </c>
      <c r="T680" s="3124" t="s">
        <v>2825</v>
      </c>
      <c r="U680" t="s">
        <v>1195</v>
      </c>
      <c r="V680" s="3124">
        <v>7000</v>
      </c>
      <c r="W680" s="3193">
        <v>0.85012857142857134</v>
      </c>
      <c r="X680" s="3124">
        <v>5950.9</v>
      </c>
      <c r="Y680" s="3124">
        <v>0</v>
      </c>
      <c r="Z680" s="3124">
        <v>8000</v>
      </c>
      <c r="AA680" s="3124">
        <v>30000</v>
      </c>
      <c r="AB680" t="s">
        <v>1195</v>
      </c>
      <c r="AC680" s="3124"/>
    </row>
    <row r="681" spans="1:29">
      <c r="A681" s="3124">
        <v>680</v>
      </c>
      <c r="B681" s="3124" t="s">
        <v>4513</v>
      </c>
      <c r="C681" s="3124" t="s">
        <v>3914</v>
      </c>
      <c r="D681" s="3124" t="s">
        <v>3687</v>
      </c>
      <c r="E681" s="3843" t="s">
        <v>4710</v>
      </c>
      <c r="F681" s="3234">
        <v>37866838</v>
      </c>
      <c r="G681" s="3124" t="s">
        <v>5235</v>
      </c>
      <c r="H681" s="3124">
        <v>20</v>
      </c>
      <c r="I681" s="3124">
        <v>20</v>
      </c>
      <c r="J681" s="3124">
        <v>3000</v>
      </c>
      <c r="K681" s="3124">
        <v>3000</v>
      </c>
      <c r="L681" s="3124">
        <v>1049.0999999999999</v>
      </c>
      <c r="M681" s="3124" t="s">
        <v>3468</v>
      </c>
      <c r="N681" s="3192">
        <v>45339</v>
      </c>
      <c r="O681" s="3192">
        <v>45917</v>
      </c>
      <c r="P681" s="3192">
        <v>45342</v>
      </c>
      <c r="Q681" s="3192">
        <v>45917</v>
      </c>
      <c r="R681" s="3124" t="s">
        <v>432</v>
      </c>
      <c r="S681" s="3124" t="s">
        <v>1690</v>
      </c>
      <c r="T681" s="3124" t="s">
        <v>2825</v>
      </c>
      <c r="U681" t="s">
        <v>1761</v>
      </c>
      <c r="V681" s="3124">
        <v>7000</v>
      </c>
      <c r="W681" s="3193">
        <v>0.85012857142857134</v>
      </c>
      <c r="X681" s="3124">
        <v>5950.9</v>
      </c>
      <c r="Y681" s="3124">
        <v>1</v>
      </c>
      <c r="Z681" s="3124"/>
      <c r="AA681" s="3124">
        <v>30000</v>
      </c>
      <c r="AB681" t="s">
        <v>1195</v>
      </c>
      <c r="AC681" s="3124"/>
    </row>
    <row r="682" spans="1:29">
      <c r="A682" s="3124">
        <v>681</v>
      </c>
      <c r="B682" s="3124" t="s">
        <v>1691</v>
      </c>
      <c r="C682" s="3124" t="s">
        <v>3775</v>
      </c>
      <c r="D682" s="3124" t="s">
        <v>3776</v>
      </c>
      <c r="E682" s="3178" t="s">
        <v>3777</v>
      </c>
      <c r="F682" s="3234">
        <v>30619975</v>
      </c>
      <c r="G682" s="3124" t="s">
        <v>5236</v>
      </c>
      <c r="H682" s="3124">
        <v>16</v>
      </c>
      <c r="I682" s="3124">
        <v>16</v>
      </c>
      <c r="J682" s="3124">
        <v>1000</v>
      </c>
      <c r="K682" s="3124">
        <v>2000</v>
      </c>
      <c r="L682" s="3124">
        <v>682.5</v>
      </c>
      <c r="M682" s="3124" t="s">
        <v>2974</v>
      </c>
      <c r="N682" s="3192">
        <v>45308</v>
      </c>
      <c r="O682" s="3192">
        <v>45794</v>
      </c>
      <c r="P682" s="3192">
        <v>45304</v>
      </c>
      <c r="Q682" s="3192">
        <v>45917</v>
      </c>
      <c r="R682" s="3124" t="s">
        <v>433</v>
      </c>
      <c r="S682" s="3124" t="s">
        <v>1949</v>
      </c>
      <c r="T682" s="3124" t="s">
        <v>2825</v>
      </c>
      <c r="U682" t="s">
        <v>1761</v>
      </c>
      <c r="V682" s="3124">
        <v>5000</v>
      </c>
      <c r="W682" s="3193">
        <v>0.86350000000000005</v>
      </c>
      <c r="X682" s="3124">
        <v>4317.5</v>
      </c>
      <c r="Y682" s="3124">
        <v>2</v>
      </c>
      <c r="Z682" s="3124"/>
      <c r="AA682" s="3124">
        <v>26000</v>
      </c>
      <c r="AB682" t="s">
        <v>1195</v>
      </c>
      <c r="AC682" s="3124"/>
    </row>
    <row r="683" spans="1:29">
      <c r="A683" s="3124">
        <v>682</v>
      </c>
      <c r="B683" s="3124" t="s">
        <v>1625</v>
      </c>
      <c r="C683" s="3124" t="s">
        <v>3846</v>
      </c>
      <c r="D683" s="3124" t="s">
        <v>4046</v>
      </c>
      <c r="E683" t="s">
        <v>3778</v>
      </c>
      <c r="F683" s="3234" t="s">
        <v>5483</v>
      </c>
      <c r="G683" s="3124" t="s">
        <v>3779</v>
      </c>
      <c r="H683" s="3124">
        <v>20</v>
      </c>
      <c r="I683" s="3124">
        <v>20</v>
      </c>
      <c r="J683" s="3124">
        <v>3000</v>
      </c>
      <c r="K683" s="3124">
        <v>3000</v>
      </c>
      <c r="L683" s="3124">
        <v>3497</v>
      </c>
      <c r="M683" s="3124" t="s">
        <v>3474</v>
      </c>
      <c r="N683" s="3192">
        <v>45339</v>
      </c>
      <c r="O683" s="3192">
        <v>45917</v>
      </c>
      <c r="P683" s="3192">
        <v>45342</v>
      </c>
      <c r="Q683" s="3192">
        <v>45917</v>
      </c>
      <c r="R683" s="3124" t="s">
        <v>432</v>
      </c>
      <c r="S683" s="3124" t="s">
        <v>1690</v>
      </c>
      <c r="T683" s="3124" t="s">
        <v>1850</v>
      </c>
      <c r="U683" s="1876" t="s">
        <v>1761</v>
      </c>
      <c r="V683" s="3124">
        <v>7000</v>
      </c>
      <c r="W683" s="3193">
        <v>0.50042857142857144</v>
      </c>
      <c r="X683" s="3124">
        <v>3503</v>
      </c>
      <c r="Y683" s="3124">
        <v>1</v>
      </c>
      <c r="Z683" s="3124"/>
      <c r="AA683" s="3124">
        <v>29000</v>
      </c>
      <c r="AB683" s="1876" t="s">
        <v>1195</v>
      </c>
      <c r="AC683" s="3124"/>
    </row>
    <row r="684" spans="1:29">
      <c r="A684" s="3124">
        <v>683</v>
      </c>
      <c r="B684" s="3124" t="s">
        <v>1625</v>
      </c>
      <c r="C684" s="3124" t="s">
        <v>3808</v>
      </c>
      <c r="D684" s="3124" t="s">
        <v>629</v>
      </c>
      <c r="E684" t="s">
        <v>3809</v>
      </c>
      <c r="F684" s="3234">
        <v>4421280179</v>
      </c>
      <c r="G684" s="3124" t="s">
        <v>3810</v>
      </c>
      <c r="H684" s="3124">
        <v>20</v>
      </c>
      <c r="I684" s="3124">
        <v>20</v>
      </c>
      <c r="J684" s="3124">
        <v>3000</v>
      </c>
      <c r="K684" s="3124">
        <v>3197</v>
      </c>
      <c r="L684" s="3124">
        <v>3497</v>
      </c>
      <c r="M684" s="3124" t="s">
        <v>3474</v>
      </c>
      <c r="N684" s="3192">
        <v>45367</v>
      </c>
      <c r="O684" s="3192">
        <v>45946</v>
      </c>
      <c r="P684" s="3192">
        <v>45343</v>
      </c>
      <c r="Q684" s="3192">
        <v>45917</v>
      </c>
      <c r="R684" s="3124" t="s">
        <v>433</v>
      </c>
      <c r="S684" s="3124" t="s">
        <v>1690</v>
      </c>
      <c r="T684" s="3124" t="s">
        <v>1850</v>
      </c>
      <c r="U684" t="s">
        <v>2653</v>
      </c>
      <c r="V684" s="3124">
        <v>7000</v>
      </c>
      <c r="W684" s="3193">
        <v>0.50042857142857144</v>
      </c>
      <c r="X684" s="3124">
        <v>3503</v>
      </c>
      <c r="Y684" s="3124">
        <v>1</v>
      </c>
      <c r="Z684" s="3124"/>
      <c r="AA684" s="3124">
        <v>29000</v>
      </c>
      <c r="AB684" t="s">
        <v>2653</v>
      </c>
      <c r="AC684" s="3124"/>
    </row>
    <row r="685" spans="1:29">
      <c r="A685" s="3124">
        <v>684</v>
      </c>
      <c r="B685" s="3124" t="s">
        <v>1123</v>
      </c>
      <c r="C685" s="3124" t="s">
        <v>3811</v>
      </c>
      <c r="D685" s="3124" t="s">
        <v>4047</v>
      </c>
      <c r="E685" t="s">
        <v>3812</v>
      </c>
      <c r="F685" s="3234">
        <v>4774750502</v>
      </c>
      <c r="G685" s="3124" t="s">
        <v>3813</v>
      </c>
      <c r="H685" s="3124">
        <v>6</v>
      </c>
      <c r="I685" s="3124">
        <v>6</v>
      </c>
      <c r="J685" s="3124">
        <v>0</v>
      </c>
      <c r="K685" s="3124">
        <v>0</v>
      </c>
      <c r="L685" s="3124">
        <v>3497</v>
      </c>
      <c r="M685" s="3124" t="s">
        <v>3474</v>
      </c>
      <c r="N685" s="3192">
        <v>45367</v>
      </c>
      <c r="O685" s="3192">
        <v>45520</v>
      </c>
      <c r="P685" s="3192">
        <v>45345</v>
      </c>
      <c r="Q685" s="3192">
        <v>45520</v>
      </c>
      <c r="R685" s="3124" t="s">
        <v>433</v>
      </c>
      <c r="S685" s="3124" t="s">
        <v>1939</v>
      </c>
      <c r="T685" s="3124" t="s">
        <v>1850</v>
      </c>
      <c r="U685" t="s">
        <v>1195</v>
      </c>
      <c r="V685" s="3124">
        <v>7000</v>
      </c>
      <c r="W685" s="3193">
        <v>0.50042857142857144</v>
      </c>
      <c r="X685" s="3124">
        <v>3503</v>
      </c>
      <c r="Y685" s="3124">
        <v>0</v>
      </c>
      <c r="Z685" s="3124">
        <v>8000</v>
      </c>
      <c r="AA685" s="3124">
        <v>25000</v>
      </c>
      <c r="AB685" t="s">
        <v>1195</v>
      </c>
      <c r="AC685" s="3124"/>
    </row>
    <row r="686" spans="1:29">
      <c r="A686" s="3124">
        <v>685</v>
      </c>
      <c r="B686" s="3124" t="s">
        <v>1621</v>
      </c>
      <c r="C686" s="3124" t="s">
        <v>3814</v>
      </c>
      <c r="D686" s="3124" t="s">
        <v>5079</v>
      </c>
      <c r="E686" s="3874" t="s">
        <v>3815</v>
      </c>
      <c r="F686" s="3234">
        <v>9636322439</v>
      </c>
      <c r="G686" s="3124" t="s">
        <v>3816</v>
      </c>
      <c r="H686" s="3124">
        <v>20</v>
      </c>
      <c r="I686" s="3124">
        <v>20</v>
      </c>
      <c r="J686" s="3124" t="s">
        <v>1948</v>
      </c>
      <c r="K686" s="3124">
        <v>2000</v>
      </c>
      <c r="L686" s="3124">
        <v>2275</v>
      </c>
      <c r="M686" s="3124" t="s">
        <v>3461</v>
      </c>
      <c r="N686" s="3192">
        <v>45366</v>
      </c>
      <c r="O686" s="3192">
        <v>45945</v>
      </c>
      <c r="P686" s="3192">
        <v>45350</v>
      </c>
      <c r="Q686" s="3192">
        <v>45928</v>
      </c>
      <c r="R686" s="3124" t="s">
        <v>433</v>
      </c>
      <c r="S686" s="3124" t="s">
        <v>1640</v>
      </c>
      <c r="T686" s="3124" t="s">
        <v>2887</v>
      </c>
      <c r="U686" t="s">
        <v>1761</v>
      </c>
      <c r="V686" s="3124">
        <v>5000</v>
      </c>
      <c r="W686" s="3193">
        <v>0.54500000000000004</v>
      </c>
      <c r="X686" s="3124">
        <v>2725</v>
      </c>
      <c r="Y686" s="3124">
        <v>2</v>
      </c>
      <c r="Z686" s="3124"/>
      <c r="AA686" s="3124">
        <v>26000</v>
      </c>
      <c r="AB686" t="s">
        <v>1195</v>
      </c>
      <c r="AC686" s="3124"/>
    </row>
    <row r="687" spans="1:29">
      <c r="A687" s="3124">
        <v>686</v>
      </c>
      <c r="B687" s="3124" t="s">
        <v>1621</v>
      </c>
      <c r="C687" s="3124" t="s">
        <v>3817</v>
      </c>
      <c r="D687" s="3124" t="s">
        <v>4650</v>
      </c>
      <c r="E687" t="s">
        <v>3818</v>
      </c>
      <c r="F687" s="3234">
        <v>9611517185</v>
      </c>
      <c r="G687" s="3124" t="s">
        <v>3819</v>
      </c>
      <c r="H687" s="3124">
        <v>20</v>
      </c>
      <c r="I687" s="3124">
        <v>20</v>
      </c>
      <c r="J687" s="3124" t="s">
        <v>1948</v>
      </c>
      <c r="K687" s="3124">
        <v>2000</v>
      </c>
      <c r="L687" s="3124">
        <v>2275</v>
      </c>
      <c r="M687" s="3124" t="s">
        <v>3461</v>
      </c>
      <c r="N687" s="3192">
        <v>45366</v>
      </c>
      <c r="O687" s="3192">
        <v>45945</v>
      </c>
      <c r="P687" s="3192">
        <v>45357</v>
      </c>
      <c r="Q687" s="3192">
        <v>45936</v>
      </c>
      <c r="R687" s="3124" t="s">
        <v>433</v>
      </c>
      <c r="S687" s="3124" t="s">
        <v>1640</v>
      </c>
      <c r="T687" s="3124" t="s">
        <v>2887</v>
      </c>
      <c r="U687" t="s">
        <v>2653</v>
      </c>
      <c r="V687" s="3124">
        <v>5000</v>
      </c>
      <c r="W687" s="3193">
        <v>0.54500000000000004</v>
      </c>
      <c r="X687" s="3124">
        <v>2725</v>
      </c>
      <c r="Y687" s="3124">
        <v>2</v>
      </c>
      <c r="Z687" s="3124"/>
      <c r="AA687" s="3124">
        <v>26000</v>
      </c>
      <c r="AB687" t="s">
        <v>2653</v>
      </c>
      <c r="AC687" s="3124"/>
    </row>
    <row r="688" spans="1:29">
      <c r="A688" s="3124">
        <v>687</v>
      </c>
      <c r="B688" s="3124" t="s">
        <v>1839</v>
      </c>
      <c r="C688" s="3848" t="s">
        <v>3822</v>
      </c>
      <c r="D688" s="3843" t="s">
        <v>5089</v>
      </c>
      <c r="E688" t="s">
        <v>3847</v>
      </c>
      <c r="F688" s="3802">
        <v>7228771330</v>
      </c>
      <c r="G688" s="3124" t="s">
        <v>3823</v>
      </c>
      <c r="H688" s="3124">
        <v>8</v>
      </c>
      <c r="I688" s="3124">
        <v>8</v>
      </c>
      <c r="J688" s="3124">
        <v>1000</v>
      </c>
      <c r="K688" s="3124">
        <v>0</v>
      </c>
      <c r="L688" s="3124">
        <v>2275</v>
      </c>
      <c r="M688" s="3124" t="s">
        <v>3824</v>
      </c>
      <c r="N688" s="3192">
        <v>45360</v>
      </c>
      <c r="O688" s="3192">
        <v>45939</v>
      </c>
      <c r="P688" s="3192">
        <v>45357</v>
      </c>
      <c r="Q688" s="3192">
        <v>45571</v>
      </c>
      <c r="R688" s="3124" t="s">
        <v>432</v>
      </c>
      <c r="S688" s="3124" t="s">
        <v>1842</v>
      </c>
      <c r="T688" s="3124" t="s">
        <v>1918</v>
      </c>
      <c r="U688" t="s">
        <v>1761</v>
      </c>
      <c r="V688" s="3124">
        <v>4200</v>
      </c>
      <c r="W688" s="3193">
        <v>0.45833333333333331</v>
      </c>
      <c r="X688" s="3124">
        <v>1925</v>
      </c>
      <c r="Y688" s="3124">
        <v>0</v>
      </c>
      <c r="Z688" s="3124">
        <v>5000</v>
      </c>
      <c r="AA688" s="3124">
        <v>23000</v>
      </c>
      <c r="AB688" t="s">
        <v>1195</v>
      </c>
      <c r="AC688" s="3124"/>
    </row>
    <row r="689" spans="1:29">
      <c r="A689" s="3124">
        <v>688</v>
      </c>
      <c r="B689" s="3124" t="s">
        <v>1839</v>
      </c>
      <c r="C689" s="3124" t="s">
        <v>3825</v>
      </c>
      <c r="D689" s="3124" t="s">
        <v>745</v>
      </c>
      <c r="E689" s="3848" t="s">
        <v>3826</v>
      </c>
      <c r="F689" s="3234">
        <v>5528865630</v>
      </c>
      <c r="G689" s="3124" t="s">
        <v>3827</v>
      </c>
      <c r="H689" s="3124">
        <v>8</v>
      </c>
      <c r="I689" s="3124">
        <v>8</v>
      </c>
      <c r="J689" s="3124">
        <v>1000</v>
      </c>
      <c r="K689" s="3124">
        <v>0</v>
      </c>
      <c r="L689" s="3124">
        <v>2275</v>
      </c>
      <c r="M689" s="3124" t="s">
        <v>3824</v>
      </c>
      <c r="N689" s="3192">
        <v>45409</v>
      </c>
      <c r="O689" s="3192">
        <v>45653</v>
      </c>
      <c r="P689" s="3192">
        <v>45357</v>
      </c>
      <c r="Q689" s="3192">
        <v>45571</v>
      </c>
      <c r="R689" s="3124" t="s">
        <v>432</v>
      </c>
      <c r="S689" s="3124" t="s">
        <v>1842</v>
      </c>
      <c r="T689" s="3124" t="s">
        <v>1918</v>
      </c>
      <c r="U689" t="s">
        <v>1761</v>
      </c>
      <c r="V689" s="3124">
        <v>4200</v>
      </c>
      <c r="W689" s="3193">
        <v>0.45833333333333331</v>
      </c>
      <c r="X689" s="3124">
        <v>1925</v>
      </c>
      <c r="Y689" s="3124">
        <v>0</v>
      </c>
      <c r="Z689" s="3124">
        <v>5000</v>
      </c>
      <c r="AA689" s="3124">
        <v>23000</v>
      </c>
      <c r="AB689" t="s">
        <v>1869</v>
      </c>
      <c r="AC689" s="3124"/>
    </row>
    <row r="690" spans="1:29">
      <c r="A690" s="3124">
        <v>689</v>
      </c>
      <c r="B690" s="3124" t="s">
        <v>3156</v>
      </c>
      <c r="C690" s="3124" t="s">
        <v>3828</v>
      </c>
      <c r="D690" s="3124" t="s">
        <v>5080</v>
      </c>
      <c r="E690" t="s">
        <v>3829</v>
      </c>
      <c r="F690" s="3234">
        <v>5540100786</v>
      </c>
      <c r="G690" s="3124" t="s">
        <v>3848</v>
      </c>
      <c r="H690" s="3124">
        <v>6</v>
      </c>
      <c r="I690" s="3124">
        <v>6</v>
      </c>
      <c r="J690" s="3124">
        <v>1500</v>
      </c>
      <c r="K690" s="3124"/>
      <c r="L690" s="3124">
        <v>3497</v>
      </c>
      <c r="M690" s="3124" t="s">
        <v>3830</v>
      </c>
      <c r="N690" s="3192">
        <v>45360</v>
      </c>
      <c r="O690" s="3192">
        <v>45513</v>
      </c>
      <c r="P690" s="3192">
        <v>45432</v>
      </c>
      <c r="Q690" s="3192">
        <v>45585</v>
      </c>
      <c r="R690" s="3124" t="s">
        <v>432</v>
      </c>
      <c r="S690" s="3124" t="s">
        <v>3159</v>
      </c>
      <c r="T690" s="3124" t="s">
        <v>1918</v>
      </c>
      <c r="U690" t="s">
        <v>1195</v>
      </c>
      <c r="V690" s="3124">
        <v>7000</v>
      </c>
      <c r="W690" s="3193">
        <v>0.50042857142857144</v>
      </c>
      <c r="X690" s="3124">
        <v>3503</v>
      </c>
      <c r="Y690" s="3124">
        <v>0</v>
      </c>
      <c r="Z690" s="3124">
        <v>8000</v>
      </c>
      <c r="AA690" s="3124">
        <v>29000</v>
      </c>
      <c r="AB690" t="s">
        <v>1195</v>
      </c>
      <c r="AC690" s="3124"/>
    </row>
    <row r="691" spans="1:29">
      <c r="A691" s="3124">
        <v>690</v>
      </c>
      <c r="B691" s="3124" t="s">
        <v>1625</v>
      </c>
      <c r="C691" s="3124" t="s">
        <v>4048</v>
      </c>
      <c r="D691" s="3124" t="s">
        <v>4049</v>
      </c>
      <c r="E691" s="3874" t="s">
        <v>3831</v>
      </c>
      <c r="F691" s="3234">
        <v>50766163704</v>
      </c>
      <c r="G691" s="3190" t="s">
        <v>3832</v>
      </c>
      <c r="H691" s="3124">
        <v>20</v>
      </c>
      <c r="I691" s="3124">
        <v>20</v>
      </c>
      <c r="J691" s="3124" t="s">
        <v>1948</v>
      </c>
      <c r="K691" s="3124">
        <v>3000</v>
      </c>
      <c r="L691" s="3124">
        <v>3497</v>
      </c>
      <c r="M691" s="3124" t="s">
        <v>3833</v>
      </c>
      <c r="N691" s="3192">
        <v>45367</v>
      </c>
      <c r="O691" s="3192">
        <v>45946</v>
      </c>
      <c r="P691" s="3192">
        <v>45365</v>
      </c>
      <c r="Q691" s="3192">
        <v>45944</v>
      </c>
      <c r="R691" s="3124" t="s">
        <v>433</v>
      </c>
      <c r="S691" s="3124" t="s">
        <v>1690</v>
      </c>
      <c r="T691" s="3124" t="s">
        <v>1850</v>
      </c>
      <c r="U691" t="s">
        <v>1761</v>
      </c>
      <c r="V691" s="3124">
        <v>7000</v>
      </c>
      <c r="W691" s="3193">
        <v>0.50042857142857144</v>
      </c>
      <c r="X691" s="3124">
        <v>3503</v>
      </c>
      <c r="Y691" s="3124">
        <v>1</v>
      </c>
      <c r="Z691" s="3124"/>
      <c r="AA691" s="3124">
        <v>34000</v>
      </c>
      <c r="AB691" t="s">
        <v>1195</v>
      </c>
      <c r="AC691" s="3124"/>
    </row>
    <row r="692" spans="1:29">
      <c r="A692" s="3124">
        <v>691</v>
      </c>
      <c r="B692" s="3124" t="s">
        <v>1621</v>
      </c>
      <c r="C692" s="3124" t="s">
        <v>328</v>
      </c>
      <c r="D692" s="3124" t="s">
        <v>5081</v>
      </c>
      <c r="E692" t="s">
        <v>4520</v>
      </c>
      <c r="F692" s="3234">
        <v>9983442417</v>
      </c>
      <c r="G692" s="3124" t="s">
        <v>3834</v>
      </c>
      <c r="H692" s="3124">
        <v>20</v>
      </c>
      <c r="I692" s="3124">
        <v>20</v>
      </c>
      <c r="J692" s="3124" t="s">
        <v>1948</v>
      </c>
      <c r="K692" s="3124">
        <v>2000</v>
      </c>
      <c r="L692" s="3124">
        <v>2275</v>
      </c>
      <c r="M692" s="3124" t="s">
        <v>3422</v>
      </c>
      <c r="N692" s="3192">
        <v>45366</v>
      </c>
      <c r="O692" s="3192">
        <v>45945</v>
      </c>
      <c r="P692" s="3192">
        <v>45366</v>
      </c>
      <c r="Q692" s="3192">
        <v>45945</v>
      </c>
      <c r="R692" s="3124" t="s">
        <v>432</v>
      </c>
      <c r="S692" s="3124" t="s">
        <v>1640</v>
      </c>
      <c r="T692" s="3124" t="s">
        <v>1850</v>
      </c>
      <c r="U692" t="s">
        <v>1869</v>
      </c>
      <c r="V692" s="3124">
        <v>5000</v>
      </c>
      <c r="W692" s="3193">
        <v>0.54500000000000004</v>
      </c>
      <c r="X692" s="3124">
        <v>2725</v>
      </c>
      <c r="Y692" s="3124">
        <v>2</v>
      </c>
      <c r="Z692" s="3124"/>
      <c r="AA692" s="3124">
        <v>26000</v>
      </c>
      <c r="AB692" t="s">
        <v>1869</v>
      </c>
      <c r="AC692" s="3124"/>
    </row>
    <row r="693" spans="1:29">
      <c r="A693" s="3124">
        <v>692</v>
      </c>
      <c r="B693" s="3219" t="s">
        <v>1625</v>
      </c>
      <c r="C693" s="3124" t="s">
        <v>4050</v>
      </c>
      <c r="D693" s="3124" t="s">
        <v>4051</v>
      </c>
      <c r="E693" t="s">
        <v>3835</v>
      </c>
      <c r="F693" s="3234">
        <v>50765347792</v>
      </c>
      <c r="G693" s="3124" t="s">
        <v>3836</v>
      </c>
      <c r="H693" s="3124">
        <v>20</v>
      </c>
      <c r="I693" s="3124">
        <v>20</v>
      </c>
      <c r="J693" s="3124" t="s">
        <v>1948</v>
      </c>
      <c r="K693" s="3124">
        <v>3000</v>
      </c>
      <c r="L693" s="3124">
        <v>3497</v>
      </c>
      <c r="M693" s="3124" t="s">
        <v>3833</v>
      </c>
      <c r="N693" s="3192">
        <v>45367</v>
      </c>
      <c r="O693" s="3192">
        <v>45946</v>
      </c>
      <c r="P693" s="3192">
        <v>45366</v>
      </c>
      <c r="Q693" s="3192">
        <v>45945</v>
      </c>
      <c r="R693" s="3124" t="s">
        <v>433</v>
      </c>
      <c r="S693" s="3124" t="s">
        <v>1690</v>
      </c>
      <c r="T693" s="3124" t="s">
        <v>1850</v>
      </c>
      <c r="U693" t="s">
        <v>1761</v>
      </c>
      <c r="V693" s="3124">
        <v>7000</v>
      </c>
      <c r="W693" s="3193">
        <v>0.50042857142857144</v>
      </c>
      <c r="X693" s="3124">
        <v>3503</v>
      </c>
      <c r="Y693" s="3124">
        <v>1</v>
      </c>
      <c r="Z693" s="3124"/>
      <c r="AA693" s="3124">
        <v>34000</v>
      </c>
      <c r="AB693" t="s">
        <v>1869</v>
      </c>
      <c r="AC693" s="3124"/>
    </row>
    <row r="694" spans="1:29">
      <c r="A694" s="3124">
        <v>693</v>
      </c>
      <c r="B694" s="3124" t="s">
        <v>1621</v>
      </c>
      <c r="C694" s="3124" t="s">
        <v>3837</v>
      </c>
      <c r="D694" s="3124" t="s">
        <v>5082</v>
      </c>
      <c r="E694" t="s">
        <v>3838</v>
      </c>
      <c r="F694" s="3234">
        <v>5540375509</v>
      </c>
      <c r="G694" s="3124" t="s">
        <v>3839</v>
      </c>
      <c r="H694" s="3124">
        <v>20</v>
      </c>
      <c r="I694" s="3124">
        <v>20</v>
      </c>
      <c r="J694" s="3124" t="s">
        <v>1948</v>
      </c>
      <c r="K694" s="3124">
        <v>2000</v>
      </c>
      <c r="L694" s="3124">
        <v>2000</v>
      </c>
      <c r="M694" s="3124" t="s">
        <v>3422</v>
      </c>
      <c r="N694" s="3192">
        <v>45366</v>
      </c>
      <c r="O694" s="3192">
        <v>45945</v>
      </c>
      <c r="P694" s="3192">
        <v>45366</v>
      </c>
      <c r="Q694" s="3192">
        <v>45945</v>
      </c>
      <c r="R694" s="3124" t="s">
        <v>433</v>
      </c>
      <c r="S694" s="3124" t="s">
        <v>1640</v>
      </c>
      <c r="T694" s="3124" t="s">
        <v>1850</v>
      </c>
      <c r="U694" t="s">
        <v>1869</v>
      </c>
      <c r="V694" s="3124">
        <v>5000</v>
      </c>
      <c r="W694" s="3193">
        <v>0.6</v>
      </c>
      <c r="X694" s="3124">
        <v>3000</v>
      </c>
      <c r="Y694" s="3124">
        <v>2</v>
      </c>
      <c r="Z694" s="3124"/>
      <c r="AA694" s="3124">
        <v>26000</v>
      </c>
      <c r="AB694" t="s">
        <v>1869</v>
      </c>
      <c r="AC694" s="3124"/>
    </row>
    <row r="695" spans="1:29">
      <c r="A695" s="3124">
        <v>694</v>
      </c>
      <c r="B695" s="3124" t="s">
        <v>1621</v>
      </c>
      <c r="C695" s="3124" t="s">
        <v>3327</v>
      </c>
      <c r="D695" s="3124" t="s">
        <v>5083</v>
      </c>
      <c r="E695" t="s">
        <v>3840</v>
      </c>
      <c r="F695" s="3234">
        <v>5580337247</v>
      </c>
      <c r="G695" s="3124" t="s">
        <v>3330</v>
      </c>
      <c r="H695" s="3124">
        <v>20</v>
      </c>
      <c r="I695" s="3124">
        <v>20</v>
      </c>
      <c r="J695" s="3124" t="s">
        <v>1948</v>
      </c>
      <c r="K695" s="3124">
        <v>2000</v>
      </c>
      <c r="L695" s="3124">
        <v>2000</v>
      </c>
      <c r="M695" s="3124" t="s">
        <v>3422</v>
      </c>
      <c r="N695" s="3192">
        <v>45366</v>
      </c>
      <c r="O695" s="3192">
        <v>45945</v>
      </c>
      <c r="P695" s="3192">
        <v>45366</v>
      </c>
      <c r="Q695" s="3192">
        <v>45945</v>
      </c>
      <c r="R695" s="3124" t="s">
        <v>432</v>
      </c>
      <c r="S695" s="3124" t="s">
        <v>1640</v>
      </c>
      <c r="T695" s="3124" t="s">
        <v>1850</v>
      </c>
      <c r="U695" t="s">
        <v>1869</v>
      </c>
      <c r="V695" s="3124">
        <v>5000</v>
      </c>
      <c r="W695" s="3193">
        <v>0.6</v>
      </c>
      <c r="X695" s="3124">
        <v>3000</v>
      </c>
      <c r="Y695" s="3124">
        <v>2</v>
      </c>
      <c r="Z695" s="3124"/>
      <c r="AA695" s="3124">
        <v>26000</v>
      </c>
      <c r="AB695" t="s">
        <v>1869</v>
      </c>
      <c r="AC695" s="3124"/>
    </row>
    <row r="696" spans="1:29">
      <c r="A696" s="3124">
        <v>695</v>
      </c>
      <c r="B696" s="3124" t="s">
        <v>1123</v>
      </c>
      <c r="C696" s="3124" t="s">
        <v>3849</v>
      </c>
      <c r="D696" s="3124" t="s">
        <v>4052</v>
      </c>
      <c r="E696" t="s">
        <v>3850</v>
      </c>
      <c r="F696" s="3234">
        <v>72211818218</v>
      </c>
      <c r="G696" s="3124" t="s">
        <v>3851</v>
      </c>
      <c r="H696" s="3124">
        <v>6</v>
      </c>
      <c r="I696" s="3124">
        <v>6</v>
      </c>
      <c r="J696" s="3124">
        <v>1500</v>
      </c>
      <c r="K696" s="3124"/>
      <c r="L696" s="3124">
        <v>3497</v>
      </c>
      <c r="M696" s="3124" t="s">
        <v>3833</v>
      </c>
      <c r="N696" s="3192">
        <v>45409</v>
      </c>
      <c r="O696" s="3192">
        <v>45562</v>
      </c>
      <c r="P696" s="3192">
        <v>45371</v>
      </c>
      <c r="Q696" s="3192">
        <v>45555</v>
      </c>
      <c r="R696" s="3124" t="s">
        <v>432</v>
      </c>
      <c r="S696" s="3124" t="s">
        <v>1939</v>
      </c>
      <c r="T696" s="3124" t="s">
        <v>1918</v>
      </c>
      <c r="U696" t="s">
        <v>1195</v>
      </c>
      <c r="V696" s="3124">
        <v>7000</v>
      </c>
      <c r="W696" s="3193">
        <v>0.50042857142857144</v>
      </c>
      <c r="X696" s="3124">
        <v>3503</v>
      </c>
      <c r="Y696" s="3124">
        <v>0</v>
      </c>
      <c r="Z696" s="3124">
        <v>8000</v>
      </c>
      <c r="AA696" s="3124">
        <v>25000</v>
      </c>
      <c r="AB696" t="s">
        <v>1195</v>
      </c>
      <c r="AC696" s="3124"/>
    </row>
    <row r="697" spans="1:29">
      <c r="A697" s="3124">
        <v>696</v>
      </c>
      <c r="B697" s="3124" t="s">
        <v>1123</v>
      </c>
      <c r="C697" s="3124" t="s">
        <v>3852</v>
      </c>
      <c r="D697" s="3124" t="s">
        <v>4053</v>
      </c>
      <c r="E697" t="s">
        <v>3853</v>
      </c>
      <c r="F697" s="3234">
        <v>7223554536</v>
      </c>
      <c r="G697" s="3124" t="s">
        <v>3854</v>
      </c>
      <c r="H697" s="3124">
        <v>6</v>
      </c>
      <c r="I697" s="3124">
        <v>6</v>
      </c>
      <c r="J697" s="3124">
        <v>1500</v>
      </c>
      <c r="K697" s="3124"/>
      <c r="L697" s="3124">
        <v>3497</v>
      </c>
      <c r="M697" s="3124" t="s">
        <v>3833</v>
      </c>
      <c r="N697" s="3192">
        <v>45339</v>
      </c>
      <c r="O697" s="3192">
        <v>45424</v>
      </c>
      <c r="P697" s="3192">
        <v>45339</v>
      </c>
      <c r="Q697" s="3192">
        <v>45490</v>
      </c>
      <c r="R697" s="3124" t="s">
        <v>433</v>
      </c>
      <c r="S697" s="3124" t="s">
        <v>1939</v>
      </c>
      <c r="T697" s="3124" t="s">
        <v>1918</v>
      </c>
      <c r="U697" t="s">
        <v>1195</v>
      </c>
      <c r="V697" s="3124">
        <v>7000</v>
      </c>
      <c r="W697" s="3193">
        <v>0.50042857142857144</v>
      </c>
      <c r="X697" s="3124">
        <v>3503</v>
      </c>
      <c r="Y697" s="3124">
        <v>0</v>
      </c>
      <c r="Z697" s="3124">
        <v>8000</v>
      </c>
      <c r="AA697" s="3124">
        <v>25000</v>
      </c>
      <c r="AB697" t="s">
        <v>1195</v>
      </c>
      <c r="AC697" s="3124"/>
    </row>
    <row r="698" spans="1:29">
      <c r="A698" s="3124">
        <v>697</v>
      </c>
      <c r="B698" s="3124" t="s">
        <v>1123</v>
      </c>
      <c r="C698" s="3124" t="s">
        <v>3863</v>
      </c>
      <c r="D698" s="3124" t="s">
        <v>4054</v>
      </c>
      <c r="E698" t="s">
        <v>3864</v>
      </c>
      <c r="F698" s="3234">
        <v>5523254136</v>
      </c>
      <c r="G698" s="3124" t="s">
        <v>5288</v>
      </c>
      <c r="H698" s="3124">
        <v>1</v>
      </c>
      <c r="I698" s="3124">
        <v>4</v>
      </c>
      <c r="J698" s="3124">
        <v>1500</v>
      </c>
      <c r="K698" s="3124">
        <v>3497</v>
      </c>
      <c r="L698" s="3124">
        <v>3497</v>
      </c>
      <c r="M698" s="3124" t="s">
        <v>3833</v>
      </c>
      <c r="N698" s="3192">
        <v>45402</v>
      </c>
      <c r="O698" s="3192">
        <v>45555</v>
      </c>
      <c r="P698" s="3192">
        <v>45383</v>
      </c>
      <c r="Q698" s="3192">
        <v>45383</v>
      </c>
      <c r="R698" s="3124" t="s">
        <v>433</v>
      </c>
      <c r="S698" s="3124" t="s">
        <v>1939</v>
      </c>
      <c r="T698" s="3124" t="s">
        <v>1918</v>
      </c>
      <c r="U698" t="s">
        <v>1195</v>
      </c>
      <c r="V698" s="3124">
        <v>7000</v>
      </c>
      <c r="W698" s="3193">
        <v>0.50042857142857144</v>
      </c>
      <c r="X698" s="3124">
        <v>3503</v>
      </c>
      <c r="Y698" s="3124">
        <v>0</v>
      </c>
      <c r="Z698" s="3124">
        <v>8000</v>
      </c>
      <c r="AA698" s="3124">
        <v>25000</v>
      </c>
      <c r="AB698" t="s">
        <v>1195</v>
      </c>
      <c r="AC698" s="3124"/>
    </row>
    <row r="699" spans="1:29">
      <c r="A699" s="3124">
        <v>698</v>
      </c>
      <c r="B699" s="3124" t="s">
        <v>1839</v>
      </c>
      <c r="C699" s="3124" t="s">
        <v>3868</v>
      </c>
      <c r="D699" s="3124" t="s">
        <v>5090</v>
      </c>
      <c r="E699" t="s">
        <v>3869</v>
      </c>
      <c r="F699" s="3234">
        <v>9982404940</v>
      </c>
      <c r="G699" s="3124" t="s">
        <v>3870</v>
      </c>
      <c r="H699" s="3124">
        <v>8</v>
      </c>
      <c r="I699" s="3124">
        <v>8</v>
      </c>
      <c r="J699" s="3124">
        <v>1000</v>
      </c>
      <c r="K699" s="3124"/>
      <c r="L699" s="3124">
        <v>2275</v>
      </c>
      <c r="M699" s="3124" t="s">
        <v>3426</v>
      </c>
      <c r="N699" s="3192">
        <v>45402</v>
      </c>
      <c r="O699" s="3192">
        <v>45616</v>
      </c>
      <c r="P699" s="3192">
        <v>45392</v>
      </c>
      <c r="Q699" s="3192">
        <v>45606</v>
      </c>
      <c r="R699" s="3124" t="s">
        <v>432</v>
      </c>
      <c r="S699" s="3124" t="s">
        <v>1842</v>
      </c>
      <c r="T699" s="3124" t="s">
        <v>1850</v>
      </c>
      <c r="U699" t="s">
        <v>1195</v>
      </c>
      <c r="V699" s="3124">
        <v>5000</v>
      </c>
      <c r="W699" s="3193">
        <v>0.54500000000000004</v>
      </c>
      <c r="X699" s="3124">
        <v>2725</v>
      </c>
      <c r="Y699" s="3124"/>
      <c r="Z699" s="3124">
        <v>5000</v>
      </c>
      <c r="AA699" s="3124">
        <v>21000</v>
      </c>
      <c r="AB699" t="s">
        <v>1195</v>
      </c>
      <c r="AC699" s="3124"/>
    </row>
    <row r="700" spans="1:29">
      <c r="A700" s="3124">
        <v>699</v>
      </c>
      <c r="B700" s="3124" t="s">
        <v>1625</v>
      </c>
      <c r="C700" s="3124"/>
      <c r="D700" s="3124" t="s">
        <v>745</v>
      </c>
      <c r="E700" s="3155" t="s">
        <v>3872</v>
      </c>
      <c r="F700" s="3234" t="s">
        <v>3873</v>
      </c>
      <c r="G700" s="3124" t="s">
        <v>3885</v>
      </c>
      <c r="H700" s="3124">
        <v>20</v>
      </c>
      <c r="I700" s="3124">
        <v>20</v>
      </c>
      <c r="J700" s="3124">
        <v>1000</v>
      </c>
      <c r="K700" s="3124">
        <v>3000</v>
      </c>
      <c r="L700" s="3124">
        <v>3497</v>
      </c>
      <c r="M700" s="3124" t="s">
        <v>3833</v>
      </c>
      <c r="N700" s="3192">
        <v>45402</v>
      </c>
      <c r="O700" s="3192">
        <v>45981</v>
      </c>
      <c r="P700" s="3192">
        <v>45392</v>
      </c>
      <c r="Q700" s="3192">
        <v>45971</v>
      </c>
      <c r="R700" s="3124" t="s">
        <v>2573</v>
      </c>
      <c r="S700" s="3124" t="s">
        <v>1690</v>
      </c>
      <c r="T700" s="3124" t="s">
        <v>1850</v>
      </c>
      <c r="U700" t="s">
        <v>2653</v>
      </c>
      <c r="V700" s="3124">
        <v>7000</v>
      </c>
      <c r="W700" s="3193">
        <v>0.50042857142857144</v>
      </c>
      <c r="X700" s="3124">
        <v>3503</v>
      </c>
      <c r="Y700" s="3124">
        <v>1</v>
      </c>
      <c r="Z700" s="3124"/>
      <c r="AA700" s="3124">
        <v>29000</v>
      </c>
      <c r="AB700" t="s">
        <v>2653</v>
      </c>
      <c r="AC700" s="3124"/>
    </row>
    <row r="701" spans="1:29">
      <c r="A701" s="3124">
        <v>700</v>
      </c>
      <c r="B701" s="3124" t="s">
        <v>1623</v>
      </c>
      <c r="C701" s="3124" t="s">
        <v>3874</v>
      </c>
      <c r="D701" s="3124" t="s">
        <v>5084</v>
      </c>
      <c r="E701" t="s">
        <v>3875</v>
      </c>
      <c r="F701" s="3234" t="s">
        <v>3876</v>
      </c>
      <c r="G701" s="3124" t="s">
        <v>3878</v>
      </c>
      <c r="H701" s="3124">
        <v>20</v>
      </c>
      <c r="I701" s="3124">
        <v>20</v>
      </c>
      <c r="J701" s="3124" t="s">
        <v>1948</v>
      </c>
      <c r="K701" s="3124">
        <v>3000</v>
      </c>
      <c r="L701" s="3124">
        <v>3497</v>
      </c>
      <c r="M701" s="3124" t="s">
        <v>3877</v>
      </c>
      <c r="N701" s="3192">
        <v>45402</v>
      </c>
      <c r="O701" s="3192">
        <v>45981</v>
      </c>
      <c r="P701" s="3192">
        <v>45394</v>
      </c>
      <c r="Q701" s="3192">
        <v>45973</v>
      </c>
      <c r="R701" s="3124" t="s">
        <v>433</v>
      </c>
      <c r="S701" s="3124" t="s">
        <v>1974</v>
      </c>
      <c r="T701" s="3124" t="s">
        <v>1850</v>
      </c>
      <c r="U701" t="s">
        <v>1761</v>
      </c>
      <c r="V701" s="3124">
        <v>7000</v>
      </c>
      <c r="W701" s="3193">
        <v>0.50042857142857144</v>
      </c>
      <c r="X701" s="3124">
        <v>3503</v>
      </c>
      <c r="Y701" s="3124">
        <v>1</v>
      </c>
      <c r="Z701" s="3124"/>
      <c r="AA701" s="3124">
        <v>29000</v>
      </c>
      <c r="AB701" t="s">
        <v>1761</v>
      </c>
      <c r="AC701" s="3124"/>
    </row>
    <row r="702" spans="1:29">
      <c r="A702" s="3124">
        <v>701</v>
      </c>
      <c r="B702" s="3124" t="s">
        <v>4513</v>
      </c>
      <c r="C702" s="3124" t="s">
        <v>3917</v>
      </c>
      <c r="D702" s="3124" t="s">
        <v>4055</v>
      </c>
      <c r="E702" s="3137" t="s">
        <v>3887</v>
      </c>
      <c r="F702" s="3234">
        <v>50259186495</v>
      </c>
      <c r="G702" s="3124" t="s">
        <v>5237</v>
      </c>
      <c r="H702" s="3124">
        <v>20</v>
      </c>
      <c r="I702" s="3124">
        <v>20</v>
      </c>
      <c r="J702" s="3124">
        <v>3000</v>
      </c>
      <c r="K702" s="3124">
        <v>3000</v>
      </c>
      <c r="L702" s="3124">
        <v>1049.0999999999999</v>
      </c>
      <c r="M702" s="3124" t="s">
        <v>3888</v>
      </c>
      <c r="N702" s="3192">
        <v>45417</v>
      </c>
      <c r="O702" s="3192">
        <v>45995</v>
      </c>
      <c r="P702" s="3192">
        <v>45432</v>
      </c>
      <c r="Q702" s="3192">
        <v>46011</v>
      </c>
      <c r="R702" s="3124" t="s">
        <v>432</v>
      </c>
      <c r="S702" s="3124" t="s">
        <v>1690</v>
      </c>
      <c r="T702" s="3124" t="s">
        <v>2825</v>
      </c>
      <c r="U702" t="s">
        <v>1761</v>
      </c>
      <c r="V702" s="3124">
        <v>7000</v>
      </c>
      <c r="W702" s="3193">
        <v>0.85012857142857134</v>
      </c>
      <c r="X702" s="3124">
        <v>5950.9</v>
      </c>
      <c r="Y702" s="3124">
        <v>1</v>
      </c>
      <c r="Z702" s="3124"/>
      <c r="AA702" s="3124">
        <v>30000</v>
      </c>
      <c r="AB702" t="s">
        <v>1761</v>
      </c>
      <c r="AC702" s="3124"/>
    </row>
    <row r="703" spans="1:29">
      <c r="A703" s="3124">
        <v>702</v>
      </c>
      <c r="B703" s="3124" t="s">
        <v>4513</v>
      </c>
      <c r="C703" s="3124" t="s">
        <v>3918</v>
      </c>
      <c r="D703" s="3124" t="s">
        <v>4056</v>
      </c>
      <c r="E703" s="3163" t="s">
        <v>3889</v>
      </c>
      <c r="F703" s="3799" t="s">
        <v>5289</v>
      </c>
      <c r="G703" s="3124" t="s">
        <v>4183</v>
      </c>
      <c r="H703" s="3124">
        <v>20</v>
      </c>
      <c r="I703" s="3124">
        <v>20</v>
      </c>
      <c r="J703" s="3124">
        <v>3000</v>
      </c>
      <c r="K703" s="3124">
        <v>3000</v>
      </c>
      <c r="L703" s="3124">
        <v>1049.0999999999999</v>
      </c>
      <c r="M703" s="3124" t="s">
        <v>3888</v>
      </c>
      <c r="N703" s="3192">
        <v>45417</v>
      </c>
      <c r="O703" s="3192">
        <v>45995</v>
      </c>
      <c r="P703" s="3192">
        <v>45432</v>
      </c>
      <c r="Q703" s="3192">
        <v>46011</v>
      </c>
      <c r="R703" s="3124" t="s">
        <v>432</v>
      </c>
      <c r="S703" s="3124" t="s">
        <v>1690</v>
      </c>
      <c r="T703" s="3124" t="s">
        <v>2825</v>
      </c>
      <c r="U703" t="s">
        <v>1761</v>
      </c>
      <c r="V703" s="3124">
        <v>7000</v>
      </c>
      <c r="W703" s="3193">
        <v>0.85012857142857134</v>
      </c>
      <c r="X703" s="3124">
        <v>5950.9</v>
      </c>
      <c r="Y703" s="3124">
        <v>1</v>
      </c>
      <c r="Z703" s="3124"/>
      <c r="AA703" s="3124">
        <v>30000</v>
      </c>
      <c r="AB703" t="s">
        <v>1761</v>
      </c>
      <c r="AC703" s="3124"/>
    </row>
    <row r="704" spans="1:29">
      <c r="A704" s="3124">
        <v>703</v>
      </c>
      <c r="B704" s="3124" t="s">
        <v>4513</v>
      </c>
      <c r="C704" s="3124" t="s">
        <v>3919</v>
      </c>
      <c r="D704" s="3124" t="s">
        <v>4057</v>
      </c>
      <c r="E704" s="3148" t="s">
        <v>3890</v>
      </c>
      <c r="F704" s="3234" t="s">
        <v>5290</v>
      </c>
      <c r="G704" s="3190" t="s">
        <v>5291</v>
      </c>
      <c r="H704" s="3124">
        <v>20</v>
      </c>
      <c r="I704" s="3124">
        <v>20</v>
      </c>
      <c r="J704" s="3124">
        <v>3000</v>
      </c>
      <c r="K704" s="3124">
        <v>3000</v>
      </c>
      <c r="L704" s="3124">
        <v>1049.0999999999999</v>
      </c>
      <c r="M704" s="3124" t="s">
        <v>3888</v>
      </c>
      <c r="N704" s="3192">
        <v>45417</v>
      </c>
      <c r="O704" s="3192">
        <v>45995</v>
      </c>
      <c r="P704" s="3192">
        <v>45432</v>
      </c>
      <c r="Q704" s="3192">
        <v>46011</v>
      </c>
      <c r="R704" s="3124" t="s">
        <v>432</v>
      </c>
      <c r="S704" s="3124" t="s">
        <v>1690</v>
      </c>
      <c r="T704" s="3124" t="s">
        <v>2825</v>
      </c>
      <c r="U704" t="s">
        <v>1761</v>
      </c>
      <c r="V704" s="3124">
        <v>7000</v>
      </c>
      <c r="W704" s="3193">
        <v>0.85012857142857134</v>
      </c>
      <c r="X704" s="3124">
        <v>5950.9</v>
      </c>
      <c r="Y704" s="3124">
        <v>1</v>
      </c>
      <c r="Z704" s="3124"/>
      <c r="AA704" s="3124">
        <v>30000</v>
      </c>
      <c r="AB704" t="s">
        <v>1761</v>
      </c>
      <c r="AC704" s="3124"/>
    </row>
    <row r="705" spans="1:29">
      <c r="A705" s="3124">
        <v>704</v>
      </c>
      <c r="B705" s="3124" t="s">
        <v>4513</v>
      </c>
      <c r="C705" s="3124" t="s">
        <v>3920</v>
      </c>
      <c r="D705" s="3124" t="s">
        <v>4058</v>
      </c>
      <c r="E705" t="s">
        <v>3891</v>
      </c>
      <c r="F705" s="3234" t="s">
        <v>5292</v>
      </c>
      <c r="G705" s="3124" t="s">
        <v>5293</v>
      </c>
      <c r="H705" s="3124">
        <v>20</v>
      </c>
      <c r="I705" s="3124">
        <v>20</v>
      </c>
      <c r="J705" s="3124">
        <v>3000</v>
      </c>
      <c r="K705" s="3124">
        <v>3000</v>
      </c>
      <c r="L705" s="3124">
        <v>1049.0999999999999</v>
      </c>
      <c r="M705" s="3124" t="s">
        <v>3888</v>
      </c>
      <c r="N705" s="3192">
        <v>45417</v>
      </c>
      <c r="O705" s="3192">
        <v>45995</v>
      </c>
      <c r="P705" s="3192">
        <v>45432</v>
      </c>
      <c r="Q705" s="3192">
        <v>46011</v>
      </c>
      <c r="R705" s="3124" t="s">
        <v>432</v>
      </c>
      <c r="S705" s="3124" t="s">
        <v>1690</v>
      </c>
      <c r="T705" s="3124" t="s">
        <v>2825</v>
      </c>
      <c r="U705" t="s">
        <v>1761</v>
      </c>
      <c r="V705" s="3124">
        <v>7000</v>
      </c>
      <c r="W705" s="3193">
        <v>0.85012857142857134</v>
      </c>
      <c r="X705" s="3124">
        <v>5950.9</v>
      </c>
      <c r="Y705" s="3124">
        <v>1</v>
      </c>
      <c r="Z705" s="3124"/>
      <c r="AA705" s="3124">
        <v>30000</v>
      </c>
      <c r="AB705" t="s">
        <v>1761</v>
      </c>
      <c r="AC705" s="3124"/>
    </row>
    <row r="706" spans="1:29">
      <c r="A706" s="3124">
        <v>705</v>
      </c>
      <c r="B706" s="3124" t="s">
        <v>4513</v>
      </c>
      <c r="C706" s="3124" t="s">
        <v>3921</v>
      </c>
      <c r="D706" s="3124" t="s">
        <v>4059</v>
      </c>
      <c r="E706" t="s">
        <v>2834</v>
      </c>
      <c r="F706" s="3234" t="s">
        <v>5294</v>
      </c>
      <c r="G706" s="3124" t="s">
        <v>5295</v>
      </c>
      <c r="H706" s="3124">
        <v>20</v>
      </c>
      <c r="I706" s="3124">
        <v>20</v>
      </c>
      <c r="J706" s="3124">
        <v>3000</v>
      </c>
      <c r="K706" s="3124">
        <v>3000</v>
      </c>
      <c r="L706" s="3124">
        <v>1049.0999999999999</v>
      </c>
      <c r="M706" s="3124" t="s">
        <v>3888</v>
      </c>
      <c r="N706" s="3192">
        <v>45417</v>
      </c>
      <c r="O706" s="3192">
        <v>45995</v>
      </c>
      <c r="P706" s="3192">
        <v>45432</v>
      </c>
      <c r="Q706" s="3192">
        <v>46011</v>
      </c>
      <c r="R706" s="3124" t="s">
        <v>432</v>
      </c>
      <c r="S706" s="3124" t="s">
        <v>1690</v>
      </c>
      <c r="T706" s="3124" t="s">
        <v>2825</v>
      </c>
      <c r="U706" t="s">
        <v>1761</v>
      </c>
      <c r="V706" s="3124">
        <v>7000</v>
      </c>
      <c r="W706" s="3193">
        <v>0.85012857142857134</v>
      </c>
      <c r="X706" s="3124">
        <v>5950.9</v>
      </c>
      <c r="Y706" s="3124">
        <v>1</v>
      </c>
      <c r="Z706" s="3124"/>
      <c r="AA706" s="3124">
        <v>30000</v>
      </c>
      <c r="AB706" t="s">
        <v>1761</v>
      </c>
      <c r="AC706" s="3124"/>
    </row>
    <row r="707" spans="1:29">
      <c r="A707" s="3124">
        <v>706</v>
      </c>
      <c r="B707" s="3124" t="s">
        <v>4513</v>
      </c>
      <c r="C707" s="3124" t="s">
        <v>3935</v>
      </c>
      <c r="D707" s="3124" t="s">
        <v>4060</v>
      </c>
      <c r="E707" t="s">
        <v>2879</v>
      </c>
      <c r="F707" s="3234" t="s">
        <v>5296</v>
      </c>
      <c r="G707" s="3124" t="s">
        <v>5297</v>
      </c>
      <c r="H707" s="3124">
        <v>20</v>
      </c>
      <c r="I707" s="3124">
        <v>20</v>
      </c>
      <c r="J707" s="3124">
        <v>3000</v>
      </c>
      <c r="K707" s="3124">
        <v>3000</v>
      </c>
      <c r="L707" s="3124">
        <v>1049.0999999999999</v>
      </c>
      <c r="M707" s="3124" t="s">
        <v>3888</v>
      </c>
      <c r="N707" s="3192">
        <v>45417</v>
      </c>
      <c r="O707" s="3192">
        <v>45995</v>
      </c>
      <c r="P707" s="3192">
        <v>45432</v>
      </c>
      <c r="Q707" s="3192">
        <v>46011</v>
      </c>
      <c r="R707" s="3124" t="s">
        <v>433</v>
      </c>
      <c r="S707" s="3124" t="s">
        <v>1690</v>
      </c>
      <c r="T707" s="3124" t="s">
        <v>2825</v>
      </c>
      <c r="U707" t="s">
        <v>1761</v>
      </c>
      <c r="V707" s="3124">
        <v>7000</v>
      </c>
      <c r="W707" s="3193">
        <v>0.85012857142857134</v>
      </c>
      <c r="X707" s="3124">
        <v>5950.9</v>
      </c>
      <c r="Y707" s="3124">
        <v>1</v>
      </c>
      <c r="Z707" s="3124"/>
      <c r="AA707" s="3124">
        <v>30000</v>
      </c>
      <c r="AB707" t="s">
        <v>1761</v>
      </c>
      <c r="AC707" s="3124"/>
    </row>
    <row r="708" spans="1:29">
      <c r="A708" s="3124">
        <v>707</v>
      </c>
      <c r="B708" s="3124" t="s">
        <v>4513</v>
      </c>
      <c r="C708" s="3124" t="s">
        <v>3922</v>
      </c>
      <c r="D708" s="3124" t="s">
        <v>4061</v>
      </c>
      <c r="E708" s="1973" t="s">
        <v>3158</v>
      </c>
      <c r="F708" s="3802" t="s">
        <v>5298</v>
      </c>
      <c r="G708" s="3124" t="s">
        <v>5224</v>
      </c>
      <c r="H708" s="3124">
        <v>20</v>
      </c>
      <c r="I708" s="3124">
        <v>20</v>
      </c>
      <c r="J708" s="3124">
        <v>3000</v>
      </c>
      <c r="K708" s="3124">
        <v>3000</v>
      </c>
      <c r="L708" s="3124">
        <v>1049.0999999999999</v>
      </c>
      <c r="M708" s="3124" t="s">
        <v>3888</v>
      </c>
      <c r="N708" s="3192">
        <v>45417</v>
      </c>
      <c r="O708" s="3192">
        <v>45995</v>
      </c>
      <c r="P708" s="3192">
        <v>45432</v>
      </c>
      <c r="Q708" s="3192">
        <v>46011</v>
      </c>
      <c r="R708" s="3124" t="s">
        <v>432</v>
      </c>
      <c r="S708" s="3124" t="s">
        <v>1690</v>
      </c>
      <c r="T708" s="3124" t="s">
        <v>2825</v>
      </c>
      <c r="U708" t="s">
        <v>1761</v>
      </c>
      <c r="V708" s="3124">
        <v>7000</v>
      </c>
      <c r="W708" s="3193">
        <v>0.85012857142857134</v>
      </c>
      <c r="X708" s="3124">
        <v>5950.9</v>
      </c>
      <c r="Y708" s="3124">
        <v>1</v>
      </c>
      <c r="Z708" s="3124"/>
      <c r="AA708" s="3124">
        <v>30000</v>
      </c>
      <c r="AB708" t="s">
        <v>1761</v>
      </c>
      <c r="AC708" s="3124"/>
    </row>
    <row r="709" spans="1:29">
      <c r="A709" s="3124">
        <v>708</v>
      </c>
      <c r="B709" s="3124" t="s">
        <v>4513</v>
      </c>
      <c r="C709" s="3124" t="s">
        <v>3923</v>
      </c>
      <c r="D709" s="3124" t="s">
        <v>4062</v>
      </c>
      <c r="E709" s="3138" t="s">
        <v>2837</v>
      </c>
      <c r="F709" s="3234" t="s">
        <v>5299</v>
      </c>
      <c r="G709" s="3124" t="s">
        <v>5300</v>
      </c>
      <c r="H709" s="3124">
        <v>20</v>
      </c>
      <c r="I709" s="3124">
        <v>20</v>
      </c>
      <c r="J709" s="3124">
        <v>3000</v>
      </c>
      <c r="K709" s="3124">
        <v>3000</v>
      </c>
      <c r="L709" s="3124">
        <v>1049.0999999999999</v>
      </c>
      <c r="M709" s="3124" t="s">
        <v>3888</v>
      </c>
      <c r="N709" s="3192">
        <v>45417</v>
      </c>
      <c r="O709" s="3192">
        <v>45995</v>
      </c>
      <c r="P709" s="3192">
        <v>45432</v>
      </c>
      <c r="Q709" s="3192">
        <v>46011</v>
      </c>
      <c r="R709" s="3124" t="s">
        <v>433</v>
      </c>
      <c r="S709" s="3124" t="s">
        <v>1690</v>
      </c>
      <c r="T709" s="3124" t="s">
        <v>2825</v>
      </c>
      <c r="U709" t="s">
        <v>1761</v>
      </c>
      <c r="V709" s="3124">
        <v>7000</v>
      </c>
      <c r="W709" s="3193">
        <v>0.85012857142857134</v>
      </c>
      <c r="X709" s="3124">
        <v>5950.9</v>
      </c>
      <c r="Y709" s="3124">
        <v>1</v>
      </c>
      <c r="Z709" s="3124"/>
      <c r="AA709" s="3124">
        <v>30000</v>
      </c>
      <c r="AB709" t="s">
        <v>1761</v>
      </c>
      <c r="AC709" s="3124"/>
    </row>
    <row r="710" spans="1:29">
      <c r="A710" s="3124">
        <v>709</v>
      </c>
      <c r="B710" s="3124" t="s">
        <v>4513</v>
      </c>
      <c r="C710" s="3124" t="s">
        <v>3924</v>
      </c>
      <c r="D710" s="3124" t="s">
        <v>4063</v>
      </c>
      <c r="E710" s="3154" t="s">
        <v>2823</v>
      </c>
      <c r="F710" s="3234" t="s">
        <v>5301</v>
      </c>
      <c r="G710" s="3124" t="s">
        <v>5302</v>
      </c>
      <c r="H710" s="3124">
        <v>20</v>
      </c>
      <c r="I710" s="3124">
        <v>20</v>
      </c>
      <c r="J710" s="3124">
        <v>3000</v>
      </c>
      <c r="K710" s="3124">
        <v>3000</v>
      </c>
      <c r="L710" s="3124">
        <v>1049.0999999999999</v>
      </c>
      <c r="M710" s="3124" t="s">
        <v>3888</v>
      </c>
      <c r="N710" s="3192">
        <v>45417</v>
      </c>
      <c r="O710" s="3192">
        <v>45995</v>
      </c>
      <c r="P710" s="3192">
        <v>45432</v>
      </c>
      <c r="Q710" s="3192">
        <v>46011</v>
      </c>
      <c r="R710" s="3124" t="s">
        <v>433</v>
      </c>
      <c r="S710" s="3124" t="s">
        <v>1690</v>
      </c>
      <c r="T710" s="3124" t="s">
        <v>2825</v>
      </c>
      <c r="U710" t="s">
        <v>1761</v>
      </c>
      <c r="V710" s="3124">
        <v>7000</v>
      </c>
      <c r="W710" s="3193">
        <v>0.85012857142857134</v>
      </c>
      <c r="X710" s="3124">
        <v>5950.9</v>
      </c>
      <c r="Y710" s="3124">
        <v>1</v>
      </c>
      <c r="Z710" s="3124"/>
      <c r="AA710" s="3124">
        <v>30000</v>
      </c>
      <c r="AB710" t="s">
        <v>1761</v>
      </c>
      <c r="AC710" s="3124"/>
    </row>
    <row r="711" spans="1:29">
      <c r="A711" s="3124">
        <v>710</v>
      </c>
      <c r="B711" s="3124" t="s">
        <v>1123</v>
      </c>
      <c r="C711" s="3124" t="s">
        <v>3925</v>
      </c>
      <c r="D711" s="3124" t="s">
        <v>4651</v>
      </c>
      <c r="E711" t="s">
        <v>3892</v>
      </c>
      <c r="F711" s="3234">
        <v>58649011</v>
      </c>
      <c r="G711" s="3124" t="s">
        <v>5303</v>
      </c>
      <c r="H711" s="3124">
        <v>6</v>
      </c>
      <c r="I711" s="3124">
        <v>6</v>
      </c>
      <c r="J711" s="3124">
        <v>3000</v>
      </c>
      <c r="K711" s="3124">
        <v>3000</v>
      </c>
      <c r="L711" s="3124">
        <v>1049.0999999999999</v>
      </c>
      <c r="M711" s="3124" t="s">
        <v>3888</v>
      </c>
      <c r="N711" s="3192">
        <v>45417</v>
      </c>
      <c r="O711" s="3192">
        <v>45569</v>
      </c>
      <c r="P711" s="3192">
        <v>45432</v>
      </c>
      <c r="Q711" s="3192">
        <v>45585</v>
      </c>
      <c r="R711" s="3124" t="s">
        <v>432</v>
      </c>
      <c r="S711" s="3124" t="s">
        <v>1939</v>
      </c>
      <c r="T711" s="3124" t="s">
        <v>2825</v>
      </c>
      <c r="U711" t="s">
        <v>1195</v>
      </c>
      <c r="V711" s="3124">
        <v>7000</v>
      </c>
      <c r="W711" s="3193">
        <v>0.85012857142857134</v>
      </c>
      <c r="X711" s="3124">
        <v>5950.9</v>
      </c>
      <c r="Y711" s="3124"/>
      <c r="Z711" s="3124">
        <v>8000</v>
      </c>
      <c r="AA711" s="3124">
        <v>29000</v>
      </c>
      <c r="AB711" t="s">
        <v>1195</v>
      </c>
      <c r="AC711" s="3124"/>
    </row>
    <row r="712" spans="1:29">
      <c r="A712" s="3124">
        <v>711</v>
      </c>
      <c r="B712" s="3124" t="s">
        <v>1123</v>
      </c>
      <c r="C712" s="3124" t="s">
        <v>3926</v>
      </c>
      <c r="D712" s="3124" t="s">
        <v>4065</v>
      </c>
      <c r="E712" s="3157" t="s">
        <v>3893</v>
      </c>
      <c r="F712" s="3234">
        <v>59984990</v>
      </c>
      <c r="G712" s="3124" t="s">
        <v>5304</v>
      </c>
      <c r="H712" s="3124">
        <v>6</v>
      </c>
      <c r="I712" s="3124">
        <v>6</v>
      </c>
      <c r="J712" s="3124">
        <v>3000</v>
      </c>
      <c r="K712" s="3124">
        <v>3000</v>
      </c>
      <c r="L712" s="3124">
        <v>1049.0999999999999</v>
      </c>
      <c r="M712" s="3124" t="s">
        <v>3888</v>
      </c>
      <c r="N712" s="3192">
        <v>45417</v>
      </c>
      <c r="O712" s="3192">
        <v>45569</v>
      </c>
      <c r="P712" s="3192">
        <v>45432</v>
      </c>
      <c r="Q712" s="3192">
        <v>45585</v>
      </c>
      <c r="R712" s="3124" t="s">
        <v>432</v>
      </c>
      <c r="S712" s="3124" t="s">
        <v>1939</v>
      </c>
      <c r="T712" s="3124" t="s">
        <v>2825</v>
      </c>
      <c r="U712" t="s">
        <v>1195</v>
      </c>
      <c r="V712" s="3124">
        <v>7000</v>
      </c>
      <c r="W712" s="3193">
        <v>0.85012857142857134</v>
      </c>
      <c r="X712" s="3124">
        <v>5950.9</v>
      </c>
      <c r="Y712" s="3124"/>
      <c r="Z712" s="3124">
        <v>8000</v>
      </c>
      <c r="AA712" s="3124">
        <v>29000</v>
      </c>
      <c r="AB712" t="s">
        <v>1195</v>
      </c>
      <c r="AC712" s="3124"/>
    </row>
    <row r="713" spans="1:29">
      <c r="A713" s="3124">
        <v>712</v>
      </c>
      <c r="B713" s="3124" t="s">
        <v>1123</v>
      </c>
      <c r="C713" s="3124" t="s">
        <v>3900</v>
      </c>
      <c r="D713" s="3124" t="s">
        <v>4064</v>
      </c>
      <c r="E713" t="s">
        <v>3894</v>
      </c>
      <c r="F713" s="3234">
        <v>52021730</v>
      </c>
      <c r="G713" s="3124" t="s">
        <v>5305</v>
      </c>
      <c r="H713" s="3124">
        <v>6</v>
      </c>
      <c r="I713" s="3124">
        <v>6</v>
      </c>
      <c r="J713" s="3124">
        <v>3000</v>
      </c>
      <c r="K713" s="3124">
        <v>3000</v>
      </c>
      <c r="L713" s="3124">
        <v>1049.0999999999999</v>
      </c>
      <c r="M713" s="3124" t="s">
        <v>3888</v>
      </c>
      <c r="N713" s="3192">
        <v>45417</v>
      </c>
      <c r="O713" s="3192">
        <v>45569</v>
      </c>
      <c r="P713" s="3192">
        <v>45432</v>
      </c>
      <c r="Q713" s="3192">
        <v>45585</v>
      </c>
      <c r="R713" s="3124" t="s">
        <v>433</v>
      </c>
      <c r="S713" s="3124" t="s">
        <v>1939</v>
      </c>
      <c r="T713" s="3124" t="s">
        <v>2825</v>
      </c>
      <c r="U713" t="s">
        <v>1195</v>
      </c>
      <c r="V713" s="3124">
        <v>7000</v>
      </c>
      <c r="W713" s="3193">
        <v>0.85012857142857134</v>
      </c>
      <c r="X713" s="3124">
        <v>5950.9</v>
      </c>
      <c r="Y713" s="3124"/>
      <c r="Z713" s="3124">
        <v>8000</v>
      </c>
      <c r="AA713" s="3124">
        <v>29000</v>
      </c>
      <c r="AB713" t="s">
        <v>1195</v>
      </c>
      <c r="AC713" s="3124"/>
    </row>
    <row r="714" spans="1:29">
      <c r="A714" s="3124">
        <v>713</v>
      </c>
      <c r="B714" s="3124" t="s">
        <v>1691</v>
      </c>
      <c r="C714" s="3124" t="s">
        <v>3915</v>
      </c>
      <c r="D714" s="3124" t="s">
        <v>4652</v>
      </c>
      <c r="E714" s="3214" t="s">
        <v>3895</v>
      </c>
      <c r="F714" s="3234">
        <v>54110100</v>
      </c>
      <c r="G714" s="3190" t="s">
        <v>5306</v>
      </c>
      <c r="H714" s="3124">
        <v>16</v>
      </c>
      <c r="I714" s="3124">
        <v>16</v>
      </c>
      <c r="J714" s="3124">
        <v>2000</v>
      </c>
      <c r="K714" s="3124">
        <v>2000</v>
      </c>
      <c r="L714" s="3124">
        <v>682.5</v>
      </c>
      <c r="M714" s="3124" t="s">
        <v>3896</v>
      </c>
      <c r="N714" s="3192">
        <v>45417</v>
      </c>
      <c r="O714" s="3192">
        <v>45873</v>
      </c>
      <c r="P714" s="3192">
        <v>45432</v>
      </c>
      <c r="Q714" s="3192">
        <v>45889</v>
      </c>
      <c r="R714" s="3124" t="s">
        <v>433</v>
      </c>
      <c r="S714" s="3124" t="s">
        <v>1949</v>
      </c>
      <c r="T714" s="3124" t="s">
        <v>2825</v>
      </c>
      <c r="U714" t="s">
        <v>1761</v>
      </c>
      <c r="V714" s="3124">
        <v>5000</v>
      </c>
      <c r="W714" s="3193">
        <v>0.86350000000000005</v>
      </c>
      <c r="X714" s="3124">
        <v>4317.5</v>
      </c>
      <c r="Y714" s="3124">
        <v>2</v>
      </c>
      <c r="Z714" s="3124"/>
      <c r="AA714" s="3124">
        <v>26000</v>
      </c>
      <c r="AB714" t="s">
        <v>1195</v>
      </c>
      <c r="AC714" s="3124"/>
    </row>
    <row r="715" spans="1:29">
      <c r="A715" s="3124">
        <v>714</v>
      </c>
      <c r="B715" s="3124" t="s">
        <v>1691</v>
      </c>
      <c r="C715" s="3124" t="s">
        <v>3916</v>
      </c>
      <c r="D715" s="3124" t="s">
        <v>4653</v>
      </c>
      <c r="E715" s="3162" t="s">
        <v>4066</v>
      </c>
      <c r="F715" s="3234" t="s">
        <v>5307</v>
      </c>
      <c r="G715" s="3190" t="s">
        <v>5308</v>
      </c>
      <c r="H715" s="3124">
        <v>16</v>
      </c>
      <c r="I715" s="3124">
        <v>16</v>
      </c>
      <c r="J715" s="3124">
        <v>2000</v>
      </c>
      <c r="K715" s="3124">
        <v>2000</v>
      </c>
      <c r="L715" s="3124">
        <v>682.5</v>
      </c>
      <c r="M715" s="3124" t="s">
        <v>3896</v>
      </c>
      <c r="N715" s="3192">
        <v>45417</v>
      </c>
      <c r="O715" s="3192">
        <v>45873</v>
      </c>
      <c r="P715" s="3192">
        <v>45432</v>
      </c>
      <c r="Q715" s="3192">
        <v>45889</v>
      </c>
      <c r="R715" s="3124" t="s">
        <v>432</v>
      </c>
      <c r="S715" s="3124" t="s">
        <v>1949</v>
      </c>
      <c r="T715" s="3124" t="s">
        <v>2825</v>
      </c>
      <c r="U715" t="s">
        <v>1761</v>
      </c>
      <c r="V715" s="3124">
        <v>5000</v>
      </c>
      <c r="W715" s="3193">
        <v>0.86350000000000005</v>
      </c>
      <c r="X715" s="3124">
        <v>4317.5</v>
      </c>
      <c r="Y715" s="3124">
        <v>2</v>
      </c>
      <c r="Z715" s="3124"/>
      <c r="AA715" s="3124">
        <v>26000</v>
      </c>
      <c r="AB715" t="s">
        <v>1195</v>
      </c>
      <c r="AC715" s="3124"/>
    </row>
    <row r="716" spans="1:29">
      <c r="A716" s="3124">
        <v>715</v>
      </c>
      <c r="B716" s="3124" t="s">
        <v>1691</v>
      </c>
      <c r="C716" s="3124" t="s">
        <v>3936</v>
      </c>
      <c r="D716" s="3124" t="s">
        <v>4654</v>
      </c>
      <c r="E716" s="3171" t="s">
        <v>3897</v>
      </c>
      <c r="F716" s="3234" t="s">
        <v>5309</v>
      </c>
      <c r="G716" s="3124" t="s">
        <v>5310</v>
      </c>
      <c r="H716" s="3124">
        <v>16</v>
      </c>
      <c r="I716" s="3124">
        <v>16</v>
      </c>
      <c r="J716" s="3124">
        <v>2000</v>
      </c>
      <c r="K716" s="3124">
        <v>2000</v>
      </c>
      <c r="L716" s="3124">
        <v>682.5</v>
      </c>
      <c r="M716" s="3124" t="s">
        <v>3896</v>
      </c>
      <c r="N716" s="3192">
        <v>45417</v>
      </c>
      <c r="O716" s="3192">
        <v>45873</v>
      </c>
      <c r="P716" s="3192">
        <v>45432</v>
      </c>
      <c r="Q716" s="3192">
        <v>45889</v>
      </c>
      <c r="R716" s="3124" t="s">
        <v>433</v>
      </c>
      <c r="S716" s="3124" t="s">
        <v>1949</v>
      </c>
      <c r="T716" s="3124" t="s">
        <v>2825</v>
      </c>
      <c r="U716" t="s">
        <v>1761</v>
      </c>
      <c r="V716" s="3124">
        <v>5000</v>
      </c>
      <c r="W716" s="3193">
        <v>0.86350000000000005</v>
      </c>
      <c r="X716" s="3124">
        <v>4317.5</v>
      </c>
      <c r="Y716" s="3124">
        <v>2</v>
      </c>
      <c r="Z716" s="3124"/>
      <c r="AA716" s="3124">
        <v>26000</v>
      </c>
      <c r="AB716" t="s">
        <v>1195</v>
      </c>
      <c r="AC716" s="3124"/>
    </row>
    <row r="717" spans="1:29">
      <c r="A717" s="3124">
        <v>716</v>
      </c>
      <c r="B717" s="3124" t="s">
        <v>1691</v>
      </c>
      <c r="C717" s="3124" t="s">
        <v>3937</v>
      </c>
      <c r="D717" s="3124" t="s">
        <v>4655</v>
      </c>
      <c r="E717" s="3171" t="s">
        <v>3898</v>
      </c>
      <c r="F717" s="3234" t="s">
        <v>5311</v>
      </c>
      <c r="G717" s="3124" t="s">
        <v>5312</v>
      </c>
      <c r="H717" s="3124">
        <v>16</v>
      </c>
      <c r="I717" s="3124">
        <v>16</v>
      </c>
      <c r="J717" s="3124">
        <v>2000</v>
      </c>
      <c r="K717" s="3124">
        <v>2000</v>
      </c>
      <c r="L717" s="3124">
        <v>682.5</v>
      </c>
      <c r="M717" s="3124" t="s">
        <v>3896</v>
      </c>
      <c r="N717" s="3192">
        <v>45417</v>
      </c>
      <c r="O717" s="3192">
        <v>45873</v>
      </c>
      <c r="P717" s="3192">
        <v>45432</v>
      </c>
      <c r="Q717" s="3192">
        <v>45889</v>
      </c>
      <c r="R717" s="3124" t="s">
        <v>432</v>
      </c>
      <c r="S717" s="3124" t="s">
        <v>1949</v>
      </c>
      <c r="T717" s="3124" t="s">
        <v>2825</v>
      </c>
      <c r="U717" t="s">
        <v>1761</v>
      </c>
      <c r="V717" s="3124">
        <v>5000</v>
      </c>
      <c r="W717" s="3193">
        <v>0.86350000000000005</v>
      </c>
      <c r="X717" s="3124">
        <v>4317.5</v>
      </c>
      <c r="Y717" s="3124">
        <v>2</v>
      </c>
      <c r="Z717" s="3124"/>
      <c r="AA717" s="3124">
        <v>26000</v>
      </c>
      <c r="AB717" t="s">
        <v>1195</v>
      </c>
      <c r="AC717" s="3124"/>
    </row>
    <row r="718" spans="1:29">
      <c r="A718" s="3124">
        <v>717</v>
      </c>
      <c r="B718" s="3124" t="s">
        <v>1691</v>
      </c>
      <c r="C718" s="3124" t="s">
        <v>3927</v>
      </c>
      <c r="D718" s="3124" t="s">
        <v>4656</v>
      </c>
      <c r="E718" s="3161" t="s">
        <v>3899</v>
      </c>
      <c r="F718" s="3234" t="s">
        <v>5313</v>
      </c>
      <c r="G718" s="3124" t="s">
        <v>5314</v>
      </c>
      <c r="H718" s="3124">
        <v>16</v>
      </c>
      <c r="I718" s="3124">
        <v>16</v>
      </c>
      <c r="J718" s="3124">
        <v>2000</v>
      </c>
      <c r="K718" s="3124">
        <v>2000</v>
      </c>
      <c r="L718" s="3124">
        <v>682.5</v>
      </c>
      <c r="M718" s="3124" t="s">
        <v>3896</v>
      </c>
      <c r="N718" s="3192">
        <v>45417</v>
      </c>
      <c r="O718" s="3192">
        <v>45873</v>
      </c>
      <c r="P718" s="3192">
        <v>45432</v>
      </c>
      <c r="Q718" s="3192">
        <v>45889</v>
      </c>
      <c r="R718" s="3124" t="s">
        <v>433</v>
      </c>
      <c r="S718" s="3124" t="s">
        <v>1949</v>
      </c>
      <c r="T718" s="3124" t="s">
        <v>2825</v>
      </c>
      <c r="U718" t="s">
        <v>1761</v>
      </c>
      <c r="V718" s="3124">
        <v>5000</v>
      </c>
      <c r="W718" s="3193">
        <v>0.86350000000000005</v>
      </c>
      <c r="X718" s="3124">
        <v>4317.5</v>
      </c>
      <c r="Y718" s="3124">
        <v>2</v>
      </c>
      <c r="Z718" s="3124"/>
      <c r="AA718" s="3124">
        <v>26000</v>
      </c>
      <c r="AB718" t="s">
        <v>1195</v>
      </c>
      <c r="AC718" s="3124"/>
    </row>
    <row r="719" spans="1:29">
      <c r="A719" s="3124">
        <v>718</v>
      </c>
      <c r="B719" s="3124" t="s">
        <v>1623</v>
      </c>
      <c r="C719" s="3124" t="s">
        <v>3965</v>
      </c>
      <c r="D719" s="3124" t="s">
        <v>4067</v>
      </c>
      <c r="E719" t="s">
        <v>3940</v>
      </c>
      <c r="F719" s="3234" t="s">
        <v>3938</v>
      </c>
      <c r="G719" s="3124" t="s">
        <v>3939</v>
      </c>
      <c r="H719" s="3124">
        <v>20</v>
      </c>
      <c r="I719" s="3124">
        <v>20</v>
      </c>
      <c r="J719" s="3124" t="s">
        <v>1948</v>
      </c>
      <c r="K719" s="3124">
        <v>3000</v>
      </c>
      <c r="L719" s="3124">
        <v>3497</v>
      </c>
      <c r="M719" s="3124" t="s">
        <v>3877</v>
      </c>
      <c r="N719" s="3192">
        <v>45402</v>
      </c>
      <c r="O719" s="3192">
        <v>45965</v>
      </c>
      <c r="P719" s="3192">
        <v>45430</v>
      </c>
      <c r="Q719" s="3192">
        <v>45981</v>
      </c>
      <c r="R719" s="3124" t="s">
        <v>433</v>
      </c>
      <c r="S719" s="3124" t="s">
        <v>1974</v>
      </c>
      <c r="T719" s="3124" t="s">
        <v>1850</v>
      </c>
      <c r="U719" t="s">
        <v>1761</v>
      </c>
      <c r="V719" s="3124">
        <v>7000</v>
      </c>
      <c r="W719" s="3193">
        <v>0.50042857142857144</v>
      </c>
      <c r="X719" s="3124">
        <v>3503</v>
      </c>
      <c r="Y719" s="3124">
        <v>1</v>
      </c>
      <c r="Z719" s="3124"/>
      <c r="AA719" s="3124">
        <v>29000</v>
      </c>
      <c r="AB719" t="s">
        <v>1761</v>
      </c>
      <c r="AC719" s="3124"/>
    </row>
    <row r="720" spans="1:29">
      <c r="A720" s="3124">
        <v>719</v>
      </c>
      <c r="B720" s="3124" t="s">
        <v>1123</v>
      </c>
      <c r="C720" s="3124" t="s">
        <v>3953</v>
      </c>
      <c r="D720" s="3124" t="s">
        <v>4068</v>
      </c>
      <c r="E720" s="3161" t="s">
        <v>1587</v>
      </c>
      <c r="F720" s="3234">
        <v>6562640729</v>
      </c>
      <c r="G720" s="3124" t="s">
        <v>2419</v>
      </c>
      <c r="H720" s="3124">
        <v>6</v>
      </c>
      <c r="I720" s="3124">
        <v>6</v>
      </c>
      <c r="J720" s="3124" t="s">
        <v>1948</v>
      </c>
      <c r="K720" s="3124"/>
      <c r="L720" s="3124">
        <v>3497</v>
      </c>
      <c r="M720" s="3124" t="s">
        <v>3833</v>
      </c>
      <c r="N720" s="3192">
        <v>45402</v>
      </c>
      <c r="O720" s="3192">
        <v>45873</v>
      </c>
      <c r="P720" s="3192">
        <v>45432</v>
      </c>
      <c r="Q720" s="3192">
        <v>45585</v>
      </c>
      <c r="R720" s="3124" t="s">
        <v>433</v>
      </c>
      <c r="S720" s="3124" t="s">
        <v>1939</v>
      </c>
      <c r="T720" s="3124" t="s">
        <v>1850</v>
      </c>
      <c r="U720" t="s">
        <v>1869</v>
      </c>
      <c r="V720" s="3124">
        <v>7000</v>
      </c>
      <c r="W720" s="3193">
        <v>0.50042857142857144</v>
      </c>
      <c r="X720" s="3124">
        <v>3503</v>
      </c>
      <c r="Y720" s="3124">
        <v>0</v>
      </c>
      <c r="Z720" s="3124">
        <v>8000</v>
      </c>
      <c r="AA720" s="3124">
        <v>29000</v>
      </c>
      <c r="AB720" t="s">
        <v>1869</v>
      </c>
      <c r="AC720" s="3124"/>
    </row>
    <row r="721" spans="1:29">
      <c r="A721" s="3124">
        <v>720</v>
      </c>
      <c r="B721" s="3124" t="s">
        <v>1621</v>
      </c>
      <c r="C721" s="3124"/>
      <c r="D721" s="3124" t="s">
        <v>4069</v>
      </c>
      <c r="E721" s="3161" t="s">
        <v>5536</v>
      </c>
      <c r="F721" s="3234">
        <v>9631331596</v>
      </c>
      <c r="G721" s="3190"/>
      <c r="H721" s="3124"/>
      <c r="I721" s="3124"/>
      <c r="J721" s="3124"/>
      <c r="K721" s="3124"/>
      <c r="L721" s="3124">
        <v>2275</v>
      </c>
      <c r="M721" s="3124" t="s">
        <v>3958</v>
      </c>
      <c r="N721" s="3192">
        <v>45453</v>
      </c>
      <c r="O721" s="3192">
        <v>46041</v>
      </c>
      <c r="P721" s="3192">
        <v>45427</v>
      </c>
      <c r="Q721" s="3192">
        <v>46041</v>
      </c>
      <c r="R721" s="3124" t="s">
        <v>2573</v>
      </c>
      <c r="S721" s="3124" t="s">
        <v>1640</v>
      </c>
      <c r="T721" s="3124" t="s">
        <v>2887</v>
      </c>
      <c r="U721" t="s">
        <v>1869</v>
      </c>
      <c r="V721" s="3124">
        <v>5000</v>
      </c>
      <c r="W721" s="3193">
        <v>0.55000000000000004</v>
      </c>
      <c r="X721" s="3124">
        <v>2725</v>
      </c>
      <c r="Y721" s="3124">
        <v>2</v>
      </c>
      <c r="Z721" s="3124"/>
      <c r="AA721" s="3124">
        <v>26000</v>
      </c>
      <c r="AB721" t="s">
        <v>1869</v>
      </c>
      <c r="AC721" s="3124"/>
    </row>
    <row r="722" spans="1:29">
      <c r="A722" s="3124">
        <v>721</v>
      </c>
      <c r="B722" s="3124" t="s">
        <v>1123</v>
      </c>
      <c r="C722" s="3124" t="s">
        <v>3956</v>
      </c>
      <c r="D722" s="3124" t="s">
        <v>4070</v>
      </c>
      <c r="E722" s="3135" t="s">
        <v>3957</v>
      </c>
      <c r="F722" s="3234">
        <v>7228302510</v>
      </c>
      <c r="G722" s="3124"/>
      <c r="H722" s="3124">
        <v>6</v>
      </c>
      <c r="I722" s="3124">
        <v>6</v>
      </c>
      <c r="J722" s="3124">
        <v>1500</v>
      </c>
      <c r="K722" s="3124"/>
      <c r="L722" s="3124">
        <v>3497</v>
      </c>
      <c r="M722" s="3124" t="s">
        <v>2592</v>
      </c>
      <c r="N722" s="3192">
        <v>45409</v>
      </c>
      <c r="O722" s="3192">
        <v>45557</v>
      </c>
      <c r="P722" s="3192">
        <v>45404</v>
      </c>
      <c r="Q722" s="3192">
        <v>45557</v>
      </c>
      <c r="R722" s="3124" t="s">
        <v>433</v>
      </c>
      <c r="S722" s="3124" t="s">
        <v>1939</v>
      </c>
      <c r="T722" s="3124" t="s">
        <v>1918</v>
      </c>
      <c r="U722" t="s">
        <v>1761</v>
      </c>
      <c r="V722" s="3124">
        <v>7000</v>
      </c>
      <c r="W722" s="3193">
        <v>0.50042857142857144</v>
      </c>
      <c r="X722" s="3124">
        <v>3503</v>
      </c>
      <c r="Y722" s="3124"/>
      <c r="Z722" s="3124">
        <v>8000</v>
      </c>
      <c r="AA722" s="3124">
        <v>25000</v>
      </c>
      <c r="AB722" t="s">
        <v>1869</v>
      </c>
      <c r="AC722" s="3124"/>
    </row>
    <row r="723" spans="1:29">
      <c r="A723" s="3124">
        <v>722</v>
      </c>
      <c r="B723" s="3124" t="s">
        <v>1625</v>
      </c>
      <c r="C723" s="3124" t="s">
        <v>4071</v>
      </c>
      <c r="D723" s="3124" t="s">
        <v>4072</v>
      </c>
      <c r="E723" t="s">
        <v>3966</v>
      </c>
      <c r="F723" s="3234">
        <v>5519524644</v>
      </c>
      <c r="G723" s="3124" t="s">
        <v>3967</v>
      </c>
      <c r="H723" s="3124">
        <v>20</v>
      </c>
      <c r="I723" s="3124">
        <v>20</v>
      </c>
      <c r="J723" s="3124">
        <v>1500</v>
      </c>
      <c r="K723" s="3124">
        <v>3000</v>
      </c>
      <c r="L723" s="3124">
        <v>3497</v>
      </c>
      <c r="M723" s="3124" t="s">
        <v>3833</v>
      </c>
      <c r="N723" s="3192">
        <v>45437</v>
      </c>
      <c r="O723" s="3192">
        <v>46016</v>
      </c>
      <c r="P723" s="3192">
        <v>45416</v>
      </c>
      <c r="Q723" s="3192">
        <v>45995</v>
      </c>
      <c r="R723" s="3124" t="s">
        <v>432</v>
      </c>
      <c r="S723" s="3124" t="s">
        <v>1690</v>
      </c>
      <c r="T723" s="3124" t="s">
        <v>1918</v>
      </c>
      <c r="U723" t="s">
        <v>1761</v>
      </c>
      <c r="V723" s="3124">
        <v>7000</v>
      </c>
      <c r="W723" s="3193">
        <v>0.50042857142857144</v>
      </c>
      <c r="X723" s="3124">
        <v>3503</v>
      </c>
      <c r="Y723" s="3124">
        <v>1</v>
      </c>
      <c r="Z723" s="3124">
        <v>0</v>
      </c>
      <c r="AA723" s="3124">
        <v>29000</v>
      </c>
      <c r="AB723" t="s">
        <v>1869</v>
      </c>
      <c r="AC723" s="3124"/>
    </row>
    <row r="724" spans="1:29">
      <c r="A724" s="3124">
        <v>723</v>
      </c>
      <c r="B724" s="3124" t="s">
        <v>1625</v>
      </c>
      <c r="C724" s="3124" t="s">
        <v>3968</v>
      </c>
      <c r="D724" s="3124" t="s">
        <v>4073</v>
      </c>
      <c r="E724" s="3166" t="s">
        <v>3969</v>
      </c>
      <c r="F724" s="3234">
        <v>5545946833</v>
      </c>
      <c r="G724" s="3124" t="s">
        <v>3970</v>
      </c>
      <c r="H724" s="3124">
        <v>20</v>
      </c>
      <c r="I724" s="3124">
        <v>20</v>
      </c>
      <c r="J724" s="3124">
        <v>1500</v>
      </c>
      <c r="K724" s="3124">
        <v>3000</v>
      </c>
      <c r="L724" s="3124">
        <v>3497</v>
      </c>
      <c r="M724" s="3124" t="s">
        <v>3833</v>
      </c>
      <c r="N724" s="3192">
        <v>45437</v>
      </c>
      <c r="O724" s="3192">
        <v>46016</v>
      </c>
      <c r="P724" s="3192">
        <v>45416</v>
      </c>
      <c r="Q724" s="3192">
        <v>45995</v>
      </c>
      <c r="R724" s="3124" t="s">
        <v>433</v>
      </c>
      <c r="S724" s="3124" t="s">
        <v>1690</v>
      </c>
      <c r="T724" s="3124" t="s">
        <v>1918</v>
      </c>
      <c r="U724" t="s">
        <v>1761</v>
      </c>
      <c r="V724" s="3124">
        <v>7000</v>
      </c>
      <c r="W724" s="3193">
        <v>0.50042857142857144</v>
      </c>
      <c r="X724" s="3124">
        <v>3503</v>
      </c>
      <c r="Y724" s="3124">
        <v>1</v>
      </c>
      <c r="Z724" s="3124"/>
      <c r="AA724" s="3124">
        <v>29000</v>
      </c>
      <c r="AB724" t="s">
        <v>1869</v>
      </c>
      <c r="AC724" s="3124"/>
    </row>
    <row r="725" spans="1:29">
      <c r="A725" s="3124">
        <v>724</v>
      </c>
      <c r="B725" s="3124" t="s">
        <v>1623</v>
      </c>
      <c r="C725" s="3124" t="s">
        <v>3971</v>
      </c>
      <c r="D725" s="3124" t="s">
        <v>4074</v>
      </c>
      <c r="E725" t="s">
        <v>3972</v>
      </c>
      <c r="F725" s="3234" t="s">
        <v>3973</v>
      </c>
      <c r="G725" s="3124" t="s">
        <v>3974</v>
      </c>
      <c r="H725" s="3124">
        <v>20</v>
      </c>
      <c r="I725" s="3124">
        <v>20</v>
      </c>
      <c r="J725" s="3124" t="s">
        <v>1948</v>
      </c>
      <c r="K725" s="3124"/>
      <c r="L725" s="3124">
        <v>3497</v>
      </c>
      <c r="M725" s="3124" t="s">
        <v>3830</v>
      </c>
      <c r="N725" s="3192">
        <v>45423</v>
      </c>
      <c r="O725" s="3192">
        <v>46002</v>
      </c>
      <c r="P725" s="3192">
        <v>45420</v>
      </c>
      <c r="Q725" s="3192">
        <v>46002</v>
      </c>
      <c r="R725" s="3124" t="s">
        <v>432</v>
      </c>
      <c r="S725" s="3124" t="s">
        <v>1974</v>
      </c>
      <c r="T725" s="3124" t="s">
        <v>1850</v>
      </c>
      <c r="U725" t="s">
        <v>1761</v>
      </c>
      <c r="V725" s="3124">
        <v>7000</v>
      </c>
      <c r="W725" s="3193">
        <v>0.50042857142857144</v>
      </c>
      <c r="X725" s="3124">
        <v>3503</v>
      </c>
      <c r="Y725" s="3124">
        <v>1</v>
      </c>
      <c r="Z725" s="3124"/>
      <c r="AA725" s="3124">
        <v>29000</v>
      </c>
      <c r="AB725" t="s">
        <v>1761</v>
      </c>
      <c r="AC725" s="3124"/>
    </row>
    <row r="726" spans="1:29">
      <c r="A726" s="3124">
        <v>725</v>
      </c>
      <c r="B726" s="3124" t="s">
        <v>1691</v>
      </c>
      <c r="C726" s="3124" t="s">
        <v>3975</v>
      </c>
      <c r="D726" s="3124" t="s">
        <v>4657</v>
      </c>
      <c r="E726" t="s">
        <v>3976</v>
      </c>
      <c r="F726" s="3234" t="s">
        <v>3977</v>
      </c>
      <c r="G726" s="3124" t="s">
        <v>3978</v>
      </c>
      <c r="H726" s="3124">
        <v>16</v>
      </c>
      <c r="I726" s="3124">
        <v>16</v>
      </c>
      <c r="J726" s="3124">
        <v>1000</v>
      </c>
      <c r="K726" s="3124">
        <v>2000</v>
      </c>
      <c r="L726" s="3124">
        <v>2275</v>
      </c>
      <c r="M726" s="3124" t="s">
        <v>2974</v>
      </c>
      <c r="N726" s="3192">
        <v>45422</v>
      </c>
      <c r="O726" s="3192">
        <v>45879</v>
      </c>
      <c r="P726" s="3192">
        <v>45420</v>
      </c>
      <c r="Q726" s="3192">
        <v>45879</v>
      </c>
      <c r="R726" s="3124" t="s">
        <v>433</v>
      </c>
      <c r="S726" s="3124" t="s">
        <v>1949</v>
      </c>
      <c r="T726" s="3124" t="s">
        <v>1850</v>
      </c>
      <c r="U726" t="s">
        <v>1761</v>
      </c>
      <c r="V726" s="3124">
        <v>5000</v>
      </c>
      <c r="W726" s="3193">
        <v>0.54500000000000004</v>
      </c>
      <c r="X726" s="3124">
        <v>2725</v>
      </c>
      <c r="Y726" s="3124">
        <v>2</v>
      </c>
      <c r="Z726" s="3124"/>
      <c r="AA726" s="3124">
        <v>26000</v>
      </c>
      <c r="AB726" t="s">
        <v>2653</v>
      </c>
      <c r="AC726" s="3124"/>
    </row>
    <row r="727" spans="1:29">
      <c r="A727" s="3124">
        <v>726</v>
      </c>
      <c r="B727" s="3124" t="s">
        <v>3979</v>
      </c>
      <c r="C727" s="3217" t="s">
        <v>935</v>
      </c>
      <c r="D727" s="3124" t="s">
        <v>4075</v>
      </c>
      <c r="E727" s="3170" t="s">
        <v>1128</v>
      </c>
      <c r="F727" s="3802">
        <v>9878769266</v>
      </c>
      <c r="G727" s="3190" t="s">
        <v>2190</v>
      </c>
      <c r="H727" s="3124">
        <v>6</v>
      </c>
      <c r="I727" s="3124">
        <v>6</v>
      </c>
      <c r="J727" s="3124">
        <v>2000</v>
      </c>
      <c r="K727" s="3124">
        <v>0</v>
      </c>
      <c r="L727" s="3124">
        <v>3000</v>
      </c>
      <c r="M727" s="3124" t="s">
        <v>3979</v>
      </c>
      <c r="N727" s="3192">
        <v>45436</v>
      </c>
      <c r="O727" s="3192">
        <v>45589</v>
      </c>
      <c r="P727" s="3192"/>
      <c r="Q727" s="3192">
        <v>45589</v>
      </c>
      <c r="R727" s="3124" t="s">
        <v>432</v>
      </c>
      <c r="S727" s="3124" t="s">
        <v>3980</v>
      </c>
      <c r="T727" s="3124" t="s">
        <v>1850</v>
      </c>
      <c r="U727" t="s">
        <v>1195</v>
      </c>
      <c r="V727" s="3124">
        <v>5000</v>
      </c>
      <c r="W727" s="3193">
        <v>0.4</v>
      </c>
      <c r="X727" s="3124">
        <v>2000</v>
      </c>
      <c r="Y727" s="3124">
        <v>0</v>
      </c>
      <c r="Z727" s="3124"/>
      <c r="AA727" s="3124"/>
      <c r="AB727" t="s">
        <v>1195</v>
      </c>
      <c r="AC727" s="3124"/>
    </row>
    <row r="728" spans="1:29">
      <c r="A728" s="3124">
        <v>727</v>
      </c>
      <c r="B728" s="3124" t="s">
        <v>3979</v>
      </c>
      <c r="C728" s="3124" t="s">
        <v>3981</v>
      </c>
      <c r="D728" s="3124" t="s">
        <v>4076</v>
      </c>
      <c r="E728" t="s">
        <v>3982</v>
      </c>
      <c r="F728" s="3234">
        <v>9631190475</v>
      </c>
      <c r="G728" s="3124" t="s">
        <v>3983</v>
      </c>
      <c r="H728" s="3124">
        <v>6</v>
      </c>
      <c r="I728" s="3124">
        <v>6</v>
      </c>
      <c r="J728" s="3124">
        <v>2000</v>
      </c>
      <c r="K728" s="3124"/>
      <c r="L728" s="3124">
        <v>2520</v>
      </c>
      <c r="M728" s="3124" t="s">
        <v>3979</v>
      </c>
      <c r="N728" s="3192">
        <v>45436</v>
      </c>
      <c r="O728" s="3192">
        <v>45589</v>
      </c>
      <c r="P728" s="3192">
        <v>45487</v>
      </c>
      <c r="Q728" s="3192">
        <v>45589</v>
      </c>
      <c r="R728" s="3124" t="s">
        <v>432</v>
      </c>
      <c r="S728" s="3124" t="s">
        <v>3980</v>
      </c>
      <c r="T728" s="3124" t="s">
        <v>1850</v>
      </c>
      <c r="U728" t="s">
        <v>1195</v>
      </c>
      <c r="V728" s="3124">
        <v>5000</v>
      </c>
      <c r="W728" s="3193">
        <v>0.496</v>
      </c>
      <c r="X728" s="3124">
        <v>2480</v>
      </c>
      <c r="Y728" s="3124">
        <v>0</v>
      </c>
      <c r="Z728" s="3124"/>
      <c r="AA728" s="3124"/>
      <c r="AB728" t="s">
        <v>1195</v>
      </c>
      <c r="AC728" s="3124"/>
    </row>
    <row r="729" spans="1:29">
      <c r="A729" s="3124">
        <v>728</v>
      </c>
      <c r="B729" s="3124" t="s">
        <v>1625</v>
      </c>
      <c r="C729" s="3124" t="s">
        <v>2496</v>
      </c>
      <c r="D729" s="3124" t="s">
        <v>4077</v>
      </c>
      <c r="E729" s="3131" t="s">
        <v>2497</v>
      </c>
      <c r="F729" s="3234" t="s">
        <v>3984</v>
      </c>
      <c r="G729" s="3124" t="s">
        <v>2498</v>
      </c>
      <c r="H729" s="3124">
        <v>20</v>
      </c>
      <c r="I729" s="3124">
        <v>20</v>
      </c>
      <c r="J729" s="3124" t="s">
        <v>1948</v>
      </c>
      <c r="K729" s="3124"/>
      <c r="L729" s="3124">
        <v>5200</v>
      </c>
      <c r="M729" s="3124" t="s">
        <v>3833</v>
      </c>
      <c r="N729" s="3192">
        <v>45437</v>
      </c>
      <c r="O729" s="3192">
        <v>46016</v>
      </c>
      <c r="P729" s="3192">
        <v>45429</v>
      </c>
      <c r="Q729" s="3192">
        <v>46016</v>
      </c>
      <c r="R729" s="3124" t="s">
        <v>432</v>
      </c>
      <c r="S729" s="3124" t="s">
        <v>1690</v>
      </c>
      <c r="T729" s="3124" t="s">
        <v>1850</v>
      </c>
      <c r="U729" t="s">
        <v>1761</v>
      </c>
      <c r="V729" s="3124">
        <v>7000</v>
      </c>
      <c r="W729" s="3193">
        <v>0.25714285714285712</v>
      </c>
      <c r="X729" s="3124">
        <v>1800</v>
      </c>
      <c r="Y729" s="3124">
        <v>0</v>
      </c>
      <c r="Z729" s="3124"/>
      <c r="AA729" s="3124">
        <v>29000</v>
      </c>
      <c r="AB729" t="s">
        <v>1761</v>
      </c>
      <c r="AC729" s="3124"/>
    </row>
    <row r="730" spans="1:29">
      <c r="A730" s="3124">
        <v>729</v>
      </c>
      <c r="B730" s="3124" t="s">
        <v>1630</v>
      </c>
      <c r="C730" s="3124" t="s">
        <v>3985</v>
      </c>
      <c r="D730" s="3124" t="s">
        <v>4658</v>
      </c>
      <c r="E730" s="3169" t="s">
        <v>3986</v>
      </c>
      <c r="F730" s="3234" t="s">
        <v>3987</v>
      </c>
      <c r="G730" s="3124" t="s">
        <v>3988</v>
      </c>
      <c r="H730" s="3124">
        <v>36</v>
      </c>
      <c r="I730" s="3124">
        <v>36</v>
      </c>
      <c r="J730" s="3124">
        <v>1000</v>
      </c>
      <c r="K730" s="3124">
        <v>1000</v>
      </c>
      <c r="L730" s="3124">
        <v>1800</v>
      </c>
      <c r="M730" s="3124" t="s">
        <v>3780</v>
      </c>
      <c r="N730" s="3192">
        <v>45430</v>
      </c>
      <c r="O730" s="3192">
        <v>45589</v>
      </c>
      <c r="P730" s="3192">
        <v>45429</v>
      </c>
      <c r="Q730" s="3192">
        <v>45436</v>
      </c>
      <c r="R730" s="3124" t="s">
        <v>433</v>
      </c>
      <c r="S730" s="3124" t="s">
        <v>1658</v>
      </c>
      <c r="T730" s="3124" t="s">
        <v>1850</v>
      </c>
      <c r="U730" t="s">
        <v>1761</v>
      </c>
      <c r="V730" s="3124">
        <v>3150</v>
      </c>
      <c r="W730" s="3193">
        <v>0.42857142857142855</v>
      </c>
      <c r="X730" s="3124">
        <v>1350</v>
      </c>
      <c r="Y730" s="3124">
        <v>1000</v>
      </c>
      <c r="Z730" s="3124"/>
      <c r="AA730" s="3124">
        <v>23000</v>
      </c>
      <c r="AB730" t="s">
        <v>1869</v>
      </c>
      <c r="AC730" s="3124"/>
    </row>
    <row r="731" spans="1:29">
      <c r="A731" s="3124">
        <v>730</v>
      </c>
      <c r="B731" s="3124" t="s">
        <v>3979</v>
      </c>
      <c r="C731" s="3124" t="s">
        <v>3408</v>
      </c>
      <c r="D731" s="3124" t="s">
        <v>4078</v>
      </c>
      <c r="E731" t="s">
        <v>3410</v>
      </c>
      <c r="F731" s="3234">
        <v>9631296962</v>
      </c>
      <c r="G731" s="3124" t="s">
        <v>3411</v>
      </c>
      <c r="H731" s="3124">
        <v>6</v>
      </c>
      <c r="I731" s="3124">
        <v>6</v>
      </c>
      <c r="J731" s="3124" t="s">
        <v>1948</v>
      </c>
      <c r="K731" s="3124"/>
      <c r="L731" s="3124">
        <v>2000</v>
      </c>
      <c r="M731" s="3124" t="s">
        <v>3979</v>
      </c>
      <c r="N731" s="3192">
        <v>45436</v>
      </c>
      <c r="O731" s="3192">
        <v>45589</v>
      </c>
      <c r="P731" s="3192">
        <v>45435</v>
      </c>
      <c r="Q731" s="3192">
        <v>45588</v>
      </c>
      <c r="R731" s="3124" t="s">
        <v>432</v>
      </c>
      <c r="S731" s="3124" t="s">
        <v>3980</v>
      </c>
      <c r="T731" s="3124" t="s">
        <v>1850</v>
      </c>
      <c r="U731" t="s">
        <v>1195</v>
      </c>
      <c r="V731" s="3124">
        <v>5000</v>
      </c>
      <c r="W731" s="3193">
        <v>0.6</v>
      </c>
      <c r="X731" s="3124">
        <v>3000</v>
      </c>
      <c r="Y731" s="3124"/>
      <c r="Z731" s="3124"/>
      <c r="AA731" s="3124"/>
      <c r="AB731" t="s">
        <v>1195</v>
      </c>
      <c r="AC731" s="3124"/>
    </row>
    <row r="732" spans="1:29">
      <c r="A732" s="3124">
        <v>731</v>
      </c>
      <c r="B732" s="3124" t="s">
        <v>3979</v>
      </c>
      <c r="C732" s="3124" t="s">
        <v>924</v>
      </c>
      <c r="D732" s="3124" t="s">
        <v>4079</v>
      </c>
      <c r="E732" t="s">
        <v>2443</v>
      </c>
      <c r="F732" s="3234">
        <v>9632526121</v>
      </c>
      <c r="G732" s="3124" t="s">
        <v>2445</v>
      </c>
      <c r="H732" s="3124">
        <v>6</v>
      </c>
      <c r="I732" s="3124">
        <v>6</v>
      </c>
      <c r="J732" s="3124" t="s">
        <v>1948</v>
      </c>
      <c r="K732" s="3124"/>
      <c r="L732" s="3124">
        <v>2000</v>
      </c>
      <c r="M732" s="3124" t="s">
        <v>3979</v>
      </c>
      <c r="N732" s="3192">
        <v>45436</v>
      </c>
      <c r="O732" s="3192">
        <v>45589</v>
      </c>
      <c r="P732" s="3192"/>
      <c r="Q732" s="3192"/>
      <c r="R732" s="3124" t="s">
        <v>433</v>
      </c>
      <c r="S732" s="3124" t="s">
        <v>3980</v>
      </c>
      <c r="T732" s="3124" t="s">
        <v>2887</v>
      </c>
      <c r="U732" t="s">
        <v>1195</v>
      </c>
      <c r="V732" s="3124">
        <v>5000</v>
      </c>
      <c r="W732" s="3193">
        <v>0.6</v>
      </c>
      <c r="X732" s="3124">
        <v>3000</v>
      </c>
      <c r="Y732" s="3124"/>
      <c r="Z732" s="3124"/>
      <c r="AA732" s="3124"/>
      <c r="AB732" t="s">
        <v>1195</v>
      </c>
      <c r="AC732" s="3124"/>
    </row>
    <row r="733" spans="1:29">
      <c r="A733" s="3124">
        <v>732</v>
      </c>
      <c r="B733" s="3124" t="s">
        <v>3979</v>
      </c>
      <c r="C733" s="3124" t="s">
        <v>3288</v>
      </c>
      <c r="D733" s="3124" t="s">
        <v>4080</v>
      </c>
      <c r="E733" t="s">
        <v>3289</v>
      </c>
      <c r="F733" s="3234">
        <v>9631595972</v>
      </c>
      <c r="G733" s="3124" t="s">
        <v>3290</v>
      </c>
      <c r="H733" s="3124">
        <v>6</v>
      </c>
      <c r="I733" s="3124">
        <v>6</v>
      </c>
      <c r="J733" s="3124" t="s">
        <v>1948</v>
      </c>
      <c r="K733" s="3124">
        <v>2000</v>
      </c>
      <c r="L733" s="3124">
        <v>2000</v>
      </c>
      <c r="M733" s="3124" t="s">
        <v>3979</v>
      </c>
      <c r="N733" s="3192">
        <v>45457</v>
      </c>
      <c r="O733" s="3192">
        <v>45610</v>
      </c>
      <c r="P733" s="3192"/>
      <c r="Q733" s="3192"/>
      <c r="R733" s="3124" t="s">
        <v>432</v>
      </c>
      <c r="S733" s="3124" t="s">
        <v>3980</v>
      </c>
      <c r="T733" s="3124" t="s">
        <v>2887</v>
      </c>
      <c r="U733" t="s">
        <v>2653</v>
      </c>
      <c r="V733" s="3124">
        <v>5000</v>
      </c>
      <c r="W733" s="3193">
        <v>0.6</v>
      </c>
      <c r="X733" s="3124">
        <v>3000</v>
      </c>
      <c r="Y733" s="3124"/>
      <c r="Z733" s="3124"/>
      <c r="AA733" s="3124"/>
      <c r="AB733" t="s">
        <v>2653</v>
      </c>
      <c r="AC733" s="3124"/>
    </row>
    <row r="734" spans="1:29">
      <c r="A734" s="3124">
        <v>733</v>
      </c>
      <c r="B734" s="3124" t="s">
        <v>3979</v>
      </c>
      <c r="C734" s="3124" t="s">
        <v>3280</v>
      </c>
      <c r="D734" s="3124" t="s">
        <v>4081</v>
      </c>
      <c r="E734" t="s">
        <v>3281</v>
      </c>
      <c r="F734" s="3234">
        <v>9631481918</v>
      </c>
      <c r="G734" s="3124" t="s">
        <v>3282</v>
      </c>
      <c r="H734" s="3124">
        <v>6</v>
      </c>
      <c r="I734" s="3124">
        <v>6</v>
      </c>
      <c r="J734" s="3124" t="s">
        <v>1948</v>
      </c>
      <c r="K734" s="3124">
        <v>2000</v>
      </c>
      <c r="L734" s="3124">
        <v>2000</v>
      </c>
      <c r="M734" s="3124" t="s">
        <v>3979</v>
      </c>
      <c r="N734" s="3192">
        <v>45457</v>
      </c>
      <c r="O734" s="3192">
        <v>45610</v>
      </c>
      <c r="P734" s="3192">
        <v>45465</v>
      </c>
      <c r="Q734" s="3192">
        <v>45641</v>
      </c>
      <c r="R734" s="3124" t="s">
        <v>433</v>
      </c>
      <c r="S734" s="3124" t="s">
        <v>3980</v>
      </c>
      <c r="T734" s="3124" t="s">
        <v>2887</v>
      </c>
      <c r="U734" t="s">
        <v>2653</v>
      </c>
      <c r="V734" s="3124">
        <v>5000</v>
      </c>
      <c r="W734" s="3193">
        <v>0.6</v>
      </c>
      <c r="X734" s="3124">
        <v>3000</v>
      </c>
      <c r="Y734" s="3124"/>
      <c r="Z734" s="3124"/>
      <c r="AA734" s="3124"/>
      <c r="AB734" t="s">
        <v>2653</v>
      </c>
      <c r="AC734" s="3124"/>
    </row>
    <row r="735" spans="1:29">
      <c r="A735" s="3124">
        <v>734</v>
      </c>
      <c r="B735" s="3124" t="s">
        <v>3979</v>
      </c>
      <c r="C735" s="3124" t="s">
        <v>3277</v>
      </c>
      <c r="D735" s="3124" t="s">
        <v>4082</v>
      </c>
      <c r="E735" t="s">
        <v>3278</v>
      </c>
      <c r="F735" s="3234">
        <v>9633458300</v>
      </c>
      <c r="G735" s="3124" t="s">
        <v>3279</v>
      </c>
      <c r="H735" s="3124">
        <v>6</v>
      </c>
      <c r="I735" s="3124">
        <v>6</v>
      </c>
      <c r="J735" s="3124" t="s">
        <v>1948</v>
      </c>
      <c r="K735" s="3124"/>
      <c r="L735" s="3124">
        <v>2000</v>
      </c>
      <c r="M735" s="3124" t="s">
        <v>3979</v>
      </c>
      <c r="N735" s="3192">
        <v>45457</v>
      </c>
      <c r="O735" s="3192">
        <v>45610</v>
      </c>
      <c r="P735" s="3192">
        <v>45465</v>
      </c>
      <c r="Q735" s="3192">
        <v>45641</v>
      </c>
      <c r="R735" s="3124" t="s">
        <v>432</v>
      </c>
      <c r="S735" s="3124" t="s">
        <v>3980</v>
      </c>
      <c r="T735" s="3124" t="s">
        <v>2887</v>
      </c>
      <c r="U735" t="s">
        <v>1195</v>
      </c>
      <c r="V735" s="3124">
        <v>5000</v>
      </c>
      <c r="W735" s="3193">
        <v>0.6</v>
      </c>
      <c r="X735" s="3124">
        <v>3000</v>
      </c>
      <c r="Y735" s="3124"/>
      <c r="Z735" s="3124"/>
      <c r="AA735" s="3124"/>
      <c r="AB735" t="s">
        <v>1195</v>
      </c>
      <c r="AC735" s="3124"/>
    </row>
    <row r="736" spans="1:29">
      <c r="A736" s="3124">
        <v>735</v>
      </c>
      <c r="B736" s="3124" t="s">
        <v>3979</v>
      </c>
      <c r="C736" s="3124" t="s">
        <v>4083</v>
      </c>
      <c r="D736" s="3124" t="s">
        <v>4084</v>
      </c>
      <c r="E736" t="s">
        <v>4085</v>
      </c>
      <c r="F736" s="3234">
        <v>9631246392</v>
      </c>
      <c r="G736" s="3124" t="s">
        <v>4086</v>
      </c>
      <c r="H736" s="3124">
        <v>6</v>
      </c>
      <c r="I736" s="3124">
        <v>6</v>
      </c>
      <c r="J736" s="3124" t="s">
        <v>1948</v>
      </c>
      <c r="K736" s="3124"/>
      <c r="L736" s="3124">
        <v>2000</v>
      </c>
      <c r="M736" s="3124" t="s">
        <v>3979</v>
      </c>
      <c r="N736" s="3192">
        <v>45457</v>
      </c>
      <c r="O736" s="3192">
        <v>45610</v>
      </c>
      <c r="P736" s="3192">
        <v>45465</v>
      </c>
      <c r="Q736" s="3192">
        <v>45641</v>
      </c>
      <c r="R736" s="3124" t="s">
        <v>433</v>
      </c>
      <c r="S736" s="3124" t="s">
        <v>3980</v>
      </c>
      <c r="T736" s="3124" t="s">
        <v>2887</v>
      </c>
      <c r="U736" t="s">
        <v>2653</v>
      </c>
      <c r="V736" s="3124">
        <v>5000</v>
      </c>
      <c r="W736" s="3193">
        <v>0.6</v>
      </c>
      <c r="X736" s="3124">
        <v>3000</v>
      </c>
      <c r="Y736" s="3124"/>
      <c r="Z736" s="3124"/>
      <c r="AA736" s="3124"/>
      <c r="AB736" t="s">
        <v>2653</v>
      </c>
      <c r="AC736" s="3124"/>
    </row>
    <row r="737" spans="1:29">
      <c r="A737" s="3124">
        <v>736</v>
      </c>
      <c r="B737" s="3124" t="s">
        <v>3979</v>
      </c>
      <c r="C737" s="3124" t="s">
        <v>3297</v>
      </c>
      <c r="D737" s="3124" t="s">
        <v>4087</v>
      </c>
      <c r="E737" t="s">
        <v>3298</v>
      </c>
      <c r="F737" s="3234">
        <v>9632384891</v>
      </c>
      <c r="G737" s="3124" t="s">
        <v>3299</v>
      </c>
      <c r="H737" s="3124">
        <v>6</v>
      </c>
      <c r="I737" s="3124">
        <v>6</v>
      </c>
      <c r="J737" s="3124" t="s">
        <v>1948</v>
      </c>
      <c r="K737" s="3124"/>
      <c r="L737" s="3124">
        <v>2000</v>
      </c>
      <c r="M737" s="3124" t="s">
        <v>3979</v>
      </c>
      <c r="N737" s="3192">
        <v>45457</v>
      </c>
      <c r="O737" s="3192">
        <v>45610</v>
      </c>
      <c r="P737" s="3192">
        <v>45465</v>
      </c>
      <c r="Q737" s="3192">
        <v>45641</v>
      </c>
      <c r="R737" s="3124" t="s">
        <v>432</v>
      </c>
      <c r="S737" s="3124" t="s">
        <v>3980</v>
      </c>
      <c r="T737" s="3124" t="s">
        <v>2887</v>
      </c>
      <c r="U737" t="s">
        <v>1195</v>
      </c>
      <c r="V737" s="3124">
        <v>5000</v>
      </c>
      <c r="W737" s="3193">
        <v>0.6</v>
      </c>
      <c r="X737" s="3124">
        <v>3000</v>
      </c>
      <c r="Y737" s="3124"/>
      <c r="Z737" s="3124"/>
      <c r="AA737" s="3124"/>
      <c r="AB737" t="s">
        <v>1195</v>
      </c>
      <c r="AC737" s="3124"/>
    </row>
    <row r="738" spans="1:29">
      <c r="A738" s="3124">
        <v>737</v>
      </c>
      <c r="B738" s="3124" t="s">
        <v>3979</v>
      </c>
      <c r="C738" s="3124" t="s">
        <v>3399</v>
      </c>
      <c r="D738" s="3124" t="s">
        <v>4088</v>
      </c>
      <c r="E738" t="s">
        <v>3401</v>
      </c>
      <c r="F738" s="3234">
        <v>9631619763</v>
      </c>
      <c r="G738" s="3124" t="s">
        <v>4089</v>
      </c>
      <c r="H738" s="3124">
        <v>6</v>
      </c>
      <c r="I738" s="3124">
        <v>6</v>
      </c>
      <c r="J738" s="3124" t="s">
        <v>1948</v>
      </c>
      <c r="K738" s="3124">
        <v>2000</v>
      </c>
      <c r="L738" s="3124">
        <v>2000</v>
      </c>
      <c r="M738" s="3124" t="s">
        <v>3979</v>
      </c>
      <c r="N738" s="3192">
        <v>45436</v>
      </c>
      <c r="O738" s="3192">
        <v>46016</v>
      </c>
      <c r="P738" s="3192">
        <v>45465</v>
      </c>
      <c r="Q738" s="3192">
        <v>45618</v>
      </c>
      <c r="R738" s="3124" t="s">
        <v>432</v>
      </c>
      <c r="S738" s="3124" t="s">
        <v>3980</v>
      </c>
      <c r="T738" s="3124" t="s">
        <v>2887</v>
      </c>
      <c r="U738" t="s">
        <v>1195</v>
      </c>
      <c r="V738" s="3124">
        <v>5000</v>
      </c>
      <c r="W738" s="3193">
        <v>0.6</v>
      </c>
      <c r="X738" s="3124">
        <v>3000</v>
      </c>
      <c r="Y738" s="3124"/>
      <c r="Z738" s="3124"/>
      <c r="AA738" s="3124"/>
      <c r="AB738" t="s">
        <v>1195</v>
      </c>
      <c r="AC738" s="3124"/>
    </row>
    <row r="739" spans="1:29">
      <c r="A739" s="3124">
        <v>738</v>
      </c>
      <c r="B739" s="3124" t="s">
        <v>3979</v>
      </c>
      <c r="C739" s="3124" t="s">
        <v>913</v>
      </c>
      <c r="D739" s="3124" t="s">
        <v>4090</v>
      </c>
      <c r="E739" t="s">
        <v>914</v>
      </c>
      <c r="F739" s="3234">
        <v>9988451496</v>
      </c>
      <c r="G739" s="3124" t="s">
        <v>2423</v>
      </c>
      <c r="H739" s="3124"/>
      <c r="I739" s="3124">
        <v>6</v>
      </c>
      <c r="J739" s="3124"/>
      <c r="K739" s="3124"/>
      <c r="L739" s="3124">
        <v>0</v>
      </c>
      <c r="M739" s="3124" t="s">
        <v>3979</v>
      </c>
      <c r="N739" s="3192">
        <v>45436</v>
      </c>
      <c r="O739" s="3192">
        <v>46495</v>
      </c>
      <c r="P739" s="3192"/>
      <c r="Q739" s="3192"/>
      <c r="R739" s="3124" t="s">
        <v>432</v>
      </c>
      <c r="S739" s="3124" t="s">
        <v>3980</v>
      </c>
      <c r="T739" s="3124" t="s">
        <v>2887</v>
      </c>
      <c r="U739" t="s">
        <v>1195</v>
      </c>
      <c r="V739" s="3124">
        <v>5000</v>
      </c>
      <c r="W739" s="3193">
        <v>1</v>
      </c>
      <c r="X739" s="3124">
        <v>5000</v>
      </c>
      <c r="Y739" s="3124"/>
      <c r="Z739" s="3124"/>
      <c r="AA739" s="3124"/>
      <c r="AB739" t="s">
        <v>2653</v>
      </c>
      <c r="AC739" s="3124"/>
    </row>
    <row r="740" spans="1:29">
      <c r="A740" s="3124">
        <v>739</v>
      </c>
      <c r="B740" s="3124" t="s">
        <v>1764</v>
      </c>
      <c r="C740" s="3124" t="s">
        <v>4848</v>
      </c>
      <c r="D740" s="3124"/>
      <c r="E740" t="s">
        <v>4660</v>
      </c>
      <c r="F740" s="3234"/>
      <c r="G740" s="3124"/>
      <c r="H740" s="3124">
        <v>6</v>
      </c>
      <c r="I740" s="3124"/>
      <c r="J740" s="3124"/>
      <c r="K740" s="3124"/>
      <c r="L740" s="3124"/>
      <c r="M740" s="3124"/>
      <c r="N740" s="3192"/>
      <c r="O740" s="3192"/>
      <c r="P740" s="3192"/>
      <c r="Q740" s="3192"/>
      <c r="R740" s="3124"/>
      <c r="S740" s="3124"/>
      <c r="T740" s="3124"/>
      <c r="V740" s="3124"/>
      <c r="W740" s="3193"/>
      <c r="X740" s="3124"/>
      <c r="Y740" s="3124"/>
      <c r="Z740" s="3124"/>
      <c r="AA740" s="3124"/>
      <c r="AB740" t="s">
        <v>1195</v>
      </c>
      <c r="AC740" s="3124"/>
    </row>
    <row r="741" spans="1:29">
      <c r="A741" s="3124">
        <v>740</v>
      </c>
      <c r="B741" s="3124" t="s">
        <v>2525</v>
      </c>
      <c r="C741" s="3124" t="s">
        <v>4094</v>
      </c>
      <c r="D741" s="3124" t="s">
        <v>5018</v>
      </c>
      <c r="E741" t="s">
        <v>4095</v>
      </c>
      <c r="F741" s="3234">
        <v>58002939</v>
      </c>
      <c r="G741" s="3124"/>
      <c r="H741" s="3124">
        <v>6</v>
      </c>
      <c r="I741" s="3124">
        <v>6</v>
      </c>
      <c r="J741" s="3124">
        <v>2000</v>
      </c>
      <c r="K741" s="3124">
        <v>2000</v>
      </c>
      <c r="L741" s="3124">
        <v>682.5</v>
      </c>
      <c r="M741" s="3124" t="s">
        <v>4096</v>
      </c>
      <c r="N741" s="3192">
        <v>45474</v>
      </c>
      <c r="O741" s="3192">
        <v>45627</v>
      </c>
      <c r="P741" s="3192">
        <v>45499</v>
      </c>
      <c r="Q741" s="3192">
        <v>45627</v>
      </c>
      <c r="R741" s="3124" t="s">
        <v>433</v>
      </c>
      <c r="S741" s="3124" t="s">
        <v>2530</v>
      </c>
      <c r="T741" s="3124" t="s">
        <v>2825</v>
      </c>
      <c r="U741" t="s">
        <v>1761</v>
      </c>
      <c r="V741" s="3124">
        <v>5000</v>
      </c>
      <c r="W741" s="3193">
        <v>0.86350000000000005</v>
      </c>
      <c r="X741" s="3124">
        <v>4317.5</v>
      </c>
      <c r="Y741" s="3124"/>
      <c r="Z741" s="3124">
        <v>6000</v>
      </c>
      <c r="AA741" s="3124">
        <v>26000</v>
      </c>
      <c r="AB741" t="s">
        <v>1195</v>
      </c>
      <c r="AC741" s="3124"/>
    </row>
    <row r="742" spans="1:29">
      <c r="A742" s="3124">
        <v>741</v>
      </c>
      <c r="B742" s="3124" t="s">
        <v>1123</v>
      </c>
      <c r="C742" s="3124" t="s">
        <v>5021</v>
      </c>
      <c r="D742" s="3124" t="s">
        <v>4709</v>
      </c>
      <c r="E742" t="s">
        <v>4660</v>
      </c>
      <c r="F742" s="3234"/>
      <c r="G742" s="3124"/>
      <c r="H742" s="3124"/>
      <c r="I742" s="3124"/>
      <c r="J742" s="3124"/>
      <c r="K742" s="3124"/>
      <c r="L742" s="3124"/>
      <c r="M742" s="3124" t="s">
        <v>3888</v>
      </c>
      <c r="N742" s="3192">
        <v>45474</v>
      </c>
      <c r="O742" s="3192">
        <v>45627</v>
      </c>
      <c r="P742" s="3192"/>
      <c r="Q742" s="3192">
        <v>45383</v>
      </c>
      <c r="R742" s="3124"/>
      <c r="S742" s="3124"/>
      <c r="T742" s="3124"/>
      <c r="V742" s="3124"/>
      <c r="W742" s="3193"/>
      <c r="X742" s="3124"/>
      <c r="Y742" s="3124"/>
      <c r="Z742" s="3124">
        <v>8000</v>
      </c>
      <c r="AA742" s="3124">
        <v>30000</v>
      </c>
      <c r="AB742" t="s">
        <v>1195</v>
      </c>
      <c r="AC742" s="3124"/>
    </row>
    <row r="743" spans="1:29">
      <c r="A743" s="3124">
        <v>742</v>
      </c>
      <c r="B743" s="3124" t="s">
        <v>1123</v>
      </c>
      <c r="C743" s="3124" t="s">
        <v>5315</v>
      </c>
      <c r="D743" s="3124" t="s">
        <v>225</v>
      </c>
      <c r="E743" s="3148" t="s">
        <v>4100</v>
      </c>
      <c r="F743" s="3234">
        <v>46364043</v>
      </c>
      <c r="G743" s="3124" t="s">
        <v>5316</v>
      </c>
      <c r="H743" s="3124">
        <v>6</v>
      </c>
      <c r="I743" s="3124">
        <v>6</v>
      </c>
      <c r="J743" s="3124">
        <v>3000</v>
      </c>
      <c r="K743" s="3124">
        <v>3000</v>
      </c>
      <c r="L743" s="3124">
        <v>1049.0999999999999</v>
      </c>
      <c r="M743" s="3124" t="s">
        <v>3888</v>
      </c>
      <c r="N743" s="3192">
        <v>45298</v>
      </c>
      <c r="O743" s="3192">
        <v>45627</v>
      </c>
      <c r="P743" s="3192">
        <v>45499</v>
      </c>
      <c r="Q743" s="3192">
        <v>45627</v>
      </c>
      <c r="R743" s="3124" t="s">
        <v>2573</v>
      </c>
      <c r="S743" s="3124" t="s">
        <v>1939</v>
      </c>
      <c r="T743" s="3124" t="s">
        <v>2825</v>
      </c>
      <c r="U743" t="s">
        <v>1869</v>
      </c>
      <c r="V743" s="3124">
        <v>7000</v>
      </c>
      <c r="W743" s="3193"/>
      <c r="X743" s="3124"/>
      <c r="Y743" s="3124"/>
      <c r="Z743" s="3124">
        <v>8000</v>
      </c>
      <c r="AA743" s="3124">
        <v>30000</v>
      </c>
      <c r="AB743" t="s">
        <v>1869</v>
      </c>
      <c r="AC743" s="3124"/>
    </row>
    <row r="744" spans="1:29">
      <c r="A744" s="3124">
        <v>743</v>
      </c>
      <c r="B744" s="3124" t="s">
        <v>1123</v>
      </c>
      <c r="C744" s="3124" t="s">
        <v>4101</v>
      </c>
      <c r="D744" s="3124" t="s">
        <v>5085</v>
      </c>
      <c r="E744" t="s">
        <v>4659</v>
      </c>
      <c r="F744" s="3234">
        <v>59125828</v>
      </c>
      <c r="G744" s="3124" t="s">
        <v>5317</v>
      </c>
      <c r="H744" s="3124">
        <v>6</v>
      </c>
      <c r="I744" s="3124">
        <v>6</v>
      </c>
      <c r="J744" s="3124">
        <v>3000</v>
      </c>
      <c r="K744" s="3124">
        <v>3000</v>
      </c>
      <c r="L744" s="3124">
        <v>1049.0999999999999</v>
      </c>
      <c r="M744" s="3124" t="s">
        <v>3888</v>
      </c>
      <c r="N744" s="3192">
        <v>45298</v>
      </c>
      <c r="O744" s="3192">
        <v>45450</v>
      </c>
      <c r="P744" s="3192"/>
      <c r="Q744" s="3192">
        <v>45453</v>
      </c>
      <c r="R744" s="3124" t="s">
        <v>433</v>
      </c>
      <c r="S744" s="3124" t="s">
        <v>1939</v>
      </c>
      <c r="T744" s="3124" t="s">
        <v>2825</v>
      </c>
      <c r="U744" t="s">
        <v>1761</v>
      </c>
      <c r="V744" s="3124">
        <v>7000</v>
      </c>
      <c r="W744" s="3193">
        <v>0.85012857142857134</v>
      </c>
      <c r="X744" s="3124">
        <v>5950.9</v>
      </c>
      <c r="Y744" s="3124"/>
      <c r="Z744" s="3124">
        <v>8000</v>
      </c>
      <c r="AA744" s="3124">
        <v>30000</v>
      </c>
      <c r="AB744" t="s">
        <v>1195</v>
      </c>
      <c r="AC744" s="3124"/>
    </row>
    <row r="745" spans="1:29">
      <c r="A745" s="3124">
        <v>744</v>
      </c>
      <c r="B745" s="3124" t="s">
        <v>1123</v>
      </c>
      <c r="C745" s="3124"/>
      <c r="D745" s="3124" t="s">
        <v>4115</v>
      </c>
      <c r="E745" t="s">
        <v>4660</v>
      </c>
      <c r="F745" s="3234">
        <v>53034375</v>
      </c>
      <c r="G745" s="3124"/>
      <c r="H745" s="3124">
        <v>6</v>
      </c>
      <c r="I745" s="3124">
        <v>6</v>
      </c>
      <c r="J745" s="3124">
        <v>3000</v>
      </c>
      <c r="K745" s="3124">
        <v>3000</v>
      </c>
      <c r="L745" s="3124">
        <v>3497</v>
      </c>
      <c r="M745" s="3124" t="s">
        <v>3888</v>
      </c>
      <c r="N745" s="3192">
        <v>45418</v>
      </c>
      <c r="O745" s="3192"/>
      <c r="P745" s="3192"/>
      <c r="Q745" s="3192"/>
      <c r="R745" s="3124"/>
      <c r="S745" s="3124" t="s">
        <v>1939</v>
      </c>
      <c r="T745" s="3124"/>
      <c r="V745" s="3124">
        <v>7000</v>
      </c>
      <c r="W745" s="3193">
        <v>0.50042857142857144</v>
      </c>
      <c r="X745" s="3124">
        <v>3503</v>
      </c>
      <c r="Y745" s="3124"/>
      <c r="Z745" s="3124">
        <v>8000</v>
      </c>
      <c r="AA745" s="3124">
        <v>30000</v>
      </c>
      <c r="AB745" t="s">
        <v>1195</v>
      </c>
      <c r="AC745" s="3124"/>
    </row>
    <row r="746" spans="1:29">
      <c r="A746" s="3124">
        <v>745</v>
      </c>
      <c r="B746" s="3124" t="s">
        <v>4513</v>
      </c>
      <c r="C746" s="3124" t="s">
        <v>4116</v>
      </c>
      <c r="D746" s="3124" t="s">
        <v>4117</v>
      </c>
      <c r="E746" t="s">
        <v>4118</v>
      </c>
      <c r="F746" s="3234">
        <v>32426464</v>
      </c>
      <c r="G746" s="3124" t="s">
        <v>4119</v>
      </c>
      <c r="H746" s="3124">
        <v>20</v>
      </c>
      <c r="I746" s="3124">
        <v>20</v>
      </c>
      <c r="J746" s="3124">
        <v>3000</v>
      </c>
      <c r="K746" s="3124">
        <v>3000</v>
      </c>
      <c r="L746" s="3124">
        <v>1049.0999999999999</v>
      </c>
      <c r="M746" s="3124" t="s">
        <v>3888</v>
      </c>
      <c r="N746" s="3192">
        <v>45417</v>
      </c>
      <c r="O746" s="3192">
        <v>45996</v>
      </c>
      <c r="P746" s="3192"/>
      <c r="Q746" s="3192">
        <v>578</v>
      </c>
      <c r="R746" s="3124" t="s">
        <v>433</v>
      </c>
      <c r="S746" s="3124" t="s">
        <v>1690</v>
      </c>
      <c r="T746" s="3124" t="s">
        <v>2825</v>
      </c>
      <c r="U746" t="s">
        <v>1761</v>
      </c>
      <c r="V746" s="3124">
        <v>7000</v>
      </c>
      <c r="W746" s="3193">
        <v>0.85012857142857134</v>
      </c>
      <c r="X746" s="3124">
        <v>5950.9</v>
      </c>
      <c r="Y746" s="3124">
        <v>1</v>
      </c>
      <c r="Z746" s="3124"/>
      <c r="AA746" s="3124">
        <v>30000</v>
      </c>
      <c r="AB746" t="s">
        <v>1761</v>
      </c>
      <c r="AC746" s="3124"/>
    </row>
    <row r="747" spans="1:29">
      <c r="A747" s="3124">
        <v>746</v>
      </c>
      <c r="B747" s="3124" t="s">
        <v>3979</v>
      </c>
      <c r="C747" s="3124" t="s">
        <v>3288</v>
      </c>
      <c r="D747" s="3124"/>
      <c r="E747" t="s">
        <v>4660</v>
      </c>
      <c r="F747" s="3234"/>
      <c r="G747" s="3124"/>
      <c r="H747" s="3124"/>
      <c r="I747" s="3124"/>
      <c r="J747" s="3124"/>
      <c r="K747" s="3124"/>
      <c r="L747" s="3124"/>
      <c r="M747" s="3124"/>
      <c r="N747" s="3192"/>
      <c r="O747" s="3192"/>
      <c r="P747" s="3192"/>
      <c r="Q747" s="3192"/>
      <c r="R747" s="3124"/>
      <c r="S747" s="3124"/>
      <c r="T747" s="3124"/>
      <c r="V747" s="3124"/>
      <c r="W747" s="3193"/>
      <c r="X747" s="3124">
        <v>0</v>
      </c>
      <c r="Y747" s="3124"/>
      <c r="Z747" s="3124"/>
      <c r="AA747" s="3124"/>
      <c r="AB747" t="s">
        <v>1195</v>
      </c>
      <c r="AC747" s="3124"/>
    </row>
    <row r="748" spans="1:29">
      <c r="A748" s="3124">
        <v>747</v>
      </c>
      <c r="B748" s="3124" t="s">
        <v>3979</v>
      </c>
      <c r="C748" s="3124"/>
      <c r="D748" s="3124"/>
      <c r="E748" t="s">
        <v>4660</v>
      </c>
      <c r="F748" s="3234"/>
      <c r="G748" s="3124"/>
      <c r="H748" s="3124"/>
      <c r="I748" s="3124"/>
      <c r="J748" s="3124"/>
      <c r="K748" s="3124"/>
      <c r="L748" s="3124"/>
      <c r="M748" s="3124"/>
      <c r="N748" s="3192"/>
      <c r="O748" s="3192"/>
      <c r="P748" s="3192"/>
      <c r="Q748" s="3192"/>
      <c r="R748" s="3124"/>
      <c r="S748" s="3124"/>
      <c r="T748" s="3124"/>
      <c r="V748" s="3124"/>
      <c r="W748" s="3193"/>
      <c r="X748" s="3124">
        <v>0</v>
      </c>
      <c r="Y748" s="3124"/>
      <c r="Z748" s="3124"/>
      <c r="AA748" s="3124"/>
      <c r="AB748" t="s">
        <v>1195</v>
      </c>
      <c r="AC748" s="3124"/>
    </row>
    <row r="749" spans="1:29">
      <c r="A749" s="3124">
        <v>748</v>
      </c>
      <c r="B749" s="3124" t="s">
        <v>3979</v>
      </c>
      <c r="C749" s="3124"/>
      <c r="D749" s="3124"/>
      <c r="E749" t="s">
        <v>4661</v>
      </c>
      <c r="F749" s="3234"/>
      <c r="G749" s="3124"/>
      <c r="H749" s="3124"/>
      <c r="I749" s="3124"/>
      <c r="J749" s="3124"/>
      <c r="K749" s="3124"/>
      <c r="L749" s="3124"/>
      <c r="M749" s="3124"/>
      <c r="N749" s="3192"/>
      <c r="O749" s="3192"/>
      <c r="P749" s="3192"/>
      <c r="Q749" s="3192"/>
      <c r="R749" s="3124"/>
      <c r="S749" s="3124"/>
      <c r="T749" s="3124"/>
      <c r="V749" s="3124"/>
      <c r="W749" s="3193"/>
      <c r="X749" s="3124">
        <v>0</v>
      </c>
      <c r="Y749" s="3124"/>
      <c r="Z749" s="3124"/>
      <c r="AA749" s="3124"/>
      <c r="AB749" t="s">
        <v>1195</v>
      </c>
      <c r="AC749" s="3124"/>
    </row>
    <row r="750" spans="1:29">
      <c r="A750" s="3124">
        <v>749</v>
      </c>
      <c r="B750" s="3124" t="s">
        <v>3979</v>
      </c>
      <c r="C750" s="3124"/>
      <c r="D750" s="3124"/>
      <c r="E750" t="s">
        <v>4660</v>
      </c>
      <c r="F750" s="3234"/>
      <c r="G750" s="3124"/>
      <c r="H750" s="3124"/>
      <c r="I750" s="3124"/>
      <c r="J750" s="3124"/>
      <c r="K750" s="3124"/>
      <c r="L750" s="3124"/>
      <c r="M750" s="3124"/>
      <c r="N750" s="3192"/>
      <c r="O750" s="3192"/>
      <c r="P750" s="3192"/>
      <c r="Q750" s="3192"/>
      <c r="R750" s="3124"/>
      <c r="S750" s="3124"/>
      <c r="T750" s="3124"/>
      <c r="V750" s="3124"/>
      <c r="W750" s="3193"/>
      <c r="X750" s="3124">
        <v>0</v>
      </c>
      <c r="Y750" s="3124"/>
      <c r="Z750" s="3124"/>
      <c r="AA750" s="3124"/>
      <c r="AB750" t="s">
        <v>1195</v>
      </c>
      <c r="AC750" s="3124"/>
    </row>
    <row r="751" spans="1:29">
      <c r="A751" s="3124">
        <v>750</v>
      </c>
      <c r="B751" s="3124" t="s">
        <v>3979</v>
      </c>
      <c r="C751" s="3124"/>
      <c r="D751" s="3124"/>
      <c r="E751" t="s">
        <v>4660</v>
      </c>
      <c r="F751" s="3234"/>
      <c r="G751" s="3124"/>
      <c r="H751" s="3124"/>
      <c r="I751" s="3124"/>
      <c r="J751" s="3124" t="s">
        <v>1948</v>
      </c>
      <c r="K751" s="3124"/>
      <c r="L751" s="3124">
        <v>2000</v>
      </c>
      <c r="M751" s="3124" t="s">
        <v>3979</v>
      </c>
      <c r="N751" s="3192">
        <v>45457</v>
      </c>
      <c r="O751" s="3192">
        <v>45610</v>
      </c>
      <c r="P751" s="3192"/>
      <c r="Q751" s="3192">
        <v>45610</v>
      </c>
      <c r="R751" s="3124" t="s">
        <v>2573</v>
      </c>
      <c r="S751" s="3124" t="s">
        <v>3980</v>
      </c>
      <c r="T751" s="3124" t="s">
        <v>2887</v>
      </c>
      <c r="U751" t="s">
        <v>1195</v>
      </c>
      <c r="V751" s="3124">
        <v>5000</v>
      </c>
      <c r="W751" s="3193">
        <v>0.6</v>
      </c>
      <c r="X751" s="3124">
        <v>3000</v>
      </c>
      <c r="Y751" s="3124"/>
      <c r="Z751" s="3124"/>
      <c r="AA751" s="3124"/>
      <c r="AB751" t="s">
        <v>1195</v>
      </c>
      <c r="AC751" s="3124"/>
    </row>
    <row r="752" spans="1:29">
      <c r="A752" s="3124">
        <v>751</v>
      </c>
      <c r="B752" s="3124" t="s">
        <v>1764</v>
      </c>
      <c r="C752" s="3124" t="s">
        <v>4091</v>
      </c>
      <c r="D752" s="3124" t="s">
        <v>4662</v>
      </c>
      <c r="E752" t="s">
        <v>4092</v>
      </c>
      <c r="F752" s="3234">
        <v>7224801386</v>
      </c>
      <c r="G752" s="3124" t="s">
        <v>5318</v>
      </c>
      <c r="H752" s="3124">
        <v>6</v>
      </c>
      <c r="I752" s="3124">
        <v>6</v>
      </c>
      <c r="J752" s="3124">
        <v>3000</v>
      </c>
      <c r="K752" s="3124"/>
      <c r="L752" s="3124">
        <v>0</v>
      </c>
      <c r="M752" s="3124" t="s">
        <v>4093</v>
      </c>
      <c r="N752" s="3192">
        <v>45429</v>
      </c>
      <c r="O752" s="3192">
        <v>45610</v>
      </c>
      <c r="P752" s="3192">
        <v>45455</v>
      </c>
      <c r="Q752" s="3192">
        <v>45582</v>
      </c>
      <c r="R752" s="3124" t="s">
        <v>433</v>
      </c>
      <c r="S752" s="3124" t="s">
        <v>1917</v>
      </c>
      <c r="T752" s="3124" t="s">
        <v>1850</v>
      </c>
      <c r="U752" t="s">
        <v>1195</v>
      </c>
      <c r="V752" s="3124">
        <v>5000</v>
      </c>
      <c r="W752" s="3193">
        <v>1</v>
      </c>
      <c r="X752" s="3124">
        <v>5000</v>
      </c>
      <c r="Y752" s="3124"/>
      <c r="Z752" s="3124">
        <v>6000</v>
      </c>
      <c r="AA752" s="3124">
        <v>26000</v>
      </c>
      <c r="AB752" t="s">
        <v>1195</v>
      </c>
      <c r="AC752" s="3124"/>
    </row>
    <row r="753" spans="1:29">
      <c r="A753" s="3124">
        <v>752</v>
      </c>
      <c r="B753" s="3124" t="s">
        <v>1621</v>
      </c>
      <c r="C753" s="3124" t="s">
        <v>3954</v>
      </c>
      <c r="D753" s="3124" t="s">
        <v>4663</v>
      </c>
      <c r="E753" t="s">
        <v>3955</v>
      </c>
      <c r="F753" s="3234">
        <v>9631331596</v>
      </c>
      <c r="G753" s="3124" t="s">
        <v>4664</v>
      </c>
      <c r="H753" s="3124">
        <v>20</v>
      </c>
      <c r="I753" s="3124">
        <v>20</v>
      </c>
      <c r="J753" s="3124">
        <v>1000</v>
      </c>
      <c r="K753" s="3124">
        <v>2000</v>
      </c>
      <c r="L753" s="3124">
        <v>2275</v>
      </c>
      <c r="M753" s="3124" t="s">
        <v>4093</v>
      </c>
      <c r="N753" s="3192">
        <v>45401</v>
      </c>
      <c r="O753" s="3192">
        <v>45980</v>
      </c>
      <c r="P753" s="3192">
        <v>45411</v>
      </c>
      <c r="Q753" s="3192">
        <v>45990</v>
      </c>
      <c r="R753" s="3124" t="s">
        <v>433</v>
      </c>
      <c r="S753" s="3124" t="s">
        <v>1640</v>
      </c>
      <c r="T753" s="3124" t="s">
        <v>2887</v>
      </c>
      <c r="U753" t="s">
        <v>2653</v>
      </c>
      <c r="V753" s="3124">
        <v>5000</v>
      </c>
      <c r="W753" s="3193">
        <v>0.54500000000000004</v>
      </c>
      <c r="X753" s="3124">
        <v>2725</v>
      </c>
      <c r="Y753" s="3124"/>
      <c r="Z753" s="3124"/>
      <c r="AA753" s="3124">
        <v>26000</v>
      </c>
      <c r="AB753" s="1876" t="s">
        <v>2653</v>
      </c>
      <c r="AC753" s="3124"/>
    </row>
    <row r="754" spans="1:29">
      <c r="A754" s="3124">
        <v>753</v>
      </c>
      <c r="B754" s="3124" t="s">
        <v>1691</v>
      </c>
      <c r="C754" s="3220" t="s">
        <v>4277</v>
      </c>
      <c r="D754" s="3220" t="s">
        <v>4814</v>
      </c>
      <c r="E754" t="s">
        <v>4278</v>
      </c>
      <c r="F754" s="3234">
        <v>54122290</v>
      </c>
      <c r="G754" s="3124" t="s">
        <v>5319</v>
      </c>
      <c r="H754" s="3124">
        <v>16</v>
      </c>
      <c r="I754" s="3124">
        <v>16</v>
      </c>
      <c r="J754" s="3124">
        <v>2000</v>
      </c>
      <c r="K754" s="3124">
        <v>2000</v>
      </c>
      <c r="L754" s="3124">
        <v>682.5</v>
      </c>
      <c r="M754" s="3194" t="s">
        <v>5030</v>
      </c>
      <c r="N754" s="3192">
        <v>45513</v>
      </c>
      <c r="O754" s="3192">
        <v>45970</v>
      </c>
      <c r="P754" s="3192">
        <v>45499</v>
      </c>
      <c r="Q754" s="3192">
        <v>45970</v>
      </c>
      <c r="R754" s="3124" t="s">
        <v>433</v>
      </c>
      <c r="S754" s="3124" t="s">
        <v>1949</v>
      </c>
      <c r="T754" s="3124" t="s">
        <v>2825</v>
      </c>
      <c r="U754" t="s">
        <v>1761</v>
      </c>
      <c r="V754" s="3124">
        <v>5000</v>
      </c>
      <c r="W754" s="3193">
        <v>0.86350000000000005</v>
      </c>
      <c r="X754" s="3124">
        <v>4317.5</v>
      </c>
      <c r="Y754" s="3124">
        <v>2</v>
      </c>
      <c r="Z754" s="3124"/>
      <c r="AA754" s="3124">
        <v>26000</v>
      </c>
      <c r="AB754" t="s">
        <v>1761</v>
      </c>
      <c r="AC754" s="3124"/>
    </row>
    <row r="755" spans="1:29">
      <c r="A755" s="3124">
        <v>754</v>
      </c>
      <c r="B755" s="3124" t="s">
        <v>1123</v>
      </c>
      <c r="C755" s="3124" t="s">
        <v>4097</v>
      </c>
      <c r="D755" s="3124" t="s">
        <v>5086</v>
      </c>
      <c r="E755" t="s">
        <v>4098</v>
      </c>
      <c r="F755" s="3234">
        <v>58264270</v>
      </c>
      <c r="G755" s="3124" t="s">
        <v>4099</v>
      </c>
      <c r="H755" s="3124">
        <v>6</v>
      </c>
      <c r="I755" s="3124">
        <v>6</v>
      </c>
      <c r="J755" s="3124">
        <v>3000</v>
      </c>
      <c r="K755" s="3124">
        <v>3000</v>
      </c>
      <c r="L755" s="3124">
        <v>1049.0999999999999</v>
      </c>
      <c r="M755" s="3124" t="s">
        <v>3888</v>
      </c>
      <c r="N755" s="3192">
        <v>44937</v>
      </c>
      <c r="O755" s="3192">
        <v>45383</v>
      </c>
      <c r="P755" s="3192">
        <v>45499</v>
      </c>
      <c r="Q755" s="3192">
        <v>45383</v>
      </c>
      <c r="R755" s="3124" t="s">
        <v>432</v>
      </c>
      <c r="S755" s="3124" t="s">
        <v>1939</v>
      </c>
      <c r="T755" s="3124" t="s">
        <v>2825</v>
      </c>
      <c r="U755" t="s">
        <v>1761</v>
      </c>
      <c r="V755" s="3124">
        <v>7000</v>
      </c>
      <c r="W755" s="3193">
        <v>0.85012857142857134</v>
      </c>
      <c r="X755" s="3124">
        <v>5950.9</v>
      </c>
      <c r="Y755" s="3124"/>
      <c r="Z755" s="3124">
        <v>8000</v>
      </c>
      <c r="AA755" s="3124">
        <v>30000</v>
      </c>
      <c r="AB755" t="s">
        <v>1195</v>
      </c>
      <c r="AC755" s="3124"/>
    </row>
    <row r="756" spans="1:29">
      <c r="A756" s="3124">
        <v>755</v>
      </c>
      <c r="B756" s="3124" t="s">
        <v>1123</v>
      </c>
      <c r="C756" s="3124" t="s">
        <v>4172</v>
      </c>
      <c r="D756" s="3124" t="s">
        <v>629</v>
      </c>
      <c r="E756" t="s">
        <v>4660</v>
      </c>
      <c r="F756" s="3234"/>
      <c r="G756" s="3124"/>
      <c r="H756" s="3124"/>
      <c r="I756" s="3124"/>
      <c r="J756" s="3124"/>
      <c r="K756" s="3124"/>
      <c r="L756" s="3124"/>
      <c r="M756" s="3124"/>
      <c r="N756" s="3192"/>
      <c r="O756" s="3192"/>
      <c r="P756" s="3192"/>
      <c r="Q756" s="3192"/>
      <c r="R756" s="3124"/>
      <c r="S756" s="3124"/>
      <c r="T756" s="3124"/>
      <c r="U756" t="s">
        <v>2653</v>
      </c>
      <c r="V756" s="3124">
        <v>7000</v>
      </c>
      <c r="W756" s="3193">
        <v>0.85012857142857134</v>
      </c>
      <c r="X756" s="3124">
        <v>5950.9</v>
      </c>
      <c r="Y756" s="3124"/>
      <c r="Z756" s="3124"/>
      <c r="AA756" s="3124">
        <v>30000</v>
      </c>
      <c r="AB756" t="s">
        <v>2653</v>
      </c>
      <c r="AC756" s="3124"/>
    </row>
    <row r="757" spans="1:29">
      <c r="A757" s="3124">
        <v>756</v>
      </c>
      <c r="B757" s="3124" t="s">
        <v>1123</v>
      </c>
      <c r="C757" s="3124" t="s">
        <v>4665</v>
      </c>
      <c r="D757" s="3124" t="s">
        <v>4115</v>
      </c>
      <c r="E757" t="s">
        <v>4102</v>
      </c>
      <c r="F757" s="3234">
        <v>53034375</v>
      </c>
      <c r="G757" s="3124" t="s">
        <v>2828</v>
      </c>
      <c r="H757" s="3124">
        <v>6</v>
      </c>
      <c r="I757" s="3124">
        <v>6</v>
      </c>
      <c r="J757" s="3124">
        <v>3000</v>
      </c>
      <c r="K757" s="3124">
        <v>3000</v>
      </c>
      <c r="L757" s="3124">
        <v>3497</v>
      </c>
      <c r="M757" s="3124" t="s">
        <v>3888</v>
      </c>
      <c r="N757" s="3192">
        <v>45418</v>
      </c>
      <c r="O757" s="3192">
        <v>45601</v>
      </c>
      <c r="P757" s="3192">
        <v>45499</v>
      </c>
      <c r="Q757" s="3192">
        <v>45601</v>
      </c>
      <c r="R757" s="3124" t="s">
        <v>5320</v>
      </c>
      <c r="S757" s="3124" t="s">
        <v>1939</v>
      </c>
      <c r="T757" s="3124" t="s">
        <v>2825</v>
      </c>
      <c r="U757" t="s">
        <v>1195</v>
      </c>
      <c r="V757" s="3124">
        <v>7000</v>
      </c>
      <c r="W757" s="3193">
        <v>0.50042857142857144</v>
      </c>
      <c r="X757" s="3124">
        <v>3503</v>
      </c>
      <c r="Y757" s="3124"/>
      <c r="Z757" s="3124"/>
      <c r="AA757" s="3124">
        <v>30000</v>
      </c>
      <c r="AB757" t="s">
        <v>1195</v>
      </c>
      <c r="AC757" s="3124"/>
    </row>
    <row r="758" spans="1:29">
      <c r="A758" s="3124">
        <v>757</v>
      </c>
      <c r="B758" s="3124" t="s">
        <v>3979</v>
      </c>
      <c r="C758" s="3124" t="s">
        <v>4173</v>
      </c>
      <c r="D758" s="3124" t="s">
        <v>4171</v>
      </c>
      <c r="E758" s="3171" t="s">
        <v>4174</v>
      </c>
      <c r="F758" s="3234">
        <v>9632722920</v>
      </c>
      <c r="G758" s="3124" t="s">
        <v>4175</v>
      </c>
      <c r="H758" s="3124">
        <v>6</v>
      </c>
      <c r="I758" s="3124">
        <v>6</v>
      </c>
      <c r="J758" s="3124" t="s">
        <v>1948</v>
      </c>
      <c r="K758" s="3124"/>
      <c r="L758" s="3124">
        <v>2000</v>
      </c>
      <c r="M758" s="3124" t="s">
        <v>3979</v>
      </c>
      <c r="N758" s="3192">
        <v>45492</v>
      </c>
      <c r="O758" s="3192">
        <v>45589</v>
      </c>
      <c r="P758" s="3192">
        <v>45481</v>
      </c>
      <c r="Q758" s="3192">
        <v>45584</v>
      </c>
      <c r="R758" s="3124" t="s">
        <v>433</v>
      </c>
      <c r="S758" s="3124" t="s">
        <v>3980</v>
      </c>
      <c r="T758" s="3124" t="s">
        <v>2887</v>
      </c>
      <c r="U758" t="s">
        <v>2653</v>
      </c>
      <c r="V758" s="3124">
        <v>7000</v>
      </c>
      <c r="W758" s="3193">
        <v>0.7142857142857143</v>
      </c>
      <c r="X758" s="3124">
        <v>5000</v>
      </c>
      <c r="Y758" s="3124"/>
      <c r="Z758" s="3124"/>
      <c r="AA758" s="3124"/>
      <c r="AB758" t="s">
        <v>2653</v>
      </c>
      <c r="AC758" s="3124"/>
    </row>
    <row r="759" spans="1:29">
      <c r="A759" s="3124">
        <v>758</v>
      </c>
      <c r="B759" s="3124" t="s">
        <v>1621</v>
      </c>
      <c r="C759" s="3124" t="s">
        <v>4176</v>
      </c>
      <c r="D759" s="3124" t="s">
        <v>4171</v>
      </c>
      <c r="E759" s="3183" t="s">
        <v>4666</v>
      </c>
      <c r="F759" s="3234">
        <v>9632293183</v>
      </c>
      <c r="G759" s="3124" t="s">
        <v>4177</v>
      </c>
      <c r="H759" s="3124">
        <v>20</v>
      </c>
      <c r="I759" s="3124">
        <v>20</v>
      </c>
      <c r="J759" s="3124">
        <v>1000</v>
      </c>
      <c r="K759" s="3124">
        <v>2000</v>
      </c>
      <c r="L759" s="3124">
        <v>2275</v>
      </c>
      <c r="M759" s="3124" t="s">
        <v>4178</v>
      </c>
      <c r="N759" s="3192">
        <v>45520</v>
      </c>
      <c r="O759" s="3192">
        <v>46097</v>
      </c>
      <c r="P759" s="3192">
        <v>45516</v>
      </c>
      <c r="Q759" s="3192">
        <v>46097</v>
      </c>
      <c r="R759" s="3124" t="s">
        <v>432</v>
      </c>
      <c r="S759" s="3124" t="s">
        <v>1640</v>
      </c>
      <c r="T759" s="3124" t="s">
        <v>2887</v>
      </c>
      <c r="U759" t="s">
        <v>1869</v>
      </c>
      <c r="V759" s="3124">
        <v>5000</v>
      </c>
      <c r="W759" s="3193">
        <v>0.54500000000000004</v>
      </c>
      <c r="X759" s="3124">
        <v>2725</v>
      </c>
      <c r="Y759" s="3124">
        <v>2</v>
      </c>
      <c r="Z759" s="3124"/>
      <c r="AA759" s="3124">
        <v>26000</v>
      </c>
      <c r="AB759" t="s">
        <v>1869</v>
      </c>
      <c r="AC759" s="3124"/>
    </row>
    <row r="760" spans="1:29">
      <c r="A760" s="3124">
        <v>759</v>
      </c>
      <c r="B760" s="3124" t="s">
        <v>1691</v>
      </c>
      <c r="C760" s="3124" t="s">
        <v>4179</v>
      </c>
      <c r="D760" s="3124" t="s">
        <v>5019</v>
      </c>
      <c r="E760" t="s">
        <v>4180</v>
      </c>
      <c r="F760" s="3234"/>
      <c r="G760" s="3124" t="s">
        <v>4181</v>
      </c>
      <c r="H760" s="3124">
        <v>16</v>
      </c>
      <c r="I760" s="3124">
        <v>16</v>
      </c>
      <c r="J760" s="3124">
        <v>2000</v>
      </c>
      <c r="K760" s="3124">
        <v>2000</v>
      </c>
      <c r="L760" s="3124">
        <v>682.5</v>
      </c>
      <c r="M760" s="3124" t="s">
        <v>5030</v>
      </c>
      <c r="N760" s="3192">
        <v>45474</v>
      </c>
      <c r="O760" s="3192">
        <v>45937</v>
      </c>
      <c r="P760" s="3192">
        <v>45499</v>
      </c>
      <c r="Q760" s="3192"/>
      <c r="R760" s="3124" t="s">
        <v>432</v>
      </c>
      <c r="S760" s="3124" t="s">
        <v>1949</v>
      </c>
      <c r="T760" s="3124" t="s">
        <v>2825</v>
      </c>
      <c r="U760" t="s">
        <v>1761</v>
      </c>
      <c r="V760" s="3124">
        <v>5000</v>
      </c>
      <c r="W760" s="3193">
        <v>0.86350000000000005</v>
      </c>
      <c r="X760" s="3124">
        <v>4317.5</v>
      </c>
      <c r="Y760" s="3124">
        <v>2</v>
      </c>
      <c r="Z760" s="3124"/>
      <c r="AA760" s="3124">
        <v>26000</v>
      </c>
      <c r="AB760" t="s">
        <v>1195</v>
      </c>
      <c r="AC760" s="3124"/>
    </row>
    <row r="761" spans="1:29">
      <c r="A761" s="3124">
        <v>760</v>
      </c>
      <c r="B761" s="3124" t="s">
        <v>2525</v>
      </c>
      <c r="C761" s="3124" t="s">
        <v>4182</v>
      </c>
      <c r="D761" s="3124" t="s">
        <v>4809</v>
      </c>
      <c r="E761" t="s">
        <v>3889</v>
      </c>
      <c r="F761" s="3234">
        <v>45459155</v>
      </c>
      <c r="G761" s="3124" t="s">
        <v>4183</v>
      </c>
      <c r="H761" s="3124">
        <v>6</v>
      </c>
      <c r="I761" s="3124">
        <v>6</v>
      </c>
      <c r="J761" s="3124">
        <v>2000</v>
      </c>
      <c r="K761" s="3124">
        <v>2000</v>
      </c>
      <c r="L761" s="3124">
        <v>682.5</v>
      </c>
      <c r="M761" s="3124" t="s">
        <v>5030</v>
      </c>
      <c r="N761" s="3192">
        <v>45474</v>
      </c>
      <c r="O761" s="3192">
        <v>45633</v>
      </c>
      <c r="P761" s="3192">
        <v>45499</v>
      </c>
      <c r="Q761" s="3192">
        <v>45633</v>
      </c>
      <c r="R761" s="3124" t="s">
        <v>432</v>
      </c>
      <c r="S761" s="3124" t="s">
        <v>2530</v>
      </c>
      <c r="T761" s="3124" t="s">
        <v>2825</v>
      </c>
      <c r="U761" t="s">
        <v>1761</v>
      </c>
      <c r="V761" s="3124">
        <v>5000</v>
      </c>
      <c r="W761" s="3193">
        <v>0.86350000000000005</v>
      </c>
      <c r="X761" s="3124">
        <v>4317.5</v>
      </c>
      <c r="Y761" s="3124"/>
      <c r="Z761" s="3124">
        <v>6000</v>
      </c>
      <c r="AA761" s="3124">
        <v>26000</v>
      </c>
      <c r="AB761" t="s">
        <v>1195</v>
      </c>
      <c r="AC761" s="3124"/>
    </row>
    <row r="762" spans="1:29">
      <c r="A762" s="3124">
        <v>761</v>
      </c>
      <c r="B762" s="3124" t="s">
        <v>1123</v>
      </c>
      <c r="C762" s="3124" t="s">
        <v>4184</v>
      </c>
      <c r="D762" s="3124" t="s">
        <v>4810</v>
      </c>
      <c r="E762" s="3140" t="s">
        <v>4185</v>
      </c>
      <c r="F762" s="3234">
        <v>59116131</v>
      </c>
      <c r="G762" s="3124" t="s">
        <v>4186</v>
      </c>
      <c r="H762" s="3124">
        <v>6</v>
      </c>
      <c r="I762" s="3124">
        <v>6</v>
      </c>
      <c r="J762" s="3124">
        <v>2000</v>
      </c>
      <c r="K762" s="3124"/>
      <c r="L762" s="3124">
        <v>1049.0999999999999</v>
      </c>
      <c r="M762" s="3124" t="s">
        <v>4187</v>
      </c>
      <c r="N762" s="3192">
        <v>45485</v>
      </c>
      <c r="O762" s="3192">
        <v>45638</v>
      </c>
      <c r="P762" s="3192">
        <v>45498</v>
      </c>
      <c r="Q762" s="3192">
        <v>45638</v>
      </c>
      <c r="R762" s="3124" t="s">
        <v>433</v>
      </c>
      <c r="S762" s="3124" t="s">
        <v>1939</v>
      </c>
      <c r="T762" s="3124" t="s">
        <v>2825</v>
      </c>
      <c r="U762" t="s">
        <v>1761</v>
      </c>
      <c r="V762" s="3124">
        <v>7000</v>
      </c>
      <c r="W762" s="3193">
        <v>0.85012857142857134</v>
      </c>
      <c r="X762" s="3124">
        <v>5950.9</v>
      </c>
      <c r="Y762" s="3124"/>
      <c r="Z762" s="3124">
        <v>8000</v>
      </c>
      <c r="AA762" s="3124">
        <v>30000</v>
      </c>
      <c r="AB762" t="s">
        <v>1195</v>
      </c>
      <c r="AC762" s="3124"/>
    </row>
    <row r="763" spans="1:29">
      <c r="A763" s="3124">
        <v>762</v>
      </c>
      <c r="B763" s="3124" t="s">
        <v>1123</v>
      </c>
      <c r="C763" s="3124" t="s">
        <v>4252</v>
      </c>
      <c r="D763" s="3124" t="s">
        <v>4281</v>
      </c>
      <c r="E763" t="s">
        <v>4253</v>
      </c>
      <c r="F763" s="3234">
        <v>8119095326</v>
      </c>
      <c r="G763" s="3124" t="s">
        <v>4254</v>
      </c>
      <c r="H763" s="3124">
        <v>10</v>
      </c>
      <c r="I763" s="3124">
        <v>10</v>
      </c>
      <c r="J763" s="3124">
        <v>0</v>
      </c>
      <c r="K763" s="3124"/>
      <c r="L763" s="3124">
        <v>3472</v>
      </c>
      <c r="M763" s="3124" t="s">
        <v>4190</v>
      </c>
      <c r="N763" s="3192">
        <v>45507</v>
      </c>
      <c r="O763" s="3192">
        <v>45752</v>
      </c>
      <c r="P763" s="3192">
        <v>45480</v>
      </c>
      <c r="Q763" s="3192">
        <v>45660</v>
      </c>
      <c r="R763" s="3124" t="s">
        <v>432</v>
      </c>
      <c r="S763" s="3124" t="s">
        <v>1939</v>
      </c>
      <c r="T763" s="3124" t="s">
        <v>4255</v>
      </c>
      <c r="U763" t="s">
        <v>1761</v>
      </c>
      <c r="V763" s="3124">
        <v>7000</v>
      </c>
      <c r="W763" s="3193">
        <v>0.504</v>
      </c>
      <c r="X763" s="3124">
        <v>3528</v>
      </c>
      <c r="Y763" s="3124"/>
      <c r="Z763" s="3124">
        <v>8000</v>
      </c>
      <c r="AA763" s="3124">
        <v>29000</v>
      </c>
      <c r="AB763" t="s">
        <v>1195</v>
      </c>
      <c r="AC763" s="3124"/>
    </row>
    <row r="764" spans="1:29">
      <c r="A764" s="3124">
        <v>763</v>
      </c>
      <c r="B764" s="3124" t="s">
        <v>1123</v>
      </c>
      <c r="C764" s="3124" t="s">
        <v>4266</v>
      </c>
      <c r="D764" s="3124" t="s">
        <v>4282</v>
      </c>
      <c r="E764" t="s">
        <v>4267</v>
      </c>
      <c r="F764" s="3234">
        <v>8661364292</v>
      </c>
      <c r="G764" s="3124" t="s">
        <v>4268</v>
      </c>
      <c r="H764" s="3124">
        <v>10</v>
      </c>
      <c r="I764" s="3124">
        <v>10</v>
      </c>
      <c r="J764" s="3124">
        <v>0</v>
      </c>
      <c r="K764" s="3124"/>
      <c r="L764" s="3124">
        <v>3472</v>
      </c>
      <c r="M764" s="3124" t="s">
        <v>4190</v>
      </c>
      <c r="N764" s="3192">
        <v>45507</v>
      </c>
      <c r="O764" s="3192">
        <v>45752</v>
      </c>
      <c r="P764" s="3192">
        <v>45480</v>
      </c>
      <c r="Q764" s="3192">
        <v>45660</v>
      </c>
      <c r="R764" s="3124" t="s">
        <v>433</v>
      </c>
      <c r="S764" s="3124" t="s">
        <v>1939</v>
      </c>
      <c r="T764" s="3124" t="s">
        <v>4255</v>
      </c>
      <c r="U764" t="s">
        <v>1761</v>
      </c>
      <c r="V764" s="3124">
        <v>7000</v>
      </c>
      <c r="W764" s="3193">
        <v>0.504</v>
      </c>
      <c r="X764" s="3124">
        <v>3528</v>
      </c>
      <c r="Y764" s="3124"/>
      <c r="Z764" s="3124">
        <v>8000</v>
      </c>
      <c r="AA764" s="3124">
        <v>29000</v>
      </c>
      <c r="AB764" t="s">
        <v>1195</v>
      </c>
      <c r="AC764" s="3124"/>
    </row>
    <row r="765" spans="1:29">
      <c r="A765" s="3124">
        <v>764</v>
      </c>
      <c r="B765" s="3124" t="s">
        <v>1123</v>
      </c>
      <c r="C765" s="3124" t="s">
        <v>4205</v>
      </c>
      <c r="D765" s="3124" t="s">
        <v>4283</v>
      </c>
      <c r="E765" s="3841" t="s">
        <v>4206</v>
      </c>
      <c r="F765" s="3234">
        <v>8441607123</v>
      </c>
      <c r="G765" s="3124" t="s">
        <v>4207</v>
      </c>
      <c r="H765" s="3124">
        <v>10</v>
      </c>
      <c r="I765" s="3124">
        <v>10</v>
      </c>
      <c r="J765" s="3124"/>
      <c r="K765" s="3124"/>
      <c r="L765" s="3124">
        <v>3472</v>
      </c>
      <c r="M765" s="3124" t="s">
        <v>4190</v>
      </c>
      <c r="N765" s="3192">
        <v>45507</v>
      </c>
      <c r="O765" s="3192">
        <v>45752</v>
      </c>
      <c r="P765" s="3192">
        <v>45480</v>
      </c>
      <c r="Q765" s="3192">
        <v>45660</v>
      </c>
      <c r="R765" s="3124" t="s">
        <v>433</v>
      </c>
      <c r="S765" s="3124" t="s">
        <v>1939</v>
      </c>
      <c r="T765" s="3124" t="s">
        <v>4255</v>
      </c>
      <c r="U765" s="3177" t="s">
        <v>1195</v>
      </c>
      <c r="V765" s="3124">
        <v>7000</v>
      </c>
      <c r="W765" s="3193">
        <v>0.504</v>
      </c>
      <c r="X765" s="3124">
        <v>3528</v>
      </c>
      <c r="Y765" s="3124">
        <v>0</v>
      </c>
      <c r="Z765" s="3124">
        <v>8000</v>
      </c>
      <c r="AA765" s="3124">
        <v>29000</v>
      </c>
      <c r="AB765" t="s">
        <v>1195</v>
      </c>
      <c r="AC765" s="3124"/>
    </row>
    <row r="766" spans="1:29">
      <c r="A766" s="3124">
        <v>765</v>
      </c>
      <c r="B766" s="3124" t="s">
        <v>1123</v>
      </c>
      <c r="C766" s="3124" t="s">
        <v>4211</v>
      </c>
      <c r="D766" s="3124" t="s">
        <v>4284</v>
      </c>
      <c r="E766" t="s">
        <v>4212</v>
      </c>
      <c r="F766" s="3234">
        <v>8444192226</v>
      </c>
      <c r="G766" s="3124" t="s">
        <v>4213</v>
      </c>
      <c r="H766" s="3124">
        <v>6</v>
      </c>
      <c r="I766" s="3124">
        <v>7</v>
      </c>
      <c r="J766" s="3124"/>
      <c r="K766" s="3124"/>
      <c r="L766" s="3124">
        <v>3472</v>
      </c>
      <c r="M766" s="3124" t="s">
        <v>4190</v>
      </c>
      <c r="N766" s="3192">
        <v>45507</v>
      </c>
      <c r="O766" s="3192">
        <v>45660</v>
      </c>
      <c r="P766" s="3192">
        <v>45480</v>
      </c>
      <c r="Q766" s="3192">
        <v>45660</v>
      </c>
      <c r="R766" s="3124" t="s">
        <v>433</v>
      </c>
      <c r="S766" s="3124" t="s">
        <v>1939</v>
      </c>
      <c r="T766" s="3124" t="s">
        <v>4255</v>
      </c>
      <c r="U766" t="s">
        <v>1195</v>
      </c>
      <c r="V766" s="3124">
        <v>7000</v>
      </c>
      <c r="W766" s="3193">
        <v>0.504</v>
      </c>
      <c r="X766" s="3124">
        <v>3528</v>
      </c>
      <c r="Y766" s="3124">
        <v>0</v>
      </c>
      <c r="Z766" s="3124">
        <v>8000</v>
      </c>
      <c r="AA766" s="3124">
        <v>29000</v>
      </c>
      <c r="AB766" t="s">
        <v>1195</v>
      </c>
      <c r="AC766" s="3124"/>
    </row>
    <row r="767" spans="1:29">
      <c r="A767" s="3124">
        <v>766</v>
      </c>
      <c r="B767" s="3124" t="s">
        <v>1123</v>
      </c>
      <c r="C767" s="3124" t="s">
        <v>4200</v>
      </c>
      <c r="D767" s="3124" t="s">
        <v>4285</v>
      </c>
      <c r="E767" t="s">
        <v>4201</v>
      </c>
      <c r="F767" s="3234">
        <v>8441224302</v>
      </c>
      <c r="G767" s="3190" t="s">
        <v>4202</v>
      </c>
      <c r="H767" s="3124">
        <v>6</v>
      </c>
      <c r="I767" s="3124">
        <v>7</v>
      </c>
      <c r="J767" s="3124"/>
      <c r="K767" s="3124"/>
      <c r="L767" s="3124">
        <v>3472</v>
      </c>
      <c r="M767" s="3124" t="s">
        <v>4190</v>
      </c>
      <c r="N767" s="3192">
        <v>45507</v>
      </c>
      <c r="O767" s="3192">
        <v>45660</v>
      </c>
      <c r="P767" s="3192">
        <v>45480</v>
      </c>
      <c r="Q767" s="3192">
        <v>45660</v>
      </c>
      <c r="R767" s="3124" t="s">
        <v>433</v>
      </c>
      <c r="S767" s="3124" t="s">
        <v>1939</v>
      </c>
      <c r="T767" s="3124" t="s">
        <v>4255</v>
      </c>
      <c r="U767" t="s">
        <v>1195</v>
      </c>
      <c r="V767" s="3124">
        <v>7000</v>
      </c>
      <c r="W767" s="3193">
        <v>0.504</v>
      </c>
      <c r="X767" s="3124">
        <v>3528</v>
      </c>
      <c r="Y767" s="3124">
        <v>0</v>
      </c>
      <c r="Z767" s="3124">
        <v>8000</v>
      </c>
      <c r="AA767" s="3124">
        <v>29000</v>
      </c>
      <c r="AB767" t="s">
        <v>1195</v>
      </c>
      <c r="AC767" s="3124"/>
    </row>
    <row r="768" spans="1:29">
      <c r="A768" s="3124">
        <v>767</v>
      </c>
      <c r="B768" s="3124" t="s">
        <v>1123</v>
      </c>
      <c r="C768" s="3124" t="s">
        <v>4223</v>
      </c>
      <c r="D768" s="3124" t="s">
        <v>4286</v>
      </c>
      <c r="E768" s="3173" t="s">
        <v>4224</v>
      </c>
      <c r="F768" s="3234">
        <v>8448693256</v>
      </c>
      <c r="G768" s="3124" t="s">
        <v>4225</v>
      </c>
      <c r="H768" s="3124">
        <v>10</v>
      </c>
      <c r="I768" s="3124">
        <v>10</v>
      </c>
      <c r="J768" s="3124"/>
      <c r="K768" s="3124"/>
      <c r="L768" s="3124">
        <v>3472</v>
      </c>
      <c r="M768" s="3124" t="s">
        <v>4190</v>
      </c>
      <c r="N768" s="3192">
        <v>45507</v>
      </c>
      <c r="O768" s="3192">
        <v>45750</v>
      </c>
      <c r="P768" s="3192">
        <v>45480</v>
      </c>
      <c r="Q768" s="3192">
        <v>45660</v>
      </c>
      <c r="R768" s="3124" t="s">
        <v>432</v>
      </c>
      <c r="S768" s="3124" t="s">
        <v>1939</v>
      </c>
      <c r="T768" s="3124" t="s">
        <v>4255</v>
      </c>
      <c r="U768" t="s">
        <v>1195</v>
      </c>
      <c r="V768" s="3124">
        <v>7000</v>
      </c>
      <c r="W768" s="3193">
        <v>0.504</v>
      </c>
      <c r="X768" s="3124">
        <v>3528</v>
      </c>
      <c r="Y768" s="3124">
        <v>0</v>
      </c>
      <c r="Z768" s="3124">
        <v>8000</v>
      </c>
      <c r="AA768" s="3124">
        <v>29000</v>
      </c>
      <c r="AB768" t="s">
        <v>1195</v>
      </c>
      <c r="AC768" s="3124"/>
    </row>
    <row r="769" spans="1:29">
      <c r="A769" s="3124">
        <v>768</v>
      </c>
      <c r="B769" s="3124" t="s">
        <v>1123</v>
      </c>
      <c r="C769" s="3124" t="s">
        <v>4208</v>
      </c>
      <c r="D769" s="3124" t="s">
        <v>4287</v>
      </c>
      <c r="E769" t="s">
        <v>4209</v>
      </c>
      <c r="F769" s="3234">
        <v>8444192225</v>
      </c>
      <c r="G769" s="3124" t="s">
        <v>4210</v>
      </c>
      <c r="H769" s="3124">
        <v>10</v>
      </c>
      <c r="I769" s="3124">
        <v>10</v>
      </c>
      <c r="J769" s="3124"/>
      <c r="K769" s="3124"/>
      <c r="L769" s="3124">
        <v>3472</v>
      </c>
      <c r="M769" s="3124" t="s">
        <v>4190</v>
      </c>
      <c r="N769" s="3192">
        <v>45507</v>
      </c>
      <c r="O769" s="3192">
        <v>45752</v>
      </c>
      <c r="P769" s="3192">
        <v>45480</v>
      </c>
      <c r="Q769" s="3192">
        <v>45660</v>
      </c>
      <c r="R769" s="3124" t="s">
        <v>432</v>
      </c>
      <c r="S769" s="3124" t="s">
        <v>1939</v>
      </c>
      <c r="T769" s="3124" t="s">
        <v>4255</v>
      </c>
      <c r="U769" t="s">
        <v>1195</v>
      </c>
      <c r="V769" s="3124">
        <v>7000</v>
      </c>
      <c r="W769" s="3193">
        <v>0.504</v>
      </c>
      <c r="X769" s="3124">
        <v>3528</v>
      </c>
      <c r="Y769" s="3124">
        <v>0</v>
      </c>
      <c r="Z769" s="3124">
        <v>8000</v>
      </c>
      <c r="AA769" s="3124">
        <v>29000</v>
      </c>
      <c r="AB769" t="s">
        <v>1195</v>
      </c>
      <c r="AC769" s="3124"/>
    </row>
    <row r="770" spans="1:29">
      <c r="A770" s="3124">
        <v>769</v>
      </c>
      <c r="B770" s="3124" t="s">
        <v>1123</v>
      </c>
      <c r="C770" s="3124" t="s">
        <v>4197</v>
      </c>
      <c r="D770" s="3124" t="s">
        <v>4288</v>
      </c>
      <c r="E770" s="3167" t="s">
        <v>4198</v>
      </c>
      <c r="F770" s="3234">
        <v>8441970090</v>
      </c>
      <c r="G770" s="3124" t="s">
        <v>4199</v>
      </c>
      <c r="H770" s="3124">
        <v>6</v>
      </c>
      <c r="I770" s="3124">
        <v>7</v>
      </c>
      <c r="J770" s="3124"/>
      <c r="K770" s="3124"/>
      <c r="L770" s="3124">
        <v>3472</v>
      </c>
      <c r="M770" s="3124" t="s">
        <v>4190</v>
      </c>
      <c r="N770" s="3192">
        <v>45507</v>
      </c>
      <c r="O770" s="3192">
        <v>45660</v>
      </c>
      <c r="P770" s="3192">
        <v>45480</v>
      </c>
      <c r="Q770" s="3192">
        <v>45660</v>
      </c>
      <c r="R770" s="3124" t="s">
        <v>432</v>
      </c>
      <c r="S770" s="3124" t="s">
        <v>1939</v>
      </c>
      <c r="T770" s="3124" t="s">
        <v>4255</v>
      </c>
      <c r="U770" t="s">
        <v>1195</v>
      </c>
      <c r="V770" s="3124">
        <v>7000</v>
      </c>
      <c r="W770" s="3193">
        <v>0.504</v>
      </c>
      <c r="X770" s="3124">
        <v>3528</v>
      </c>
      <c r="Y770" s="3124">
        <v>0</v>
      </c>
      <c r="Z770" s="3124">
        <v>8000</v>
      </c>
      <c r="AA770" s="3124">
        <v>29000</v>
      </c>
      <c r="AB770" t="s">
        <v>1195</v>
      </c>
      <c r="AC770" s="3124"/>
    </row>
    <row r="771" spans="1:29">
      <c r="A771" s="3124">
        <v>770</v>
      </c>
      <c r="B771" s="3124" t="s">
        <v>1123</v>
      </c>
      <c r="C771" s="3124" t="s">
        <v>4229</v>
      </c>
      <c r="D771" s="3124" t="s">
        <v>4289</v>
      </c>
      <c r="E771" s="3841" t="s">
        <v>4230</v>
      </c>
      <c r="F771" s="3234" t="s">
        <v>4667</v>
      </c>
      <c r="G771" s="3124" t="s">
        <v>4231</v>
      </c>
      <c r="H771" s="3124">
        <v>6</v>
      </c>
      <c r="I771" s="3124">
        <v>10</v>
      </c>
      <c r="J771" s="3124"/>
      <c r="K771" s="3124"/>
      <c r="L771" s="3124">
        <v>3472</v>
      </c>
      <c r="M771" s="3124" t="s">
        <v>4190</v>
      </c>
      <c r="N771" s="3192">
        <v>45507</v>
      </c>
      <c r="O771" s="3192">
        <v>45752</v>
      </c>
      <c r="P771" s="3192">
        <v>45480</v>
      </c>
      <c r="Q771" s="3192">
        <v>45660</v>
      </c>
      <c r="R771" s="3124" t="s">
        <v>432</v>
      </c>
      <c r="S771" s="3124" t="s">
        <v>1939</v>
      </c>
      <c r="T771" s="3124" t="s">
        <v>4255</v>
      </c>
      <c r="U771" t="s">
        <v>1761</v>
      </c>
      <c r="V771" s="3124">
        <v>7000</v>
      </c>
      <c r="W771" s="3193">
        <v>0.504</v>
      </c>
      <c r="X771" s="3124">
        <v>3528</v>
      </c>
      <c r="Y771" s="3124">
        <v>0</v>
      </c>
      <c r="Z771" s="3124">
        <v>8000</v>
      </c>
      <c r="AA771" s="3124">
        <v>29000</v>
      </c>
      <c r="AB771" t="s">
        <v>1195</v>
      </c>
      <c r="AC771" s="3124"/>
    </row>
    <row r="772" spans="1:29">
      <c r="A772" s="3124">
        <v>771</v>
      </c>
      <c r="B772" s="3124" t="s">
        <v>1123</v>
      </c>
      <c r="C772" s="3124" t="s">
        <v>4217</v>
      </c>
      <c r="D772" s="3124" t="s">
        <v>4290</v>
      </c>
      <c r="E772" s="3206" t="s">
        <v>4218</v>
      </c>
      <c r="F772" s="3234">
        <v>8441224382</v>
      </c>
      <c r="G772" s="3124" t="s">
        <v>4219</v>
      </c>
      <c r="H772" s="3124">
        <v>6</v>
      </c>
      <c r="I772" s="3124">
        <v>10</v>
      </c>
      <c r="J772" s="3124"/>
      <c r="K772" s="3124"/>
      <c r="L772" s="3124">
        <v>3472</v>
      </c>
      <c r="M772" s="3207" t="s">
        <v>4190</v>
      </c>
      <c r="N772" s="3192">
        <v>45507</v>
      </c>
      <c r="O772" s="3192">
        <v>45752</v>
      </c>
      <c r="P772" s="3192">
        <v>45480</v>
      </c>
      <c r="Q772" s="3192">
        <v>45660</v>
      </c>
      <c r="R772" s="3124" t="s">
        <v>433</v>
      </c>
      <c r="S772" s="3124" t="s">
        <v>1939</v>
      </c>
      <c r="T772" s="3124" t="s">
        <v>4255</v>
      </c>
      <c r="U772" t="s">
        <v>1195</v>
      </c>
      <c r="V772" s="3124">
        <v>7000</v>
      </c>
      <c r="W772" s="3193">
        <v>0.504</v>
      </c>
      <c r="X772" s="3124">
        <v>3528</v>
      </c>
      <c r="Y772" s="3124">
        <v>0</v>
      </c>
      <c r="Z772" s="3124">
        <v>8000</v>
      </c>
      <c r="AA772" s="3124">
        <v>29000</v>
      </c>
      <c r="AB772" t="s">
        <v>1195</v>
      </c>
      <c r="AC772" s="3124"/>
    </row>
    <row r="773" spans="1:29">
      <c r="A773" s="3124">
        <v>772</v>
      </c>
      <c r="B773" s="3124" t="s">
        <v>1123</v>
      </c>
      <c r="C773" s="3124" t="s">
        <v>4194</v>
      </c>
      <c r="D773" s="3124" t="s">
        <v>4291</v>
      </c>
      <c r="E773" t="s">
        <v>4195</v>
      </c>
      <c r="F773" s="3234">
        <v>8446663508</v>
      </c>
      <c r="G773" s="3124" t="s">
        <v>4196</v>
      </c>
      <c r="H773" s="3124">
        <v>10</v>
      </c>
      <c r="I773" s="3124">
        <v>10</v>
      </c>
      <c r="J773" s="3124"/>
      <c r="K773" s="3124"/>
      <c r="L773" s="3124">
        <v>3472</v>
      </c>
      <c r="M773" s="3124" t="s">
        <v>4190</v>
      </c>
      <c r="N773" s="3192">
        <v>45507</v>
      </c>
      <c r="O773" s="3192">
        <v>45752</v>
      </c>
      <c r="P773" s="3192">
        <v>45480</v>
      </c>
      <c r="Q773" s="3192">
        <v>45660</v>
      </c>
      <c r="R773" s="3124" t="s">
        <v>433</v>
      </c>
      <c r="S773" s="3124" t="s">
        <v>1939</v>
      </c>
      <c r="T773" s="3124" t="s">
        <v>4255</v>
      </c>
      <c r="U773" t="s">
        <v>1195</v>
      </c>
      <c r="V773" s="3124">
        <v>7000</v>
      </c>
      <c r="W773" s="3193">
        <v>0.504</v>
      </c>
      <c r="X773" s="3124">
        <v>3528</v>
      </c>
      <c r="Y773" s="3124">
        <v>0</v>
      </c>
      <c r="Z773" s="3124">
        <v>8000</v>
      </c>
      <c r="AA773" s="3124">
        <v>29000</v>
      </c>
      <c r="AB773" t="s">
        <v>1195</v>
      </c>
      <c r="AC773" s="3124"/>
    </row>
    <row r="774" spans="1:29">
      <c r="A774" s="3124">
        <v>773</v>
      </c>
      <c r="B774" s="3124" t="s">
        <v>1123</v>
      </c>
      <c r="C774" s="3124" t="s">
        <v>4188</v>
      </c>
      <c r="D774" s="3124" t="s">
        <v>4292</v>
      </c>
      <c r="E774" s="3841" t="s">
        <v>4245</v>
      </c>
      <c r="F774" s="3801">
        <v>8114147198</v>
      </c>
      <c r="G774" s="3124" t="s">
        <v>4189</v>
      </c>
      <c r="H774" s="3124">
        <v>10</v>
      </c>
      <c r="I774" s="3124">
        <v>10</v>
      </c>
      <c r="J774" s="3124"/>
      <c r="K774" s="3124">
        <v>0</v>
      </c>
      <c r="L774" s="3124">
        <v>3472</v>
      </c>
      <c r="M774" s="3124" t="s">
        <v>4190</v>
      </c>
      <c r="N774" s="3192">
        <v>45507</v>
      </c>
      <c r="O774" s="3192">
        <v>45752</v>
      </c>
      <c r="P774" s="3192">
        <v>45480</v>
      </c>
      <c r="Q774" s="3192">
        <v>45660</v>
      </c>
      <c r="R774" s="3124" t="s">
        <v>433</v>
      </c>
      <c r="S774" s="3124" t="s">
        <v>1939</v>
      </c>
      <c r="T774" s="3124" t="s">
        <v>4255</v>
      </c>
      <c r="U774" t="s">
        <v>1195</v>
      </c>
      <c r="V774" s="3124">
        <v>7000</v>
      </c>
      <c r="W774" s="3193">
        <v>0.504</v>
      </c>
      <c r="X774" s="3124">
        <v>3528</v>
      </c>
      <c r="Y774" s="3124">
        <v>0</v>
      </c>
      <c r="Z774" s="3124">
        <v>8000</v>
      </c>
      <c r="AA774" s="3124">
        <v>29000</v>
      </c>
      <c r="AB774" t="s">
        <v>1195</v>
      </c>
      <c r="AC774" s="3124"/>
    </row>
    <row r="775" spans="1:29">
      <c r="A775" s="3124">
        <v>774</v>
      </c>
      <c r="B775" s="3124" t="s">
        <v>1123</v>
      </c>
      <c r="C775" s="3124" t="s">
        <v>4214</v>
      </c>
      <c r="D775" s="3124" t="s">
        <v>4293</v>
      </c>
      <c r="E775" t="s">
        <v>4215</v>
      </c>
      <c r="F775" s="3234">
        <v>8442774599</v>
      </c>
      <c r="G775" s="3124" t="s">
        <v>4216</v>
      </c>
      <c r="H775" s="3124">
        <v>6</v>
      </c>
      <c r="I775" s="3124">
        <v>7</v>
      </c>
      <c r="J775" s="3124"/>
      <c r="K775" s="3124"/>
      <c r="L775" s="3124">
        <v>3472</v>
      </c>
      <c r="M775" s="3124" t="s">
        <v>4190</v>
      </c>
      <c r="N775" s="3192">
        <v>45507</v>
      </c>
      <c r="O775" s="3192">
        <v>45660</v>
      </c>
      <c r="P775" s="3192">
        <v>45480</v>
      </c>
      <c r="Q775" s="3192">
        <v>45660</v>
      </c>
      <c r="R775" s="3124" t="s">
        <v>433</v>
      </c>
      <c r="S775" s="3124" t="s">
        <v>1939</v>
      </c>
      <c r="T775" s="3124" t="s">
        <v>4255</v>
      </c>
      <c r="U775" t="s">
        <v>1195</v>
      </c>
      <c r="V775" s="3124">
        <v>7000</v>
      </c>
      <c r="W775" s="3193">
        <v>0.504</v>
      </c>
      <c r="X775" s="3124">
        <v>3528</v>
      </c>
      <c r="Y775" s="3124">
        <v>0</v>
      </c>
      <c r="Z775" s="3124">
        <v>8000</v>
      </c>
      <c r="AA775" s="3124">
        <v>29000</v>
      </c>
      <c r="AB775" t="s">
        <v>1195</v>
      </c>
      <c r="AC775" s="3124"/>
    </row>
    <row r="776" spans="1:29">
      <c r="A776" s="3124">
        <v>775</v>
      </c>
      <c r="B776" s="3124" t="s">
        <v>1123</v>
      </c>
      <c r="C776" s="3124" t="s">
        <v>4220</v>
      </c>
      <c r="D776" s="3124" t="s">
        <v>4294</v>
      </c>
      <c r="E776" t="s">
        <v>4221</v>
      </c>
      <c r="F776" s="3234" t="s">
        <v>5321</v>
      </c>
      <c r="G776" s="3124" t="s">
        <v>4222</v>
      </c>
      <c r="H776" s="3124">
        <v>10</v>
      </c>
      <c r="I776" s="3124">
        <v>10</v>
      </c>
      <c r="J776" s="3124"/>
      <c r="K776" s="3124"/>
      <c r="L776" s="3124">
        <v>3472</v>
      </c>
      <c r="M776" s="3124" t="s">
        <v>4190</v>
      </c>
      <c r="N776" s="3192">
        <v>45507</v>
      </c>
      <c r="O776" s="3192">
        <v>45752</v>
      </c>
      <c r="P776" s="3192">
        <v>45480</v>
      </c>
      <c r="Q776" s="3192">
        <v>45660</v>
      </c>
      <c r="R776" s="3124" t="s">
        <v>432</v>
      </c>
      <c r="S776" s="3124" t="s">
        <v>1939</v>
      </c>
      <c r="T776" s="3124" t="s">
        <v>4255</v>
      </c>
      <c r="U776" t="s">
        <v>1195</v>
      </c>
      <c r="V776" s="3124">
        <v>7000</v>
      </c>
      <c r="W776" s="3193">
        <v>0.504</v>
      </c>
      <c r="X776" s="3124">
        <v>3528</v>
      </c>
      <c r="Y776" s="3124">
        <v>0</v>
      </c>
      <c r="Z776" s="3124">
        <v>8000</v>
      </c>
      <c r="AA776" s="3124">
        <v>29000</v>
      </c>
      <c r="AB776" t="s">
        <v>1195</v>
      </c>
      <c r="AC776" s="3124"/>
    </row>
    <row r="777" spans="1:29">
      <c r="A777" s="3124">
        <v>776</v>
      </c>
      <c r="B777" s="3124" t="s">
        <v>4513</v>
      </c>
      <c r="C777" s="3124" t="s">
        <v>4811</v>
      </c>
      <c r="D777" s="3124" t="s">
        <v>4812</v>
      </c>
      <c r="E777" t="s">
        <v>4169</v>
      </c>
      <c r="F777" s="3234" t="s">
        <v>5322</v>
      </c>
      <c r="G777" s="3124" t="s">
        <v>5176</v>
      </c>
      <c r="H777" s="3124">
        <v>20</v>
      </c>
      <c r="I777" s="3124">
        <v>20</v>
      </c>
      <c r="J777" s="3124">
        <v>3000</v>
      </c>
      <c r="K777" s="3124"/>
      <c r="L777" s="3124">
        <v>1049.0999999999999</v>
      </c>
      <c r="M777" s="3124" t="s">
        <v>4246</v>
      </c>
      <c r="N777" s="3192">
        <v>45507</v>
      </c>
      <c r="O777" s="3192">
        <v>46084</v>
      </c>
      <c r="P777" s="3192">
        <v>45677</v>
      </c>
      <c r="Q777" s="3192">
        <v>46084</v>
      </c>
      <c r="R777" s="3124" t="s">
        <v>433</v>
      </c>
      <c r="S777" s="3124" t="s">
        <v>1690</v>
      </c>
      <c r="T777" s="3124" t="s">
        <v>2825</v>
      </c>
      <c r="U777" t="s">
        <v>1761</v>
      </c>
      <c r="V777" s="3124">
        <v>7000</v>
      </c>
      <c r="W777" s="3193">
        <v>0.85012857142857134</v>
      </c>
      <c r="X777" s="3124">
        <v>5950.9</v>
      </c>
      <c r="Y777" s="3124"/>
      <c r="Z777" s="3124"/>
      <c r="AA777" s="3124">
        <v>30000</v>
      </c>
      <c r="AB777" t="s">
        <v>1761</v>
      </c>
      <c r="AC777" s="3124"/>
    </row>
    <row r="778" spans="1:29">
      <c r="A778" s="3124">
        <v>777</v>
      </c>
      <c r="B778" s="3124" t="s">
        <v>2525</v>
      </c>
      <c r="C778" s="3124" t="s">
        <v>4247</v>
      </c>
      <c r="D778" s="3124" t="s">
        <v>4323</v>
      </c>
      <c r="E778" s="3175" t="s">
        <v>4248</v>
      </c>
      <c r="F778" s="3234">
        <v>51971477</v>
      </c>
      <c r="G778" s="3124" t="s">
        <v>5323</v>
      </c>
      <c r="H778" s="3124">
        <v>6</v>
      </c>
      <c r="I778" s="3124">
        <v>6</v>
      </c>
      <c r="J778" s="3124">
        <v>2000</v>
      </c>
      <c r="K778" s="3124"/>
      <c r="L778" s="3124">
        <v>682.5</v>
      </c>
      <c r="M778" s="3124" t="s">
        <v>5030</v>
      </c>
      <c r="N778" s="3192">
        <v>45507</v>
      </c>
      <c r="O778" s="3192">
        <v>45660</v>
      </c>
      <c r="P778" s="3192"/>
      <c r="Q778" s="3192">
        <v>45660</v>
      </c>
      <c r="R778" s="3124" t="s">
        <v>433</v>
      </c>
      <c r="S778" s="3124" t="s">
        <v>2530</v>
      </c>
      <c r="T778" s="3124" t="s">
        <v>2825</v>
      </c>
      <c r="U778" t="s">
        <v>1761</v>
      </c>
      <c r="V778" s="3124">
        <v>5000</v>
      </c>
      <c r="W778" s="3193">
        <v>0.86350000000000005</v>
      </c>
      <c r="X778" s="3124">
        <v>4317.5</v>
      </c>
      <c r="Y778" s="3124"/>
      <c r="Z778" s="3124">
        <v>6000</v>
      </c>
      <c r="AA778" s="3124">
        <v>26000</v>
      </c>
      <c r="AB778" t="s">
        <v>1195</v>
      </c>
      <c r="AC778" s="3124"/>
    </row>
    <row r="779" spans="1:29">
      <c r="A779" s="3124">
        <v>778</v>
      </c>
      <c r="B779" s="3124" t="s">
        <v>4513</v>
      </c>
      <c r="C779" s="3124" t="s">
        <v>4249</v>
      </c>
      <c r="D779" s="3124" t="s">
        <v>5087</v>
      </c>
      <c r="E779" s="3137" t="s">
        <v>2849</v>
      </c>
      <c r="F779" s="3802">
        <v>50304466</v>
      </c>
      <c r="G779" s="3124" t="s">
        <v>2850</v>
      </c>
      <c r="H779" s="3124">
        <v>20</v>
      </c>
      <c r="I779" s="3124">
        <v>20</v>
      </c>
      <c r="J779" s="3124">
        <v>3000</v>
      </c>
      <c r="K779" s="3124"/>
      <c r="L779" s="3124">
        <v>1049.0999999999999</v>
      </c>
      <c r="M779" s="3124" t="s">
        <v>4763</v>
      </c>
      <c r="N779" s="3192">
        <v>45507</v>
      </c>
      <c r="O779" s="3192">
        <v>46084</v>
      </c>
      <c r="P779" s="3192">
        <v>45820</v>
      </c>
      <c r="Q779" s="3192">
        <v>46084</v>
      </c>
      <c r="R779" s="3124" t="s">
        <v>433</v>
      </c>
      <c r="S779" s="3124" t="s">
        <v>1690</v>
      </c>
      <c r="T779" s="3124" t="s">
        <v>2825</v>
      </c>
      <c r="U779" t="s">
        <v>1761</v>
      </c>
      <c r="V779" s="3124">
        <v>7000</v>
      </c>
      <c r="W779" s="3193">
        <v>0.85012857142857134</v>
      </c>
      <c r="X779" s="3124">
        <v>5950.9</v>
      </c>
      <c r="Y779" s="3124">
        <v>1</v>
      </c>
      <c r="Z779" s="3124"/>
      <c r="AA779" s="3124">
        <v>30000</v>
      </c>
      <c r="AB779" t="s">
        <v>1761</v>
      </c>
      <c r="AC779" s="3124"/>
    </row>
    <row r="780" spans="1:29">
      <c r="A780" s="3124">
        <v>779</v>
      </c>
      <c r="B780" s="3124" t="s">
        <v>1691</v>
      </c>
      <c r="C780" s="3124" t="s">
        <v>4250</v>
      </c>
      <c r="D780" s="3124" t="s">
        <v>4803</v>
      </c>
      <c r="E780" t="s">
        <v>4251</v>
      </c>
      <c r="F780" s="3234">
        <v>30876809</v>
      </c>
      <c r="G780" s="3124" t="s">
        <v>5324</v>
      </c>
      <c r="H780" s="3124">
        <v>16</v>
      </c>
      <c r="I780" s="3124">
        <v>16</v>
      </c>
      <c r="J780" s="3124">
        <v>2000</v>
      </c>
      <c r="K780" s="3124"/>
      <c r="L780" s="3124">
        <v>682.5</v>
      </c>
      <c r="M780" s="3124" t="s">
        <v>5030</v>
      </c>
      <c r="N780" s="3192">
        <v>45507</v>
      </c>
      <c r="O780" s="3192">
        <v>45964</v>
      </c>
      <c r="P780" s="3192">
        <v>45499</v>
      </c>
      <c r="Q780" s="3192">
        <v>45964</v>
      </c>
      <c r="R780" s="3124" t="s">
        <v>433</v>
      </c>
      <c r="S780" s="3124" t="s">
        <v>1949</v>
      </c>
      <c r="T780" s="3124" t="s">
        <v>2825</v>
      </c>
      <c r="U780" t="s">
        <v>1761</v>
      </c>
      <c r="V780" s="3124">
        <v>5000</v>
      </c>
      <c r="W780" s="3193">
        <v>0.86350000000000005</v>
      </c>
      <c r="X780" s="3124">
        <v>4317.5</v>
      </c>
      <c r="Y780" s="3124">
        <v>2</v>
      </c>
      <c r="Z780" s="3124"/>
      <c r="AA780" s="3124">
        <v>26000</v>
      </c>
      <c r="AB780" t="s">
        <v>1761</v>
      </c>
      <c r="AC780" s="3124"/>
    </row>
    <row r="781" spans="1:29">
      <c r="A781" s="3124">
        <v>780</v>
      </c>
      <c r="B781" s="3124" t="s">
        <v>1123</v>
      </c>
      <c r="C781" s="3124" t="s">
        <v>4191</v>
      </c>
      <c r="D781" s="3124" t="s">
        <v>4295</v>
      </c>
      <c r="E781" s="3177" t="s">
        <v>4192</v>
      </c>
      <c r="F781" s="3234">
        <v>8446593111</v>
      </c>
      <c r="G781" s="3124" t="s">
        <v>4193</v>
      </c>
      <c r="H781" s="3124">
        <v>10</v>
      </c>
      <c r="I781" s="3124">
        <v>10</v>
      </c>
      <c r="J781" s="3124"/>
      <c r="K781" s="3124"/>
      <c r="L781" s="3124">
        <v>3472</v>
      </c>
      <c r="M781" s="3124" t="s">
        <v>4190</v>
      </c>
      <c r="N781" s="3192">
        <v>45507</v>
      </c>
      <c r="O781" s="3192">
        <v>45752</v>
      </c>
      <c r="P781" s="3192">
        <v>45480</v>
      </c>
      <c r="Q781" s="3192">
        <v>45660</v>
      </c>
      <c r="R781" s="3124" t="s">
        <v>432</v>
      </c>
      <c r="S781" s="3124" t="s">
        <v>1939</v>
      </c>
      <c r="T781" s="3124" t="s">
        <v>4255</v>
      </c>
      <c r="U781" t="s">
        <v>1761</v>
      </c>
      <c r="V781" s="3124">
        <v>7000</v>
      </c>
      <c r="W781" s="3193">
        <v>0.504</v>
      </c>
      <c r="X781" s="3124">
        <v>3528</v>
      </c>
      <c r="Y781" s="3124">
        <v>0</v>
      </c>
      <c r="Z781" s="3124">
        <v>8000</v>
      </c>
      <c r="AA781" s="3124">
        <v>29000</v>
      </c>
      <c r="AB781" t="s">
        <v>1195</v>
      </c>
      <c r="AC781" s="3124"/>
    </row>
    <row r="782" spans="1:29">
      <c r="A782" s="3124">
        <v>781</v>
      </c>
      <c r="B782" s="3124" t="s">
        <v>1123</v>
      </c>
      <c r="C782" s="3124" t="s">
        <v>4280</v>
      </c>
      <c r="D782" s="3124" t="s">
        <v>4296</v>
      </c>
      <c r="E782" t="s">
        <v>4270</v>
      </c>
      <c r="F782" s="3234">
        <v>8441320712</v>
      </c>
      <c r="G782" s="3124" t="s">
        <v>4271</v>
      </c>
      <c r="H782" s="3124">
        <v>10</v>
      </c>
      <c r="I782" s="3124">
        <v>10</v>
      </c>
      <c r="J782" s="3124">
        <v>0</v>
      </c>
      <c r="K782" s="3124"/>
      <c r="L782" s="3124">
        <v>3472</v>
      </c>
      <c r="M782" s="3124" t="s">
        <v>4190</v>
      </c>
      <c r="N782" s="3192">
        <v>45507</v>
      </c>
      <c r="O782" s="3192">
        <v>45752</v>
      </c>
      <c r="P782" s="3192">
        <v>45480</v>
      </c>
      <c r="Q782" s="3192">
        <v>45660</v>
      </c>
      <c r="R782" s="3124" t="s">
        <v>433</v>
      </c>
      <c r="S782" s="3124" t="s">
        <v>1939</v>
      </c>
      <c r="T782" s="3124" t="s">
        <v>4255</v>
      </c>
      <c r="U782" t="s">
        <v>1761</v>
      </c>
      <c r="V782" s="3124">
        <v>7000</v>
      </c>
      <c r="W782" s="3193">
        <v>0.504</v>
      </c>
      <c r="X782" s="3124">
        <v>3528</v>
      </c>
      <c r="Y782" s="3124"/>
      <c r="Z782" s="3124">
        <v>8000</v>
      </c>
      <c r="AA782" s="3124">
        <v>29000</v>
      </c>
      <c r="AB782" t="s">
        <v>1195</v>
      </c>
      <c r="AC782" s="3124"/>
    </row>
    <row r="783" spans="1:29">
      <c r="A783" s="3124">
        <v>782</v>
      </c>
      <c r="B783" s="3124" t="s">
        <v>1123</v>
      </c>
      <c r="C783" s="3124" t="s">
        <v>4203</v>
      </c>
      <c r="D783" s="3124" t="s">
        <v>4297</v>
      </c>
      <c r="E783" s="3841" t="s">
        <v>4326</v>
      </c>
      <c r="F783" s="3234">
        <v>8443503130</v>
      </c>
      <c r="G783" s="3124" t="s">
        <v>4204</v>
      </c>
      <c r="H783" s="3124">
        <v>10</v>
      </c>
      <c r="I783" s="3124">
        <v>10</v>
      </c>
      <c r="J783" s="3124"/>
      <c r="K783" s="3124"/>
      <c r="L783" s="3124">
        <v>3472</v>
      </c>
      <c r="M783" s="3124" t="s">
        <v>4190</v>
      </c>
      <c r="N783" s="3192">
        <v>45507</v>
      </c>
      <c r="O783" s="3192">
        <v>45750</v>
      </c>
      <c r="P783" s="3192">
        <v>45480</v>
      </c>
      <c r="Q783" s="3192">
        <v>45660</v>
      </c>
      <c r="R783" s="3124" t="s">
        <v>432</v>
      </c>
      <c r="S783" s="3124" t="s">
        <v>1939</v>
      </c>
      <c r="T783" s="3124" t="s">
        <v>4255</v>
      </c>
      <c r="U783" s="3177" t="s">
        <v>1195</v>
      </c>
      <c r="V783" s="3124">
        <v>7000</v>
      </c>
      <c r="W783" s="3193">
        <v>0.504</v>
      </c>
      <c r="X783" s="3124">
        <v>3528</v>
      </c>
      <c r="Y783" s="3124">
        <v>0</v>
      </c>
      <c r="Z783" s="3124">
        <v>8000</v>
      </c>
      <c r="AA783" s="3124">
        <v>29000</v>
      </c>
      <c r="AB783" t="s">
        <v>1195</v>
      </c>
      <c r="AC783" s="3124"/>
    </row>
    <row r="784" spans="1:29">
      <c r="A784" s="3124">
        <v>783</v>
      </c>
      <c r="B784" s="3124" t="s">
        <v>1123</v>
      </c>
      <c r="C784" s="3124" t="s">
        <v>4263</v>
      </c>
      <c r="D784" s="3124" t="s">
        <v>4360</v>
      </c>
      <c r="E784" t="s">
        <v>4264</v>
      </c>
      <c r="F784" s="3234">
        <v>8444426842</v>
      </c>
      <c r="G784" s="3124" t="s">
        <v>4265</v>
      </c>
      <c r="H784" s="3124">
        <v>10</v>
      </c>
      <c r="I784" s="3124">
        <v>10</v>
      </c>
      <c r="J784" s="3124">
        <v>0</v>
      </c>
      <c r="K784" s="3124"/>
      <c r="L784" s="3124">
        <v>3472</v>
      </c>
      <c r="M784" s="3124" t="s">
        <v>4190</v>
      </c>
      <c r="N784" s="3192">
        <v>45507</v>
      </c>
      <c r="O784" s="3192">
        <v>45660</v>
      </c>
      <c r="P784" s="3192">
        <v>45480</v>
      </c>
      <c r="Q784" s="3192">
        <v>45660</v>
      </c>
      <c r="R784" s="3124" t="s">
        <v>433</v>
      </c>
      <c r="S784" s="3124" t="s">
        <v>1939</v>
      </c>
      <c r="T784" s="3124" t="s">
        <v>4255</v>
      </c>
      <c r="U784" t="s">
        <v>1195</v>
      </c>
      <c r="V784" s="3124">
        <v>7000</v>
      </c>
      <c r="W784" s="3193">
        <v>0.504</v>
      </c>
      <c r="X784" s="3124">
        <v>3528</v>
      </c>
      <c r="Y784" s="3124"/>
      <c r="Z784" s="3124">
        <v>8000</v>
      </c>
      <c r="AA784" s="3124">
        <v>29000</v>
      </c>
      <c r="AB784" t="s">
        <v>1195</v>
      </c>
      <c r="AC784" s="3124"/>
    </row>
    <row r="785" spans="1:29">
      <c r="A785" s="3124">
        <v>784</v>
      </c>
      <c r="B785" s="3124" t="s">
        <v>4513</v>
      </c>
      <c r="C785" s="3124" t="s">
        <v>4272</v>
      </c>
      <c r="D785" s="3124"/>
      <c r="E785" s="3147" t="s">
        <v>5537</v>
      </c>
      <c r="F785" s="3234">
        <v>42192006</v>
      </c>
      <c r="G785" s="3124" t="s">
        <v>2840</v>
      </c>
      <c r="H785" s="3124">
        <v>20</v>
      </c>
      <c r="I785" s="3124">
        <v>20</v>
      </c>
      <c r="J785" s="3124">
        <v>3000</v>
      </c>
      <c r="K785" s="3124">
        <v>3000</v>
      </c>
      <c r="L785" s="3124">
        <v>1049.0999999999999</v>
      </c>
      <c r="M785" s="3124" t="s">
        <v>4763</v>
      </c>
      <c r="N785" s="3192">
        <v>45513</v>
      </c>
      <c r="O785" s="3192">
        <v>46090</v>
      </c>
      <c r="P785" s="3192">
        <v>45550</v>
      </c>
      <c r="Q785" s="3192">
        <v>46090</v>
      </c>
      <c r="R785" s="3124" t="s">
        <v>432</v>
      </c>
      <c r="S785" s="3124" t="s">
        <v>1690</v>
      </c>
      <c r="T785" s="3124" t="s">
        <v>2825</v>
      </c>
      <c r="U785" t="s">
        <v>1761</v>
      </c>
      <c r="V785" s="3124">
        <v>7000</v>
      </c>
      <c r="W785" s="3193">
        <v>0.85012857142857134</v>
      </c>
      <c r="X785" s="3124">
        <v>5950.9</v>
      </c>
      <c r="Y785" s="3124"/>
      <c r="Z785" s="3124"/>
      <c r="AA785" s="3124">
        <v>30000</v>
      </c>
      <c r="AB785" t="s">
        <v>1761</v>
      </c>
      <c r="AC785" s="3124"/>
    </row>
    <row r="786" spans="1:29">
      <c r="A786" s="3124">
        <v>785</v>
      </c>
      <c r="B786" s="3124" t="s">
        <v>1123</v>
      </c>
      <c r="C786" s="3124" t="s">
        <v>4273</v>
      </c>
      <c r="D786" s="3124" t="s">
        <v>4815</v>
      </c>
      <c r="E786" s="3151" t="s">
        <v>4274</v>
      </c>
      <c r="F786" s="3234">
        <v>42196587</v>
      </c>
      <c r="G786" s="3124" t="s">
        <v>5325</v>
      </c>
      <c r="H786" s="3124">
        <v>6</v>
      </c>
      <c r="I786" s="3124">
        <v>6</v>
      </c>
      <c r="J786" s="3124">
        <v>3000</v>
      </c>
      <c r="K786" s="3124"/>
      <c r="L786" s="3124">
        <v>1049.0999999999999</v>
      </c>
      <c r="M786" s="3124" t="s">
        <v>4763</v>
      </c>
      <c r="N786" s="3192">
        <v>45513</v>
      </c>
      <c r="O786" s="3192">
        <v>45666</v>
      </c>
      <c r="P786" s="3192">
        <v>45550</v>
      </c>
      <c r="Q786" s="3192">
        <v>45666</v>
      </c>
      <c r="R786" s="3124" t="s">
        <v>432</v>
      </c>
      <c r="S786" s="3124" t="s">
        <v>1939</v>
      </c>
      <c r="T786" s="3124" t="s">
        <v>2825</v>
      </c>
      <c r="U786" t="s">
        <v>1761</v>
      </c>
      <c r="V786" s="3124">
        <v>7000</v>
      </c>
      <c r="W786" s="3193">
        <v>0.85012857142857134</v>
      </c>
      <c r="X786" s="3124">
        <v>5950.9</v>
      </c>
      <c r="Y786" s="3124"/>
      <c r="Z786" s="3124">
        <v>8000</v>
      </c>
      <c r="AA786" s="3124">
        <v>30000</v>
      </c>
      <c r="AB786" t="s">
        <v>1195</v>
      </c>
      <c r="AC786" s="3124"/>
    </row>
    <row r="787" spans="1:29">
      <c r="A787" s="3124">
        <v>786</v>
      </c>
      <c r="B787" s="3124" t="s">
        <v>4513</v>
      </c>
      <c r="C787" s="3124" t="s">
        <v>4275</v>
      </c>
      <c r="D787" s="3124" t="s">
        <v>4816</v>
      </c>
      <c r="E787" t="s">
        <v>4276</v>
      </c>
      <c r="F787" s="3234">
        <v>319329844</v>
      </c>
      <c r="G787" s="3124" t="s">
        <v>5326</v>
      </c>
      <c r="H787" s="3124">
        <v>20</v>
      </c>
      <c r="I787" s="3124">
        <v>20</v>
      </c>
      <c r="J787" s="3124">
        <v>3000</v>
      </c>
      <c r="K787" s="3124">
        <v>3000</v>
      </c>
      <c r="L787" s="3124">
        <v>1049.0999999999999</v>
      </c>
      <c r="M787" s="3124" t="s">
        <v>4763</v>
      </c>
      <c r="N787" s="3192">
        <v>45513</v>
      </c>
      <c r="O787" s="3192">
        <v>46090</v>
      </c>
      <c r="P787" s="3192">
        <v>45550</v>
      </c>
      <c r="Q787" s="3192">
        <v>46090</v>
      </c>
      <c r="R787" s="3124" t="s">
        <v>433</v>
      </c>
      <c r="S787" s="3124" t="s">
        <v>1690</v>
      </c>
      <c r="T787" s="3124" t="s">
        <v>2825</v>
      </c>
      <c r="U787" t="s">
        <v>1761</v>
      </c>
      <c r="V787" s="3124">
        <v>7000</v>
      </c>
      <c r="W787" s="3193">
        <v>0.85012857142857134</v>
      </c>
      <c r="X787" s="3124">
        <v>5950.9</v>
      </c>
      <c r="Y787" s="3124">
        <v>1</v>
      </c>
      <c r="Z787" s="3124"/>
      <c r="AA787" s="3124">
        <v>30000</v>
      </c>
      <c r="AB787" t="s">
        <v>1761</v>
      </c>
      <c r="AC787" s="3124"/>
    </row>
    <row r="788" spans="1:29">
      <c r="A788" s="3124">
        <v>787</v>
      </c>
      <c r="B788" s="3124" t="s">
        <v>1621</v>
      </c>
      <c r="C788" s="3124"/>
      <c r="D788" s="3124"/>
      <c r="E788" s="3135" t="s">
        <v>4660</v>
      </c>
      <c r="F788" s="3234"/>
      <c r="G788" s="3124"/>
      <c r="H788" s="3124"/>
      <c r="I788" s="3124"/>
      <c r="J788" s="3124"/>
      <c r="K788" s="3124"/>
      <c r="L788" s="3124"/>
      <c r="M788" s="3124"/>
      <c r="N788" s="3192"/>
      <c r="O788" s="3192"/>
      <c r="P788" s="3192"/>
      <c r="Q788" s="3192"/>
      <c r="R788" s="3124"/>
      <c r="S788" s="3124"/>
      <c r="T788" s="3124"/>
      <c r="V788" s="3124"/>
      <c r="W788" s="3193"/>
      <c r="X788" s="3124"/>
      <c r="Y788" s="3124"/>
      <c r="Z788" s="3124"/>
      <c r="AA788" s="3124"/>
      <c r="AC788" s="3124"/>
    </row>
    <row r="789" spans="1:29">
      <c r="A789" s="3124">
        <v>788</v>
      </c>
      <c r="B789" s="3124" t="s">
        <v>1625</v>
      </c>
      <c r="C789" s="3124" t="s">
        <v>491</v>
      </c>
      <c r="D789" s="3124" t="s">
        <v>4877</v>
      </c>
      <c r="E789" t="s">
        <v>493</v>
      </c>
      <c r="F789" s="3803" t="s">
        <v>4279</v>
      </c>
      <c r="G789" s="3124" t="s">
        <v>2435</v>
      </c>
      <c r="H789" s="3124">
        <v>20</v>
      </c>
      <c r="I789" s="3124">
        <v>20</v>
      </c>
      <c r="J789" s="3124">
        <v>1500</v>
      </c>
      <c r="K789" s="3124">
        <v>2500</v>
      </c>
      <c r="L789" s="3124">
        <v>3000</v>
      </c>
      <c r="M789" s="3124" t="s">
        <v>3833</v>
      </c>
      <c r="N789" s="3192">
        <v>45521</v>
      </c>
      <c r="O789" s="3192">
        <v>46098</v>
      </c>
      <c r="P789" s="3192">
        <v>45520</v>
      </c>
      <c r="Q789" s="3192">
        <v>46098</v>
      </c>
      <c r="R789" s="3124" t="s">
        <v>432</v>
      </c>
      <c r="S789" s="3124" t="s">
        <v>1690</v>
      </c>
      <c r="T789" s="3124" t="s">
        <v>1850</v>
      </c>
      <c r="U789" t="s">
        <v>1761</v>
      </c>
      <c r="V789" s="3124">
        <v>7000</v>
      </c>
      <c r="W789" s="3193">
        <v>0.5714285714285714</v>
      </c>
      <c r="X789" s="3124">
        <v>4000</v>
      </c>
      <c r="Y789" s="3124">
        <v>1</v>
      </c>
      <c r="Z789" s="3124"/>
      <c r="AA789" s="3124">
        <v>29000</v>
      </c>
      <c r="AB789" t="s">
        <v>1761</v>
      </c>
      <c r="AC789" s="3124"/>
    </row>
    <row r="790" spans="1:29">
      <c r="A790" s="3124">
        <v>789</v>
      </c>
      <c r="B790" s="3124" t="s">
        <v>3156</v>
      </c>
      <c r="C790" s="3124" t="s">
        <v>4309</v>
      </c>
      <c r="D790" s="3124" t="s">
        <v>5088</v>
      </c>
      <c r="E790" s="3161" t="s">
        <v>4310</v>
      </c>
      <c r="F790" s="3234" t="s">
        <v>4311</v>
      </c>
      <c r="G790" s="3124" t="s">
        <v>4312</v>
      </c>
      <c r="H790" s="3124">
        <v>6</v>
      </c>
      <c r="I790" s="3124">
        <v>6</v>
      </c>
      <c r="J790" s="3124">
        <v>1500</v>
      </c>
      <c r="K790" s="3124"/>
      <c r="L790" s="3124">
        <v>3497</v>
      </c>
      <c r="M790" s="3124" t="s">
        <v>2821</v>
      </c>
      <c r="N790" s="3192">
        <v>45521</v>
      </c>
      <c r="O790" s="3192">
        <v>45674</v>
      </c>
      <c r="P790" s="3192">
        <v>45520</v>
      </c>
      <c r="Q790" s="3192">
        <v>45674</v>
      </c>
      <c r="R790" s="3124" t="s">
        <v>433</v>
      </c>
      <c r="S790" s="3124" t="s">
        <v>3159</v>
      </c>
      <c r="T790" s="3124" t="s">
        <v>1918</v>
      </c>
      <c r="U790" t="s">
        <v>1195</v>
      </c>
      <c r="V790" s="3124">
        <v>7000</v>
      </c>
      <c r="W790" s="3193">
        <v>0.50042857142857144</v>
      </c>
      <c r="X790" s="3124">
        <v>3503</v>
      </c>
      <c r="Y790" s="3124">
        <v>0</v>
      </c>
      <c r="Z790" s="3124">
        <v>8000</v>
      </c>
      <c r="AA790" s="3124">
        <v>29000</v>
      </c>
      <c r="AB790" t="s">
        <v>1195</v>
      </c>
      <c r="AC790" s="3124"/>
    </row>
    <row r="791" spans="1:29">
      <c r="A791" s="3124">
        <v>790</v>
      </c>
      <c r="B791" s="3124" t="s">
        <v>1625</v>
      </c>
      <c r="C791" s="3124" t="s">
        <v>2934</v>
      </c>
      <c r="D791" s="3124"/>
      <c r="E791" t="s">
        <v>2936</v>
      </c>
      <c r="F791" s="3234">
        <v>9981804977</v>
      </c>
      <c r="G791" s="3124" t="s">
        <v>2937</v>
      </c>
      <c r="H791" s="3124">
        <v>20</v>
      </c>
      <c r="I791" s="3124">
        <v>20</v>
      </c>
      <c r="J791" s="3124">
        <v>3000</v>
      </c>
      <c r="K791" s="3124"/>
      <c r="L791" s="3124">
        <v>5280</v>
      </c>
      <c r="M791" s="3124" t="s">
        <v>956</v>
      </c>
      <c r="N791" s="3192">
        <v>45584</v>
      </c>
      <c r="O791" s="3192">
        <v>46161</v>
      </c>
      <c r="P791" s="3192">
        <v>45584</v>
      </c>
      <c r="Q791" s="3192">
        <v>46161</v>
      </c>
      <c r="R791" s="3124" t="s">
        <v>433</v>
      </c>
      <c r="S791" s="3124" t="s">
        <v>1690</v>
      </c>
      <c r="T791" s="3124" t="s">
        <v>1850</v>
      </c>
      <c r="U791" t="s">
        <v>1761</v>
      </c>
      <c r="V791" s="3124">
        <v>7000</v>
      </c>
      <c r="W791" s="3193">
        <v>0.24571428571428572</v>
      </c>
      <c r="X791" s="3124">
        <v>1720</v>
      </c>
      <c r="Y791" s="3124">
        <v>1</v>
      </c>
      <c r="Z791" s="3124"/>
      <c r="AA791" s="3124">
        <v>0</v>
      </c>
      <c r="AB791" t="s">
        <v>1869</v>
      </c>
      <c r="AC791" s="3124"/>
    </row>
    <row r="792" spans="1:29">
      <c r="A792" s="3124">
        <v>791</v>
      </c>
      <c r="B792" s="3124" t="s">
        <v>1123</v>
      </c>
      <c r="C792" s="3124" t="s">
        <v>4354</v>
      </c>
      <c r="D792" s="3124" t="s">
        <v>4668</v>
      </c>
      <c r="E792" s="3841" t="s">
        <v>4873</v>
      </c>
      <c r="F792" s="3234" t="s">
        <v>4355</v>
      </c>
      <c r="G792" s="3124" t="s">
        <v>4356</v>
      </c>
      <c r="H792" s="3124">
        <v>10</v>
      </c>
      <c r="I792" s="3124">
        <v>10</v>
      </c>
      <c r="J792" s="3124" t="s">
        <v>1948</v>
      </c>
      <c r="K792" s="3124"/>
      <c r="L792" s="3124">
        <v>3472</v>
      </c>
      <c r="M792" s="3124" t="s">
        <v>4190</v>
      </c>
      <c r="N792" s="3192">
        <v>45570</v>
      </c>
      <c r="O792" s="3192">
        <v>45752</v>
      </c>
      <c r="P792" s="3192">
        <v>45569</v>
      </c>
      <c r="Q792" s="3192">
        <v>45721</v>
      </c>
      <c r="R792" s="3124" t="s">
        <v>433</v>
      </c>
      <c r="S792" s="3124" t="s">
        <v>1939</v>
      </c>
      <c r="T792" s="3124" t="s">
        <v>4255</v>
      </c>
      <c r="U792" t="s">
        <v>1195</v>
      </c>
      <c r="V792" s="3124">
        <v>7000</v>
      </c>
      <c r="W792" s="3193">
        <v>0.504</v>
      </c>
      <c r="X792" s="3124">
        <v>3528</v>
      </c>
      <c r="Y792" s="3124">
        <v>0</v>
      </c>
      <c r="Z792" s="3124">
        <v>8000</v>
      </c>
      <c r="AA792" s="3124">
        <v>29000</v>
      </c>
      <c r="AB792" t="s">
        <v>1195</v>
      </c>
      <c r="AC792" s="3124"/>
    </row>
    <row r="793" spans="1:29">
      <c r="A793" s="3124">
        <v>792</v>
      </c>
      <c r="B793" s="3124" t="s">
        <v>1123</v>
      </c>
      <c r="C793" s="3124" t="s">
        <v>4669</v>
      </c>
      <c r="D793" s="3124" t="s">
        <v>4817</v>
      </c>
      <c r="E793" t="s">
        <v>4361</v>
      </c>
      <c r="F793" s="3234">
        <v>48931234</v>
      </c>
      <c r="G793" s="3124" t="s">
        <v>4362</v>
      </c>
      <c r="H793" s="3124">
        <v>6</v>
      </c>
      <c r="I793" s="3124">
        <v>6</v>
      </c>
      <c r="J793" s="3124">
        <v>3000</v>
      </c>
      <c r="K793" s="3124"/>
      <c r="L793" s="3124">
        <v>1049.0999999999999</v>
      </c>
      <c r="M793" s="3124" t="s">
        <v>4763</v>
      </c>
      <c r="N793" s="3192">
        <v>45544</v>
      </c>
      <c r="O793" s="3192">
        <v>45697</v>
      </c>
      <c r="P793" s="3192"/>
      <c r="Q793" s="3192">
        <v>45697</v>
      </c>
      <c r="R793" s="3124" t="s">
        <v>432</v>
      </c>
      <c r="S793" s="3124" t="s">
        <v>1939</v>
      </c>
      <c r="T793" s="3124" t="s">
        <v>2825</v>
      </c>
      <c r="U793" s="1887" t="s">
        <v>1761</v>
      </c>
      <c r="V793" s="3124">
        <v>7000</v>
      </c>
      <c r="W793" s="3193">
        <v>0.85012857142857134</v>
      </c>
      <c r="X793" s="3124">
        <v>5950.9</v>
      </c>
      <c r="Y793" s="3124">
        <v>0</v>
      </c>
      <c r="Z793" s="3124">
        <v>8000</v>
      </c>
      <c r="AA793" s="3124">
        <v>30000</v>
      </c>
      <c r="AB793" s="1887" t="s">
        <v>1195</v>
      </c>
      <c r="AC793" s="3124"/>
    </row>
    <row r="794" spans="1:29">
      <c r="A794" s="3124">
        <v>793</v>
      </c>
      <c r="B794" s="3124" t="s">
        <v>4513</v>
      </c>
      <c r="C794" s="3124" t="s">
        <v>4670</v>
      </c>
      <c r="D794" s="3124" t="s">
        <v>4721</v>
      </c>
      <c r="E794" s="2337" t="s">
        <v>2962</v>
      </c>
      <c r="F794" s="3234">
        <v>55541295</v>
      </c>
      <c r="G794" s="3190" t="s">
        <v>4363</v>
      </c>
      <c r="H794" s="3124">
        <v>20</v>
      </c>
      <c r="I794" s="3124">
        <v>20</v>
      </c>
      <c r="J794" s="3124">
        <v>3000</v>
      </c>
      <c r="K794" s="3124">
        <v>3000</v>
      </c>
      <c r="L794" s="3124">
        <v>1049.0999999999999</v>
      </c>
      <c r="M794" s="3124" t="s">
        <v>4763</v>
      </c>
      <c r="N794" s="3192">
        <v>45576</v>
      </c>
      <c r="O794" s="3192">
        <v>46153</v>
      </c>
      <c r="P794" s="3192">
        <v>45690</v>
      </c>
      <c r="Q794" s="3192">
        <v>46153</v>
      </c>
      <c r="R794" s="3124" t="s">
        <v>432</v>
      </c>
      <c r="S794" s="3124" t="s">
        <v>1690</v>
      </c>
      <c r="T794" s="3124" t="s">
        <v>2825</v>
      </c>
      <c r="U794" t="s">
        <v>1761</v>
      </c>
      <c r="V794" s="3124">
        <v>7000</v>
      </c>
      <c r="W794" s="3193">
        <v>0.85012857142857134</v>
      </c>
      <c r="X794" s="3124">
        <v>5950.9</v>
      </c>
      <c r="Y794" s="3124">
        <v>1</v>
      </c>
      <c r="Z794" s="3124"/>
      <c r="AA794" s="3124">
        <v>30000</v>
      </c>
      <c r="AB794" t="s">
        <v>1761</v>
      </c>
      <c r="AC794" s="3124"/>
    </row>
    <row r="795" spans="1:29">
      <c r="A795" s="3124">
        <v>794</v>
      </c>
      <c r="B795" s="3124" t="s">
        <v>4513</v>
      </c>
      <c r="C795" s="3124" t="s">
        <v>4373</v>
      </c>
      <c r="D795" s="3124" t="s">
        <v>4722</v>
      </c>
      <c r="E795" t="s">
        <v>2856</v>
      </c>
      <c r="F795" s="3802">
        <v>55318236</v>
      </c>
      <c r="G795" s="3124" t="s">
        <v>2857</v>
      </c>
      <c r="H795" s="3124">
        <v>20</v>
      </c>
      <c r="I795" s="3124">
        <v>20</v>
      </c>
      <c r="J795" s="3124">
        <v>3000</v>
      </c>
      <c r="K795" s="3124">
        <v>3000</v>
      </c>
      <c r="L795" s="3124">
        <v>1049.0999999999999</v>
      </c>
      <c r="M795" s="3124" t="s">
        <v>4763</v>
      </c>
      <c r="N795" s="3192">
        <v>45576</v>
      </c>
      <c r="O795" s="3192">
        <v>46153</v>
      </c>
      <c r="P795" s="3192">
        <v>45820</v>
      </c>
      <c r="Q795" s="3192">
        <v>578</v>
      </c>
      <c r="R795" s="3124" t="s">
        <v>433</v>
      </c>
      <c r="S795" s="3124" t="s">
        <v>1690</v>
      </c>
      <c r="T795" s="3124" t="s">
        <v>2825</v>
      </c>
      <c r="U795" t="s">
        <v>1761</v>
      </c>
      <c r="V795" s="3124">
        <v>7000</v>
      </c>
      <c r="W795" s="3193">
        <v>0.85012857142857134</v>
      </c>
      <c r="X795" s="3124">
        <v>5950.9</v>
      </c>
      <c r="Y795" s="3124">
        <v>1</v>
      </c>
      <c r="Z795" s="3124"/>
      <c r="AA795" s="3124">
        <v>30000</v>
      </c>
      <c r="AB795" t="s">
        <v>1761</v>
      </c>
      <c r="AC795" s="3124"/>
    </row>
    <row r="796" spans="1:29">
      <c r="A796" s="3124">
        <v>795</v>
      </c>
      <c r="B796" s="3124" t="s">
        <v>1123</v>
      </c>
      <c r="C796" s="3124" t="s">
        <v>4429</v>
      </c>
      <c r="D796" s="3124" t="s">
        <v>5535</v>
      </c>
      <c r="E796" s="4044" t="s">
        <v>4374</v>
      </c>
      <c r="F796" s="3234" t="s">
        <v>5327</v>
      </c>
      <c r="G796" s="3124" t="s">
        <v>4375</v>
      </c>
      <c r="H796" s="3124">
        <v>6</v>
      </c>
      <c r="I796" s="3124">
        <v>6</v>
      </c>
      <c r="J796" s="3124">
        <v>3000</v>
      </c>
      <c r="K796" s="3124"/>
      <c r="L796" s="3124">
        <v>1049.0999999999999</v>
      </c>
      <c r="M796" s="3124" t="s">
        <v>4763</v>
      </c>
      <c r="N796" s="3192">
        <v>45576</v>
      </c>
      <c r="O796" s="3192">
        <v>45727</v>
      </c>
      <c r="P796" s="3192"/>
      <c r="Q796" s="3192">
        <v>45727</v>
      </c>
      <c r="R796" s="3124" t="s">
        <v>433</v>
      </c>
      <c r="S796" s="3124" t="s">
        <v>1939</v>
      </c>
      <c r="T796" s="3124" t="s">
        <v>2825</v>
      </c>
      <c r="U796" t="s">
        <v>1761</v>
      </c>
      <c r="V796" s="3124">
        <v>7000</v>
      </c>
      <c r="W796" s="3193">
        <v>0.85012857142857134</v>
      </c>
      <c r="X796" s="3124">
        <v>5950.9</v>
      </c>
      <c r="Y796" s="3124">
        <v>0</v>
      </c>
      <c r="Z796" s="3124">
        <v>8000</v>
      </c>
      <c r="AA796" s="3124">
        <v>30000</v>
      </c>
      <c r="AB796" t="s">
        <v>1195</v>
      </c>
      <c r="AC796" s="3124"/>
    </row>
    <row r="797" spans="1:29">
      <c r="A797" s="3124">
        <v>796</v>
      </c>
      <c r="B797" s="3124" t="s">
        <v>4513</v>
      </c>
      <c r="C797" s="3124" t="s">
        <v>4430</v>
      </c>
      <c r="D797" s="3124" t="s">
        <v>4723</v>
      </c>
      <c r="E797" t="s">
        <v>3227</v>
      </c>
      <c r="F797" s="3234" t="s">
        <v>5328</v>
      </c>
      <c r="G797" s="3124" t="s">
        <v>5329</v>
      </c>
      <c r="H797" s="3124">
        <v>20</v>
      </c>
      <c r="I797" s="3124">
        <v>20</v>
      </c>
      <c r="J797" s="3124">
        <v>3000</v>
      </c>
      <c r="K797" s="3124">
        <v>3000</v>
      </c>
      <c r="L797" s="3124">
        <v>1049.0999999999999</v>
      </c>
      <c r="M797" s="3124" t="s">
        <v>4763</v>
      </c>
      <c r="N797" s="3192">
        <v>45631</v>
      </c>
      <c r="O797" s="3192">
        <v>46003</v>
      </c>
      <c r="P797" s="3192">
        <v>45422</v>
      </c>
      <c r="Q797" s="3192">
        <v>46001</v>
      </c>
      <c r="R797" s="3124" t="s">
        <v>433</v>
      </c>
      <c r="S797" s="3124" t="s">
        <v>1690</v>
      </c>
      <c r="T797" s="3124" t="s">
        <v>2825</v>
      </c>
      <c r="U797" t="s">
        <v>1761</v>
      </c>
      <c r="V797" s="3124">
        <v>7000</v>
      </c>
      <c r="W797" s="3193">
        <v>0.85012857142857134</v>
      </c>
      <c r="X797" s="3124">
        <v>5950.9</v>
      </c>
      <c r="Y797" s="3124">
        <v>1</v>
      </c>
      <c r="Z797" s="3124"/>
      <c r="AA797" s="3124">
        <v>30000</v>
      </c>
      <c r="AB797" t="s">
        <v>1761</v>
      </c>
      <c r="AC797" s="3124"/>
    </row>
    <row r="798" spans="1:29">
      <c r="A798" s="3124">
        <v>797</v>
      </c>
      <c r="B798" s="3124" t="s">
        <v>1839</v>
      </c>
      <c r="C798" s="3124" t="s">
        <v>4408</v>
      </c>
      <c r="D798" s="3124" t="s">
        <v>4724</v>
      </c>
      <c r="E798" t="s">
        <v>4431</v>
      </c>
      <c r="F798" s="3234">
        <v>7222640455</v>
      </c>
      <c r="G798" s="3124" t="s">
        <v>4432</v>
      </c>
      <c r="H798" s="3124">
        <v>8</v>
      </c>
      <c r="I798" s="3124">
        <v>8</v>
      </c>
      <c r="J798" s="3124">
        <v>1000</v>
      </c>
      <c r="K798" s="3124">
        <v>0</v>
      </c>
      <c r="L798" s="3124">
        <v>2275</v>
      </c>
      <c r="M798" s="3124" t="s">
        <v>4433</v>
      </c>
      <c r="N798" s="3192">
        <v>45590</v>
      </c>
      <c r="O798" s="3192">
        <v>45802</v>
      </c>
      <c r="P798" s="3192">
        <v>45590</v>
      </c>
      <c r="Q798" s="3192">
        <v>45802</v>
      </c>
      <c r="R798" s="3124" t="s">
        <v>432</v>
      </c>
      <c r="S798" s="3124" t="s">
        <v>1842</v>
      </c>
      <c r="T798" s="3124" t="s">
        <v>1918</v>
      </c>
      <c r="U798" t="s">
        <v>1195</v>
      </c>
      <c r="V798" s="3124">
        <v>4200</v>
      </c>
      <c r="W798" s="3193">
        <v>0.45833333333333331</v>
      </c>
      <c r="X798" s="3124">
        <v>1925</v>
      </c>
      <c r="Y798" s="3124">
        <v>0</v>
      </c>
      <c r="Z798" s="3124">
        <v>5000</v>
      </c>
      <c r="AA798" s="3124">
        <v>23000</v>
      </c>
      <c r="AB798" t="s">
        <v>1195</v>
      </c>
      <c r="AC798" s="3124"/>
    </row>
    <row r="799" spans="1:29">
      <c r="A799" s="3124">
        <v>798</v>
      </c>
      <c r="B799" s="3124" t="s">
        <v>1691</v>
      </c>
      <c r="C799" s="3124"/>
      <c r="D799" s="3124"/>
      <c r="E799" t="s">
        <v>5166</v>
      </c>
      <c r="F799" s="3234"/>
      <c r="G799" s="3124"/>
      <c r="H799" s="3124"/>
      <c r="I799" s="3124"/>
      <c r="J799" s="3124"/>
      <c r="K799" s="3124"/>
      <c r="L799" s="3124"/>
      <c r="M799" s="3124"/>
      <c r="N799" s="3192"/>
      <c r="O799" s="3192"/>
      <c r="P799" s="3192"/>
      <c r="Q799" s="3192">
        <v>46054</v>
      </c>
      <c r="R799" s="3124" t="s">
        <v>2573</v>
      </c>
      <c r="S799" s="3124" t="s">
        <v>1949</v>
      </c>
      <c r="T799" s="3124"/>
      <c r="U799" t="s">
        <v>2653</v>
      </c>
      <c r="V799" s="3124">
        <v>5000</v>
      </c>
      <c r="W799" s="3193">
        <v>1</v>
      </c>
      <c r="X799" s="3124">
        <v>5000</v>
      </c>
      <c r="Y799" s="3124">
        <v>1</v>
      </c>
      <c r="Z799" s="3124"/>
      <c r="AA799" s="3124">
        <v>26000</v>
      </c>
      <c r="AB799" t="s">
        <v>2653</v>
      </c>
      <c r="AC799" s="3124"/>
    </row>
    <row r="800" spans="1:29">
      <c r="A800" s="3124">
        <v>799</v>
      </c>
      <c r="B800" s="3124" t="s">
        <v>1123</v>
      </c>
      <c r="C800" s="3124" t="s">
        <v>4672</v>
      </c>
      <c r="D800" s="3124" t="s">
        <v>4767</v>
      </c>
      <c r="E800" t="s">
        <v>4445</v>
      </c>
      <c r="F800" s="3234">
        <v>58205087</v>
      </c>
      <c r="G800" s="3124" t="s">
        <v>5330</v>
      </c>
      <c r="H800" s="3124">
        <v>6</v>
      </c>
      <c r="I800" s="3124">
        <v>6</v>
      </c>
      <c r="J800" s="3124">
        <v>3000</v>
      </c>
      <c r="K800" s="3124"/>
      <c r="L800" s="3124">
        <v>1049.0999999999999</v>
      </c>
      <c r="M800" s="3124" t="s">
        <v>4763</v>
      </c>
      <c r="N800" s="3192">
        <v>45604</v>
      </c>
      <c r="O800" s="3192">
        <v>45755</v>
      </c>
      <c r="P800" s="3192"/>
      <c r="Q800" s="3192">
        <v>45755</v>
      </c>
      <c r="R800" s="3124" t="s">
        <v>432</v>
      </c>
      <c r="S800" s="3124" t="s">
        <v>1939</v>
      </c>
      <c r="T800" s="3124" t="s">
        <v>2825</v>
      </c>
      <c r="U800" t="s">
        <v>1761</v>
      </c>
      <c r="V800" s="3124">
        <v>7000</v>
      </c>
      <c r="W800" s="3193">
        <v>0.85012857142857134</v>
      </c>
      <c r="X800" s="3124">
        <v>5950.9</v>
      </c>
      <c r="Y800" s="3124">
        <v>0</v>
      </c>
      <c r="Z800" s="3124">
        <v>8000</v>
      </c>
      <c r="AA800" s="3124">
        <v>30000</v>
      </c>
      <c r="AB800" t="s">
        <v>1195</v>
      </c>
      <c r="AC800" s="3124"/>
    </row>
    <row r="801" spans="1:29">
      <c r="A801" s="3124">
        <v>800</v>
      </c>
      <c r="B801" s="3124" t="s">
        <v>1623</v>
      </c>
      <c r="C801" s="3124" t="s">
        <v>2778</v>
      </c>
      <c r="D801" s="3124" t="s">
        <v>4725</v>
      </c>
      <c r="E801" t="s">
        <v>4626</v>
      </c>
      <c r="F801" s="3234" t="s">
        <v>2780</v>
      </c>
      <c r="G801" s="3124" t="s">
        <v>2781</v>
      </c>
      <c r="H801" s="3124">
        <v>20</v>
      </c>
      <c r="I801" s="3124">
        <v>20</v>
      </c>
      <c r="J801" s="3124" t="s">
        <v>1948</v>
      </c>
      <c r="K801" s="3124">
        <v>3000</v>
      </c>
      <c r="L801" s="3124">
        <v>3497</v>
      </c>
      <c r="M801" s="3124" t="s">
        <v>3830</v>
      </c>
      <c r="N801" s="3192">
        <v>45626</v>
      </c>
      <c r="O801" s="3192">
        <v>46203</v>
      </c>
      <c r="P801" s="3192">
        <v>45658</v>
      </c>
      <c r="Q801" s="3192">
        <v>46203</v>
      </c>
      <c r="R801" s="3124" t="s">
        <v>432</v>
      </c>
      <c r="S801" s="3124" t="s">
        <v>1974</v>
      </c>
      <c r="T801" s="3124" t="s">
        <v>1850</v>
      </c>
      <c r="U801" t="s">
        <v>1761</v>
      </c>
      <c r="V801" s="3124">
        <v>7000</v>
      </c>
      <c r="W801" s="3193">
        <v>0.50042857142857144</v>
      </c>
      <c r="X801" s="3124">
        <v>3503</v>
      </c>
      <c r="Y801" s="3124">
        <v>1</v>
      </c>
      <c r="Z801" s="3124"/>
      <c r="AA801" s="3124">
        <v>29000</v>
      </c>
      <c r="AB801" t="s">
        <v>1761</v>
      </c>
      <c r="AC801" s="3124"/>
    </row>
    <row r="802" spans="1:29">
      <c r="A802" s="3124">
        <v>801</v>
      </c>
      <c r="B802" s="3124" t="s">
        <v>1691</v>
      </c>
      <c r="C802" s="3217" t="s">
        <v>4489</v>
      </c>
      <c r="D802" s="3124" t="s">
        <v>4744</v>
      </c>
      <c r="E802" s="3170" t="s">
        <v>4443</v>
      </c>
      <c r="F802" s="3802">
        <v>50183081</v>
      </c>
      <c r="G802" s="3190" t="s">
        <v>4490</v>
      </c>
      <c r="H802" s="3124">
        <v>16</v>
      </c>
      <c r="I802" s="3124">
        <v>16</v>
      </c>
      <c r="J802" s="3124">
        <v>2000</v>
      </c>
      <c r="K802" s="3124">
        <v>2000</v>
      </c>
      <c r="L802" s="3124">
        <v>682.5</v>
      </c>
      <c r="M802" s="3124" t="s">
        <v>4491</v>
      </c>
      <c r="N802" s="3192">
        <v>45632</v>
      </c>
      <c r="O802" s="3192">
        <v>46087</v>
      </c>
      <c r="P802" s="3192">
        <v>45499</v>
      </c>
      <c r="Q802" s="3192">
        <v>46087</v>
      </c>
      <c r="R802" s="3124" t="s">
        <v>433</v>
      </c>
      <c r="S802" s="3124" t="s">
        <v>1949</v>
      </c>
      <c r="T802" s="3124" t="s">
        <v>2825</v>
      </c>
      <c r="U802" t="s">
        <v>1761</v>
      </c>
      <c r="V802" s="3124">
        <v>5000</v>
      </c>
      <c r="W802" s="3193">
        <v>0.86350000000000005</v>
      </c>
      <c r="X802" s="3124">
        <v>4317.5</v>
      </c>
      <c r="Y802" s="3124">
        <v>2</v>
      </c>
      <c r="Z802" s="3124"/>
      <c r="AA802" s="3124">
        <v>26000</v>
      </c>
      <c r="AB802" t="s">
        <v>1761</v>
      </c>
      <c r="AC802" s="3124"/>
    </row>
    <row r="803" spans="1:29">
      <c r="A803" s="3124">
        <v>802</v>
      </c>
      <c r="B803" s="3124" t="s">
        <v>4513</v>
      </c>
      <c r="C803" s="3124" t="s">
        <v>4492</v>
      </c>
      <c r="D803" s="3124" t="s">
        <v>5052</v>
      </c>
      <c r="E803" t="s">
        <v>4444</v>
      </c>
      <c r="F803" s="3234">
        <v>41176721</v>
      </c>
      <c r="G803" s="3124" t="s">
        <v>4493</v>
      </c>
      <c r="H803" s="3124">
        <v>20</v>
      </c>
      <c r="I803" s="3124">
        <v>20</v>
      </c>
      <c r="J803" s="3124">
        <v>3000</v>
      </c>
      <c r="K803" s="3124">
        <v>3000</v>
      </c>
      <c r="L803" s="3124">
        <v>1049.0999999999999</v>
      </c>
      <c r="M803" s="3124" t="s">
        <v>4763</v>
      </c>
      <c r="N803" s="3192">
        <v>45632</v>
      </c>
      <c r="O803" s="3192">
        <v>46209</v>
      </c>
      <c r="P803" s="3192">
        <v>45820</v>
      </c>
      <c r="Q803" s="3192">
        <v>46209</v>
      </c>
      <c r="R803" s="3124" t="s">
        <v>433</v>
      </c>
      <c r="S803" s="3124" t="s">
        <v>1690</v>
      </c>
      <c r="T803" s="3124" t="s">
        <v>2825</v>
      </c>
      <c r="U803" t="s">
        <v>1761</v>
      </c>
      <c r="V803" s="3124">
        <v>7000</v>
      </c>
      <c r="W803" s="3193">
        <v>0.85012857142857134</v>
      </c>
      <c r="X803" s="3124">
        <v>5950.9</v>
      </c>
      <c r="Y803" s="3124">
        <v>1</v>
      </c>
      <c r="Z803" s="3124"/>
      <c r="AA803" s="3124">
        <v>30000</v>
      </c>
      <c r="AB803" t="s">
        <v>1761</v>
      </c>
      <c r="AC803" s="3124"/>
    </row>
    <row r="804" spans="1:29">
      <c r="A804" s="3124">
        <v>803</v>
      </c>
      <c r="B804" s="3124" t="s">
        <v>4513</v>
      </c>
      <c r="C804" s="3124" t="s">
        <v>4494</v>
      </c>
      <c r="D804" s="3124" t="s">
        <v>4733</v>
      </c>
      <c r="E804" t="s">
        <v>3165</v>
      </c>
      <c r="F804" s="3234">
        <v>30987807</v>
      </c>
      <c r="G804" s="3124" t="s">
        <v>5331</v>
      </c>
      <c r="H804" s="3124">
        <v>20</v>
      </c>
      <c r="I804" s="3124">
        <v>20</v>
      </c>
      <c r="J804" s="3124">
        <v>3000</v>
      </c>
      <c r="K804" s="3124">
        <v>3000</v>
      </c>
      <c r="L804" s="3124">
        <v>1049.0999999999999</v>
      </c>
      <c r="M804" s="3124" t="s">
        <v>4763</v>
      </c>
      <c r="N804" s="3192">
        <v>45632</v>
      </c>
      <c r="O804" s="3192">
        <v>46209</v>
      </c>
      <c r="P804" s="3192">
        <v>45820</v>
      </c>
      <c r="Q804" s="3192">
        <v>46209</v>
      </c>
      <c r="R804" s="3124" t="s">
        <v>433</v>
      </c>
      <c r="S804" s="3124" t="s">
        <v>1690</v>
      </c>
      <c r="T804" s="3124" t="s">
        <v>2825</v>
      </c>
      <c r="U804" t="s">
        <v>1761</v>
      </c>
      <c r="V804" s="3124">
        <v>7000</v>
      </c>
      <c r="W804" s="3193">
        <v>0.85012857142857134</v>
      </c>
      <c r="X804" s="3124">
        <v>5950.9</v>
      </c>
      <c r="Y804" s="3124">
        <v>1</v>
      </c>
      <c r="Z804" s="3124"/>
      <c r="AA804" s="3124">
        <v>30000</v>
      </c>
      <c r="AB804" t="s">
        <v>1761</v>
      </c>
      <c r="AC804" s="3124"/>
    </row>
    <row r="805" spans="1:29">
      <c r="A805" s="3124">
        <v>804</v>
      </c>
      <c r="B805" s="3124" t="s">
        <v>4513</v>
      </c>
      <c r="C805" s="3124" t="s">
        <v>4673</v>
      </c>
      <c r="D805" s="3124" t="s">
        <v>5054</v>
      </c>
      <c r="E805" t="s">
        <v>3108</v>
      </c>
      <c r="F805" s="3234">
        <v>30388286</v>
      </c>
      <c r="G805" s="3124" t="s">
        <v>4495</v>
      </c>
      <c r="H805" s="3124">
        <v>20</v>
      </c>
      <c r="I805" s="3124">
        <v>20</v>
      </c>
      <c r="J805" s="3124">
        <v>3000</v>
      </c>
      <c r="K805" s="3124">
        <v>3000</v>
      </c>
      <c r="L805" s="3124">
        <v>1049.0999999999999</v>
      </c>
      <c r="M805" s="3124" t="s">
        <v>4763</v>
      </c>
      <c r="N805" s="3192">
        <v>45632</v>
      </c>
      <c r="O805" s="3192">
        <v>46209</v>
      </c>
      <c r="P805" s="3192">
        <v>45820</v>
      </c>
      <c r="Q805" s="3192">
        <v>46209</v>
      </c>
      <c r="R805" s="3124" t="s">
        <v>433</v>
      </c>
      <c r="S805" s="3124" t="s">
        <v>1690</v>
      </c>
      <c r="T805" s="3124" t="s">
        <v>2825</v>
      </c>
      <c r="U805" t="s">
        <v>1761</v>
      </c>
      <c r="V805" s="3124">
        <v>7000</v>
      </c>
      <c r="W805" s="3193">
        <v>0.85012857142857134</v>
      </c>
      <c r="X805" s="3124">
        <v>5950.9</v>
      </c>
      <c r="Y805" s="3124">
        <v>1</v>
      </c>
      <c r="Z805" s="3124"/>
      <c r="AA805" s="3124">
        <v>30000</v>
      </c>
      <c r="AB805" t="s">
        <v>1761</v>
      </c>
      <c r="AC805" s="3124"/>
    </row>
    <row r="806" spans="1:29">
      <c r="A806" s="3124">
        <v>805</v>
      </c>
      <c r="B806" s="3124" t="s">
        <v>4513</v>
      </c>
      <c r="C806" s="3124" t="s">
        <v>3016</v>
      </c>
      <c r="D806" s="3124" t="s">
        <v>5055</v>
      </c>
      <c r="E806" t="s">
        <v>2964</v>
      </c>
      <c r="F806" s="3234">
        <v>57105635</v>
      </c>
      <c r="G806" s="3124" t="s">
        <v>4496</v>
      </c>
      <c r="H806" s="3124">
        <v>20</v>
      </c>
      <c r="I806" s="3124">
        <v>20</v>
      </c>
      <c r="J806" s="3124">
        <v>3000</v>
      </c>
      <c r="K806" s="3124">
        <v>3000</v>
      </c>
      <c r="L806" s="3124">
        <v>1049.0999999999999</v>
      </c>
      <c r="M806" s="3124" t="s">
        <v>4763</v>
      </c>
      <c r="N806" s="3192">
        <v>45632</v>
      </c>
      <c r="O806" s="3192">
        <v>46209</v>
      </c>
      <c r="P806" s="3192">
        <v>45820</v>
      </c>
      <c r="Q806" s="3192">
        <v>46209</v>
      </c>
      <c r="R806" s="3124" t="s">
        <v>433</v>
      </c>
      <c r="S806" s="3124" t="s">
        <v>1690</v>
      </c>
      <c r="T806" s="3124" t="s">
        <v>2825</v>
      </c>
      <c r="U806" t="s">
        <v>1761</v>
      </c>
      <c r="V806" s="3124">
        <v>7000</v>
      </c>
      <c r="W806" s="3193">
        <v>0.85012857142857134</v>
      </c>
      <c r="X806" s="3124">
        <v>5950.9</v>
      </c>
      <c r="Y806" s="3124">
        <v>1</v>
      </c>
      <c r="Z806" s="3124"/>
      <c r="AA806" s="3124">
        <v>30000</v>
      </c>
      <c r="AB806" t="s">
        <v>1761</v>
      </c>
      <c r="AC806" s="3124"/>
    </row>
    <row r="807" spans="1:29">
      <c r="A807" s="3124">
        <v>806</v>
      </c>
      <c r="B807" s="3124" t="s">
        <v>4513</v>
      </c>
      <c r="C807" s="3124" t="s">
        <v>4674</v>
      </c>
      <c r="D807" s="3124" t="s">
        <v>5056</v>
      </c>
      <c r="E807" t="s">
        <v>3098</v>
      </c>
      <c r="F807" s="3234">
        <v>42164203</v>
      </c>
      <c r="G807" s="3124" t="s">
        <v>5210</v>
      </c>
      <c r="H807" s="3124">
        <v>20</v>
      </c>
      <c r="I807" s="3124">
        <v>20</v>
      </c>
      <c r="J807" s="3124">
        <v>3000</v>
      </c>
      <c r="K807" s="3124">
        <v>3000</v>
      </c>
      <c r="L807" s="3124">
        <v>1049.0999999999999</v>
      </c>
      <c r="M807" s="3124" t="s">
        <v>4763</v>
      </c>
      <c r="N807" s="3192">
        <v>45632</v>
      </c>
      <c r="O807" s="3192">
        <v>46209</v>
      </c>
      <c r="P807" s="3192">
        <v>45820</v>
      </c>
      <c r="Q807" s="3192">
        <v>46209</v>
      </c>
      <c r="R807" s="3124" t="s">
        <v>433</v>
      </c>
      <c r="S807" s="3124" t="s">
        <v>1690</v>
      </c>
      <c r="T807" s="3124" t="s">
        <v>2825</v>
      </c>
      <c r="U807" t="s">
        <v>1761</v>
      </c>
      <c r="V807" s="3124">
        <v>7000</v>
      </c>
      <c r="W807" s="3193">
        <v>0.85012857142857134</v>
      </c>
      <c r="X807" s="3124">
        <v>5950.9</v>
      </c>
      <c r="Y807" s="3124">
        <v>1</v>
      </c>
      <c r="Z807" s="3124"/>
      <c r="AA807" s="3124">
        <v>30000</v>
      </c>
      <c r="AB807" t="s">
        <v>1761</v>
      </c>
      <c r="AC807" s="3124"/>
    </row>
    <row r="808" spans="1:29">
      <c r="A808" s="3124">
        <v>807</v>
      </c>
      <c r="B808" s="3124" t="s">
        <v>4513</v>
      </c>
      <c r="C808" s="3124" t="s">
        <v>4675</v>
      </c>
      <c r="D808" s="3124" t="s">
        <v>5057</v>
      </c>
      <c r="E808" t="s">
        <v>3116</v>
      </c>
      <c r="F808" s="3234">
        <v>47334935</v>
      </c>
      <c r="G808" s="3124" t="s">
        <v>5135</v>
      </c>
      <c r="H808" s="3124">
        <v>20</v>
      </c>
      <c r="I808" s="3124">
        <v>20</v>
      </c>
      <c r="J808" s="3124">
        <v>3000</v>
      </c>
      <c r="K808" s="3124">
        <v>3000</v>
      </c>
      <c r="L808" s="3124">
        <v>1049.0999999999999</v>
      </c>
      <c r="M808" s="3124" t="s">
        <v>4763</v>
      </c>
      <c r="N808" s="3192">
        <v>45632</v>
      </c>
      <c r="O808" s="3192">
        <v>46209</v>
      </c>
      <c r="P808" s="3192">
        <v>45820</v>
      </c>
      <c r="Q808" s="3192">
        <v>46209</v>
      </c>
      <c r="R808" s="3124" t="s">
        <v>433</v>
      </c>
      <c r="S808" s="3124" t="s">
        <v>1690</v>
      </c>
      <c r="T808" s="3124" t="s">
        <v>2825</v>
      </c>
      <c r="U808" t="s">
        <v>1761</v>
      </c>
      <c r="V808" s="3124">
        <v>7000</v>
      </c>
      <c r="W808" s="3193">
        <v>0.85012857142857134</v>
      </c>
      <c r="X808" s="3124">
        <v>5950.9</v>
      </c>
      <c r="Y808" s="3124">
        <v>1</v>
      </c>
      <c r="Z808" s="3124"/>
      <c r="AA808" s="3124">
        <v>30000</v>
      </c>
      <c r="AB808" t="s">
        <v>1761</v>
      </c>
      <c r="AC808" s="3124"/>
    </row>
    <row r="809" spans="1:29">
      <c r="A809" s="3124">
        <v>808</v>
      </c>
      <c r="B809" s="3124" t="s">
        <v>4513</v>
      </c>
      <c r="C809" s="3124" t="s">
        <v>4676</v>
      </c>
      <c r="D809" s="3124" t="s">
        <v>4734</v>
      </c>
      <c r="E809" t="s">
        <v>3123</v>
      </c>
      <c r="F809" s="3234">
        <v>33877052</v>
      </c>
      <c r="G809" s="3124" t="s">
        <v>5136</v>
      </c>
      <c r="H809" s="3124">
        <v>20</v>
      </c>
      <c r="I809" s="3124">
        <v>20</v>
      </c>
      <c r="J809" s="3124">
        <v>3000</v>
      </c>
      <c r="K809" s="3124">
        <v>3000</v>
      </c>
      <c r="L809" s="3124">
        <v>1049.0999999999999</v>
      </c>
      <c r="M809" s="3124" t="s">
        <v>4763</v>
      </c>
      <c r="N809" s="3192">
        <v>45632</v>
      </c>
      <c r="O809" s="3192">
        <v>46209</v>
      </c>
      <c r="P809" s="3192">
        <v>45820</v>
      </c>
      <c r="Q809" s="3192">
        <v>46209</v>
      </c>
      <c r="R809" s="3124" t="s">
        <v>433</v>
      </c>
      <c r="S809" s="3124" t="s">
        <v>1690</v>
      </c>
      <c r="T809" s="3124" t="s">
        <v>2825</v>
      </c>
      <c r="U809" t="s">
        <v>1761</v>
      </c>
      <c r="V809" s="3124">
        <v>7000</v>
      </c>
      <c r="W809" s="3193">
        <v>0.85012857142857134</v>
      </c>
      <c r="X809" s="3124">
        <v>5950.9</v>
      </c>
      <c r="Y809" s="3124">
        <v>1</v>
      </c>
      <c r="Z809" s="3124"/>
      <c r="AA809" s="3124">
        <v>30000</v>
      </c>
      <c r="AB809" t="s">
        <v>1761</v>
      </c>
      <c r="AC809" s="3124"/>
    </row>
    <row r="810" spans="1:29">
      <c r="A810" s="3124">
        <v>809</v>
      </c>
      <c r="B810" s="3124" t="s">
        <v>4513</v>
      </c>
      <c r="C810" s="3124" t="s">
        <v>4677</v>
      </c>
      <c r="D810" s="3124" t="s">
        <v>5058</v>
      </c>
      <c r="E810" t="s">
        <v>3125</v>
      </c>
      <c r="F810" s="3234">
        <v>56332428</v>
      </c>
      <c r="G810" s="3124" t="s">
        <v>4497</v>
      </c>
      <c r="H810" s="3124">
        <v>20</v>
      </c>
      <c r="I810" s="3124">
        <v>20</v>
      </c>
      <c r="J810" s="3124">
        <v>3000</v>
      </c>
      <c r="K810" s="3124">
        <v>3000</v>
      </c>
      <c r="L810" s="3124">
        <v>1049.0999999999999</v>
      </c>
      <c r="M810" s="3124" t="s">
        <v>4763</v>
      </c>
      <c r="N810" s="3192">
        <v>45632</v>
      </c>
      <c r="O810" s="3192">
        <v>46209</v>
      </c>
      <c r="P810" s="3192">
        <v>45820</v>
      </c>
      <c r="Q810" s="3192">
        <v>46209</v>
      </c>
      <c r="R810" s="3124" t="s">
        <v>432</v>
      </c>
      <c r="S810" s="3124" t="s">
        <v>1690</v>
      </c>
      <c r="T810" s="3124" t="s">
        <v>2825</v>
      </c>
      <c r="U810" t="s">
        <v>1761</v>
      </c>
      <c r="V810" s="3124">
        <v>7000</v>
      </c>
      <c r="W810" s="3193">
        <v>0.85012857142857134</v>
      </c>
      <c r="X810" s="3124">
        <v>5950.9</v>
      </c>
      <c r="Y810" s="3124">
        <v>1</v>
      </c>
      <c r="Z810" s="3124"/>
      <c r="AA810" s="3124">
        <v>30000</v>
      </c>
      <c r="AB810" t="s">
        <v>1761</v>
      </c>
      <c r="AC810" s="3124"/>
    </row>
    <row r="811" spans="1:29">
      <c r="A811" s="3124">
        <v>810</v>
      </c>
      <c r="B811" s="3124" t="s">
        <v>4513</v>
      </c>
      <c r="C811" s="3124" t="s">
        <v>4671</v>
      </c>
      <c r="D811" s="3124" t="s">
        <v>4735</v>
      </c>
      <c r="E811" s="3185" t="s">
        <v>3133</v>
      </c>
      <c r="F811" s="3234">
        <v>50199645</v>
      </c>
      <c r="G811" s="3190" t="s">
        <v>3134</v>
      </c>
      <c r="H811" s="3124">
        <v>20</v>
      </c>
      <c r="I811" s="3124">
        <v>20</v>
      </c>
      <c r="J811" s="3124">
        <v>3000</v>
      </c>
      <c r="K811" s="3124">
        <v>3000</v>
      </c>
      <c r="L811" s="3124">
        <v>1049.0999999999999</v>
      </c>
      <c r="M811" s="3124" t="s">
        <v>4763</v>
      </c>
      <c r="N811" s="3192">
        <v>45632</v>
      </c>
      <c r="O811" s="3192">
        <v>46209</v>
      </c>
      <c r="P811" s="3192">
        <v>45820</v>
      </c>
      <c r="Q811" s="3192">
        <v>46209</v>
      </c>
      <c r="R811" s="3124" t="s">
        <v>433</v>
      </c>
      <c r="S811" s="3124" t="s">
        <v>1690</v>
      </c>
      <c r="T811" s="3124" t="s">
        <v>2825</v>
      </c>
      <c r="U811" t="s">
        <v>1761</v>
      </c>
      <c r="V811" s="3124">
        <v>7000</v>
      </c>
      <c r="W811" s="3193">
        <v>0.85012857142857134</v>
      </c>
      <c r="X811" s="3124">
        <v>5950.9</v>
      </c>
      <c r="Y811" s="3124">
        <v>1</v>
      </c>
      <c r="Z811" s="3124"/>
      <c r="AA811" s="3124">
        <v>30000</v>
      </c>
      <c r="AB811" t="s">
        <v>1761</v>
      </c>
      <c r="AC811" s="3124"/>
    </row>
    <row r="812" spans="1:29">
      <c r="A812" s="3124">
        <v>811</v>
      </c>
      <c r="B812" s="3124" t="s">
        <v>1691</v>
      </c>
      <c r="C812" s="3124" t="s">
        <v>4498</v>
      </c>
      <c r="D812" s="3124" t="s">
        <v>4740</v>
      </c>
      <c r="E812" s="3157" t="s">
        <v>4455</v>
      </c>
      <c r="F812" s="3234" t="s">
        <v>4456</v>
      </c>
      <c r="G812" s="3124" t="s">
        <v>4457</v>
      </c>
      <c r="H812" s="3124">
        <v>16</v>
      </c>
      <c r="I812" s="3124">
        <v>16</v>
      </c>
      <c r="J812" s="3124" t="s">
        <v>1948</v>
      </c>
      <c r="K812" s="3124">
        <v>2000</v>
      </c>
      <c r="L812" s="3124">
        <v>2275</v>
      </c>
      <c r="M812" s="3124" t="s">
        <v>2974</v>
      </c>
      <c r="N812" s="3192">
        <v>45667</v>
      </c>
      <c r="O812" s="3192">
        <v>46122</v>
      </c>
      <c r="P812" s="3192">
        <v>45625</v>
      </c>
      <c r="Q812" s="3192">
        <v>46122</v>
      </c>
      <c r="R812" s="3124" t="s">
        <v>433</v>
      </c>
      <c r="S812" s="3124" t="s">
        <v>1949</v>
      </c>
      <c r="T812" s="3124" t="s">
        <v>1850</v>
      </c>
      <c r="U812" t="s">
        <v>1869</v>
      </c>
      <c r="V812" s="3124">
        <v>5000</v>
      </c>
      <c r="W812" s="3193">
        <v>0.54500000000000004</v>
      </c>
      <c r="X812" s="3124">
        <v>2725</v>
      </c>
      <c r="Y812" s="3124">
        <v>2</v>
      </c>
      <c r="Z812" s="3124"/>
      <c r="AA812" s="3124">
        <v>26000</v>
      </c>
      <c r="AB812" t="s">
        <v>2653</v>
      </c>
      <c r="AC812" s="3124"/>
    </row>
    <row r="813" spans="1:29">
      <c r="A813" s="3124">
        <v>812</v>
      </c>
      <c r="B813" s="3124" t="s">
        <v>4513</v>
      </c>
      <c r="C813" s="3124" t="s">
        <v>4499</v>
      </c>
      <c r="D813" s="3124" t="s">
        <v>5059</v>
      </c>
      <c r="E813" t="s">
        <v>4485</v>
      </c>
      <c r="F813" s="3234">
        <v>55728756</v>
      </c>
      <c r="G813" s="3124" t="s">
        <v>4500</v>
      </c>
      <c r="H813" s="3124">
        <v>20</v>
      </c>
      <c r="I813" s="3124">
        <v>20</v>
      </c>
      <c r="J813" s="3124">
        <v>3000</v>
      </c>
      <c r="K813" s="3124">
        <v>3000</v>
      </c>
      <c r="L813" s="3124">
        <v>1049.0999999999999</v>
      </c>
      <c r="M813" s="3124" t="s">
        <v>4763</v>
      </c>
      <c r="N813" s="3192">
        <v>45632</v>
      </c>
      <c r="O813" s="3192">
        <v>46209</v>
      </c>
      <c r="P813" s="3192">
        <v>45820</v>
      </c>
      <c r="Q813" s="3192">
        <v>578</v>
      </c>
      <c r="R813" s="3124" t="s">
        <v>433</v>
      </c>
      <c r="S813" s="3124" t="s">
        <v>1690</v>
      </c>
      <c r="T813" s="3124" t="s">
        <v>2825</v>
      </c>
      <c r="U813" t="s">
        <v>1761</v>
      </c>
      <c r="V813" s="3124">
        <v>7000</v>
      </c>
      <c r="W813" s="3193">
        <v>0.85012857142857134</v>
      </c>
      <c r="X813" s="3124">
        <v>5950.9</v>
      </c>
      <c r="Y813" s="3124">
        <v>1</v>
      </c>
      <c r="Z813" s="3124"/>
      <c r="AA813" s="3124">
        <v>30000</v>
      </c>
      <c r="AB813" t="s">
        <v>1761</v>
      </c>
      <c r="AC813" s="3124"/>
    </row>
    <row r="814" spans="1:29">
      <c r="A814" s="3124">
        <v>813</v>
      </c>
      <c r="B814" s="3124" t="s">
        <v>1691</v>
      </c>
      <c r="C814" s="3124" t="s">
        <v>4501</v>
      </c>
      <c r="D814" s="3124" t="s">
        <v>4737</v>
      </c>
      <c r="E814" s="3165" t="s">
        <v>4502</v>
      </c>
      <c r="F814" s="3234">
        <v>59045101</v>
      </c>
      <c r="G814" s="3124" t="s">
        <v>5332</v>
      </c>
      <c r="H814" s="3124">
        <v>16</v>
      </c>
      <c r="I814" s="3124">
        <v>16</v>
      </c>
      <c r="J814" s="3124">
        <v>2000</v>
      </c>
      <c r="K814" s="3124">
        <v>2000</v>
      </c>
      <c r="L814" s="3124">
        <v>682.5</v>
      </c>
      <c r="M814" s="3124" t="s">
        <v>4491</v>
      </c>
      <c r="N814" s="3192">
        <v>45607</v>
      </c>
      <c r="O814" s="3192">
        <v>46064</v>
      </c>
      <c r="P814" s="3192"/>
      <c r="Q814" s="3192">
        <v>456</v>
      </c>
      <c r="R814" s="3124" t="s">
        <v>433</v>
      </c>
      <c r="S814" s="3124" t="s">
        <v>1949</v>
      </c>
      <c r="T814" s="3124" t="s">
        <v>2825</v>
      </c>
      <c r="U814" t="s">
        <v>1761</v>
      </c>
      <c r="V814" s="3124">
        <v>5000</v>
      </c>
      <c r="W814" s="3193">
        <v>0.86350000000000005</v>
      </c>
      <c r="X814" s="3124">
        <v>4317.5</v>
      </c>
      <c r="Y814" s="3124">
        <v>2</v>
      </c>
      <c r="Z814" s="3124"/>
      <c r="AA814" s="3124">
        <v>26000</v>
      </c>
      <c r="AB814" t="s">
        <v>1761</v>
      </c>
      <c r="AC814" s="3124"/>
    </row>
    <row r="815" spans="1:29">
      <c r="A815" s="3124">
        <v>814</v>
      </c>
      <c r="B815" s="3124" t="s">
        <v>1625</v>
      </c>
      <c r="C815" s="3124" t="s">
        <v>4503</v>
      </c>
      <c r="D815" s="3124" t="s">
        <v>4738</v>
      </c>
      <c r="E815" s="3186" t="s">
        <v>4486</v>
      </c>
      <c r="F815" s="3234">
        <v>7225105420</v>
      </c>
      <c r="G815" s="3124" t="s">
        <v>4504</v>
      </c>
      <c r="H815" s="3124">
        <v>20</v>
      </c>
      <c r="I815" s="3124">
        <v>20</v>
      </c>
      <c r="J815" s="3124" t="s">
        <v>1948</v>
      </c>
      <c r="K815" s="3124">
        <v>3000</v>
      </c>
      <c r="L815" s="3124">
        <v>3497</v>
      </c>
      <c r="M815" s="3124" t="s">
        <v>3833</v>
      </c>
      <c r="N815" s="3192">
        <v>45675</v>
      </c>
      <c r="O815" s="3192">
        <v>46252</v>
      </c>
      <c r="P815" s="3192">
        <v>45630</v>
      </c>
      <c r="Q815" s="3192">
        <v>46252</v>
      </c>
      <c r="R815" s="3124" t="s">
        <v>432</v>
      </c>
      <c r="S815" s="3124" t="s">
        <v>1690</v>
      </c>
      <c r="T815" s="3124" t="s">
        <v>1850</v>
      </c>
      <c r="U815" t="s">
        <v>1869</v>
      </c>
      <c r="V815" s="3124">
        <v>7000</v>
      </c>
      <c r="W815" s="3193">
        <v>0.50042857142857144</v>
      </c>
      <c r="X815" s="3124">
        <v>3503</v>
      </c>
      <c r="Y815" s="3124">
        <v>1</v>
      </c>
      <c r="Z815" s="3124"/>
      <c r="AA815" s="3124">
        <v>29000</v>
      </c>
      <c r="AB815" t="s">
        <v>1869</v>
      </c>
      <c r="AC815" s="3124"/>
    </row>
    <row r="816" spans="1:29">
      <c r="A816" s="3124">
        <v>815</v>
      </c>
      <c r="B816" s="3124" t="s">
        <v>4513</v>
      </c>
      <c r="C816" s="3124" t="s">
        <v>4505</v>
      </c>
      <c r="D816" s="3124" t="s">
        <v>4739</v>
      </c>
      <c r="E816" s="3182" t="s">
        <v>4506</v>
      </c>
      <c r="F816" s="3234">
        <v>52060390</v>
      </c>
      <c r="G816" s="3190" t="s">
        <v>4507</v>
      </c>
      <c r="H816" s="3124">
        <v>20</v>
      </c>
      <c r="I816" s="3124">
        <v>20</v>
      </c>
      <c r="J816" s="3124">
        <v>3000</v>
      </c>
      <c r="K816" s="3124">
        <v>3000</v>
      </c>
      <c r="L816" s="3124">
        <v>1049.0999999999999</v>
      </c>
      <c r="M816" s="3124" t="s">
        <v>4763</v>
      </c>
      <c r="N816" s="3192">
        <v>45632</v>
      </c>
      <c r="O816" s="3192">
        <v>46209</v>
      </c>
      <c r="P816" s="3192">
        <v>45820</v>
      </c>
      <c r="Q816" s="3192">
        <v>46209</v>
      </c>
      <c r="R816" s="3124" t="s">
        <v>432</v>
      </c>
      <c r="S816" s="3124" t="s">
        <v>1690</v>
      </c>
      <c r="T816" s="3124" t="s">
        <v>2825</v>
      </c>
      <c r="U816" t="s">
        <v>1761</v>
      </c>
      <c r="V816" s="3124">
        <v>7000</v>
      </c>
      <c r="W816" s="3193">
        <v>0.85012857142857134</v>
      </c>
      <c r="X816" s="3124">
        <v>5950.9</v>
      </c>
      <c r="Y816" s="3124">
        <v>1</v>
      </c>
      <c r="Z816" s="3124"/>
      <c r="AA816" s="3124">
        <v>30000</v>
      </c>
      <c r="AB816" t="s">
        <v>1761</v>
      </c>
      <c r="AC816" s="3124"/>
    </row>
    <row r="817" spans="1:29">
      <c r="A817" s="3124">
        <v>816</v>
      </c>
      <c r="B817" s="3124" t="s">
        <v>1623</v>
      </c>
      <c r="C817" s="3124" t="s">
        <v>4508</v>
      </c>
      <c r="D817" s="3124" t="s">
        <v>4726</v>
      </c>
      <c r="E817" t="s">
        <v>4509</v>
      </c>
      <c r="F817" s="3234" t="s">
        <v>4510</v>
      </c>
      <c r="G817" s="3124" t="s">
        <v>4511</v>
      </c>
      <c r="H817" s="3124">
        <v>20</v>
      </c>
      <c r="I817" s="3124">
        <v>20</v>
      </c>
      <c r="J817" s="3124" t="s">
        <v>1948</v>
      </c>
      <c r="K817" s="3124">
        <v>3000</v>
      </c>
      <c r="L817" s="3124">
        <v>3497</v>
      </c>
      <c r="M817" s="3124" t="s">
        <v>4512</v>
      </c>
      <c r="N817" s="3192">
        <v>45703</v>
      </c>
      <c r="O817" s="3192">
        <v>46280</v>
      </c>
      <c r="P817" s="3192">
        <v>45675</v>
      </c>
      <c r="Q817" s="3192">
        <v>46252</v>
      </c>
      <c r="R817" s="3124" t="s">
        <v>433</v>
      </c>
      <c r="S817" s="3124" t="s">
        <v>1974</v>
      </c>
      <c r="T817" s="3124" t="s">
        <v>1850</v>
      </c>
      <c r="U817" t="s">
        <v>1869</v>
      </c>
      <c r="V817" s="3124">
        <v>7000</v>
      </c>
      <c r="W817" s="3193">
        <v>0.50042857142857144</v>
      </c>
      <c r="X817" s="3124">
        <v>3503</v>
      </c>
      <c r="Y817" s="3124">
        <v>1</v>
      </c>
      <c r="Z817" s="3124"/>
      <c r="AA817" s="3124">
        <v>29000</v>
      </c>
      <c r="AB817" t="s">
        <v>1869</v>
      </c>
      <c r="AC817" s="3124"/>
    </row>
    <row r="818" spans="1:29">
      <c r="A818" s="3124">
        <v>817</v>
      </c>
      <c r="B818" s="3124" t="s">
        <v>1623</v>
      </c>
      <c r="C818" s="3124" t="s">
        <v>4713</v>
      </c>
      <c r="D818" s="3124" t="s">
        <v>4727</v>
      </c>
      <c r="E818" t="s">
        <v>4678</v>
      </c>
      <c r="F818" s="3234">
        <v>3116209785</v>
      </c>
      <c r="G818" s="3124" t="s">
        <v>4679</v>
      </c>
      <c r="H818" s="3124">
        <v>20</v>
      </c>
      <c r="I818" s="3124">
        <v>20</v>
      </c>
      <c r="J818" s="3124" t="s">
        <v>1948</v>
      </c>
      <c r="K818" s="3124">
        <v>3000</v>
      </c>
      <c r="L818" s="3124">
        <v>3497</v>
      </c>
      <c r="M818" s="3124" t="s">
        <v>4512</v>
      </c>
      <c r="N818" s="3192">
        <v>45675</v>
      </c>
      <c r="O818" s="3192">
        <v>46252</v>
      </c>
      <c r="P818" s="3192">
        <v>45666</v>
      </c>
      <c r="Q818" s="3192">
        <v>46252</v>
      </c>
      <c r="R818" s="3124" t="s">
        <v>432</v>
      </c>
      <c r="S818" s="3124" t="s">
        <v>1974</v>
      </c>
      <c r="T818" s="3124" t="s">
        <v>1850</v>
      </c>
      <c r="U818" t="s">
        <v>1761</v>
      </c>
      <c r="V818" s="3124">
        <v>7000</v>
      </c>
      <c r="W818" s="3193">
        <v>0.50042857142857144</v>
      </c>
      <c r="X818" s="3124">
        <v>3503</v>
      </c>
      <c r="Y818" s="3124">
        <v>1</v>
      </c>
      <c r="Z818" s="3124"/>
      <c r="AA818" s="3124">
        <v>29000</v>
      </c>
      <c r="AB818" t="s">
        <v>1761</v>
      </c>
      <c r="AC818" s="3124"/>
    </row>
    <row r="819" spans="1:29">
      <c r="A819" s="3124">
        <v>818</v>
      </c>
      <c r="B819" s="3124" t="s">
        <v>1623</v>
      </c>
      <c r="C819" s="3124" t="s">
        <v>4680</v>
      </c>
      <c r="D819" s="3124" t="s">
        <v>4745</v>
      </c>
      <c r="E819" t="s">
        <v>4681</v>
      </c>
      <c r="F819" s="3234">
        <v>9511298325</v>
      </c>
      <c r="G819" s="3124" t="s">
        <v>4682</v>
      </c>
      <c r="H819" s="3124">
        <v>20</v>
      </c>
      <c r="I819" s="3124">
        <v>20</v>
      </c>
      <c r="J819" s="3124" t="s">
        <v>1948</v>
      </c>
      <c r="K819" s="3124">
        <v>3000</v>
      </c>
      <c r="L819" s="3124">
        <v>3497</v>
      </c>
      <c r="M819" s="3124" t="s">
        <v>4512</v>
      </c>
      <c r="N819" s="3192">
        <v>45675</v>
      </c>
      <c r="O819" s="3192">
        <v>46252</v>
      </c>
      <c r="P819" s="3192">
        <v>45675</v>
      </c>
      <c r="Q819" s="3192">
        <v>46252</v>
      </c>
      <c r="R819" s="3124" t="s">
        <v>433</v>
      </c>
      <c r="S819" s="3124" t="s">
        <v>1974</v>
      </c>
      <c r="T819" s="3124" t="s">
        <v>1850</v>
      </c>
      <c r="U819" t="s">
        <v>1761</v>
      </c>
      <c r="V819" s="3124">
        <v>7000</v>
      </c>
      <c r="W819" s="3193">
        <v>0.50042857142857144</v>
      </c>
      <c r="X819" s="3124">
        <v>3503</v>
      </c>
      <c r="Y819" s="3124">
        <v>1</v>
      </c>
      <c r="Z819" s="3124"/>
      <c r="AA819" s="3124">
        <v>29000</v>
      </c>
      <c r="AB819" t="s">
        <v>1761</v>
      </c>
      <c r="AC819" s="3124"/>
    </row>
    <row r="820" spans="1:29">
      <c r="A820" s="3124">
        <v>819</v>
      </c>
      <c r="B820" s="3124" t="s">
        <v>1623</v>
      </c>
      <c r="C820" s="3124" t="s">
        <v>4714</v>
      </c>
      <c r="D820" s="3124" t="s">
        <v>4729</v>
      </c>
      <c r="E820" t="s">
        <v>4730</v>
      </c>
      <c r="F820" s="3234">
        <v>8443623661</v>
      </c>
      <c r="G820" s="3124" t="s">
        <v>4715</v>
      </c>
      <c r="H820" s="3124">
        <v>20</v>
      </c>
      <c r="I820" s="3124">
        <v>20</v>
      </c>
      <c r="J820" s="3124" t="s">
        <v>1948</v>
      </c>
      <c r="K820" s="3124">
        <v>3000</v>
      </c>
      <c r="L820" s="3124">
        <v>3497</v>
      </c>
      <c r="M820" s="3124" t="s">
        <v>4512</v>
      </c>
      <c r="N820" s="3192">
        <v>45675</v>
      </c>
      <c r="O820" s="3192">
        <v>46252</v>
      </c>
      <c r="P820" s="3192">
        <v>45675</v>
      </c>
      <c r="Q820" s="3192">
        <v>46252</v>
      </c>
      <c r="R820" s="3124" t="s">
        <v>432</v>
      </c>
      <c r="S820" s="3124" t="s">
        <v>1974</v>
      </c>
      <c r="T820" s="3124" t="s">
        <v>1850</v>
      </c>
      <c r="U820" t="s">
        <v>1761</v>
      </c>
      <c r="V820" s="3124">
        <v>7000</v>
      </c>
      <c r="W820" s="3193">
        <v>0.50042857142857144</v>
      </c>
      <c r="X820" s="3124">
        <v>3503</v>
      </c>
      <c r="Y820" s="3124">
        <v>1</v>
      </c>
      <c r="Z820" s="3124"/>
      <c r="AA820" s="3124">
        <v>29000</v>
      </c>
      <c r="AB820" t="s">
        <v>1761</v>
      </c>
      <c r="AC820" s="3124"/>
    </row>
    <row r="821" spans="1:29">
      <c r="A821" s="3124">
        <v>820</v>
      </c>
      <c r="B821" s="3124" t="s">
        <v>1691</v>
      </c>
      <c r="C821" s="3124" t="s">
        <v>220</v>
      </c>
      <c r="D821" s="3124" t="s">
        <v>4732</v>
      </c>
      <c r="E821" s="3168" t="s">
        <v>5460</v>
      </c>
      <c r="F821" s="3234">
        <v>9982417991</v>
      </c>
      <c r="G821" s="3190" t="s">
        <v>2238</v>
      </c>
      <c r="H821" s="3124">
        <v>16</v>
      </c>
      <c r="I821" s="3124">
        <v>16</v>
      </c>
      <c r="J821" s="3124" t="s">
        <v>1948</v>
      </c>
      <c r="K821" s="3124">
        <v>2000</v>
      </c>
      <c r="L821" s="3124">
        <v>2275</v>
      </c>
      <c r="M821" s="3124" t="s">
        <v>4716</v>
      </c>
      <c r="N821" s="3192">
        <v>45674</v>
      </c>
      <c r="O821" s="3192">
        <v>46130</v>
      </c>
      <c r="P821" s="3192">
        <v>45675</v>
      </c>
      <c r="Q821" s="3192">
        <v>46130</v>
      </c>
      <c r="R821" s="3124" t="s">
        <v>432</v>
      </c>
      <c r="S821" s="3124" t="s">
        <v>1949</v>
      </c>
      <c r="T821" s="3124" t="s">
        <v>1850</v>
      </c>
      <c r="U821" t="s">
        <v>1761</v>
      </c>
      <c r="V821" s="3124">
        <v>5000</v>
      </c>
      <c r="W821" s="3193">
        <v>0.54500000000000004</v>
      </c>
      <c r="X821" s="3124">
        <v>2725</v>
      </c>
      <c r="Y821" s="3124">
        <v>1</v>
      </c>
      <c r="Z821" s="3124"/>
      <c r="AA821" s="3124">
        <v>26000</v>
      </c>
      <c r="AB821" t="s">
        <v>1761</v>
      </c>
      <c r="AC821" s="3124"/>
    </row>
    <row r="822" spans="1:29">
      <c r="A822" s="3124">
        <v>821</v>
      </c>
      <c r="B822" s="3124" t="s">
        <v>1623</v>
      </c>
      <c r="C822" s="3124" t="s">
        <v>4717</v>
      </c>
      <c r="D822" s="3124" t="s">
        <v>4731</v>
      </c>
      <c r="E822" t="s">
        <v>4718</v>
      </c>
      <c r="F822" s="3234" t="s">
        <v>4719</v>
      </c>
      <c r="G822" s="3124" t="s">
        <v>4720</v>
      </c>
      <c r="H822" s="3124">
        <v>20</v>
      </c>
      <c r="I822" s="3124">
        <v>20</v>
      </c>
      <c r="J822" s="3124" t="s">
        <v>1948</v>
      </c>
      <c r="K822" s="3124">
        <v>3000</v>
      </c>
      <c r="L822" s="3124">
        <v>4000</v>
      </c>
      <c r="M822" s="3124" t="s">
        <v>4512</v>
      </c>
      <c r="N822" s="3192">
        <v>45675</v>
      </c>
      <c r="O822" s="3192">
        <v>46252</v>
      </c>
      <c r="P822" s="3192">
        <v>45675</v>
      </c>
      <c r="Q822" s="3192">
        <v>46252</v>
      </c>
      <c r="R822" s="3124" t="s">
        <v>433</v>
      </c>
      <c r="S822" s="3124" t="s">
        <v>1974</v>
      </c>
      <c r="T822" s="3124" t="s">
        <v>1850</v>
      </c>
      <c r="U822" t="s">
        <v>1869</v>
      </c>
      <c r="V822" s="3124">
        <v>7000</v>
      </c>
      <c r="W822" s="3193">
        <v>0.42857142857142855</v>
      </c>
      <c r="X822" s="3124">
        <v>3000</v>
      </c>
      <c r="Y822" s="3124">
        <v>1</v>
      </c>
      <c r="Z822" s="3124"/>
      <c r="AA822" s="3124">
        <v>29000</v>
      </c>
      <c r="AB822" t="s">
        <v>1869</v>
      </c>
      <c r="AC822" s="3124"/>
    </row>
    <row r="823" spans="1:29">
      <c r="A823" s="3124">
        <v>822</v>
      </c>
      <c r="B823" s="3124" t="s">
        <v>1623</v>
      </c>
      <c r="C823" s="3124" t="s">
        <v>2977</v>
      </c>
      <c r="D823" s="3124" t="s">
        <v>4728</v>
      </c>
      <c r="E823" s="3173" t="s">
        <v>2979</v>
      </c>
      <c r="F823" s="3234" t="s">
        <v>2980</v>
      </c>
      <c r="G823" s="3124" t="s">
        <v>2981</v>
      </c>
      <c r="H823" s="3124">
        <v>20</v>
      </c>
      <c r="I823" s="3124">
        <v>20</v>
      </c>
      <c r="J823" s="3124" t="s">
        <v>1948</v>
      </c>
      <c r="K823" s="3124">
        <v>3000</v>
      </c>
      <c r="L823" s="3124">
        <v>3497</v>
      </c>
      <c r="M823" s="3213" t="s">
        <v>4512</v>
      </c>
      <c r="N823" s="3192">
        <v>45675</v>
      </c>
      <c r="O823" s="3192">
        <v>46252</v>
      </c>
      <c r="P823" s="3192">
        <v>45675</v>
      </c>
      <c r="Q823" s="3192">
        <v>46252</v>
      </c>
      <c r="R823" s="3124" t="s">
        <v>433</v>
      </c>
      <c r="S823" s="3124" t="s">
        <v>1974</v>
      </c>
      <c r="T823" s="3124" t="s">
        <v>1850</v>
      </c>
      <c r="U823" t="s">
        <v>1761</v>
      </c>
      <c r="V823" s="3124">
        <v>7000</v>
      </c>
      <c r="W823" s="3193">
        <v>0.50042857142857144</v>
      </c>
      <c r="X823" s="3124">
        <v>3503</v>
      </c>
      <c r="Y823" s="3124">
        <v>1</v>
      </c>
      <c r="Z823" s="3124"/>
      <c r="AA823" s="3124">
        <v>29000</v>
      </c>
      <c r="AB823" t="s">
        <v>1761</v>
      </c>
      <c r="AC823" s="3124"/>
    </row>
    <row r="824" spans="1:29">
      <c r="A824" s="3124">
        <v>823</v>
      </c>
      <c r="B824" s="3124" t="s">
        <v>1691</v>
      </c>
      <c r="C824" s="3124" t="s">
        <v>4746</v>
      </c>
      <c r="D824" s="3124" t="s">
        <v>4736</v>
      </c>
      <c r="E824" s="3154" t="s">
        <v>4741</v>
      </c>
      <c r="F824" s="3234" t="s">
        <v>4742</v>
      </c>
      <c r="G824" s="3124" t="s">
        <v>4743</v>
      </c>
      <c r="H824" s="3124">
        <v>16</v>
      </c>
      <c r="I824" s="3124">
        <v>16</v>
      </c>
      <c r="J824" s="3124" t="s">
        <v>1948</v>
      </c>
      <c r="K824" s="3124">
        <v>2000</v>
      </c>
      <c r="L824" s="3124">
        <v>2275</v>
      </c>
      <c r="M824" s="3124" t="s">
        <v>4716</v>
      </c>
      <c r="N824" s="3192">
        <v>45674</v>
      </c>
      <c r="O824" s="3192">
        <v>46129</v>
      </c>
      <c r="P824" s="3192">
        <v>45675</v>
      </c>
      <c r="Q824" s="3192">
        <v>46129</v>
      </c>
      <c r="R824" s="3124" t="s">
        <v>433</v>
      </c>
      <c r="S824" s="3124" t="s">
        <v>1949</v>
      </c>
      <c r="T824" s="3124" t="s">
        <v>1850</v>
      </c>
      <c r="U824" t="s">
        <v>1869</v>
      </c>
      <c r="V824" s="3124">
        <v>5000</v>
      </c>
      <c r="W824" s="3193">
        <v>0.54500000000000004</v>
      </c>
      <c r="X824" s="3124">
        <v>2725</v>
      </c>
      <c r="Y824" s="3124">
        <v>1</v>
      </c>
      <c r="Z824" s="3124"/>
      <c r="AA824" s="3124">
        <v>26000</v>
      </c>
      <c r="AB824" t="s">
        <v>1869</v>
      </c>
      <c r="AC824" s="3124"/>
    </row>
    <row r="825" spans="1:29">
      <c r="A825" s="3124">
        <v>824</v>
      </c>
      <c r="B825" s="3124" t="s">
        <v>4513</v>
      </c>
      <c r="C825" s="3124" t="s">
        <v>5407</v>
      </c>
      <c r="D825" s="3124" t="s">
        <v>4762</v>
      </c>
      <c r="E825" t="s">
        <v>4748</v>
      </c>
      <c r="F825" s="3234">
        <v>41361779</v>
      </c>
      <c r="G825" s="3124" t="s">
        <v>4749</v>
      </c>
      <c r="H825" s="3124">
        <v>20</v>
      </c>
      <c r="I825" s="3124">
        <v>20</v>
      </c>
      <c r="J825" s="3124">
        <v>3000</v>
      </c>
      <c r="K825" s="3124">
        <v>3000</v>
      </c>
      <c r="L825" s="3124">
        <v>1049.0999999999999</v>
      </c>
      <c r="M825" s="3124" t="s">
        <v>4763</v>
      </c>
      <c r="N825" s="3192">
        <v>45632</v>
      </c>
      <c r="O825" s="3192">
        <v>46209</v>
      </c>
      <c r="P825" s="3192">
        <v>45687</v>
      </c>
      <c r="Q825" s="3192">
        <v>46209</v>
      </c>
      <c r="R825" s="3124" t="s">
        <v>432</v>
      </c>
      <c r="S825" s="3124" t="s">
        <v>1690</v>
      </c>
      <c r="T825" s="3124" t="s">
        <v>2825</v>
      </c>
      <c r="U825" t="s">
        <v>1761</v>
      </c>
      <c r="V825" s="3124">
        <v>7000</v>
      </c>
      <c r="W825" s="3193">
        <v>0.85012857142857134</v>
      </c>
      <c r="X825" s="3124">
        <v>5950.9</v>
      </c>
      <c r="Y825" s="3124">
        <v>1</v>
      </c>
      <c r="Z825" s="3124"/>
      <c r="AA825" s="3124">
        <v>30000</v>
      </c>
      <c r="AB825" t="s">
        <v>1761</v>
      </c>
      <c r="AC825" s="3124"/>
    </row>
    <row r="826" spans="1:29">
      <c r="A826" s="3124">
        <v>825</v>
      </c>
      <c r="B826" s="3124" t="s">
        <v>4513</v>
      </c>
      <c r="C826" s="3124" t="s">
        <v>4760</v>
      </c>
      <c r="D826" s="3124" t="s">
        <v>4764</v>
      </c>
      <c r="E826" t="s">
        <v>4750</v>
      </c>
      <c r="F826" s="3234">
        <v>57846745</v>
      </c>
      <c r="G826" s="3124" t="s">
        <v>4751</v>
      </c>
      <c r="H826" s="3124">
        <v>20</v>
      </c>
      <c r="I826" s="3124">
        <v>20</v>
      </c>
      <c r="J826" s="3124">
        <v>3000</v>
      </c>
      <c r="K826" s="3124">
        <v>3000</v>
      </c>
      <c r="L826" s="3124">
        <v>1049.0999999999999</v>
      </c>
      <c r="M826" s="3124" t="s">
        <v>4763</v>
      </c>
      <c r="N826" s="3192">
        <v>45632</v>
      </c>
      <c r="O826" s="3192">
        <v>46209</v>
      </c>
      <c r="P826" s="3192">
        <v>45687</v>
      </c>
      <c r="Q826" s="3192">
        <v>46209</v>
      </c>
      <c r="R826" s="3124" t="s">
        <v>433</v>
      </c>
      <c r="S826" s="3124" t="s">
        <v>1690</v>
      </c>
      <c r="T826" s="3124" t="s">
        <v>2825</v>
      </c>
      <c r="U826" t="s">
        <v>1761</v>
      </c>
      <c r="V826" s="3124">
        <v>7000</v>
      </c>
      <c r="W826" s="3193">
        <v>0.85012857142857134</v>
      </c>
      <c r="X826" s="3124">
        <v>5950.9</v>
      </c>
      <c r="Y826" s="3124">
        <v>1</v>
      </c>
      <c r="Z826" s="3124"/>
      <c r="AA826" s="3124">
        <v>30000</v>
      </c>
      <c r="AB826" t="s">
        <v>1761</v>
      </c>
      <c r="AC826" s="3124"/>
    </row>
    <row r="827" spans="1:29">
      <c r="A827" s="3124">
        <v>826</v>
      </c>
      <c r="B827" s="3124" t="s">
        <v>4513</v>
      </c>
      <c r="C827" s="3124" t="s">
        <v>5408</v>
      </c>
      <c r="D827" s="3124" t="s">
        <v>4765</v>
      </c>
      <c r="E827" t="s">
        <v>4752</v>
      </c>
      <c r="F827" s="3234">
        <v>46110581</v>
      </c>
      <c r="G827" s="3190" t="s">
        <v>4753</v>
      </c>
      <c r="H827" s="3124">
        <v>20</v>
      </c>
      <c r="I827" s="3124">
        <v>20</v>
      </c>
      <c r="J827" s="3124">
        <v>3000</v>
      </c>
      <c r="K827" s="3124">
        <v>3000</v>
      </c>
      <c r="L827" s="3124">
        <v>1049.0999999999999</v>
      </c>
      <c r="M827" s="3124" t="s">
        <v>4763</v>
      </c>
      <c r="N827" s="3192">
        <v>45632</v>
      </c>
      <c r="O827" s="3192">
        <v>46209</v>
      </c>
      <c r="P827" s="3192">
        <v>45687</v>
      </c>
      <c r="Q827" s="3192">
        <v>46209</v>
      </c>
      <c r="R827" s="3124" t="s">
        <v>433</v>
      </c>
      <c r="S827" s="3124" t="s">
        <v>1690</v>
      </c>
      <c r="T827" s="3124" t="s">
        <v>2825</v>
      </c>
      <c r="U827" t="s">
        <v>1761</v>
      </c>
      <c r="V827" s="3124">
        <v>7000</v>
      </c>
      <c r="W827" s="3193">
        <v>0.85012857142857134</v>
      </c>
      <c r="X827" s="3124">
        <v>5950.9</v>
      </c>
      <c r="Y827" s="3124">
        <v>1</v>
      </c>
      <c r="Z827" s="3124"/>
      <c r="AA827" s="3124">
        <v>30000</v>
      </c>
      <c r="AB827" t="s">
        <v>1761</v>
      </c>
      <c r="AC827" s="3124"/>
    </row>
    <row r="828" spans="1:29">
      <c r="A828" s="3124">
        <v>827</v>
      </c>
      <c r="B828" s="3124" t="s">
        <v>4513</v>
      </c>
      <c r="C828" s="3124" t="s">
        <v>4761</v>
      </c>
      <c r="D828" s="3124" t="s">
        <v>4766</v>
      </c>
      <c r="E828" t="s">
        <v>4754</v>
      </c>
      <c r="F828" s="3234">
        <v>42205520</v>
      </c>
      <c r="G828" s="3124" t="s">
        <v>4755</v>
      </c>
      <c r="H828" s="3124">
        <v>20</v>
      </c>
      <c r="I828" s="3124">
        <v>20</v>
      </c>
      <c r="J828" s="3124">
        <v>3000</v>
      </c>
      <c r="K828" s="3124">
        <v>3000</v>
      </c>
      <c r="L828" s="3124">
        <v>1049.0999999999999</v>
      </c>
      <c r="M828" s="3124" t="s">
        <v>4763</v>
      </c>
      <c r="N828" s="3192">
        <v>45632</v>
      </c>
      <c r="O828" s="3192">
        <v>46209</v>
      </c>
      <c r="P828" s="3192">
        <v>45687</v>
      </c>
      <c r="Q828" s="3192">
        <v>46209</v>
      </c>
      <c r="R828" s="3124" t="s">
        <v>432</v>
      </c>
      <c r="S828" s="3124" t="s">
        <v>1690</v>
      </c>
      <c r="T828" s="3124" t="s">
        <v>2825</v>
      </c>
      <c r="U828" t="s">
        <v>1761</v>
      </c>
      <c r="V828" s="3124">
        <v>7000</v>
      </c>
      <c r="W828" s="3193">
        <v>0.85012857142857134</v>
      </c>
      <c r="X828" s="3124">
        <v>5950.9</v>
      </c>
      <c r="Y828" s="3124">
        <v>1</v>
      </c>
      <c r="Z828" s="3124"/>
      <c r="AA828" s="3124">
        <v>30000</v>
      </c>
      <c r="AB828" t="s">
        <v>1761</v>
      </c>
      <c r="AC828" s="3124"/>
    </row>
    <row r="829" spans="1:29">
      <c r="A829" s="3124">
        <v>828</v>
      </c>
      <c r="B829" s="3124" t="s">
        <v>1123</v>
      </c>
      <c r="C829" s="3124" t="s">
        <v>4804</v>
      </c>
      <c r="D829" s="3124" t="s">
        <v>5123</v>
      </c>
      <c r="E829" t="s">
        <v>4805</v>
      </c>
      <c r="F829" s="3234" t="s">
        <v>4806</v>
      </c>
      <c r="G829" s="3124" t="s">
        <v>4807</v>
      </c>
      <c r="H829" s="3124">
        <v>10</v>
      </c>
      <c r="I829" s="3124">
        <v>10</v>
      </c>
      <c r="J829" s="3124">
        <v>0</v>
      </c>
      <c r="K829" s="3124"/>
      <c r="L829" s="3124">
        <v>3472</v>
      </c>
      <c r="M829" s="3124" t="s">
        <v>4808</v>
      </c>
      <c r="N829" s="3192">
        <v>45632</v>
      </c>
      <c r="O829" s="3192">
        <v>45906</v>
      </c>
      <c r="P829" s="3192">
        <v>45694</v>
      </c>
      <c r="Q829" s="3192">
        <v>45906</v>
      </c>
      <c r="R829" s="3124" t="s">
        <v>433</v>
      </c>
      <c r="S829" s="3124" t="s">
        <v>1939</v>
      </c>
      <c r="T829" s="3124" t="s">
        <v>4255</v>
      </c>
      <c r="U829" t="s">
        <v>1761</v>
      </c>
      <c r="V829" s="3124">
        <v>7000</v>
      </c>
      <c r="W829" s="3193">
        <v>0.504</v>
      </c>
      <c r="X829" s="3124">
        <v>3528</v>
      </c>
      <c r="Y829" s="3124">
        <v>0</v>
      </c>
      <c r="Z829" s="3124">
        <v>8000</v>
      </c>
      <c r="AA829" s="3124">
        <v>29000</v>
      </c>
      <c r="AB829" t="s">
        <v>1195</v>
      </c>
      <c r="AC829" s="3124"/>
    </row>
    <row r="830" spans="1:29">
      <c r="A830" s="3124">
        <v>829</v>
      </c>
      <c r="B830" s="3124" t="s">
        <v>1123</v>
      </c>
      <c r="C830" s="3124" t="s">
        <v>4818</v>
      </c>
      <c r="D830" s="3124" t="s">
        <v>5124</v>
      </c>
      <c r="E830" t="s">
        <v>4819</v>
      </c>
      <c r="F830" s="3234">
        <v>7121988273</v>
      </c>
      <c r="G830" s="3124" t="s">
        <v>4820</v>
      </c>
      <c r="H830" s="3124">
        <v>6</v>
      </c>
      <c r="I830" s="3124">
        <v>6</v>
      </c>
      <c r="J830" s="3124">
        <v>1500</v>
      </c>
      <c r="K830" s="3124"/>
      <c r="L830" s="3124">
        <v>3497</v>
      </c>
      <c r="M830" s="3124" t="s">
        <v>3833</v>
      </c>
      <c r="N830" s="3192">
        <v>45703</v>
      </c>
      <c r="O830" s="3192">
        <v>45853</v>
      </c>
      <c r="P830" s="3192">
        <v>45698</v>
      </c>
      <c r="Q830" s="3192">
        <v>45853</v>
      </c>
      <c r="R830" s="3124" t="s">
        <v>432</v>
      </c>
      <c r="S830" s="3124" t="s">
        <v>1939</v>
      </c>
      <c r="T830" s="3124" t="s">
        <v>1918</v>
      </c>
      <c r="U830" t="s">
        <v>1195</v>
      </c>
      <c r="V830" s="3124">
        <v>7000</v>
      </c>
      <c r="W830" s="3193">
        <v>0.50042857142857144</v>
      </c>
      <c r="X830" s="3124">
        <v>3503</v>
      </c>
      <c r="Y830" s="3124">
        <v>0</v>
      </c>
      <c r="Z830" s="3124">
        <v>8000</v>
      </c>
      <c r="AA830" s="3124">
        <v>29000</v>
      </c>
      <c r="AB830" t="s">
        <v>1195</v>
      </c>
      <c r="AC830" s="3124"/>
    </row>
    <row r="831" spans="1:29">
      <c r="A831" s="3124">
        <v>830</v>
      </c>
      <c r="B831" s="3124" t="s">
        <v>1621</v>
      </c>
      <c r="C831" s="3124" t="s">
        <v>5128</v>
      </c>
      <c r="D831" s="3124" t="s">
        <v>629</v>
      </c>
      <c r="E831" t="s">
        <v>4821</v>
      </c>
      <c r="F831" s="3234">
        <v>9513231034</v>
      </c>
      <c r="G831" s="3124" t="s">
        <v>4822</v>
      </c>
      <c r="H831" s="3124">
        <v>20</v>
      </c>
      <c r="I831" s="3124">
        <v>20</v>
      </c>
      <c r="J831" s="3124"/>
      <c r="K831" s="3124">
        <v>2000</v>
      </c>
      <c r="L831" s="3124">
        <v>2275</v>
      </c>
      <c r="M831" s="3124" t="s">
        <v>4178</v>
      </c>
      <c r="N831" s="3192">
        <v>45723</v>
      </c>
      <c r="O831" s="3192">
        <v>46302</v>
      </c>
      <c r="P831" s="3192">
        <v>45727</v>
      </c>
      <c r="Q831" s="3192">
        <v>46306</v>
      </c>
      <c r="R831" s="3124" t="s">
        <v>433</v>
      </c>
      <c r="S831" s="3124" t="s">
        <v>1640</v>
      </c>
      <c r="T831" s="3124" t="s">
        <v>1850</v>
      </c>
      <c r="U831" t="s">
        <v>1869</v>
      </c>
      <c r="V831" s="3124">
        <v>5000</v>
      </c>
      <c r="W831" s="3193">
        <v>0.54500000000000004</v>
      </c>
      <c r="X831" s="3124">
        <v>2725</v>
      </c>
      <c r="Y831" s="3124">
        <v>2</v>
      </c>
      <c r="Z831" s="3124"/>
      <c r="AA831" s="3124">
        <v>26000</v>
      </c>
      <c r="AB831" t="s">
        <v>1869</v>
      </c>
      <c r="AC831" s="3124"/>
    </row>
    <row r="832" spans="1:29">
      <c r="A832" s="3124">
        <v>831</v>
      </c>
      <c r="B832" s="3124" t="s">
        <v>1625</v>
      </c>
      <c r="C832" s="3217" t="s">
        <v>4832</v>
      </c>
      <c r="D832" s="3124" t="s">
        <v>5125</v>
      </c>
      <c r="E832" t="s">
        <v>4833</v>
      </c>
      <c r="F832" s="3802">
        <v>4871093347</v>
      </c>
      <c r="G832" s="3124" t="s">
        <v>4834</v>
      </c>
      <c r="H832" s="3124">
        <v>20</v>
      </c>
      <c r="I832" s="3124">
        <v>20</v>
      </c>
      <c r="J832" s="3124" t="s">
        <v>1948</v>
      </c>
      <c r="K832" s="3124">
        <v>3000</v>
      </c>
      <c r="L832" s="3124">
        <v>3497</v>
      </c>
      <c r="M832" s="3124" t="s">
        <v>3833</v>
      </c>
      <c r="N832" s="3192">
        <v>45703</v>
      </c>
      <c r="O832" s="3192">
        <v>46240</v>
      </c>
      <c r="P832" s="3192">
        <v>45701</v>
      </c>
      <c r="Q832" s="3192">
        <v>46280</v>
      </c>
      <c r="R832" s="3124" t="s">
        <v>433</v>
      </c>
      <c r="S832" s="3124" t="s">
        <v>1690</v>
      </c>
      <c r="T832" s="3124" t="s">
        <v>1850</v>
      </c>
      <c r="U832" t="s">
        <v>1761</v>
      </c>
      <c r="V832" s="3124">
        <v>7000</v>
      </c>
      <c r="W832" s="3193">
        <v>0.50042857142857144</v>
      </c>
      <c r="X832" s="3124">
        <v>3503</v>
      </c>
      <c r="Y832" s="3124">
        <v>1</v>
      </c>
      <c r="Z832" s="3124"/>
      <c r="AA832" s="3124">
        <v>29000</v>
      </c>
      <c r="AB832" t="s">
        <v>1761</v>
      </c>
      <c r="AC832" s="3124"/>
    </row>
    <row r="833" spans="1:29">
      <c r="A833" s="3124">
        <v>832</v>
      </c>
      <c r="B833" s="3124" t="s">
        <v>1623</v>
      </c>
      <c r="C833" s="3124" t="s">
        <v>4835</v>
      </c>
      <c r="D833" s="3124" t="s">
        <v>5126</v>
      </c>
      <c r="E833" t="s">
        <v>4836</v>
      </c>
      <c r="F833" s="3234">
        <v>50242609444</v>
      </c>
      <c r="G833" s="3124" t="s">
        <v>4837</v>
      </c>
      <c r="H833" s="3124">
        <v>20</v>
      </c>
      <c r="I833" s="3124">
        <v>20</v>
      </c>
      <c r="J833" s="3124" t="s">
        <v>1948</v>
      </c>
      <c r="K833" s="3124">
        <v>3000</v>
      </c>
      <c r="L833" s="3124">
        <v>4400</v>
      </c>
      <c r="M833" s="3124" t="s">
        <v>3833</v>
      </c>
      <c r="N833" s="3192">
        <v>45703</v>
      </c>
      <c r="O833" s="3192">
        <v>46283</v>
      </c>
      <c r="P833" s="3192">
        <v>45701</v>
      </c>
      <c r="Q833" s="3192">
        <v>46280</v>
      </c>
      <c r="R833" s="3124" t="s">
        <v>433</v>
      </c>
      <c r="S833" s="3124" t="s">
        <v>1974</v>
      </c>
      <c r="T833" s="3124" t="s">
        <v>1850</v>
      </c>
      <c r="U833" t="s">
        <v>1761</v>
      </c>
      <c r="V833" s="3124">
        <v>7000</v>
      </c>
      <c r="W833" s="3193">
        <v>0.37142857142857144</v>
      </c>
      <c r="X833" s="3124">
        <v>2600</v>
      </c>
      <c r="Y833" s="3124">
        <v>1</v>
      </c>
      <c r="Z833" s="3124">
        <v>0</v>
      </c>
      <c r="AA833" s="3124">
        <v>29000</v>
      </c>
      <c r="AB833" t="s">
        <v>1761</v>
      </c>
      <c r="AC833" s="3124"/>
    </row>
    <row r="834" spans="1:29">
      <c r="A834" s="3124">
        <v>833</v>
      </c>
      <c r="B834" s="3124" t="s">
        <v>1691</v>
      </c>
      <c r="C834" s="3124" t="s">
        <v>5108</v>
      </c>
      <c r="D834" s="3124" t="s">
        <v>5109</v>
      </c>
      <c r="E834" t="s">
        <v>4838</v>
      </c>
      <c r="F834" s="3234">
        <v>42191735</v>
      </c>
      <c r="G834" s="3124" t="s">
        <v>4839</v>
      </c>
      <c r="H834" s="3124">
        <v>16</v>
      </c>
      <c r="I834" s="3124">
        <v>16</v>
      </c>
      <c r="J834" s="3124">
        <v>2000</v>
      </c>
      <c r="K834" s="3124">
        <v>2000</v>
      </c>
      <c r="L834" s="3124">
        <v>682.5</v>
      </c>
      <c r="M834" s="3124" t="s">
        <v>4840</v>
      </c>
      <c r="N834" s="3192">
        <v>45690</v>
      </c>
      <c r="O834" s="3192">
        <v>46283</v>
      </c>
      <c r="P834" s="3192">
        <v>45720</v>
      </c>
      <c r="Q834" s="3192">
        <v>46144</v>
      </c>
      <c r="R834" s="3124" t="s">
        <v>432</v>
      </c>
      <c r="S834" s="3124" t="s">
        <v>1949</v>
      </c>
      <c r="T834" s="3124" t="s">
        <v>2825</v>
      </c>
      <c r="U834" t="s">
        <v>1761</v>
      </c>
      <c r="V834" s="3124">
        <v>5000</v>
      </c>
      <c r="W834" s="3193">
        <v>0.86350000000000005</v>
      </c>
      <c r="X834" s="3124">
        <v>4317.5</v>
      </c>
      <c r="Y834" s="3124">
        <v>2</v>
      </c>
      <c r="Z834" s="3124"/>
      <c r="AA834" s="3124">
        <v>26000</v>
      </c>
      <c r="AB834" t="s">
        <v>1761</v>
      </c>
      <c r="AC834" s="3124"/>
    </row>
    <row r="835" spans="1:29">
      <c r="A835" s="3124">
        <v>834</v>
      </c>
      <c r="B835" s="3124" t="s">
        <v>1691</v>
      </c>
      <c r="C835" s="3124" t="s">
        <v>4841</v>
      </c>
      <c r="D835" s="3124" t="s">
        <v>5129</v>
      </c>
      <c r="E835" t="s">
        <v>4842</v>
      </c>
      <c r="F835" s="3234">
        <v>54373468</v>
      </c>
      <c r="G835" s="3124" t="s">
        <v>5333</v>
      </c>
      <c r="H835" s="3124">
        <v>16</v>
      </c>
      <c r="I835" s="3124">
        <v>16</v>
      </c>
      <c r="J835" s="3124">
        <v>2000</v>
      </c>
      <c r="K835" s="3124">
        <v>2000</v>
      </c>
      <c r="L835" s="3124">
        <v>682.5</v>
      </c>
      <c r="M835" s="3124" t="s">
        <v>4840</v>
      </c>
      <c r="N835" s="3192">
        <v>45690</v>
      </c>
      <c r="O835" s="3192">
        <v>46283</v>
      </c>
      <c r="P835" s="3192">
        <v>45720</v>
      </c>
      <c r="Q835" s="3192">
        <v>46144</v>
      </c>
      <c r="R835" s="3124" t="s">
        <v>432</v>
      </c>
      <c r="S835" s="3124" t="s">
        <v>1949</v>
      </c>
      <c r="T835" s="3124" t="s">
        <v>2825</v>
      </c>
      <c r="U835" t="s">
        <v>1761</v>
      </c>
      <c r="V835" s="3124">
        <v>5000</v>
      </c>
      <c r="W835" s="3193">
        <v>0.86350000000000005</v>
      </c>
      <c r="X835" s="3124">
        <v>4317.5</v>
      </c>
      <c r="Y835" s="3124">
        <v>2</v>
      </c>
      <c r="Z835" s="3124"/>
      <c r="AA835" s="3124">
        <v>26000</v>
      </c>
      <c r="AB835" t="s">
        <v>1761</v>
      </c>
      <c r="AC835" s="3124"/>
    </row>
    <row r="836" spans="1:29">
      <c r="A836" s="3124">
        <v>835</v>
      </c>
      <c r="B836" s="3124" t="s">
        <v>4513</v>
      </c>
      <c r="C836" s="3124" t="s">
        <v>4849</v>
      </c>
      <c r="D836" s="3124" t="s">
        <v>5110</v>
      </c>
      <c r="E836" t="s">
        <v>4843</v>
      </c>
      <c r="F836" s="3234">
        <v>47559436</v>
      </c>
      <c r="G836" s="3124" t="s">
        <v>5275</v>
      </c>
      <c r="H836" s="3124">
        <v>20</v>
      </c>
      <c r="I836" s="3124">
        <v>20</v>
      </c>
      <c r="J836" s="3124">
        <v>3000</v>
      </c>
      <c r="K836" s="3124">
        <v>3000</v>
      </c>
      <c r="L836" s="3124">
        <v>1049.0999999999999</v>
      </c>
      <c r="M836" s="3124" t="s">
        <v>4763</v>
      </c>
      <c r="N836" s="3192">
        <v>45659</v>
      </c>
      <c r="O836" s="3192">
        <v>46283</v>
      </c>
      <c r="P836" s="3192">
        <v>45720</v>
      </c>
      <c r="Q836" s="3192">
        <v>46236</v>
      </c>
      <c r="R836" s="3124" t="s">
        <v>433</v>
      </c>
      <c r="S836" s="3124" t="s">
        <v>1690</v>
      </c>
      <c r="T836" s="3124" t="s">
        <v>2825</v>
      </c>
      <c r="U836" t="s">
        <v>1761</v>
      </c>
      <c r="V836" s="3124">
        <v>7000</v>
      </c>
      <c r="W836" s="3193">
        <v>0.85012857142857134</v>
      </c>
      <c r="X836" s="3124">
        <v>5950.9</v>
      </c>
      <c r="Y836" s="3124">
        <v>1</v>
      </c>
      <c r="Z836" s="3124"/>
      <c r="AA836" s="3124">
        <v>30000</v>
      </c>
      <c r="AB836" t="s">
        <v>1761</v>
      </c>
      <c r="AC836" s="3124"/>
    </row>
    <row r="837" spans="1:29">
      <c r="A837" s="3124">
        <v>836</v>
      </c>
      <c r="B837" s="3124" t="s">
        <v>4513</v>
      </c>
      <c r="C837" s="3124" t="s">
        <v>4850</v>
      </c>
      <c r="D837" s="3124" t="s">
        <v>5111</v>
      </c>
      <c r="E837" t="s">
        <v>3120</v>
      </c>
      <c r="F837" s="3234">
        <v>53435000</v>
      </c>
      <c r="G837" s="3124" t="s">
        <v>5334</v>
      </c>
      <c r="H837" s="3124">
        <v>20</v>
      </c>
      <c r="I837" s="3124">
        <v>20</v>
      </c>
      <c r="J837" s="3124">
        <v>3000</v>
      </c>
      <c r="K837" s="3124">
        <v>3000</v>
      </c>
      <c r="L837" s="3124">
        <v>1049.0999999999999</v>
      </c>
      <c r="M837" s="3124" t="s">
        <v>4763</v>
      </c>
      <c r="N837" s="3192">
        <v>45690</v>
      </c>
      <c r="O837" s="3192">
        <v>46159</v>
      </c>
      <c r="P837" s="3192">
        <v>45720</v>
      </c>
      <c r="Q837" s="3192">
        <v>46267</v>
      </c>
      <c r="R837" s="3124" t="s">
        <v>433</v>
      </c>
      <c r="S837" s="3124" t="s">
        <v>1690</v>
      </c>
      <c r="T837" s="3124" t="s">
        <v>2825</v>
      </c>
      <c r="U837" t="s">
        <v>1761</v>
      </c>
      <c r="V837" s="3124">
        <v>7000</v>
      </c>
      <c r="W837" s="3193">
        <v>0.85012857142857134</v>
      </c>
      <c r="X837" s="3124">
        <v>5950.9</v>
      </c>
      <c r="Y837" s="3124">
        <v>1</v>
      </c>
      <c r="Z837" s="3124"/>
      <c r="AA837" s="3124">
        <v>30000</v>
      </c>
      <c r="AB837" t="s">
        <v>1761</v>
      </c>
      <c r="AC837" s="3124"/>
    </row>
    <row r="838" spans="1:29">
      <c r="A838" s="3124">
        <v>837</v>
      </c>
      <c r="B838" s="3124" t="s">
        <v>4513</v>
      </c>
      <c r="C838" s="3124" t="s">
        <v>4851</v>
      </c>
      <c r="D838" s="3124" t="s">
        <v>5112</v>
      </c>
      <c r="E838" t="s">
        <v>4844</v>
      </c>
      <c r="F838" s="3234">
        <v>53234464</v>
      </c>
      <c r="G838" s="3124" t="s">
        <v>5335</v>
      </c>
      <c r="H838" s="3124">
        <v>20</v>
      </c>
      <c r="I838" s="3124">
        <v>20</v>
      </c>
      <c r="J838" s="3124">
        <v>3000</v>
      </c>
      <c r="K838" s="3124">
        <v>3000</v>
      </c>
      <c r="L838" s="3124">
        <v>1049.0999999999999</v>
      </c>
      <c r="M838" s="3124" t="s">
        <v>4763</v>
      </c>
      <c r="N838" s="3192">
        <v>45690</v>
      </c>
      <c r="O838" s="3192">
        <v>46283</v>
      </c>
      <c r="P838" s="3192">
        <v>45720</v>
      </c>
      <c r="Q838" s="3192">
        <v>46267</v>
      </c>
      <c r="R838" s="3124" t="s">
        <v>432</v>
      </c>
      <c r="S838" s="3124" t="s">
        <v>1690</v>
      </c>
      <c r="T838" s="3124" t="s">
        <v>2825</v>
      </c>
      <c r="U838" t="s">
        <v>1761</v>
      </c>
      <c r="V838" s="3124">
        <v>7000</v>
      </c>
      <c r="W838" s="3193">
        <v>0.85012857142857134</v>
      </c>
      <c r="X838" s="3124">
        <v>5950.9</v>
      </c>
      <c r="Y838" s="3124">
        <v>1</v>
      </c>
      <c r="Z838" s="3124"/>
      <c r="AA838" s="3124">
        <v>30000</v>
      </c>
      <c r="AB838" t="s">
        <v>1761</v>
      </c>
      <c r="AC838" s="3124"/>
    </row>
    <row r="839" spans="1:29">
      <c r="A839" s="3124">
        <v>838</v>
      </c>
      <c r="B839" s="3124" t="s">
        <v>4513</v>
      </c>
      <c r="C839" s="3124" t="s">
        <v>4852</v>
      </c>
      <c r="D839" s="3124" t="s">
        <v>5113</v>
      </c>
      <c r="E839" s="3841" t="s">
        <v>4845</v>
      </c>
      <c r="F839" s="3234">
        <v>40399993</v>
      </c>
      <c r="G839" s="3124" t="s">
        <v>4846</v>
      </c>
      <c r="H839" s="3124">
        <v>20</v>
      </c>
      <c r="I839" s="3124">
        <v>20</v>
      </c>
      <c r="J839" s="3124">
        <v>3000</v>
      </c>
      <c r="K839" s="3124">
        <v>3000</v>
      </c>
      <c r="L839" s="3124">
        <v>1049.0999999999999</v>
      </c>
      <c r="M839" s="3124" t="s">
        <v>4763</v>
      </c>
      <c r="N839" s="3192">
        <v>45690</v>
      </c>
      <c r="O839" s="3192">
        <v>46159</v>
      </c>
      <c r="P839" s="3192">
        <v>45720</v>
      </c>
      <c r="Q839" s="3192">
        <v>46267</v>
      </c>
      <c r="R839" s="3124" t="s">
        <v>432</v>
      </c>
      <c r="S839" s="3124" t="s">
        <v>1690</v>
      </c>
      <c r="T839" s="3124" t="s">
        <v>2825</v>
      </c>
      <c r="U839" t="s">
        <v>1761</v>
      </c>
      <c r="V839" s="3124">
        <v>7000</v>
      </c>
      <c r="W839" s="3193">
        <v>0.85012857142857134</v>
      </c>
      <c r="X839" s="3124">
        <v>5950.9</v>
      </c>
      <c r="Y839" s="3124">
        <v>1</v>
      </c>
      <c r="Z839" s="3124"/>
      <c r="AA839" s="3124">
        <v>30000</v>
      </c>
      <c r="AB839" t="s">
        <v>1761</v>
      </c>
      <c r="AC839" s="3124"/>
    </row>
    <row r="840" spans="1:29">
      <c r="A840" s="3124">
        <v>839</v>
      </c>
      <c r="B840" s="3124" t="s">
        <v>4513</v>
      </c>
      <c r="C840" s="3124" t="s">
        <v>4853</v>
      </c>
      <c r="D840" s="3124" t="s">
        <v>5114</v>
      </c>
      <c r="E840" t="s">
        <v>4847</v>
      </c>
      <c r="F840" s="3234">
        <v>57800248</v>
      </c>
      <c r="G840" s="3124" t="s">
        <v>4507</v>
      </c>
      <c r="H840" s="3124">
        <v>20</v>
      </c>
      <c r="I840" s="3124">
        <v>20</v>
      </c>
      <c r="J840" s="3124">
        <v>3000</v>
      </c>
      <c r="K840" s="3124">
        <v>3000</v>
      </c>
      <c r="L840" s="3124">
        <v>1049.0999999999999</v>
      </c>
      <c r="M840" s="3124" t="s">
        <v>4763</v>
      </c>
      <c r="N840" s="3192">
        <v>45690</v>
      </c>
      <c r="O840" s="3192">
        <v>46283</v>
      </c>
      <c r="P840" s="3192">
        <v>45720</v>
      </c>
      <c r="Q840" s="3192">
        <v>46267</v>
      </c>
      <c r="R840" s="3124" t="s">
        <v>432</v>
      </c>
      <c r="S840" s="3124" t="s">
        <v>1690</v>
      </c>
      <c r="T840" s="3124" t="s">
        <v>2825</v>
      </c>
      <c r="U840" t="s">
        <v>1761</v>
      </c>
      <c r="V840" s="3124">
        <v>7000</v>
      </c>
      <c r="W840" s="3193">
        <v>0.85012857142857134</v>
      </c>
      <c r="X840" s="3124">
        <v>5950.9</v>
      </c>
      <c r="Y840" s="3124">
        <v>1</v>
      </c>
      <c r="Z840" s="3124"/>
      <c r="AA840" s="3124">
        <v>30000</v>
      </c>
      <c r="AB840" t="s">
        <v>1761</v>
      </c>
      <c r="AC840" s="3124"/>
    </row>
    <row r="841" spans="1:29">
      <c r="A841" s="3124">
        <v>840</v>
      </c>
      <c r="B841" s="3124" t="s">
        <v>1123</v>
      </c>
      <c r="C841" s="3124" t="s">
        <v>4870</v>
      </c>
      <c r="D841" s="3124" t="s">
        <v>5127</v>
      </c>
      <c r="E841" t="s">
        <v>4871</v>
      </c>
      <c r="F841" s="3234">
        <v>5513862022</v>
      </c>
      <c r="G841" s="3124" t="s">
        <v>4872</v>
      </c>
      <c r="H841" s="3124">
        <v>6</v>
      </c>
      <c r="I841" s="3124">
        <v>6</v>
      </c>
      <c r="J841" s="3124">
        <v>1500</v>
      </c>
      <c r="K841" s="3124"/>
      <c r="L841" s="3124">
        <v>3497</v>
      </c>
      <c r="M841" s="3124" t="s">
        <v>3833</v>
      </c>
      <c r="N841" s="3192">
        <v>45715</v>
      </c>
      <c r="O841" s="3192">
        <v>45865</v>
      </c>
      <c r="P841" s="3192">
        <v>45719</v>
      </c>
      <c r="Q841" s="3192">
        <v>45865</v>
      </c>
      <c r="R841" s="3124" t="s">
        <v>433</v>
      </c>
      <c r="S841" s="3124" t="s">
        <v>1939</v>
      </c>
      <c r="T841" s="3124" t="s">
        <v>1918</v>
      </c>
      <c r="U841" t="s">
        <v>1195</v>
      </c>
      <c r="V841" s="3124">
        <v>7000</v>
      </c>
      <c r="W841" s="3193">
        <v>0.50042857142857144</v>
      </c>
      <c r="X841" s="3124">
        <v>3503</v>
      </c>
      <c r="Y841" s="3124"/>
      <c r="Z841" s="3124">
        <v>8000</v>
      </c>
      <c r="AA841" s="3124">
        <v>29000</v>
      </c>
      <c r="AB841" t="s">
        <v>1195</v>
      </c>
      <c r="AC841" s="3124"/>
    </row>
    <row r="842" spans="1:29">
      <c r="A842" s="3124">
        <v>841</v>
      </c>
      <c r="B842" s="3124" t="s">
        <v>1839</v>
      </c>
      <c r="C842" s="3124" t="s">
        <v>4907</v>
      </c>
      <c r="D842" s="3124" t="s">
        <v>5130</v>
      </c>
      <c r="E842" s="3188" t="s">
        <v>4908</v>
      </c>
      <c r="F842" s="3234">
        <v>9831577992</v>
      </c>
      <c r="G842" s="3124" t="s">
        <v>4909</v>
      </c>
      <c r="H842" s="3124">
        <v>8</v>
      </c>
      <c r="I842" s="3124">
        <v>8</v>
      </c>
      <c r="J842" s="3124">
        <v>1000</v>
      </c>
      <c r="K842" s="3124"/>
      <c r="L842" s="3124">
        <v>2275</v>
      </c>
      <c r="M842" s="3124" t="s">
        <v>4433</v>
      </c>
      <c r="N842" s="3192">
        <v>45724</v>
      </c>
      <c r="O842" s="3192">
        <v>46240</v>
      </c>
      <c r="P842" s="3192">
        <v>45728</v>
      </c>
      <c r="Q842" s="3192">
        <v>45938</v>
      </c>
      <c r="R842" s="3124" t="s">
        <v>432</v>
      </c>
      <c r="S842" s="3124" t="s">
        <v>1842</v>
      </c>
      <c r="T842" s="3124" t="s">
        <v>1850</v>
      </c>
      <c r="U842" t="s">
        <v>2653</v>
      </c>
      <c r="V842" s="3124">
        <v>5000</v>
      </c>
      <c r="W842" s="3193">
        <v>0.54500000000000004</v>
      </c>
      <c r="X842" s="3124">
        <v>2725</v>
      </c>
      <c r="Y842" s="3124">
        <v>0</v>
      </c>
      <c r="Z842" s="3124">
        <v>5000</v>
      </c>
      <c r="AA842" s="3124">
        <v>23000</v>
      </c>
      <c r="AB842" t="s">
        <v>629</v>
      </c>
      <c r="AC842" s="3124"/>
    </row>
    <row r="843" spans="1:29">
      <c r="A843" s="3124">
        <v>842</v>
      </c>
      <c r="B843" s="3124" t="s">
        <v>4513</v>
      </c>
      <c r="C843" s="3124" t="s">
        <v>5031</v>
      </c>
      <c r="D843" s="3124" t="s">
        <v>5115</v>
      </c>
      <c r="E843" s="3171" t="s">
        <v>4995</v>
      </c>
      <c r="F843" s="3234">
        <v>57101802</v>
      </c>
      <c r="G843" s="3124" t="s">
        <v>4996</v>
      </c>
      <c r="H843" s="3124">
        <v>20</v>
      </c>
      <c r="I843" s="3124">
        <v>20</v>
      </c>
      <c r="J843" s="3124">
        <v>3000</v>
      </c>
      <c r="K843" s="3124">
        <v>3000</v>
      </c>
      <c r="L843" s="3124">
        <v>1049.0999999999999</v>
      </c>
      <c r="M843" s="3124" t="s">
        <v>4763</v>
      </c>
      <c r="N843" s="3192">
        <v>45744</v>
      </c>
      <c r="O843" s="3192">
        <v>46323</v>
      </c>
      <c r="P843" s="3192"/>
      <c r="Q843" s="3192">
        <v>46323</v>
      </c>
      <c r="R843" s="3124" t="s">
        <v>432</v>
      </c>
      <c r="S843" s="3124" t="s">
        <v>1690</v>
      </c>
      <c r="T843" s="3124" t="s">
        <v>2825</v>
      </c>
      <c r="U843" t="s">
        <v>1761</v>
      </c>
      <c r="V843" s="3124">
        <v>7000</v>
      </c>
      <c r="W843" s="3193">
        <v>0.85012857142857134</v>
      </c>
      <c r="X843" s="3124">
        <v>5950.9</v>
      </c>
      <c r="Y843" s="3124">
        <v>1</v>
      </c>
      <c r="Z843" s="3124"/>
      <c r="AA843" s="3124">
        <v>30000</v>
      </c>
      <c r="AB843" t="s">
        <v>1761</v>
      </c>
      <c r="AC843" s="3124"/>
    </row>
    <row r="844" spans="1:29">
      <c r="A844" s="3124">
        <v>843</v>
      </c>
      <c r="B844" s="3124" t="s">
        <v>4513</v>
      </c>
      <c r="C844" s="3124" t="s">
        <v>5032</v>
      </c>
      <c r="D844" s="3124" t="s">
        <v>5116</v>
      </c>
      <c r="E844" t="s">
        <v>4997</v>
      </c>
      <c r="F844" s="3234">
        <v>54603202</v>
      </c>
      <c r="G844" s="3124" t="s">
        <v>4998</v>
      </c>
      <c r="H844" s="3124">
        <v>20</v>
      </c>
      <c r="I844" s="3124">
        <v>20</v>
      </c>
      <c r="J844" s="3124">
        <v>3000</v>
      </c>
      <c r="K844" s="3124">
        <v>3000</v>
      </c>
      <c r="L844" s="3124">
        <v>1049.0999999999999</v>
      </c>
      <c r="M844" s="3124" t="s">
        <v>4763</v>
      </c>
      <c r="N844" s="3192">
        <v>45744</v>
      </c>
      <c r="O844" s="3192">
        <v>46323</v>
      </c>
      <c r="P844" s="3192"/>
      <c r="Q844" s="3192">
        <v>46323</v>
      </c>
      <c r="R844" s="3124" t="s">
        <v>432</v>
      </c>
      <c r="S844" s="3124" t="s">
        <v>1690</v>
      </c>
      <c r="T844" s="3124" t="s">
        <v>2825</v>
      </c>
      <c r="U844" t="s">
        <v>1761</v>
      </c>
      <c r="V844" s="3124">
        <v>7000</v>
      </c>
      <c r="W844" s="3193">
        <v>0.85012857142857134</v>
      </c>
      <c r="X844" s="3124">
        <v>5950.9</v>
      </c>
      <c r="Y844" s="3124">
        <v>1</v>
      </c>
      <c r="Z844" s="3124"/>
      <c r="AA844" s="3124">
        <v>30000</v>
      </c>
      <c r="AB844" t="s">
        <v>1761</v>
      </c>
      <c r="AC844" s="3124"/>
    </row>
    <row r="845" spans="1:29">
      <c r="A845" s="3124">
        <v>844</v>
      </c>
      <c r="B845" s="3124" t="s">
        <v>1691</v>
      </c>
      <c r="C845" s="3124" t="s">
        <v>5020</v>
      </c>
      <c r="D845" s="3124" t="s">
        <v>5117</v>
      </c>
      <c r="E845" t="s">
        <v>4999</v>
      </c>
      <c r="F845" s="3234">
        <v>58430387</v>
      </c>
      <c r="G845" s="3124" t="s">
        <v>5000</v>
      </c>
      <c r="H845" s="3124">
        <v>16</v>
      </c>
      <c r="I845" s="3124">
        <v>16</v>
      </c>
      <c r="J845" s="3124">
        <v>2000</v>
      </c>
      <c r="K845" s="3124">
        <v>2000</v>
      </c>
      <c r="L845" s="3124">
        <v>682.5</v>
      </c>
      <c r="M845" s="3124" t="s">
        <v>4840</v>
      </c>
      <c r="N845" s="3192">
        <v>45744</v>
      </c>
      <c r="O845" s="3192">
        <v>46201</v>
      </c>
      <c r="P845" s="3192"/>
      <c r="Q845" s="3192">
        <v>46201</v>
      </c>
      <c r="R845" s="3124" t="s">
        <v>433</v>
      </c>
      <c r="S845" s="3124" t="s">
        <v>1949</v>
      </c>
      <c r="T845" s="3124" t="s">
        <v>2825</v>
      </c>
      <c r="U845" t="s">
        <v>1761</v>
      </c>
      <c r="V845" s="3124">
        <v>5000</v>
      </c>
      <c r="W845" s="3193">
        <v>0.86350000000000005</v>
      </c>
      <c r="X845" s="3124">
        <v>4317.5</v>
      </c>
      <c r="Y845" s="3124">
        <v>2</v>
      </c>
      <c r="Z845" s="3124"/>
      <c r="AA845" s="3124">
        <v>26000</v>
      </c>
      <c r="AB845" t="s">
        <v>1761</v>
      </c>
      <c r="AC845" s="3124"/>
    </row>
    <row r="846" spans="1:29">
      <c r="A846" s="3124">
        <v>845</v>
      </c>
      <c r="B846" s="3124" t="s">
        <v>1691</v>
      </c>
      <c r="C846" s="3124" t="s">
        <v>5092</v>
      </c>
      <c r="D846" s="3124" t="s">
        <v>5118</v>
      </c>
      <c r="E846" t="s">
        <v>5001</v>
      </c>
      <c r="F846" s="3234">
        <v>55887727</v>
      </c>
      <c r="G846" s="3124" t="s">
        <v>5002</v>
      </c>
      <c r="H846" s="3124">
        <v>16</v>
      </c>
      <c r="I846" s="3124">
        <v>16</v>
      </c>
      <c r="J846" s="3124">
        <v>2000</v>
      </c>
      <c r="K846" s="3124">
        <v>2000</v>
      </c>
      <c r="L846" s="3124">
        <v>682.5</v>
      </c>
      <c r="M846" s="3124" t="s">
        <v>4840</v>
      </c>
      <c r="N846" s="3192">
        <v>45744</v>
      </c>
      <c r="O846" s="3192">
        <v>46201</v>
      </c>
      <c r="P846" s="3192"/>
      <c r="Q846" s="3192">
        <v>46201</v>
      </c>
      <c r="R846" s="3124" t="s">
        <v>432</v>
      </c>
      <c r="S846" s="3124" t="s">
        <v>1949</v>
      </c>
      <c r="T846" s="3124" t="s">
        <v>2825</v>
      </c>
      <c r="U846" t="s">
        <v>1761</v>
      </c>
      <c r="V846" s="3124">
        <v>5000</v>
      </c>
      <c r="W846" s="3193">
        <v>0.86350000000000005</v>
      </c>
      <c r="X846" s="3124">
        <v>4317.5</v>
      </c>
      <c r="Y846" s="3124">
        <v>2</v>
      </c>
      <c r="Z846" s="3124"/>
      <c r="AA846" s="3124">
        <v>26000</v>
      </c>
      <c r="AB846" t="s">
        <v>1761</v>
      </c>
      <c r="AC846" s="3124"/>
    </row>
    <row r="847" spans="1:29">
      <c r="A847" s="3124">
        <v>846</v>
      </c>
      <c r="B847" s="3124" t="s">
        <v>1839</v>
      </c>
      <c r="C847" s="3124" t="s">
        <v>5003</v>
      </c>
      <c r="D847" s="3124" t="s">
        <v>5131</v>
      </c>
      <c r="E847" t="s">
        <v>5132</v>
      </c>
      <c r="F847" s="3234">
        <v>9981968817</v>
      </c>
      <c r="G847" s="3124" t="s">
        <v>5004</v>
      </c>
      <c r="H847" s="3124">
        <v>8</v>
      </c>
      <c r="I847" s="3124">
        <v>8</v>
      </c>
      <c r="J847" s="3124">
        <v>1000</v>
      </c>
      <c r="K847" s="3124"/>
      <c r="L847" s="3124">
        <v>2275</v>
      </c>
      <c r="M847" s="3124" t="s">
        <v>4433</v>
      </c>
      <c r="N847" s="3192">
        <v>45773</v>
      </c>
      <c r="O847" s="3192">
        <v>45987</v>
      </c>
      <c r="P847" s="3192">
        <v>45750</v>
      </c>
      <c r="Q847" s="3192">
        <v>45987</v>
      </c>
      <c r="R847" s="3124" t="s">
        <v>433</v>
      </c>
      <c r="S847" s="3124" t="s">
        <v>1842</v>
      </c>
      <c r="T847" s="3124" t="s">
        <v>1850</v>
      </c>
      <c r="U847" t="s">
        <v>1761</v>
      </c>
      <c r="V847" s="3124">
        <v>5000</v>
      </c>
      <c r="W847" s="3193">
        <v>0.54500000000000004</v>
      </c>
      <c r="X847" s="3124">
        <v>2725</v>
      </c>
      <c r="Y847" s="3124">
        <v>0</v>
      </c>
      <c r="Z847" s="3124">
        <v>5000</v>
      </c>
      <c r="AA847" s="3124">
        <v>21000</v>
      </c>
      <c r="AB847" t="s">
        <v>1761</v>
      </c>
      <c r="AC847" s="3124"/>
    </row>
    <row r="848" spans="1:29">
      <c r="A848" s="3124">
        <v>847</v>
      </c>
      <c r="B848" s="3124" t="s">
        <v>1839</v>
      </c>
      <c r="C848" s="3124" t="s">
        <v>5007</v>
      </c>
      <c r="D848" s="3124" t="s">
        <v>5133</v>
      </c>
      <c r="E848" s="4044" t="s">
        <v>5005</v>
      </c>
      <c r="F848" s="3234">
        <v>9981867622</v>
      </c>
      <c r="G848" s="3124" t="s">
        <v>5006</v>
      </c>
      <c r="H848" s="3124">
        <v>8</v>
      </c>
      <c r="I848" s="3124">
        <v>8</v>
      </c>
      <c r="J848" s="3124">
        <v>1000</v>
      </c>
      <c r="K848" s="3124"/>
      <c r="L848" s="3124">
        <v>2275</v>
      </c>
      <c r="M848" s="3124" t="s">
        <v>4433</v>
      </c>
      <c r="N848" s="3192">
        <v>45773</v>
      </c>
      <c r="O848" s="3192">
        <v>45987</v>
      </c>
      <c r="P848" s="3192">
        <v>45750</v>
      </c>
      <c r="Q848" s="3192">
        <v>45987</v>
      </c>
      <c r="R848" s="3124" t="s">
        <v>432</v>
      </c>
      <c r="S848" s="3124" t="s">
        <v>1842</v>
      </c>
      <c r="T848" s="3124" t="s">
        <v>1850</v>
      </c>
      <c r="U848" t="s">
        <v>1761</v>
      </c>
      <c r="V848" s="3124">
        <v>5000</v>
      </c>
      <c r="W848" s="3193">
        <v>0.54500000000000004</v>
      </c>
      <c r="X848" s="3124">
        <v>2725</v>
      </c>
      <c r="Y848" s="3124">
        <v>0</v>
      </c>
      <c r="Z848" s="3124">
        <v>5000</v>
      </c>
      <c r="AA848" s="3124">
        <v>21000</v>
      </c>
      <c r="AB848" t="s">
        <v>1761</v>
      </c>
      <c r="AC848" s="3124"/>
    </row>
    <row r="849" spans="1:29">
      <c r="A849" s="3124">
        <v>848</v>
      </c>
      <c r="B849" s="3124" t="s">
        <v>4513</v>
      </c>
      <c r="C849" s="3124" t="s">
        <v>5011</v>
      </c>
      <c r="D849" s="3124" t="s">
        <v>5119</v>
      </c>
      <c r="E849" t="s">
        <v>5008</v>
      </c>
      <c r="F849" s="3234">
        <v>53879438</v>
      </c>
      <c r="G849" s="3124" t="s">
        <v>4998</v>
      </c>
      <c r="H849" s="3124">
        <v>20</v>
      </c>
      <c r="I849" s="3124">
        <v>20</v>
      </c>
      <c r="J849" s="3124">
        <v>3000</v>
      </c>
      <c r="K849" s="3124">
        <v>3000</v>
      </c>
      <c r="L849" s="3124">
        <v>1049.0999999999999</v>
      </c>
      <c r="M849" s="3124" t="s">
        <v>4763</v>
      </c>
      <c r="N849" s="3192">
        <v>45744</v>
      </c>
      <c r="O849" s="3192">
        <v>46323</v>
      </c>
      <c r="P849" s="3192"/>
      <c r="Q849" s="3192">
        <v>578</v>
      </c>
      <c r="R849" s="3124" t="s">
        <v>433</v>
      </c>
      <c r="S849" s="3124" t="s">
        <v>1690</v>
      </c>
      <c r="T849" s="3124" t="s">
        <v>2825</v>
      </c>
      <c r="U849" t="s">
        <v>1761</v>
      </c>
      <c r="V849" s="3124">
        <v>7000</v>
      </c>
      <c r="W849" s="3193">
        <v>0.85012857142857134</v>
      </c>
      <c r="X849" s="3124">
        <v>5950.9</v>
      </c>
      <c r="Y849" s="3124">
        <v>1</v>
      </c>
      <c r="Z849" s="3124"/>
      <c r="AA849" s="3124">
        <v>30000</v>
      </c>
      <c r="AB849" t="s">
        <v>1761</v>
      </c>
      <c r="AC849" s="3124"/>
    </row>
    <row r="850" spans="1:29">
      <c r="A850" s="3124">
        <v>849</v>
      </c>
      <c r="B850" s="3124" t="s">
        <v>4513</v>
      </c>
      <c r="C850" s="3124" t="s">
        <v>5336</v>
      </c>
      <c r="D850" s="3124" t="s">
        <v>5120</v>
      </c>
      <c r="E850" t="s">
        <v>3727</v>
      </c>
      <c r="F850" s="3234"/>
      <c r="G850" s="3124"/>
      <c r="H850" s="3124">
        <v>20</v>
      </c>
      <c r="I850" s="3124">
        <v>20</v>
      </c>
      <c r="J850" s="3124">
        <v>3000</v>
      </c>
      <c r="K850" s="3124">
        <v>3000</v>
      </c>
      <c r="L850" s="3124">
        <v>1049.0999999999999</v>
      </c>
      <c r="M850" s="3124" t="s">
        <v>4763</v>
      </c>
      <c r="N850" s="3192">
        <v>45569</v>
      </c>
      <c r="O850" s="3192">
        <v>46147</v>
      </c>
      <c r="P850" s="3192">
        <v>45833</v>
      </c>
      <c r="Q850" s="3192">
        <v>45873</v>
      </c>
      <c r="R850" s="3124" t="s">
        <v>432</v>
      </c>
      <c r="S850" s="3124" t="s">
        <v>1690</v>
      </c>
      <c r="T850" s="3124" t="s">
        <v>2825</v>
      </c>
      <c r="U850" t="s">
        <v>1761</v>
      </c>
      <c r="V850" s="3124">
        <v>7000</v>
      </c>
      <c r="W850" s="3193">
        <v>0.85012857142857134</v>
      </c>
      <c r="X850" s="3124">
        <v>5950.9</v>
      </c>
      <c r="Y850" s="3124">
        <v>1</v>
      </c>
      <c r="Z850" s="3124">
        <v>0</v>
      </c>
      <c r="AA850" s="3124">
        <v>30000</v>
      </c>
      <c r="AB850" t="s">
        <v>1869</v>
      </c>
      <c r="AC850" s="3124"/>
    </row>
    <row r="851" spans="1:29">
      <c r="A851" s="3124">
        <v>850</v>
      </c>
      <c r="B851" s="3124" t="s">
        <v>1691</v>
      </c>
      <c r="C851" s="3124" t="s">
        <v>5336</v>
      </c>
      <c r="D851" s="3124" t="s">
        <v>5120</v>
      </c>
      <c r="E851" s="3172" t="s">
        <v>3727</v>
      </c>
      <c r="F851" s="3234"/>
      <c r="G851" s="3190"/>
      <c r="H851" s="3124">
        <v>16</v>
      </c>
      <c r="I851" s="3124">
        <v>16</v>
      </c>
      <c r="J851" s="3124">
        <v>2000</v>
      </c>
      <c r="K851" s="3124">
        <v>2000</v>
      </c>
      <c r="L851" s="3124">
        <v>682.5</v>
      </c>
      <c r="M851" s="3124" t="s">
        <v>4840</v>
      </c>
      <c r="N851" s="3192">
        <v>45569</v>
      </c>
      <c r="O851" s="3192">
        <v>46027</v>
      </c>
      <c r="P851" s="3192">
        <v>45833</v>
      </c>
      <c r="Q851" s="3192">
        <v>46290</v>
      </c>
      <c r="R851" s="3124" t="s">
        <v>432</v>
      </c>
      <c r="S851" s="3124" t="s">
        <v>1949</v>
      </c>
      <c r="T851" s="3124" t="s">
        <v>2825</v>
      </c>
      <c r="U851" t="s">
        <v>1761</v>
      </c>
      <c r="V851" s="3124">
        <v>5000</v>
      </c>
      <c r="W851" s="3193">
        <v>0.86350000000000005</v>
      </c>
      <c r="X851" s="3124">
        <v>4317.5</v>
      </c>
      <c r="Y851" s="3124">
        <v>2</v>
      </c>
      <c r="Z851" s="3124"/>
      <c r="AA851" s="3124">
        <v>26000</v>
      </c>
      <c r="AB851" t="s">
        <v>1869</v>
      </c>
      <c r="AC851" s="3124"/>
    </row>
    <row r="852" spans="1:29">
      <c r="A852" s="3124">
        <v>851</v>
      </c>
      <c r="B852" s="3124" t="s">
        <v>4513</v>
      </c>
      <c r="C852" s="3124" t="s">
        <v>5096</v>
      </c>
      <c r="D852" s="3124" t="s">
        <v>5121</v>
      </c>
      <c r="E852" t="s">
        <v>3118</v>
      </c>
      <c r="F852" s="3234">
        <v>54752065</v>
      </c>
      <c r="G852" s="3124" t="s">
        <v>5093</v>
      </c>
      <c r="H852" s="3124">
        <v>20</v>
      </c>
      <c r="I852" s="3124">
        <v>20</v>
      </c>
      <c r="J852" s="3124">
        <v>3000</v>
      </c>
      <c r="K852" s="3124">
        <v>3000</v>
      </c>
      <c r="L852" s="3124">
        <v>1049.0999999999999</v>
      </c>
      <c r="M852" s="3124" t="s">
        <v>4763</v>
      </c>
      <c r="N852" s="3192">
        <v>45775</v>
      </c>
      <c r="O852" s="3192">
        <v>46354</v>
      </c>
      <c r="P852" s="3192"/>
      <c r="Q852" s="3192">
        <v>578</v>
      </c>
      <c r="R852" s="3124" t="s">
        <v>433</v>
      </c>
      <c r="S852" s="3124" t="s">
        <v>1690</v>
      </c>
      <c r="T852" s="3124" t="s">
        <v>2825</v>
      </c>
      <c r="U852" t="s">
        <v>1761</v>
      </c>
      <c r="V852" s="3124">
        <v>7000</v>
      </c>
      <c r="W852" s="3193">
        <v>0.85012857142857134</v>
      </c>
      <c r="X852" s="3124">
        <v>5950.9</v>
      </c>
      <c r="Y852" s="3124">
        <v>1</v>
      </c>
      <c r="Z852" s="3124">
        <v>0</v>
      </c>
      <c r="AA852" s="3124">
        <v>30000</v>
      </c>
      <c r="AB852" t="s">
        <v>1761</v>
      </c>
      <c r="AC852" s="3124"/>
    </row>
    <row r="853" spans="1:29">
      <c r="A853" s="3124">
        <v>852</v>
      </c>
      <c r="B853" s="3124" t="s">
        <v>4513</v>
      </c>
      <c r="C853" s="3124" t="s">
        <v>5097</v>
      </c>
      <c r="D853" s="3124" t="s">
        <v>5122</v>
      </c>
      <c r="E853" t="s">
        <v>5094</v>
      </c>
      <c r="F853" s="3234">
        <v>57029541</v>
      </c>
      <c r="G853" s="3124" t="s">
        <v>5095</v>
      </c>
      <c r="H853" s="3124">
        <v>20</v>
      </c>
      <c r="I853" s="3124">
        <v>20</v>
      </c>
      <c r="J853" s="3124">
        <v>3000</v>
      </c>
      <c r="K853" s="3124">
        <v>3000</v>
      </c>
      <c r="L853" s="3124">
        <v>1049.0999999999999</v>
      </c>
      <c r="M853" s="3124" t="s">
        <v>4763</v>
      </c>
      <c r="N853" s="3192">
        <v>45775</v>
      </c>
      <c r="O853" s="3192">
        <v>46354</v>
      </c>
      <c r="P853" s="3192"/>
      <c r="Q853" s="3192">
        <v>578</v>
      </c>
      <c r="R853" s="3124" t="s">
        <v>433</v>
      </c>
      <c r="S853" s="3124" t="s">
        <v>1690</v>
      </c>
      <c r="T853" s="3124" t="s">
        <v>2825</v>
      </c>
      <c r="U853" t="s">
        <v>1761</v>
      </c>
      <c r="V853" s="3124">
        <v>7000</v>
      </c>
      <c r="W853" s="3193">
        <v>0.85012857142857134</v>
      </c>
      <c r="X853" s="3124">
        <v>5950.9</v>
      </c>
      <c r="Y853" s="3124">
        <v>1</v>
      </c>
      <c r="Z853" s="3124">
        <v>0</v>
      </c>
      <c r="AA853" s="3124">
        <v>30000</v>
      </c>
      <c r="AB853" t="s">
        <v>1761</v>
      </c>
      <c r="AC853" s="3124"/>
    </row>
    <row r="854" spans="1:29">
      <c r="A854" s="3124">
        <v>853</v>
      </c>
      <c r="B854" s="3124" t="s">
        <v>1691</v>
      </c>
      <c r="C854" s="3124" t="s">
        <v>5099</v>
      </c>
      <c r="D854" s="3124" t="s">
        <v>5134</v>
      </c>
      <c r="E854" t="s">
        <v>5100</v>
      </c>
      <c r="F854" s="3234">
        <v>47369279</v>
      </c>
      <c r="G854" s="3190" t="s">
        <v>5101</v>
      </c>
      <c r="H854" s="3124">
        <v>16</v>
      </c>
      <c r="I854" s="3124">
        <v>16</v>
      </c>
      <c r="J854" s="3124">
        <v>2400</v>
      </c>
      <c r="K854" s="3124">
        <v>2400</v>
      </c>
      <c r="L854" s="3124">
        <v>682.5</v>
      </c>
      <c r="M854" s="3124" t="s">
        <v>4840</v>
      </c>
      <c r="N854" s="3192">
        <v>45693</v>
      </c>
      <c r="O854" s="3192">
        <v>46236</v>
      </c>
      <c r="P854" s="3192"/>
      <c r="Q854" s="3192">
        <v>456</v>
      </c>
      <c r="R854" s="3124" t="s">
        <v>432</v>
      </c>
      <c r="S854" s="3124" t="s">
        <v>1949</v>
      </c>
      <c r="T854" s="3124" t="s">
        <v>2825</v>
      </c>
      <c r="U854" t="s">
        <v>1761</v>
      </c>
      <c r="V854" s="3124">
        <v>5000</v>
      </c>
      <c r="W854" s="3193">
        <v>0.86350000000000005</v>
      </c>
      <c r="X854" s="3124">
        <v>4317.5</v>
      </c>
      <c r="Y854" s="3124">
        <v>2</v>
      </c>
      <c r="Z854" s="3124">
        <v>0</v>
      </c>
      <c r="AA854" s="3124">
        <v>26000</v>
      </c>
      <c r="AB854" t="s">
        <v>1761</v>
      </c>
      <c r="AC854" s="3124"/>
    </row>
    <row r="855" spans="1:29">
      <c r="A855" s="3124">
        <v>854</v>
      </c>
      <c r="B855" s="3124" t="s">
        <v>1691</v>
      </c>
      <c r="C855" s="3124" t="s">
        <v>5337</v>
      </c>
      <c r="D855" s="3124" t="s">
        <v>5120</v>
      </c>
      <c r="E855" t="s">
        <v>5098</v>
      </c>
      <c r="F855" s="3234"/>
      <c r="G855" s="3124"/>
      <c r="H855" s="3124">
        <v>16</v>
      </c>
      <c r="I855" s="3124">
        <v>16</v>
      </c>
      <c r="J855" s="3124">
        <v>2400</v>
      </c>
      <c r="K855" s="3124">
        <v>2400</v>
      </c>
      <c r="L855" s="3124">
        <v>682.5</v>
      </c>
      <c r="M855" s="3124" t="s">
        <v>4840</v>
      </c>
      <c r="N855" s="3192">
        <v>45485</v>
      </c>
      <c r="O855" s="3192">
        <v>46027</v>
      </c>
      <c r="P855" s="3192">
        <v>45833</v>
      </c>
      <c r="Q855" s="3192">
        <v>46290</v>
      </c>
      <c r="R855" s="3124" t="s">
        <v>432</v>
      </c>
      <c r="S855" s="3124" t="s">
        <v>1949</v>
      </c>
      <c r="T855" s="3124" t="s">
        <v>2825</v>
      </c>
      <c r="U855" t="s">
        <v>1761</v>
      </c>
      <c r="V855" s="3124">
        <v>5000</v>
      </c>
      <c r="W855" s="3193">
        <v>0.86350000000000005</v>
      </c>
      <c r="X855" s="3124">
        <v>4317.5</v>
      </c>
      <c r="Y855" s="3124">
        <v>2</v>
      </c>
      <c r="Z855" s="3124">
        <v>0</v>
      </c>
      <c r="AA855" s="3124">
        <v>26000</v>
      </c>
      <c r="AB855" t="s">
        <v>1761</v>
      </c>
      <c r="AC855" s="3124"/>
    </row>
    <row r="856" spans="1:29">
      <c r="A856" s="3124">
        <v>855</v>
      </c>
      <c r="B856" s="3124" t="s">
        <v>1691</v>
      </c>
      <c r="C856" s="3124" t="s">
        <v>5137</v>
      </c>
      <c r="D856" s="3124" t="s">
        <v>5338</v>
      </c>
      <c r="E856" t="s">
        <v>5138</v>
      </c>
      <c r="F856" s="3234">
        <v>9981441040</v>
      </c>
      <c r="G856" s="3124" t="s">
        <v>5139</v>
      </c>
      <c r="H856" s="3124">
        <v>16</v>
      </c>
      <c r="I856" s="3124">
        <v>16</v>
      </c>
      <c r="J856" s="3124" t="s">
        <v>1948</v>
      </c>
      <c r="K856" s="3124">
        <v>2000</v>
      </c>
      <c r="L856" s="3124">
        <v>2275</v>
      </c>
      <c r="M856" s="3124" t="s">
        <v>2891</v>
      </c>
      <c r="N856" s="3192">
        <v>45800</v>
      </c>
      <c r="O856" s="3192">
        <v>46257</v>
      </c>
      <c r="P856" s="3192">
        <v>45792</v>
      </c>
      <c r="Q856" s="3192">
        <v>46257</v>
      </c>
      <c r="R856" s="3124" t="s">
        <v>432</v>
      </c>
      <c r="S856" s="3124" t="s">
        <v>1949</v>
      </c>
      <c r="T856" s="3124" t="s">
        <v>1850</v>
      </c>
      <c r="U856" t="s">
        <v>1761</v>
      </c>
      <c r="V856" s="3124">
        <v>5000</v>
      </c>
      <c r="W856" s="3193">
        <v>0.54500000000000004</v>
      </c>
      <c r="X856" s="3124">
        <v>2725</v>
      </c>
      <c r="Y856" s="3124">
        <v>1</v>
      </c>
      <c r="Z856" s="3124"/>
      <c r="AA856" s="3124">
        <v>26000</v>
      </c>
      <c r="AB856" t="s">
        <v>1761</v>
      </c>
      <c r="AC856" s="3124"/>
    </row>
    <row r="857" spans="1:29">
      <c r="A857" s="3124">
        <v>856</v>
      </c>
      <c r="B857" s="3124" t="s">
        <v>1630</v>
      </c>
      <c r="C857" s="3124" t="s">
        <v>5141</v>
      </c>
      <c r="D857" s="3124" t="s">
        <v>5339</v>
      </c>
      <c r="E857" t="s">
        <v>5142</v>
      </c>
      <c r="F857" s="3234">
        <v>9994146274</v>
      </c>
      <c r="G857" s="3124" t="s">
        <v>5155</v>
      </c>
      <c r="H857" s="3124">
        <v>36</v>
      </c>
      <c r="I857" s="3124">
        <v>36</v>
      </c>
      <c r="J857" s="3124" t="s">
        <v>1948</v>
      </c>
      <c r="K857" s="3124"/>
      <c r="L857" s="3124">
        <v>500</v>
      </c>
      <c r="M857" s="3124" t="s">
        <v>5143</v>
      </c>
      <c r="N857" s="3192">
        <v>45822</v>
      </c>
      <c r="O857" s="3192">
        <v>46887</v>
      </c>
      <c r="P857" s="3192">
        <v>45807</v>
      </c>
      <c r="Q857" s="3192">
        <v>46887</v>
      </c>
      <c r="R857" s="3124" t="s">
        <v>432</v>
      </c>
      <c r="S857" s="3124" t="s">
        <v>1658</v>
      </c>
      <c r="T857" s="3124" t="s">
        <v>1850</v>
      </c>
      <c r="U857" t="s">
        <v>1761</v>
      </c>
      <c r="V857" s="3124">
        <v>3150</v>
      </c>
      <c r="W857" s="3193">
        <v>0.84126984126984128</v>
      </c>
      <c r="X857" s="3124">
        <v>2650</v>
      </c>
      <c r="Y857" s="3124">
        <v>0</v>
      </c>
      <c r="Z857" s="3124">
        <v>0</v>
      </c>
      <c r="AA857" s="3124">
        <v>23000</v>
      </c>
      <c r="AB857" t="s">
        <v>1761</v>
      </c>
      <c r="AC857" s="3124"/>
    </row>
    <row r="858" spans="1:29">
      <c r="A858" s="3124">
        <v>857</v>
      </c>
      <c r="B858" s="3124" t="s">
        <v>1630</v>
      </c>
      <c r="C858" s="3124" t="s">
        <v>5144</v>
      </c>
      <c r="D858" s="3124" t="s">
        <v>5340</v>
      </c>
      <c r="E858" t="s">
        <v>5145</v>
      </c>
      <c r="F858" s="3234">
        <v>9982464726</v>
      </c>
      <c r="G858" s="3124" t="s">
        <v>5341</v>
      </c>
      <c r="H858" s="3124">
        <v>36</v>
      </c>
      <c r="I858" s="3124">
        <v>36</v>
      </c>
      <c r="J858" s="3124" t="s">
        <v>1948</v>
      </c>
      <c r="K858" s="3124">
        <v>1000</v>
      </c>
      <c r="L858" s="3124">
        <v>1650</v>
      </c>
      <c r="M858" s="3124" t="s">
        <v>5143</v>
      </c>
      <c r="N858" s="3192">
        <v>45822</v>
      </c>
      <c r="O858" s="3192">
        <v>46887</v>
      </c>
      <c r="P858" s="3192">
        <v>45820</v>
      </c>
      <c r="Q858" s="3192">
        <v>46887</v>
      </c>
      <c r="R858" s="3124" t="s">
        <v>432</v>
      </c>
      <c r="S858" s="3124" t="s">
        <v>1658</v>
      </c>
      <c r="T858" s="3124" t="s">
        <v>1850</v>
      </c>
      <c r="U858" t="s">
        <v>1761</v>
      </c>
      <c r="V858" s="3124">
        <v>3150</v>
      </c>
      <c r="W858" s="3193">
        <v>0.47619047619047616</v>
      </c>
      <c r="X858" s="3124">
        <v>1500</v>
      </c>
      <c r="Y858" s="3124">
        <v>4</v>
      </c>
      <c r="Z858" s="3124">
        <v>0</v>
      </c>
      <c r="AA858" s="3124">
        <v>23000</v>
      </c>
      <c r="AB858" t="s">
        <v>1761</v>
      </c>
      <c r="AC858" s="3124"/>
    </row>
    <row r="859" spans="1:29">
      <c r="A859" s="3124">
        <v>858</v>
      </c>
      <c r="B859" s="3124" t="s">
        <v>1691</v>
      </c>
      <c r="C859" s="3124" t="s">
        <v>5146</v>
      </c>
      <c r="D859" s="3124" t="s">
        <v>5342</v>
      </c>
      <c r="E859" s="3187" t="s">
        <v>5147</v>
      </c>
      <c r="F859" s="3234">
        <v>55254168</v>
      </c>
      <c r="G859" s="3124" t="s">
        <v>5148</v>
      </c>
      <c r="H859" s="3124">
        <v>16</v>
      </c>
      <c r="I859" s="3124">
        <v>16</v>
      </c>
      <c r="J859" s="3124">
        <v>2400</v>
      </c>
      <c r="K859" s="3124">
        <v>2400</v>
      </c>
      <c r="L859" s="3124">
        <v>682.5</v>
      </c>
      <c r="M859" s="3124" t="s">
        <v>4840</v>
      </c>
      <c r="N859" s="3192">
        <v>45793</v>
      </c>
      <c r="O859" s="3192">
        <v>46250</v>
      </c>
      <c r="P859" s="3192">
        <v>45807</v>
      </c>
      <c r="Q859" s="3192">
        <v>46250</v>
      </c>
      <c r="R859" s="3124" t="s">
        <v>433</v>
      </c>
      <c r="S859" s="3124" t="s">
        <v>1949</v>
      </c>
      <c r="T859" s="3124" t="s">
        <v>2825</v>
      </c>
      <c r="U859" t="s">
        <v>1761</v>
      </c>
      <c r="V859" s="3124">
        <v>5000</v>
      </c>
      <c r="W859" s="3193">
        <v>0.86350000000000005</v>
      </c>
      <c r="X859" s="3124">
        <v>4317.5</v>
      </c>
      <c r="Y859" s="3124">
        <v>2</v>
      </c>
      <c r="Z859" s="3124">
        <v>0</v>
      </c>
      <c r="AA859" s="3124">
        <v>26000</v>
      </c>
      <c r="AB859" t="s">
        <v>1761</v>
      </c>
      <c r="AC859" s="3124"/>
    </row>
    <row r="860" spans="1:29">
      <c r="A860" s="3124">
        <v>859</v>
      </c>
      <c r="B860" s="3124" t="s">
        <v>1623</v>
      </c>
      <c r="C860" s="3124" t="s">
        <v>5149</v>
      </c>
      <c r="D860" s="3124" t="s">
        <v>5343</v>
      </c>
      <c r="E860" t="s">
        <v>5150</v>
      </c>
      <c r="F860" s="3234" t="s">
        <v>5151</v>
      </c>
      <c r="G860" s="3124" t="s">
        <v>5152</v>
      </c>
      <c r="H860" s="3124">
        <v>20</v>
      </c>
      <c r="I860" s="3124">
        <v>20</v>
      </c>
      <c r="J860" s="3124">
        <v>0</v>
      </c>
      <c r="K860" s="3124">
        <v>3000</v>
      </c>
      <c r="L860" s="3124">
        <v>3497</v>
      </c>
      <c r="M860" s="3124" t="s">
        <v>4512</v>
      </c>
      <c r="N860" s="3192">
        <v>45794</v>
      </c>
      <c r="O860" s="3192">
        <v>46373</v>
      </c>
      <c r="P860" s="3192">
        <v>45794</v>
      </c>
      <c r="Q860" s="3192">
        <v>46373</v>
      </c>
      <c r="R860" s="3124" t="s">
        <v>432</v>
      </c>
      <c r="S860" s="3124" t="s">
        <v>1974</v>
      </c>
      <c r="T860" s="3124" t="s">
        <v>1850</v>
      </c>
      <c r="U860" t="s">
        <v>1761</v>
      </c>
      <c r="V860" s="3124">
        <v>7000</v>
      </c>
      <c r="W860" s="3193">
        <v>0.50042857142857144</v>
      </c>
      <c r="X860" s="3124">
        <v>3503</v>
      </c>
      <c r="Y860" s="3124">
        <v>1</v>
      </c>
      <c r="Z860" s="3124"/>
      <c r="AA860" s="3124">
        <v>29000</v>
      </c>
      <c r="AB860" t="s">
        <v>1761</v>
      </c>
      <c r="AC860" s="3124"/>
    </row>
    <row r="861" spans="1:29">
      <c r="A861" s="3124">
        <v>860</v>
      </c>
      <c r="B861" s="3124" t="s">
        <v>1625</v>
      </c>
      <c r="C861" s="3124" t="s">
        <v>5160</v>
      </c>
      <c r="D861" s="3124" t="s">
        <v>5344</v>
      </c>
      <c r="E861" t="s">
        <v>5415</v>
      </c>
      <c r="F861" s="3234">
        <v>8441597677</v>
      </c>
      <c r="G861" s="3124" t="s">
        <v>5161</v>
      </c>
      <c r="H861" s="3124">
        <v>20</v>
      </c>
      <c r="I861" s="3124">
        <v>20</v>
      </c>
      <c r="J861" s="3124" t="s">
        <v>1948</v>
      </c>
      <c r="K861" s="3124">
        <v>3000</v>
      </c>
      <c r="L861" s="3124">
        <v>3497</v>
      </c>
      <c r="M861" s="3124" t="s">
        <v>5162</v>
      </c>
      <c r="N861" s="3192">
        <v>45829</v>
      </c>
      <c r="O861" s="3192">
        <v>46408</v>
      </c>
      <c r="P861" s="3192">
        <v>45807</v>
      </c>
      <c r="Q861" s="3192">
        <v>46408</v>
      </c>
      <c r="R861" s="3124" t="s">
        <v>432</v>
      </c>
      <c r="S861" s="3124" t="s">
        <v>1690</v>
      </c>
      <c r="T861" s="3124" t="s">
        <v>4255</v>
      </c>
      <c r="U861" t="s">
        <v>1761</v>
      </c>
      <c r="V861" s="3124">
        <v>7000</v>
      </c>
      <c r="W861" s="3193">
        <v>0.50042857142857144</v>
      </c>
      <c r="X861" s="3124">
        <v>3503</v>
      </c>
      <c r="Y861" s="3124">
        <v>1</v>
      </c>
      <c r="Z861" s="3124"/>
      <c r="AA861" s="3124">
        <v>29000</v>
      </c>
      <c r="AB861" t="s">
        <v>1761</v>
      </c>
      <c r="AC861" s="3124"/>
    </row>
    <row r="862" spans="1:29">
      <c r="A862" s="3124">
        <v>861</v>
      </c>
      <c r="B862" s="3124" t="s">
        <v>1625</v>
      </c>
      <c r="C862" s="3124" t="s">
        <v>5163</v>
      </c>
      <c r="D862" s="3124" t="s">
        <v>5345</v>
      </c>
      <c r="E862" t="s">
        <v>5164</v>
      </c>
      <c r="F862" s="3234">
        <v>8441603600</v>
      </c>
      <c r="G862" s="3124" t="s">
        <v>5165</v>
      </c>
      <c r="H862" s="3124">
        <v>20</v>
      </c>
      <c r="I862" s="3124">
        <v>20</v>
      </c>
      <c r="J862" s="3124" t="s">
        <v>1948</v>
      </c>
      <c r="K862" s="3124"/>
      <c r="L862" s="3124">
        <v>3497</v>
      </c>
      <c r="M862" s="3124" t="s">
        <v>5162</v>
      </c>
      <c r="N862" s="3192">
        <v>45829</v>
      </c>
      <c r="O862" s="3192">
        <v>46408</v>
      </c>
      <c r="P862" s="3192">
        <v>45796</v>
      </c>
      <c r="Q862" s="3192">
        <v>46408</v>
      </c>
      <c r="R862" s="3124" t="s">
        <v>432</v>
      </c>
      <c r="S862" s="3124" t="s">
        <v>1690</v>
      </c>
      <c r="T862" s="3124" t="s">
        <v>4255</v>
      </c>
      <c r="U862" t="s">
        <v>1761</v>
      </c>
      <c r="V862" s="3124">
        <v>7000</v>
      </c>
      <c r="W862" s="3193">
        <v>0.50042857142857144</v>
      </c>
      <c r="X862" s="3124">
        <v>3503</v>
      </c>
      <c r="Y862" s="3124">
        <v>0</v>
      </c>
      <c r="Z862" s="3124"/>
      <c r="AA862" s="3124">
        <v>29000</v>
      </c>
      <c r="AB862" t="s">
        <v>1761</v>
      </c>
      <c r="AC862" s="3124"/>
    </row>
    <row r="863" spans="1:29">
      <c r="A863" s="3124">
        <v>862</v>
      </c>
      <c r="B863" s="3124" t="s">
        <v>4513</v>
      </c>
      <c r="C863" s="3124" t="s">
        <v>5168</v>
      </c>
      <c r="D863" s="3124" t="s">
        <v>629</v>
      </c>
      <c r="E863" s="3138" t="s">
        <v>5346</v>
      </c>
      <c r="F863" s="3234">
        <v>59945384</v>
      </c>
      <c r="G863" s="3124" t="s">
        <v>5169</v>
      </c>
      <c r="H863" s="3124">
        <v>20</v>
      </c>
      <c r="I863" s="3124">
        <v>20</v>
      </c>
      <c r="J863" s="3124">
        <v>3000</v>
      </c>
      <c r="K863" s="3124">
        <v>3000</v>
      </c>
      <c r="L863" s="3124">
        <v>1049.0999999999999</v>
      </c>
      <c r="M863" s="3124" t="s">
        <v>5347</v>
      </c>
      <c r="N863" s="3192">
        <v>45814</v>
      </c>
      <c r="O863" s="3192">
        <v>46393</v>
      </c>
      <c r="P863" s="3192">
        <v>45828</v>
      </c>
      <c r="Q863" s="3192">
        <v>46393</v>
      </c>
      <c r="R863" s="3124" t="s">
        <v>433</v>
      </c>
      <c r="S863" s="3124" t="s">
        <v>1690</v>
      </c>
      <c r="T863" s="3124" t="s">
        <v>2825</v>
      </c>
      <c r="U863" t="s">
        <v>1869</v>
      </c>
      <c r="V863" s="3124">
        <v>7000</v>
      </c>
      <c r="W863" s="3193">
        <v>0.85012857142857134</v>
      </c>
      <c r="X863" s="3124">
        <v>5950.9</v>
      </c>
      <c r="Y863" s="3124">
        <v>1</v>
      </c>
      <c r="Z863" s="3124"/>
      <c r="AA863" s="3124">
        <v>30000</v>
      </c>
      <c r="AB863" t="s">
        <v>1869</v>
      </c>
      <c r="AC863" s="3124"/>
    </row>
    <row r="864" spans="1:29">
      <c r="A864" s="3124">
        <v>863</v>
      </c>
      <c r="B864" s="3124" t="s">
        <v>4513</v>
      </c>
      <c r="C864" s="3124" t="s">
        <v>5182</v>
      </c>
      <c r="D864" s="3124" t="s">
        <v>629</v>
      </c>
      <c r="E864" s="3181" t="s">
        <v>5170</v>
      </c>
      <c r="F864" s="3234">
        <v>54171632</v>
      </c>
      <c r="G864" s="3190" t="s">
        <v>5171</v>
      </c>
      <c r="H864" s="3124">
        <v>20</v>
      </c>
      <c r="I864" s="3124">
        <v>20</v>
      </c>
      <c r="J864" s="3124">
        <v>3000</v>
      </c>
      <c r="K864" s="3124">
        <v>3000</v>
      </c>
      <c r="L864" s="3124">
        <v>1049.0999999999999</v>
      </c>
      <c r="M864" s="3124" t="s">
        <v>5347</v>
      </c>
      <c r="N864" s="3192">
        <v>45814</v>
      </c>
      <c r="O864" s="3192">
        <v>46393</v>
      </c>
      <c r="P864" s="3192">
        <v>45828</v>
      </c>
      <c r="Q864" s="3192">
        <v>46393</v>
      </c>
      <c r="R864" s="3124" t="s">
        <v>432</v>
      </c>
      <c r="S864" s="3124" t="s">
        <v>1690</v>
      </c>
      <c r="T864" s="3124" t="s">
        <v>2825</v>
      </c>
      <c r="U864" t="s">
        <v>1869</v>
      </c>
      <c r="V864" s="3124">
        <v>7000</v>
      </c>
      <c r="W864" s="3193">
        <v>0.85012857142857134</v>
      </c>
      <c r="X864" s="3124">
        <v>5950.9</v>
      </c>
      <c r="Y864" s="3124">
        <v>1</v>
      </c>
      <c r="Z864" s="3124"/>
      <c r="AA864" s="3124">
        <v>30000</v>
      </c>
      <c r="AB864" t="s">
        <v>1869</v>
      </c>
      <c r="AC864" s="3124"/>
    </row>
    <row r="865" spans="1:29">
      <c r="A865" s="3124">
        <v>864</v>
      </c>
      <c r="B865" s="3124" t="s">
        <v>1630</v>
      </c>
      <c r="C865" s="3124" t="s">
        <v>5384</v>
      </c>
      <c r="D865" s="3124" t="s">
        <v>5443</v>
      </c>
      <c r="E865" t="s">
        <v>5385</v>
      </c>
      <c r="F865" s="3234">
        <v>9984039639</v>
      </c>
      <c r="G865" s="3124" t="s">
        <v>5386</v>
      </c>
      <c r="H865" s="3124">
        <v>36</v>
      </c>
      <c r="I865" s="3124">
        <v>36</v>
      </c>
      <c r="J865" s="3124">
        <v>500</v>
      </c>
      <c r="K865" s="3124">
        <v>1000</v>
      </c>
      <c r="L865" s="3124">
        <v>1650</v>
      </c>
      <c r="M865" s="3124" t="s">
        <v>3426</v>
      </c>
      <c r="N865" s="3192">
        <v>45848</v>
      </c>
      <c r="O865" s="3192">
        <v>46914</v>
      </c>
      <c r="P865" s="3192">
        <v>45843</v>
      </c>
      <c r="Q865" s="3192">
        <v>46914</v>
      </c>
      <c r="R865" s="3124" t="s">
        <v>432</v>
      </c>
      <c r="S865" s="3124" t="s">
        <v>1658</v>
      </c>
      <c r="T865" s="3124" t="s">
        <v>1850</v>
      </c>
      <c r="U865" t="s">
        <v>1761</v>
      </c>
      <c r="V865" s="3124">
        <v>3150</v>
      </c>
      <c r="W865" s="3193">
        <v>0.47619047619047616</v>
      </c>
      <c r="X865" s="3124">
        <v>1500</v>
      </c>
      <c r="Y865" s="3124">
        <v>4</v>
      </c>
      <c r="Z865" s="3124"/>
      <c r="AA865" s="3124">
        <v>23000</v>
      </c>
      <c r="AB865" t="s">
        <v>1761</v>
      </c>
      <c r="AC865" s="3124"/>
    </row>
    <row r="866" spans="1:29">
      <c r="A866" s="3124">
        <v>865</v>
      </c>
      <c r="B866" s="3124" t="s">
        <v>1764</v>
      </c>
      <c r="C866" s="3124" t="s">
        <v>4832</v>
      </c>
      <c r="D866" s="3124" t="s">
        <v>5444</v>
      </c>
      <c r="E866" t="s">
        <v>4833</v>
      </c>
      <c r="F866" s="3234">
        <v>4871093347</v>
      </c>
      <c r="G866" s="3124" t="s">
        <v>4834</v>
      </c>
      <c r="H866" s="3124">
        <v>6</v>
      </c>
      <c r="I866" s="3124">
        <v>6</v>
      </c>
      <c r="J866" s="3124" t="s">
        <v>1948</v>
      </c>
      <c r="K866" s="3124">
        <v>0</v>
      </c>
      <c r="L866" s="3124">
        <v>2275</v>
      </c>
      <c r="M866" s="3124" t="s">
        <v>4178</v>
      </c>
      <c r="N866" s="3192">
        <v>45849</v>
      </c>
      <c r="O866" s="3192">
        <v>46033</v>
      </c>
      <c r="P866" s="3192">
        <v>45846</v>
      </c>
      <c r="Q866" s="3192">
        <v>46033</v>
      </c>
      <c r="R866" s="3124" t="s">
        <v>433</v>
      </c>
      <c r="S866" s="3124" t="s">
        <v>1917</v>
      </c>
      <c r="T866" s="3124" t="s">
        <v>1850</v>
      </c>
      <c r="U866" s="1887" t="s">
        <v>1761</v>
      </c>
      <c r="V866" s="3124">
        <v>5000</v>
      </c>
      <c r="W866" s="3193">
        <v>0.54500000000000004</v>
      </c>
      <c r="X866" s="3124">
        <v>2725</v>
      </c>
      <c r="Y866" s="3124">
        <v>0</v>
      </c>
      <c r="Z866" s="3124">
        <v>6000</v>
      </c>
      <c r="AA866" s="3124">
        <v>26000</v>
      </c>
      <c r="AB866" s="1887" t="s">
        <v>1761</v>
      </c>
      <c r="AC866" s="3124"/>
    </row>
    <row r="867" spans="1:29">
      <c r="A867" s="3124">
        <v>866</v>
      </c>
      <c r="B867" s="3124" t="s">
        <v>1623</v>
      </c>
      <c r="C867" s="3124" t="s">
        <v>5392</v>
      </c>
      <c r="D867" s="3124" t="s">
        <v>5538</v>
      </c>
      <c r="E867" s="3149" t="s">
        <v>5387</v>
      </c>
      <c r="F867" s="3234">
        <v>3002661197</v>
      </c>
      <c r="G867" s="3124" t="s">
        <v>5388</v>
      </c>
      <c r="H867" s="3124">
        <v>20</v>
      </c>
      <c r="I867" s="3124">
        <v>20</v>
      </c>
      <c r="J867" s="3124" t="s">
        <v>1948</v>
      </c>
      <c r="K867" s="3124">
        <v>3000</v>
      </c>
      <c r="L867" s="3124">
        <v>3497</v>
      </c>
      <c r="M867" s="3124" t="s">
        <v>4512</v>
      </c>
      <c r="N867" s="3192">
        <v>45857</v>
      </c>
      <c r="O867" s="3192">
        <v>46437</v>
      </c>
      <c r="P867" s="3192">
        <v>45847</v>
      </c>
      <c r="Q867" s="3192">
        <v>46437</v>
      </c>
      <c r="R867" s="3124" t="s">
        <v>432</v>
      </c>
      <c r="S867" s="3124" t="s">
        <v>1974</v>
      </c>
      <c r="T867" s="3124" t="s">
        <v>1850</v>
      </c>
      <c r="U867" t="s">
        <v>1761</v>
      </c>
      <c r="V867" s="3124">
        <v>7000</v>
      </c>
      <c r="W867" s="3193">
        <v>0.50042857142857144</v>
      </c>
      <c r="X867" s="3124">
        <v>3503</v>
      </c>
      <c r="Y867" s="3124">
        <v>1</v>
      </c>
      <c r="Z867" s="3124"/>
      <c r="AA867" s="3124">
        <v>29000</v>
      </c>
      <c r="AB867" t="s">
        <v>1761</v>
      </c>
      <c r="AC867" s="3124"/>
    </row>
    <row r="868" spans="1:29">
      <c r="A868" s="3124">
        <v>867</v>
      </c>
      <c r="B868" s="3124" t="s">
        <v>4513</v>
      </c>
      <c r="C868" s="3124" t="s">
        <v>5393</v>
      </c>
      <c r="D868" s="3124"/>
      <c r="E868" t="s">
        <v>5394</v>
      </c>
      <c r="F868" s="3234">
        <v>54604830</v>
      </c>
      <c r="G868" s="3124" t="s">
        <v>5395</v>
      </c>
      <c r="H868" s="3124">
        <v>20</v>
      </c>
      <c r="I868" s="3124">
        <v>20</v>
      </c>
      <c r="J868" s="3124">
        <v>3000</v>
      </c>
      <c r="K868" s="3124">
        <v>3000</v>
      </c>
      <c r="L868" s="3124">
        <v>1049.0999999999999</v>
      </c>
      <c r="M868" s="3124" t="s">
        <v>5396</v>
      </c>
      <c r="N868" s="3192">
        <v>45849</v>
      </c>
      <c r="O868" s="3192">
        <v>46429</v>
      </c>
      <c r="P868" s="3192"/>
      <c r="Q868" s="3192">
        <v>578</v>
      </c>
      <c r="R868" s="3124" t="s">
        <v>433</v>
      </c>
      <c r="S868" s="3124" t="s">
        <v>1690</v>
      </c>
      <c r="T868" s="3124" t="s">
        <v>2825</v>
      </c>
      <c r="U868" t="s">
        <v>1761</v>
      </c>
      <c r="V868" s="3124">
        <v>7000</v>
      </c>
      <c r="W868" s="3193">
        <v>0.85012857142857134</v>
      </c>
      <c r="X868" s="3124">
        <v>5950.9</v>
      </c>
      <c r="Y868" s="3124">
        <v>1</v>
      </c>
      <c r="Z868" s="3124"/>
      <c r="AA868" s="3124">
        <v>30000</v>
      </c>
      <c r="AB868" t="s">
        <v>1761</v>
      </c>
      <c r="AC868" s="3124"/>
    </row>
    <row r="869" spans="1:29">
      <c r="A869" s="3124">
        <v>868</v>
      </c>
      <c r="B869" s="3124" t="s">
        <v>1625</v>
      </c>
      <c r="C869" s="3124" t="s">
        <v>5397</v>
      </c>
      <c r="D869" s="3124" t="s">
        <v>5446</v>
      </c>
      <c r="E869" t="s">
        <v>5398</v>
      </c>
      <c r="F869" s="3234">
        <v>573024474037</v>
      </c>
      <c r="G869" s="3124" t="s">
        <v>5399</v>
      </c>
      <c r="H869" s="3124">
        <v>20</v>
      </c>
      <c r="I869" s="3124">
        <v>20</v>
      </c>
      <c r="J869" s="3124" t="s">
        <v>1948</v>
      </c>
      <c r="K869" s="3124">
        <v>3000</v>
      </c>
      <c r="L869" s="3124">
        <v>3497</v>
      </c>
      <c r="M869" s="3124" t="s">
        <v>5400</v>
      </c>
      <c r="N869" s="3192">
        <v>45849</v>
      </c>
      <c r="O869" s="3192">
        <v>46429</v>
      </c>
      <c r="P869" s="3192">
        <v>45849</v>
      </c>
      <c r="Q869" s="3192">
        <v>46429</v>
      </c>
      <c r="R869" s="3124" t="s">
        <v>433</v>
      </c>
      <c r="S869" s="3124" t="s">
        <v>1690</v>
      </c>
      <c r="T869" s="3124" t="s">
        <v>1850</v>
      </c>
      <c r="U869" t="s">
        <v>1761</v>
      </c>
      <c r="V869" s="3124">
        <v>7000</v>
      </c>
      <c r="W869" s="3193">
        <v>0.50042857142857144</v>
      </c>
      <c r="X869" s="3124">
        <v>3503</v>
      </c>
      <c r="Y869" s="3124">
        <v>1</v>
      </c>
      <c r="Z869" s="3124"/>
      <c r="AA869" s="3124">
        <v>29000</v>
      </c>
      <c r="AB869" t="s">
        <v>1761</v>
      </c>
      <c r="AC869" s="3124"/>
    </row>
    <row r="870" spans="1:29">
      <c r="A870" s="3124">
        <v>869</v>
      </c>
      <c r="B870" s="3124" t="s">
        <v>1630</v>
      </c>
      <c r="C870" s="3124" t="s">
        <v>5401</v>
      </c>
      <c r="D870" s="3124" t="s">
        <v>5444</v>
      </c>
      <c r="E870" t="s">
        <v>5402</v>
      </c>
      <c r="F870" s="3234">
        <v>9983814127</v>
      </c>
      <c r="G870" s="3124" t="s">
        <v>5403</v>
      </c>
      <c r="H870" s="3124">
        <v>36</v>
      </c>
      <c r="I870" s="3124">
        <v>36</v>
      </c>
      <c r="J870" s="3124" t="s">
        <v>1948</v>
      </c>
      <c r="K870" s="3124">
        <v>1000</v>
      </c>
      <c r="L870" s="3124">
        <v>1650</v>
      </c>
      <c r="M870" s="3124" t="s">
        <v>3426</v>
      </c>
      <c r="N870" s="3192">
        <v>45850</v>
      </c>
      <c r="O870" s="3192">
        <v>46916</v>
      </c>
      <c r="P870" s="3192">
        <v>45850</v>
      </c>
      <c r="Q870" s="3192">
        <v>46916</v>
      </c>
      <c r="R870" s="3124" t="s">
        <v>432</v>
      </c>
      <c r="S870" s="3124" t="s">
        <v>1658</v>
      </c>
      <c r="T870" s="3124" t="s">
        <v>1850</v>
      </c>
      <c r="U870" t="s">
        <v>1869</v>
      </c>
      <c r="V870" s="3124">
        <v>3150</v>
      </c>
      <c r="W870" s="3193">
        <v>0.47619047619047616</v>
      </c>
      <c r="X870" s="3124">
        <v>1500</v>
      </c>
      <c r="Y870" s="3124">
        <v>4</v>
      </c>
      <c r="Z870" s="3124"/>
      <c r="AA870" s="3124">
        <v>23000</v>
      </c>
      <c r="AB870" t="s">
        <v>1869</v>
      </c>
      <c r="AC870" s="3124"/>
    </row>
    <row r="871" spans="1:29">
      <c r="A871" s="3124">
        <v>870</v>
      </c>
      <c r="B871" s="3124" t="s">
        <v>1630</v>
      </c>
      <c r="C871" s="3124" t="s">
        <v>5404</v>
      </c>
      <c r="D871" s="3124" t="s">
        <v>5445</v>
      </c>
      <c r="E871" t="s">
        <v>5405</v>
      </c>
      <c r="F871" s="3234">
        <v>9985772803</v>
      </c>
      <c r="G871" s="3124" t="s">
        <v>5406</v>
      </c>
      <c r="H871" s="3124">
        <v>36</v>
      </c>
      <c r="I871" s="3124">
        <v>36</v>
      </c>
      <c r="J871" s="3124">
        <v>1650</v>
      </c>
      <c r="K871" s="3124">
        <v>1000</v>
      </c>
      <c r="L871" s="3124">
        <v>1650</v>
      </c>
      <c r="M871" s="3124" t="s">
        <v>3426</v>
      </c>
      <c r="N871" s="3192">
        <v>45852</v>
      </c>
      <c r="O871" s="3192">
        <v>46918</v>
      </c>
      <c r="P871" s="3192">
        <v>45852</v>
      </c>
      <c r="Q871" s="3192">
        <v>46918</v>
      </c>
      <c r="R871" s="3124" t="s">
        <v>433</v>
      </c>
      <c r="S871" s="3124" t="s">
        <v>1658</v>
      </c>
      <c r="T871" s="3124" t="s">
        <v>1850</v>
      </c>
      <c r="U871" t="s">
        <v>1761</v>
      </c>
      <c r="V871" s="3124">
        <v>3150</v>
      </c>
      <c r="W871" s="3193">
        <v>0.47619047619047616</v>
      </c>
      <c r="X871" s="3124">
        <v>1500</v>
      </c>
      <c r="Y871" s="3124">
        <v>4</v>
      </c>
      <c r="Z871" s="3124"/>
      <c r="AA871" s="3124">
        <v>23000</v>
      </c>
      <c r="AB871" t="s">
        <v>1761</v>
      </c>
      <c r="AC871" s="3124"/>
    </row>
    <row r="872" spans="1:29">
      <c r="A872" s="3124">
        <v>871</v>
      </c>
      <c r="B872" s="3124" t="s">
        <v>1691</v>
      </c>
      <c r="C872" s="3124" t="s">
        <v>5409</v>
      </c>
      <c r="D872" s="3124"/>
      <c r="E872" t="s">
        <v>5410</v>
      </c>
      <c r="F872" s="3234">
        <v>9984296262</v>
      </c>
      <c r="G872" s="3124" t="s">
        <v>5411</v>
      </c>
      <c r="H872" s="3124">
        <v>16</v>
      </c>
      <c r="I872" s="3124">
        <v>16</v>
      </c>
      <c r="J872" s="3124">
        <v>0</v>
      </c>
      <c r="K872" s="3124">
        <v>2000</v>
      </c>
      <c r="L872" s="3124">
        <v>1800</v>
      </c>
      <c r="M872" s="3124" t="s">
        <v>4716</v>
      </c>
      <c r="N872" s="3192">
        <v>45870</v>
      </c>
      <c r="O872" s="3192">
        <v>46327</v>
      </c>
      <c r="P872" s="3192">
        <v>45868</v>
      </c>
      <c r="Q872" s="3192">
        <v>46325</v>
      </c>
      <c r="R872" s="3124" t="s">
        <v>433</v>
      </c>
      <c r="S872" s="3124" t="s">
        <v>1949</v>
      </c>
      <c r="T872" s="3124" t="s">
        <v>1850</v>
      </c>
      <c r="U872" t="s">
        <v>2653</v>
      </c>
      <c r="V872" s="3124">
        <v>5000</v>
      </c>
      <c r="W872" s="3193">
        <v>0.64</v>
      </c>
      <c r="X872" s="3124">
        <v>3200</v>
      </c>
      <c r="Y872" s="3124">
        <v>1</v>
      </c>
      <c r="Z872" s="3124"/>
      <c r="AA872" s="3124">
        <v>26000</v>
      </c>
      <c r="AB872" t="s">
        <v>1270</v>
      </c>
      <c r="AC872" s="3124"/>
    </row>
    <row r="873" spans="1:29">
      <c r="A873" s="3124">
        <v>872</v>
      </c>
      <c r="B873" s="3124" t="s">
        <v>1839</v>
      </c>
      <c r="C873" s="3124" t="s">
        <v>5412</v>
      </c>
      <c r="D873" s="3124"/>
      <c r="E873" s="3161" t="s">
        <v>5413</v>
      </c>
      <c r="F873" s="3234" t="s">
        <v>5414</v>
      </c>
      <c r="G873" s="3190" t="s">
        <v>5416</v>
      </c>
      <c r="H873" s="3124">
        <v>8</v>
      </c>
      <c r="I873" s="3124">
        <v>8</v>
      </c>
      <c r="J873" s="3124" t="s">
        <v>1948</v>
      </c>
      <c r="K873" s="3124"/>
      <c r="L873" s="3124">
        <v>2275</v>
      </c>
      <c r="M873" s="3124" t="s">
        <v>4433</v>
      </c>
      <c r="N873" s="3192">
        <v>45892</v>
      </c>
      <c r="O873" s="3192">
        <v>46104</v>
      </c>
      <c r="P873" s="3192">
        <v>45889</v>
      </c>
      <c r="Q873" s="3192">
        <v>46101</v>
      </c>
      <c r="R873" s="3124" t="s">
        <v>432</v>
      </c>
      <c r="S873" s="3124" t="s">
        <v>1842</v>
      </c>
      <c r="T873" s="3124" t="s">
        <v>1850</v>
      </c>
      <c r="U873" t="s">
        <v>1761</v>
      </c>
      <c r="V873" s="3124">
        <v>4200</v>
      </c>
      <c r="W873" s="3193">
        <v>0.45833333333333331</v>
      </c>
      <c r="X873" s="3124">
        <v>1925</v>
      </c>
      <c r="Y873" s="3124"/>
      <c r="Z873" s="3124">
        <v>5000</v>
      </c>
      <c r="AA873" s="3124">
        <v>23000</v>
      </c>
      <c r="AB873" t="s">
        <v>1761</v>
      </c>
      <c r="AC873" s="3124"/>
    </row>
    <row r="874" spans="1:29">
      <c r="A874" s="3124">
        <v>873</v>
      </c>
      <c r="B874" s="3124"/>
      <c r="C874" s="3217"/>
      <c r="D874" s="3124"/>
      <c r="E874" t="s">
        <v>5166</v>
      </c>
      <c r="F874" s="3802"/>
      <c r="G874" s="3124"/>
      <c r="H874" s="3124"/>
      <c r="I874" s="3124"/>
      <c r="J874" s="3124"/>
      <c r="K874" s="3124"/>
      <c r="L874" s="3124"/>
      <c r="M874" s="3124"/>
      <c r="N874" s="3192"/>
      <c r="O874" s="3192"/>
      <c r="P874" s="3192"/>
      <c r="Q874" s="3192"/>
      <c r="R874" s="3124"/>
      <c r="S874" s="3124"/>
      <c r="T874" s="3124"/>
      <c r="V874" s="3124"/>
      <c r="W874" s="3193"/>
      <c r="X874" s="3124"/>
      <c r="Y874" s="3124"/>
      <c r="Z874" s="3124"/>
      <c r="AA874" s="3124"/>
      <c r="AC874" s="3124"/>
    </row>
    <row r="875" spans="1:29">
      <c r="A875" s="3124">
        <v>874</v>
      </c>
      <c r="B875" s="3124" t="s">
        <v>4513</v>
      </c>
      <c r="C875" s="3124" t="s">
        <v>5417</v>
      </c>
      <c r="D875" s="3124" t="s">
        <v>5495</v>
      </c>
      <c r="E875" t="s">
        <v>5418</v>
      </c>
      <c r="F875" s="3234">
        <v>59012192</v>
      </c>
      <c r="G875" s="3124" t="s">
        <v>5419</v>
      </c>
      <c r="H875" s="3124">
        <v>20</v>
      </c>
      <c r="I875" s="3124">
        <v>20</v>
      </c>
      <c r="J875" s="3124">
        <v>3000</v>
      </c>
      <c r="K875" s="3124">
        <v>3000</v>
      </c>
      <c r="L875" s="3124">
        <v>1049.0999999999999</v>
      </c>
      <c r="M875" s="3124" t="s">
        <v>5396</v>
      </c>
      <c r="N875" s="3192">
        <v>45905</v>
      </c>
      <c r="O875" s="3192">
        <v>46482</v>
      </c>
      <c r="P875" s="3192">
        <v>45910</v>
      </c>
      <c r="Q875" s="3192">
        <v>46487</v>
      </c>
      <c r="R875" s="3124" t="s">
        <v>433</v>
      </c>
      <c r="S875" s="3124" t="s">
        <v>1690</v>
      </c>
      <c r="T875" s="3124" t="s">
        <v>2825</v>
      </c>
      <c r="U875" t="s">
        <v>1761</v>
      </c>
      <c r="V875" s="3124">
        <v>7000</v>
      </c>
      <c r="W875" s="3193">
        <v>0.85012857142857134</v>
      </c>
      <c r="X875" s="3124">
        <v>5950.9</v>
      </c>
      <c r="Y875" s="3124">
        <v>1</v>
      </c>
      <c r="Z875" s="3124"/>
      <c r="AA875" s="3124">
        <v>30000</v>
      </c>
      <c r="AB875" t="s">
        <v>1761</v>
      </c>
      <c r="AC875" s="3124"/>
    </row>
    <row r="876" spans="1:29">
      <c r="A876" s="3124">
        <v>875</v>
      </c>
      <c r="B876" s="3124" t="s">
        <v>4513</v>
      </c>
      <c r="C876" s="3124" t="s">
        <v>5420</v>
      </c>
      <c r="D876" s="3124" t="s">
        <v>5496</v>
      </c>
      <c r="E876" t="s">
        <v>5421</v>
      </c>
      <c r="F876" s="3234">
        <v>37740238</v>
      </c>
      <c r="G876" s="3124" t="s">
        <v>5422</v>
      </c>
      <c r="H876" s="3124">
        <v>20</v>
      </c>
      <c r="I876" s="3124">
        <v>20</v>
      </c>
      <c r="J876" s="3124">
        <v>3000</v>
      </c>
      <c r="K876" s="3124">
        <v>3000</v>
      </c>
      <c r="L876" s="3124">
        <v>1049.0999999999999</v>
      </c>
      <c r="M876" s="3124" t="s">
        <v>5396</v>
      </c>
      <c r="N876" s="3192">
        <v>45905</v>
      </c>
      <c r="O876" s="3192">
        <v>46482</v>
      </c>
      <c r="P876" s="3192">
        <v>45910</v>
      </c>
      <c r="Q876" s="3192">
        <v>46487</v>
      </c>
      <c r="R876" s="3124" t="s">
        <v>433</v>
      </c>
      <c r="S876" s="3124" t="s">
        <v>1690</v>
      </c>
      <c r="T876" s="3124" t="s">
        <v>2825</v>
      </c>
      <c r="U876" t="s">
        <v>1761</v>
      </c>
      <c r="V876" s="3124">
        <v>7000</v>
      </c>
      <c r="W876" s="3193">
        <v>0.85012857142857134</v>
      </c>
      <c r="X876" s="3124">
        <v>5950.9</v>
      </c>
      <c r="Y876" s="3124">
        <v>1</v>
      </c>
      <c r="Z876" s="3124"/>
      <c r="AA876" s="3124">
        <v>30000</v>
      </c>
      <c r="AB876" t="s">
        <v>1761</v>
      </c>
      <c r="AC876" s="3124"/>
    </row>
    <row r="877" spans="1:29">
      <c r="A877" s="3124">
        <v>876</v>
      </c>
      <c r="B877" s="3124" t="s">
        <v>4513</v>
      </c>
      <c r="C877" s="3124" t="s">
        <v>5423</v>
      </c>
      <c r="D877" s="3124"/>
      <c r="E877" t="s">
        <v>5424</v>
      </c>
      <c r="F877" s="3234">
        <v>32779375</v>
      </c>
      <c r="G877" s="3124" t="s">
        <v>5425</v>
      </c>
      <c r="H877" s="3124">
        <v>20</v>
      </c>
      <c r="I877" s="3124">
        <v>20</v>
      </c>
      <c r="J877" s="3124">
        <v>3000</v>
      </c>
      <c r="K877" s="3124">
        <v>3000</v>
      </c>
      <c r="L877" s="3124">
        <v>1049.0999999999999</v>
      </c>
      <c r="M877" s="3124" t="s">
        <v>5396</v>
      </c>
      <c r="N877" s="3192">
        <v>45905</v>
      </c>
      <c r="O877" s="3192">
        <v>46482</v>
      </c>
      <c r="P877" s="3192">
        <v>45915</v>
      </c>
      <c r="Q877" s="3192">
        <v>46482</v>
      </c>
      <c r="R877" s="3124" t="s">
        <v>433</v>
      </c>
      <c r="S877" s="3124" t="s">
        <v>1690</v>
      </c>
      <c r="T877" s="3124" t="s">
        <v>2825</v>
      </c>
      <c r="U877" t="s">
        <v>1761</v>
      </c>
      <c r="V877" s="3124">
        <v>7000</v>
      </c>
      <c r="W877" s="3193">
        <v>0.85012857142857134</v>
      </c>
      <c r="X877" s="3124">
        <v>5950.9</v>
      </c>
      <c r="Y877" s="3124">
        <v>1</v>
      </c>
      <c r="Z877" s="3124"/>
      <c r="AA877" s="3124">
        <v>30000</v>
      </c>
      <c r="AB877" t="s">
        <v>1761</v>
      </c>
      <c r="AC877" s="3124"/>
    </row>
    <row r="878" spans="1:29">
      <c r="A878" s="3124">
        <v>877</v>
      </c>
      <c r="B878" s="3124" t="s">
        <v>4513</v>
      </c>
      <c r="C878" s="3124" t="s">
        <v>5426</v>
      </c>
      <c r="D878" s="3124"/>
      <c r="E878" t="s">
        <v>3113</v>
      </c>
      <c r="F878" s="3234">
        <v>47529499</v>
      </c>
      <c r="G878" s="3124" t="s">
        <v>3114</v>
      </c>
      <c r="H878" s="3124">
        <v>20</v>
      </c>
      <c r="I878" s="3124">
        <v>20</v>
      </c>
      <c r="J878" s="3124">
        <v>3000</v>
      </c>
      <c r="K878" s="3124">
        <v>3000</v>
      </c>
      <c r="L878" s="3124">
        <v>1049.0999999999999</v>
      </c>
      <c r="M878" s="3124" t="s">
        <v>5396</v>
      </c>
      <c r="N878" s="3192">
        <v>45905</v>
      </c>
      <c r="O878" s="3192">
        <v>46482</v>
      </c>
      <c r="P878" s="3192">
        <v>45915</v>
      </c>
      <c r="Q878" s="3192">
        <v>46482</v>
      </c>
      <c r="R878" s="3124" t="s">
        <v>433</v>
      </c>
      <c r="S878" s="3124" t="s">
        <v>1690</v>
      </c>
      <c r="T878" s="3124" t="s">
        <v>2825</v>
      </c>
      <c r="U878" t="s">
        <v>1761</v>
      </c>
      <c r="V878" s="3124">
        <v>7000</v>
      </c>
      <c r="W878" s="3193">
        <v>0.85012857142857134</v>
      </c>
      <c r="X878" s="3124">
        <v>5950.9</v>
      </c>
      <c r="Y878" s="3124">
        <v>1</v>
      </c>
      <c r="Z878" s="3124"/>
      <c r="AA878" s="3124">
        <v>30000</v>
      </c>
      <c r="AB878" t="s">
        <v>1761</v>
      </c>
      <c r="AC878" s="3124"/>
    </row>
    <row r="879" spans="1:29">
      <c r="A879" s="3124">
        <v>878</v>
      </c>
      <c r="B879" s="3124" t="s">
        <v>1691</v>
      </c>
      <c r="C879" s="3124" t="s">
        <v>5429</v>
      </c>
      <c r="D879" s="3124"/>
      <c r="E879" s="3179" t="s">
        <v>5427</v>
      </c>
      <c r="F879" s="3234">
        <v>5591056486</v>
      </c>
      <c r="G879" s="3124" t="s">
        <v>5428</v>
      </c>
      <c r="H879" s="3124">
        <v>16</v>
      </c>
      <c r="I879" s="3124">
        <v>16</v>
      </c>
      <c r="J879" s="3124" t="s">
        <v>1948</v>
      </c>
      <c r="K879" s="3124">
        <v>2000</v>
      </c>
      <c r="L879" s="3124">
        <v>1800</v>
      </c>
      <c r="M879" s="3124" t="s">
        <v>4716</v>
      </c>
      <c r="N879" s="3192">
        <v>45905</v>
      </c>
      <c r="O879" s="3192">
        <v>46361</v>
      </c>
      <c r="P879" s="3192">
        <v>45905</v>
      </c>
      <c r="Q879" s="3192">
        <v>46483</v>
      </c>
      <c r="R879" s="3124" t="s">
        <v>433</v>
      </c>
      <c r="S879" s="3124" t="s">
        <v>1949</v>
      </c>
      <c r="T879" s="3124" t="s">
        <v>1850</v>
      </c>
      <c r="U879" t="s">
        <v>1761</v>
      </c>
      <c r="V879" s="3124">
        <v>5000</v>
      </c>
      <c r="W879" s="3193">
        <v>0.64</v>
      </c>
      <c r="X879" s="3124">
        <v>3200</v>
      </c>
      <c r="Y879" s="3124">
        <v>1</v>
      </c>
      <c r="Z879" s="3124"/>
      <c r="AA879" s="3124">
        <v>26000</v>
      </c>
      <c r="AB879" t="s">
        <v>1761</v>
      </c>
      <c r="AC879" s="3124"/>
    </row>
    <row r="880" spans="1:29">
      <c r="A880" s="3124">
        <v>879</v>
      </c>
      <c r="B880" s="3124" t="s">
        <v>1691</v>
      </c>
      <c r="C880" s="3124" t="s">
        <v>5436</v>
      </c>
      <c r="D880" s="3124"/>
      <c r="E880" t="s">
        <v>5437</v>
      </c>
      <c r="F880" s="3234">
        <v>55019935</v>
      </c>
      <c r="G880" s="3124" t="s">
        <v>5438</v>
      </c>
      <c r="H880" s="3124">
        <v>16</v>
      </c>
      <c r="I880" s="3124">
        <v>16</v>
      </c>
      <c r="J880" s="3124">
        <v>2000</v>
      </c>
      <c r="K880" s="3124">
        <v>2000</v>
      </c>
      <c r="L880" s="3124">
        <v>2200</v>
      </c>
      <c r="M880" s="3124" t="s">
        <v>5440</v>
      </c>
      <c r="N880" s="3192">
        <v>45905</v>
      </c>
      <c r="O880" s="3192">
        <v>46361</v>
      </c>
      <c r="P880" s="3192"/>
      <c r="Q880" s="3192">
        <v>46484</v>
      </c>
      <c r="R880" s="3124" t="s">
        <v>432</v>
      </c>
      <c r="S880" s="3124" t="s">
        <v>1949</v>
      </c>
      <c r="T880" s="3124" t="s">
        <v>2825</v>
      </c>
      <c r="U880" t="s">
        <v>1761</v>
      </c>
      <c r="V880" s="3124">
        <v>5000</v>
      </c>
      <c r="W880" s="3193">
        <v>0.56000000000000005</v>
      </c>
      <c r="X880" s="3124">
        <v>2800</v>
      </c>
      <c r="Y880" s="3124">
        <v>2</v>
      </c>
      <c r="Z880" s="3124"/>
      <c r="AA880" s="3124">
        <v>26000</v>
      </c>
      <c r="AB880" t="s">
        <v>1761</v>
      </c>
      <c r="AC880" s="3124"/>
    </row>
    <row r="881" spans="1:29">
      <c r="A881" s="3124">
        <v>880</v>
      </c>
      <c r="B881" s="3124" t="s">
        <v>1123</v>
      </c>
      <c r="C881" s="3124" t="s">
        <v>5451</v>
      </c>
      <c r="D881" s="3124"/>
      <c r="E881" s="3181" t="s">
        <v>5461</v>
      </c>
      <c r="F881" s="3234">
        <v>50230224602</v>
      </c>
      <c r="G881" s="3190" t="s">
        <v>5439</v>
      </c>
      <c r="H881" s="3124">
        <v>6</v>
      </c>
      <c r="I881" s="3124">
        <v>6</v>
      </c>
      <c r="J881" s="3124" t="s">
        <v>1948</v>
      </c>
      <c r="K881" s="3124"/>
      <c r="L881" s="3124">
        <v>3497</v>
      </c>
      <c r="M881" s="3124" t="s">
        <v>3833</v>
      </c>
      <c r="N881" s="3192">
        <v>45920</v>
      </c>
      <c r="O881" s="3192">
        <v>46073</v>
      </c>
      <c r="P881" s="3192">
        <v>45912</v>
      </c>
      <c r="Q881" s="3192">
        <v>46485</v>
      </c>
      <c r="R881" s="3124" t="s">
        <v>433</v>
      </c>
      <c r="S881" s="3124" t="s">
        <v>1939</v>
      </c>
      <c r="T881" s="3124" t="s">
        <v>1850</v>
      </c>
      <c r="U881" t="s">
        <v>1761</v>
      </c>
      <c r="V881" s="3124">
        <v>7000</v>
      </c>
      <c r="W881" s="3193">
        <v>0.50042857142857144</v>
      </c>
      <c r="X881" s="3124">
        <v>3503</v>
      </c>
      <c r="Y881" s="3124">
        <v>1</v>
      </c>
      <c r="Z881" s="3124">
        <v>8000</v>
      </c>
      <c r="AA881" s="3124">
        <v>29000</v>
      </c>
      <c r="AB881" t="s">
        <v>1761</v>
      </c>
      <c r="AC881" s="3124"/>
    </row>
    <row r="882" spans="1:29">
      <c r="A882" s="3124">
        <v>881</v>
      </c>
      <c r="B882" s="3124" t="s">
        <v>1623</v>
      </c>
      <c r="C882" s="3124" t="s">
        <v>5452</v>
      </c>
      <c r="D882" s="3124" t="s">
        <v>5538</v>
      </c>
      <c r="E882" t="s">
        <v>5453</v>
      </c>
      <c r="F882" s="3234" t="s">
        <v>5454</v>
      </c>
      <c r="G882" s="3124" t="s">
        <v>5455</v>
      </c>
      <c r="H882" s="3124">
        <v>20</v>
      </c>
      <c r="I882" s="3124">
        <v>20</v>
      </c>
      <c r="J882" s="3124" t="s">
        <v>1948</v>
      </c>
      <c r="K882" s="3124">
        <v>3000</v>
      </c>
      <c r="L882" s="3124">
        <v>3497</v>
      </c>
      <c r="M882" s="3124" t="s">
        <v>4512</v>
      </c>
      <c r="N882" s="3192">
        <v>45927</v>
      </c>
      <c r="O882" s="3192">
        <v>46504</v>
      </c>
      <c r="P882" s="3192">
        <v>45926</v>
      </c>
      <c r="Q882" s="3192">
        <v>46504</v>
      </c>
      <c r="R882" s="3124" t="s">
        <v>433</v>
      </c>
      <c r="S882" s="3124" t="s">
        <v>1974</v>
      </c>
      <c r="T882" s="3124" t="s">
        <v>1850</v>
      </c>
      <c r="U882" t="s">
        <v>1761</v>
      </c>
      <c r="V882" s="3124">
        <v>7000</v>
      </c>
      <c r="W882" s="3193">
        <v>0.50042857142857144</v>
      </c>
      <c r="X882" s="3124">
        <v>3503</v>
      </c>
      <c r="Y882" s="3124">
        <v>1</v>
      </c>
      <c r="Z882" s="3124"/>
      <c r="AA882" s="3124">
        <v>29000</v>
      </c>
      <c r="AB882" t="s">
        <v>1761</v>
      </c>
      <c r="AC882" s="3124"/>
    </row>
    <row r="883" spans="1:29">
      <c r="A883" s="3124">
        <v>882</v>
      </c>
      <c r="B883" s="3124" t="s">
        <v>1621</v>
      </c>
      <c r="C883" s="3124" t="s">
        <v>5456</v>
      </c>
      <c r="D883" s="3124"/>
      <c r="E883" t="s">
        <v>5457</v>
      </c>
      <c r="F883" s="3234">
        <v>5535617882</v>
      </c>
      <c r="G883" s="3124" t="s">
        <v>5458</v>
      </c>
      <c r="H883" s="3124">
        <v>20</v>
      </c>
      <c r="I883" s="3124">
        <v>20</v>
      </c>
      <c r="J883" s="3124">
        <v>2000</v>
      </c>
      <c r="K883" s="3124">
        <v>2000</v>
      </c>
      <c r="L883" s="3124">
        <v>2275</v>
      </c>
      <c r="M883" s="3124" t="s">
        <v>4178</v>
      </c>
      <c r="N883" s="3192">
        <v>45933</v>
      </c>
      <c r="O883" s="3192">
        <v>46482</v>
      </c>
      <c r="P883" s="3192">
        <v>45933</v>
      </c>
      <c r="Q883" s="3192">
        <v>46510</v>
      </c>
      <c r="R883" s="3124" t="s">
        <v>433</v>
      </c>
      <c r="S883" s="3124" t="s">
        <v>1640</v>
      </c>
      <c r="T883" s="3124" t="s">
        <v>1850</v>
      </c>
      <c r="U883" t="s">
        <v>1761</v>
      </c>
      <c r="V883" s="3124">
        <v>5000</v>
      </c>
      <c r="W883" s="3193">
        <v>0.54500000000000004</v>
      </c>
      <c r="X883" s="3124">
        <v>2725</v>
      </c>
      <c r="Y883" s="3124">
        <v>2</v>
      </c>
      <c r="Z883" s="3124"/>
      <c r="AA883" s="3124">
        <v>26000</v>
      </c>
      <c r="AB883" t="s">
        <v>1761</v>
      </c>
      <c r="AC883" s="3124"/>
    </row>
    <row r="884" spans="1:29">
      <c r="A884" s="3124">
        <v>883</v>
      </c>
      <c r="B884" s="3124" t="s">
        <v>1621</v>
      </c>
      <c r="C884" s="3124" t="s">
        <v>5485</v>
      </c>
      <c r="D884" s="3124" t="s">
        <v>5486</v>
      </c>
      <c r="E884" t="s">
        <v>5487</v>
      </c>
      <c r="F884" s="3234">
        <v>8442783310</v>
      </c>
      <c r="G884" s="3124" t="s">
        <v>5488</v>
      </c>
      <c r="H884" s="3124">
        <v>20</v>
      </c>
      <c r="I884" s="3124">
        <v>20</v>
      </c>
      <c r="J884" s="3124" t="s">
        <v>1948</v>
      </c>
      <c r="K884" s="3124">
        <v>2000</v>
      </c>
      <c r="L884" s="3124">
        <v>2275</v>
      </c>
      <c r="M884" s="3124" t="s">
        <v>5539</v>
      </c>
      <c r="N884" s="3192">
        <v>45947</v>
      </c>
      <c r="O884" s="3192">
        <v>46483</v>
      </c>
      <c r="P884" s="3192">
        <v>45947</v>
      </c>
      <c r="Q884" s="3192">
        <v>46524</v>
      </c>
      <c r="R884" s="3124" t="s">
        <v>432</v>
      </c>
      <c r="S884" s="3124" t="s">
        <v>1640</v>
      </c>
      <c r="T884" s="3124" t="s">
        <v>1850</v>
      </c>
      <c r="U884" t="s">
        <v>1761</v>
      </c>
      <c r="V884" s="3124">
        <v>5000</v>
      </c>
      <c r="W884" s="3193">
        <v>0.54500000000000004</v>
      </c>
      <c r="X884" s="3124">
        <v>2725</v>
      </c>
      <c r="Y884" s="3124">
        <v>2</v>
      </c>
      <c r="Z884" s="3124"/>
      <c r="AA884" s="3124">
        <v>26000</v>
      </c>
      <c r="AB884" t="s">
        <v>1761</v>
      </c>
      <c r="AC884" s="3124"/>
    </row>
    <row r="885" spans="1:29">
      <c r="A885" s="3124">
        <v>884</v>
      </c>
      <c r="B885" s="3124" t="s">
        <v>1621</v>
      </c>
      <c r="C885" s="3124" t="s">
        <v>5489</v>
      </c>
      <c r="D885" s="3124" t="s">
        <v>4069</v>
      </c>
      <c r="E885" t="s">
        <v>5490</v>
      </c>
      <c r="F885" s="3234" t="s">
        <v>5491</v>
      </c>
      <c r="G885" s="3124" t="s">
        <v>5493</v>
      </c>
      <c r="H885" s="3124">
        <v>20</v>
      </c>
      <c r="I885" s="3124">
        <v>20</v>
      </c>
      <c r="J885" s="3124">
        <v>2000</v>
      </c>
      <c r="K885" s="3124">
        <v>2000</v>
      </c>
      <c r="L885" s="3124">
        <v>2275</v>
      </c>
      <c r="M885" s="3124" t="s">
        <v>4178</v>
      </c>
      <c r="N885" s="3192">
        <v>45975</v>
      </c>
      <c r="O885" s="3192">
        <v>46552</v>
      </c>
      <c r="P885" s="3192">
        <v>45950</v>
      </c>
      <c r="Q885" s="3192">
        <v>46552</v>
      </c>
      <c r="R885" s="3124" t="s">
        <v>432</v>
      </c>
      <c r="S885" s="3124" t="s">
        <v>1640</v>
      </c>
      <c r="T885" s="3124" t="s">
        <v>1850</v>
      </c>
      <c r="U885" t="s">
        <v>1761</v>
      </c>
      <c r="V885" s="3124">
        <v>5000</v>
      </c>
      <c r="W885" s="3193">
        <v>0.54500000000000004</v>
      </c>
      <c r="X885" s="3124">
        <v>2725</v>
      </c>
      <c r="Y885" s="3124">
        <v>2</v>
      </c>
      <c r="Z885" s="3124"/>
      <c r="AA885" s="3124">
        <v>26000</v>
      </c>
      <c r="AB885" t="s">
        <v>1761</v>
      </c>
      <c r="AC885" s="3124"/>
    </row>
    <row r="886" spans="1:29">
      <c r="A886" s="3124">
        <v>885</v>
      </c>
      <c r="B886" s="3124"/>
      <c r="C886" s="3124"/>
      <c r="D886" s="3124"/>
      <c r="F886" s="3234"/>
      <c r="G886" s="3124"/>
      <c r="H886" s="3124"/>
      <c r="I886" s="3124"/>
      <c r="J886" s="3124"/>
      <c r="K886" s="3124"/>
      <c r="L886" s="3124"/>
      <c r="M886" s="3124"/>
      <c r="N886" s="3192"/>
      <c r="O886" s="3192"/>
      <c r="P886" s="3192"/>
      <c r="Q886" s="3192"/>
      <c r="R886" s="3124" t="s">
        <v>2573</v>
      </c>
      <c r="S886" s="3124" t="s">
        <v>2574</v>
      </c>
      <c r="T886" s="3124"/>
      <c r="V886" s="3124"/>
      <c r="W886" s="3193"/>
      <c r="X886" s="3124">
        <v>0</v>
      </c>
      <c r="Y886" s="3124"/>
      <c r="Z886" s="3124"/>
      <c r="AA886" s="3124"/>
      <c r="AC886" s="3124"/>
    </row>
    <row r="887" spans="1:29">
      <c r="A887" s="3124">
        <v>886</v>
      </c>
      <c r="B887" s="3124"/>
      <c r="C887" s="3124"/>
      <c r="D887" s="3124"/>
      <c r="F887" s="3234"/>
      <c r="G887" s="3124"/>
      <c r="H887" s="3124"/>
      <c r="I887" s="3124"/>
      <c r="J887" s="3124"/>
      <c r="K887" s="3124"/>
      <c r="L887" s="3124"/>
      <c r="M887" s="3124"/>
      <c r="N887" s="3192"/>
      <c r="O887" s="3192"/>
      <c r="P887" s="3192"/>
      <c r="Q887" s="3192"/>
      <c r="R887" s="3124" t="s">
        <v>2573</v>
      </c>
      <c r="S887" s="3124" t="s">
        <v>2574</v>
      </c>
      <c r="T887" s="3124"/>
      <c r="V887" s="3124"/>
      <c r="W887" s="3193"/>
      <c r="X887" s="3124">
        <v>0</v>
      </c>
      <c r="Y887" s="3124"/>
      <c r="Z887" s="3124"/>
      <c r="AA887" s="3124"/>
      <c r="AC887" s="3124"/>
    </row>
    <row r="888" spans="1:29">
      <c r="A888" s="3124">
        <v>887</v>
      </c>
      <c r="B888" s="3124"/>
      <c r="C888" s="3124"/>
      <c r="D888" s="3124"/>
      <c r="F888" s="3234"/>
      <c r="G888" s="3124"/>
      <c r="H888" s="3124"/>
      <c r="I888" s="3124"/>
      <c r="J888" s="3124"/>
      <c r="K888" s="3124"/>
      <c r="L888" s="3124"/>
      <c r="M888" s="3124"/>
      <c r="N888" s="3192"/>
      <c r="O888" s="3192"/>
      <c r="P888" s="3192"/>
      <c r="Q888" s="3192"/>
      <c r="R888" s="3124" t="s">
        <v>2573</v>
      </c>
      <c r="S888" s="3124" t="s">
        <v>2574</v>
      </c>
      <c r="T888" s="3124"/>
      <c r="V888" s="3124"/>
      <c r="W888" s="3193"/>
      <c r="X888" s="3124">
        <v>0</v>
      </c>
      <c r="Y888" s="3124"/>
      <c r="Z888" s="3124"/>
      <c r="AA888" s="3124"/>
      <c r="AC888" s="3124"/>
    </row>
    <row r="889" spans="1:29">
      <c r="A889" s="3124">
        <v>888</v>
      </c>
      <c r="B889" s="3124"/>
      <c r="C889" s="3124"/>
      <c r="D889" s="3124"/>
      <c r="F889" s="3234"/>
      <c r="G889" s="3124"/>
      <c r="H889" s="3124"/>
      <c r="I889" s="3124"/>
      <c r="J889" s="3124"/>
      <c r="K889" s="3124"/>
      <c r="L889" s="3124"/>
      <c r="M889" s="3124"/>
      <c r="N889" s="3192"/>
      <c r="O889" s="3192"/>
      <c r="P889" s="3192"/>
      <c r="Q889" s="3192"/>
      <c r="R889" s="3124" t="s">
        <v>2573</v>
      </c>
      <c r="S889" s="3124" t="s">
        <v>2574</v>
      </c>
      <c r="T889" s="3124"/>
      <c r="V889" s="3124"/>
      <c r="W889" s="3193"/>
      <c r="X889" s="3124">
        <v>0</v>
      </c>
      <c r="Y889" s="3124"/>
      <c r="Z889" s="3124"/>
      <c r="AA889" s="3124"/>
      <c r="AC889" s="3124"/>
    </row>
    <row r="890" spans="1:29">
      <c r="A890" s="3124">
        <v>889</v>
      </c>
      <c r="B890" s="3124"/>
      <c r="C890" s="3124"/>
      <c r="D890" s="3124"/>
      <c r="F890" s="3234"/>
      <c r="G890" s="3124"/>
      <c r="H890" s="3124"/>
      <c r="I890" s="3124"/>
      <c r="J890" s="3124"/>
      <c r="K890" s="3124"/>
      <c r="L890" s="3124"/>
      <c r="M890" s="3124"/>
      <c r="N890" s="3192"/>
      <c r="O890" s="3192"/>
      <c r="P890" s="3192"/>
      <c r="Q890" s="3192"/>
      <c r="R890" s="3124" t="s">
        <v>2573</v>
      </c>
      <c r="S890" s="3124" t="s">
        <v>2574</v>
      </c>
      <c r="T890" s="3124"/>
      <c r="V890" s="3124"/>
      <c r="W890" s="3193"/>
      <c r="X890" s="3124">
        <v>0</v>
      </c>
      <c r="Y890" s="3124"/>
      <c r="Z890" s="3124"/>
      <c r="AA890" s="3124"/>
      <c r="AC890" s="3124"/>
    </row>
    <row r="891" spans="1:29">
      <c r="A891" s="3124">
        <v>890</v>
      </c>
      <c r="B891" s="3124"/>
      <c r="C891" s="3124"/>
      <c r="D891" s="3124"/>
      <c r="F891" s="3234"/>
      <c r="G891" s="3124"/>
      <c r="H891" s="3124"/>
      <c r="I891" s="3124"/>
      <c r="J891" s="3124"/>
      <c r="K891" s="3124"/>
      <c r="L891" s="3124"/>
      <c r="M891" s="3124"/>
      <c r="N891" s="3192"/>
      <c r="O891" s="3192"/>
      <c r="P891" s="3192"/>
      <c r="Q891" s="3192"/>
      <c r="R891" s="3124" t="s">
        <v>2573</v>
      </c>
      <c r="S891" s="3124" t="s">
        <v>2574</v>
      </c>
      <c r="T891" s="3124"/>
      <c r="V891" s="3124"/>
      <c r="W891" s="3193"/>
      <c r="X891" s="3124">
        <v>0</v>
      </c>
      <c r="Y891" s="3124"/>
      <c r="Z891" s="3124"/>
      <c r="AA891" s="3124"/>
      <c r="AC891" s="3124"/>
    </row>
    <row r="892" spans="1:29">
      <c r="A892" s="3124">
        <v>891</v>
      </c>
      <c r="B892" s="3124"/>
      <c r="C892" s="3124"/>
      <c r="D892" s="3124"/>
      <c r="F892" s="3234"/>
      <c r="G892" s="3124"/>
      <c r="H892" s="3124"/>
      <c r="I892" s="3124"/>
      <c r="J892" s="3124"/>
      <c r="K892" s="3124"/>
      <c r="L892" s="3124"/>
      <c r="M892" s="3124"/>
      <c r="N892" s="3192"/>
      <c r="O892" s="3192"/>
      <c r="P892" s="3192"/>
      <c r="Q892" s="3192"/>
      <c r="R892" s="3124" t="s">
        <v>2573</v>
      </c>
      <c r="S892" s="3124" t="s">
        <v>2574</v>
      </c>
      <c r="T892" s="3124"/>
      <c r="V892" s="3124"/>
      <c r="W892" s="3193"/>
      <c r="X892" s="3124">
        <v>0</v>
      </c>
      <c r="Y892" s="3124"/>
      <c r="Z892" s="3124"/>
      <c r="AA892" s="3124"/>
      <c r="AC892" s="3124"/>
    </row>
    <row r="893" spans="1:29">
      <c r="A893" s="3124">
        <v>892</v>
      </c>
      <c r="B893" s="3124"/>
      <c r="C893" s="3124"/>
      <c r="D893" s="3124"/>
      <c r="F893" s="3234"/>
      <c r="G893" s="3124"/>
      <c r="H893" s="3124"/>
      <c r="I893" s="3124"/>
      <c r="J893" s="3124"/>
      <c r="K893" s="3124"/>
      <c r="L893" s="3124"/>
      <c r="M893" s="3124"/>
      <c r="N893" s="3192"/>
      <c r="O893" s="3192"/>
      <c r="P893" s="3192"/>
      <c r="Q893" s="3192"/>
      <c r="R893" s="3124" t="s">
        <v>2573</v>
      </c>
      <c r="S893" s="3124" t="s">
        <v>2574</v>
      </c>
      <c r="T893" s="3124"/>
      <c r="V893" s="3124"/>
      <c r="W893" s="3193"/>
      <c r="X893" s="3124">
        <v>0</v>
      </c>
      <c r="Y893" s="3124"/>
      <c r="Z893" s="3124"/>
      <c r="AA893" s="3124"/>
      <c r="AC893" s="3124"/>
    </row>
    <row r="894" spans="1:29">
      <c r="A894" s="3124">
        <v>893</v>
      </c>
      <c r="B894" s="3124"/>
      <c r="C894" s="3124"/>
      <c r="D894" s="3124"/>
      <c r="F894" s="3234"/>
      <c r="G894" s="3124"/>
      <c r="H894" s="3124"/>
      <c r="I894" s="3124"/>
      <c r="J894" s="3124"/>
      <c r="K894" s="3124"/>
      <c r="L894" s="3124"/>
      <c r="M894" s="3124"/>
      <c r="N894" s="3192"/>
      <c r="O894" s="3192"/>
      <c r="P894" s="3192"/>
      <c r="Q894" s="3192"/>
      <c r="R894" s="3124" t="s">
        <v>2573</v>
      </c>
      <c r="S894" s="3124" t="s">
        <v>2574</v>
      </c>
      <c r="T894" s="3124"/>
      <c r="V894" s="3124"/>
      <c r="W894" s="3193"/>
      <c r="X894" s="3124">
        <v>0</v>
      </c>
      <c r="Y894" s="3124"/>
      <c r="Z894" s="3124"/>
      <c r="AA894" s="3124"/>
      <c r="AC894" s="3124"/>
    </row>
    <row r="895" spans="1:29">
      <c r="A895" s="3124">
        <v>894</v>
      </c>
      <c r="B895" s="3124"/>
      <c r="C895" s="3124"/>
      <c r="D895" s="3124"/>
      <c r="F895" s="3234"/>
      <c r="G895" s="3124"/>
      <c r="H895" s="3124"/>
      <c r="I895" s="3124"/>
      <c r="J895" s="3124"/>
      <c r="K895" s="3124"/>
      <c r="L895" s="3124"/>
      <c r="M895" s="3124"/>
      <c r="N895" s="3192"/>
      <c r="O895" s="3192"/>
      <c r="P895" s="3192"/>
      <c r="Q895" s="3192"/>
      <c r="R895" s="3124" t="s">
        <v>2573</v>
      </c>
      <c r="S895" s="3124" t="s">
        <v>2574</v>
      </c>
      <c r="T895" s="3124"/>
      <c r="V895" s="3124"/>
      <c r="W895" s="3193"/>
      <c r="X895" s="3124">
        <v>0</v>
      </c>
      <c r="Y895" s="3124"/>
      <c r="Z895" s="3124"/>
      <c r="AA895" s="3124"/>
      <c r="AC895" s="3124"/>
    </row>
    <row r="896" spans="1:29">
      <c r="A896" s="3124">
        <v>895</v>
      </c>
      <c r="B896" s="3124"/>
      <c r="C896" s="3124"/>
      <c r="D896" s="3124"/>
      <c r="F896" s="3234"/>
      <c r="G896" s="3124"/>
      <c r="H896" s="3124"/>
      <c r="I896" s="3124"/>
      <c r="J896" s="3124"/>
      <c r="K896" s="3124"/>
      <c r="L896" s="3124"/>
      <c r="M896" s="3124"/>
      <c r="N896" s="3192"/>
      <c r="O896" s="3192"/>
      <c r="P896" s="3192"/>
      <c r="Q896" s="3192"/>
      <c r="R896" s="3124" t="s">
        <v>2573</v>
      </c>
      <c r="S896" s="3124" t="s">
        <v>2574</v>
      </c>
      <c r="T896" s="3124"/>
      <c r="V896" s="3124"/>
      <c r="W896" s="3193"/>
      <c r="X896" s="3124">
        <v>0</v>
      </c>
      <c r="Y896" s="3124"/>
      <c r="Z896" s="3124"/>
      <c r="AA896" s="3124"/>
      <c r="AC896" s="3124"/>
    </row>
    <row r="897" spans="1:29">
      <c r="A897" s="3124">
        <v>896</v>
      </c>
      <c r="B897" s="3124"/>
      <c r="C897" s="3124"/>
      <c r="D897" s="3124"/>
      <c r="F897" s="3234"/>
      <c r="G897" s="3124"/>
      <c r="H897" s="3124"/>
      <c r="I897" s="3124"/>
      <c r="J897" s="3124"/>
      <c r="K897" s="3124"/>
      <c r="L897" s="3124"/>
      <c r="M897" s="3124"/>
      <c r="N897" s="3192"/>
      <c r="O897" s="3192"/>
      <c r="P897" s="3192"/>
      <c r="Q897" s="3192"/>
      <c r="R897" s="3124" t="s">
        <v>2573</v>
      </c>
      <c r="S897" s="3124" t="s">
        <v>2574</v>
      </c>
      <c r="T897" s="3124"/>
      <c r="V897" s="3124"/>
      <c r="W897" s="3193"/>
      <c r="X897" s="3124">
        <v>0</v>
      </c>
      <c r="Y897" s="3124"/>
      <c r="Z897" s="3124"/>
      <c r="AA897" s="3124"/>
      <c r="AC897" s="3124"/>
    </row>
    <row r="898" spans="1:29">
      <c r="A898" s="3124">
        <v>897</v>
      </c>
      <c r="B898" s="3124"/>
      <c r="C898" s="3124"/>
      <c r="D898" s="3124"/>
      <c r="F898" s="3234"/>
      <c r="G898" s="3124"/>
      <c r="H898" s="3124"/>
      <c r="I898" s="3124"/>
      <c r="J898" s="3124"/>
      <c r="K898" s="3124"/>
      <c r="L898" s="3124"/>
      <c r="M898" s="3124"/>
      <c r="N898" s="3192"/>
      <c r="O898" s="3192"/>
      <c r="P898" s="3192"/>
      <c r="Q898" s="3192"/>
      <c r="R898" s="3124" t="s">
        <v>2573</v>
      </c>
      <c r="S898" s="3124" t="s">
        <v>2574</v>
      </c>
      <c r="T898" s="3124"/>
      <c r="V898" s="3124"/>
      <c r="W898" s="3193"/>
      <c r="X898" s="3124">
        <v>0</v>
      </c>
      <c r="Y898" s="3124"/>
      <c r="Z898" s="3124"/>
      <c r="AA898" s="3124"/>
      <c r="AC898" s="3124"/>
    </row>
    <row r="899" spans="1:29">
      <c r="A899" s="3124">
        <v>898</v>
      </c>
      <c r="B899" s="3124"/>
      <c r="C899" s="3124"/>
      <c r="D899" s="3124"/>
      <c r="F899" s="3234"/>
      <c r="G899" s="3124"/>
      <c r="H899" s="3124"/>
      <c r="I899" s="3124"/>
      <c r="J899" s="3124"/>
      <c r="K899" s="3124"/>
      <c r="L899" s="3124"/>
      <c r="M899" s="3124"/>
      <c r="N899" s="3192"/>
      <c r="O899" s="3192"/>
      <c r="P899" s="3192"/>
      <c r="Q899" s="3192"/>
      <c r="R899" s="3124" t="s">
        <v>2573</v>
      </c>
      <c r="S899" s="3124" t="s">
        <v>2574</v>
      </c>
      <c r="T899" s="3124"/>
      <c r="V899" s="3124"/>
      <c r="W899" s="3193"/>
      <c r="X899" s="3124">
        <v>0</v>
      </c>
      <c r="Y899" s="3124"/>
      <c r="Z899" s="3124"/>
      <c r="AA899" s="3124"/>
      <c r="AC899" s="3124"/>
    </row>
    <row r="900" spans="1:29">
      <c r="A900" s="3124">
        <v>899</v>
      </c>
      <c r="B900" s="3124"/>
      <c r="C900" s="3124"/>
      <c r="D900" s="3124"/>
      <c r="F900" s="3234"/>
      <c r="G900" s="3124"/>
      <c r="H900" s="3124"/>
      <c r="I900" s="3124"/>
      <c r="J900" s="3124"/>
      <c r="K900" s="3124"/>
      <c r="L900" s="3124"/>
      <c r="M900" s="3124"/>
      <c r="N900" s="3192"/>
      <c r="O900" s="3192"/>
      <c r="P900" s="3192"/>
      <c r="Q900" s="3192"/>
      <c r="R900" s="3124" t="s">
        <v>2573</v>
      </c>
      <c r="S900" s="3124" t="s">
        <v>2574</v>
      </c>
      <c r="T900" s="3124"/>
      <c r="V900" s="3124"/>
      <c r="W900" s="3193"/>
      <c r="X900" s="3124">
        <v>0</v>
      </c>
      <c r="Y900" s="3124"/>
      <c r="Z900" s="3124"/>
      <c r="AA900" s="3124"/>
      <c r="AC900" s="3124"/>
    </row>
    <row r="901" spans="1:29">
      <c r="A901" s="3124">
        <v>900</v>
      </c>
      <c r="B901" s="3124"/>
      <c r="C901" s="3124"/>
      <c r="D901" s="3124"/>
      <c r="F901" s="3234"/>
      <c r="G901" s="3124"/>
      <c r="H901" s="3124"/>
      <c r="I901" s="3124"/>
      <c r="J901" s="3124"/>
      <c r="K901" s="3124"/>
      <c r="L901" s="3124"/>
      <c r="M901" s="3124"/>
      <c r="N901" s="3192"/>
      <c r="O901" s="3192"/>
      <c r="P901" s="3192"/>
      <c r="Q901" s="3192"/>
      <c r="R901" s="3124" t="s">
        <v>2573</v>
      </c>
      <c r="S901" s="3124" t="s">
        <v>2574</v>
      </c>
      <c r="T901" s="3124"/>
      <c r="V901" s="3124"/>
      <c r="W901" s="3193"/>
      <c r="X901" s="3124">
        <v>0</v>
      </c>
      <c r="Y901" s="3124"/>
      <c r="Z901" s="3124"/>
      <c r="AA901" s="3124"/>
      <c r="AC901" s="3124"/>
    </row>
    <row r="902" spans="1:29">
      <c r="A902" s="3124">
        <v>901</v>
      </c>
      <c r="B902" s="3124"/>
      <c r="C902" s="3124"/>
      <c r="D902" s="3124"/>
      <c r="F902" s="3234"/>
      <c r="G902" s="3124"/>
      <c r="H902" s="3124"/>
      <c r="I902" s="3124"/>
      <c r="J902" s="3124"/>
      <c r="K902" s="3124"/>
      <c r="L902" s="3124"/>
      <c r="M902" s="3124"/>
      <c r="N902" s="3192"/>
      <c r="O902" s="3192"/>
      <c r="P902" s="3192"/>
      <c r="Q902" s="3192"/>
      <c r="R902" s="3124" t="s">
        <v>2573</v>
      </c>
      <c r="S902" s="3124" t="s">
        <v>2574</v>
      </c>
      <c r="T902" s="3124"/>
      <c r="V902" s="3124"/>
      <c r="W902" s="3193"/>
      <c r="X902" s="3124">
        <v>0</v>
      </c>
      <c r="Y902" s="3124"/>
      <c r="Z902" s="3124"/>
      <c r="AA902" s="3124"/>
      <c r="AC902" s="3124"/>
    </row>
    <row r="903" spans="1:29">
      <c r="A903" s="3124">
        <v>902</v>
      </c>
      <c r="B903" s="3124"/>
      <c r="C903" s="3124"/>
      <c r="D903" s="3124"/>
      <c r="F903" s="3234"/>
      <c r="G903" s="3124"/>
      <c r="H903" s="3124"/>
      <c r="I903" s="3124"/>
      <c r="J903" s="3124"/>
      <c r="K903" s="3124"/>
      <c r="L903" s="3124"/>
      <c r="M903" s="3124"/>
      <c r="N903" s="3192"/>
      <c r="O903" s="3192"/>
      <c r="P903" s="3192"/>
      <c r="Q903" s="3192"/>
      <c r="R903" s="3124" t="s">
        <v>2573</v>
      </c>
      <c r="S903" s="3124" t="s">
        <v>2574</v>
      </c>
      <c r="T903" s="3124"/>
      <c r="V903" s="3124"/>
      <c r="W903" s="3193"/>
      <c r="X903" s="3124">
        <v>0</v>
      </c>
      <c r="Y903" s="3124"/>
      <c r="Z903" s="3124"/>
      <c r="AA903" s="3124"/>
      <c r="AC903" s="3124"/>
    </row>
    <row r="904" spans="1:29">
      <c r="A904" s="3124">
        <v>903</v>
      </c>
      <c r="B904" s="3124"/>
      <c r="C904" s="3124"/>
      <c r="D904" s="3124"/>
      <c r="F904" s="3234"/>
      <c r="G904" s="3124"/>
      <c r="H904" s="3124"/>
      <c r="I904" s="3124"/>
      <c r="J904" s="3124"/>
      <c r="K904" s="3124"/>
      <c r="L904" s="3124"/>
      <c r="M904" s="3124"/>
      <c r="N904" s="3192"/>
      <c r="O904" s="3192"/>
      <c r="P904" s="3192"/>
      <c r="Q904" s="3192"/>
      <c r="R904" s="3124" t="s">
        <v>2573</v>
      </c>
      <c r="S904" s="3124" t="s">
        <v>2574</v>
      </c>
      <c r="T904" s="3124"/>
      <c r="V904" s="3124"/>
      <c r="W904" s="3193"/>
      <c r="X904" s="3124">
        <v>0</v>
      </c>
      <c r="Y904" s="3124"/>
      <c r="Z904" s="3124"/>
      <c r="AA904" s="3124"/>
      <c r="AC904" s="3124"/>
    </row>
    <row r="905" spans="1:29">
      <c r="A905" s="3124">
        <v>904</v>
      </c>
      <c r="B905" s="3124"/>
      <c r="C905" s="3124"/>
      <c r="D905" s="3124"/>
      <c r="F905" s="3234"/>
      <c r="G905" s="3124"/>
      <c r="H905" s="3124"/>
      <c r="I905" s="3124"/>
      <c r="J905" s="3124"/>
      <c r="K905" s="3124"/>
      <c r="L905" s="3124"/>
      <c r="M905" s="3124"/>
      <c r="N905" s="3192"/>
      <c r="O905" s="3192"/>
      <c r="P905" s="3192"/>
      <c r="Q905" s="3192"/>
      <c r="R905" s="3124" t="s">
        <v>2573</v>
      </c>
      <c r="S905" s="3124" t="s">
        <v>2574</v>
      </c>
      <c r="T905" s="3124"/>
      <c r="V905" s="3124"/>
      <c r="W905" s="3193"/>
      <c r="X905" s="3124">
        <v>0</v>
      </c>
      <c r="Y905" s="3124"/>
      <c r="Z905" s="3124"/>
      <c r="AA905" s="3124"/>
      <c r="AC905" s="3124"/>
    </row>
    <row r="906" spans="1:29">
      <c r="A906" s="3124">
        <v>905</v>
      </c>
      <c r="B906" s="3124"/>
      <c r="C906" s="3124"/>
      <c r="D906" s="3124"/>
      <c r="F906" s="3234"/>
      <c r="G906" s="3124"/>
      <c r="H906" s="3124"/>
      <c r="I906" s="3124"/>
      <c r="J906" s="3124"/>
      <c r="K906" s="3124"/>
      <c r="L906" s="3124"/>
      <c r="M906" s="3124"/>
      <c r="N906" s="3192"/>
      <c r="O906" s="3192"/>
      <c r="P906" s="3192"/>
      <c r="Q906" s="3192"/>
      <c r="R906" s="3124" t="s">
        <v>2573</v>
      </c>
      <c r="S906" s="3124" t="s">
        <v>2574</v>
      </c>
      <c r="T906" s="3124"/>
      <c r="V906" s="3124"/>
      <c r="W906" s="3193"/>
      <c r="X906" s="3124">
        <v>0</v>
      </c>
      <c r="Y906" s="3124"/>
      <c r="Z906" s="3124"/>
      <c r="AA906" s="3124"/>
      <c r="AC906" s="3124"/>
    </row>
    <row r="907" spans="1:29">
      <c r="A907" s="3124">
        <v>906</v>
      </c>
      <c r="B907" s="3124"/>
      <c r="C907" s="3124"/>
      <c r="D907" s="3124"/>
      <c r="F907" s="3234"/>
      <c r="G907" s="3124"/>
      <c r="H907" s="3124"/>
      <c r="I907" s="3124"/>
      <c r="J907" s="3124"/>
      <c r="K907" s="3124"/>
      <c r="L907" s="3124"/>
      <c r="M907" s="3124"/>
      <c r="N907" s="3192"/>
      <c r="O907" s="3192"/>
      <c r="P907" s="3192"/>
      <c r="Q907" s="3192"/>
      <c r="R907" s="3124" t="s">
        <v>2573</v>
      </c>
      <c r="S907" s="3124" t="s">
        <v>2574</v>
      </c>
      <c r="T907" s="3124"/>
      <c r="V907" s="3124"/>
      <c r="W907" s="3193"/>
      <c r="X907" s="3124">
        <v>0</v>
      </c>
      <c r="Y907" s="3124"/>
      <c r="Z907" s="3124"/>
      <c r="AA907" s="3124"/>
      <c r="AC907" s="3124"/>
    </row>
    <row r="908" spans="1:29">
      <c r="A908" s="3124">
        <v>907</v>
      </c>
      <c r="B908" s="3124"/>
      <c r="C908" s="3124"/>
      <c r="D908" s="3124"/>
      <c r="F908" s="3234"/>
      <c r="G908" s="3124"/>
      <c r="H908" s="3124"/>
      <c r="I908" s="3124"/>
      <c r="J908" s="3124"/>
      <c r="K908" s="3124"/>
      <c r="L908" s="3124"/>
      <c r="M908" s="3124"/>
      <c r="N908" s="3192"/>
      <c r="O908" s="3192"/>
      <c r="P908" s="3192"/>
      <c r="Q908" s="3192"/>
      <c r="R908" s="3124" t="s">
        <v>2573</v>
      </c>
      <c r="S908" s="3124" t="s">
        <v>2574</v>
      </c>
      <c r="T908" s="3124"/>
      <c r="V908" s="3124"/>
      <c r="W908" s="3193"/>
      <c r="X908" s="3124">
        <v>0</v>
      </c>
      <c r="Y908" s="3124"/>
      <c r="Z908" s="3124"/>
      <c r="AA908" s="3124"/>
      <c r="AC908" s="3124"/>
    </row>
    <row r="909" spans="1:29">
      <c r="A909" s="3124">
        <v>908</v>
      </c>
      <c r="B909" s="3124"/>
      <c r="C909" s="3124"/>
      <c r="D909" s="3124"/>
      <c r="F909" s="3234"/>
      <c r="G909" s="3124"/>
      <c r="H909" s="3124"/>
      <c r="I909" s="3124"/>
      <c r="J909" s="3124"/>
      <c r="K909" s="3124"/>
      <c r="L909" s="3124"/>
      <c r="M909" s="3124"/>
      <c r="N909" s="3192"/>
      <c r="O909" s="3192"/>
      <c r="P909" s="3192"/>
      <c r="Q909" s="3192"/>
      <c r="R909" s="3124" t="s">
        <v>2573</v>
      </c>
      <c r="S909" s="3124" t="s">
        <v>2574</v>
      </c>
      <c r="T909" s="3124"/>
      <c r="V909" s="3124"/>
      <c r="W909" s="3193"/>
      <c r="X909" s="3124">
        <v>0</v>
      </c>
      <c r="Y909" s="3124"/>
      <c r="Z909" s="3124"/>
      <c r="AA909" s="3124"/>
      <c r="AC909" s="3124"/>
    </row>
    <row r="910" spans="1:29">
      <c r="A910" s="3124">
        <v>909</v>
      </c>
      <c r="B910" s="3124"/>
      <c r="C910" s="3124"/>
      <c r="D910" s="3124"/>
      <c r="F910" s="3234"/>
      <c r="G910" s="3124"/>
      <c r="H910" s="3124"/>
      <c r="I910" s="3124"/>
      <c r="J910" s="3124"/>
      <c r="K910" s="3124"/>
      <c r="L910" s="3124"/>
      <c r="M910" s="3124"/>
      <c r="N910" s="3192"/>
      <c r="O910" s="3192"/>
      <c r="P910" s="3192"/>
      <c r="Q910" s="3192"/>
      <c r="R910" s="3124" t="s">
        <v>2573</v>
      </c>
      <c r="S910" s="3124" t="s">
        <v>2574</v>
      </c>
      <c r="T910" s="3124"/>
      <c r="V910" s="3124"/>
      <c r="W910" s="3193"/>
      <c r="X910" s="3124">
        <v>0</v>
      </c>
      <c r="Y910" s="3124"/>
      <c r="Z910" s="3124"/>
      <c r="AA910" s="3124"/>
      <c r="AC910" s="3124"/>
    </row>
    <row r="911" spans="1:29">
      <c r="A911" s="3124">
        <v>910</v>
      </c>
      <c r="B911" s="3124"/>
      <c r="C911" s="3124"/>
      <c r="D911" s="3124"/>
      <c r="F911" s="3234"/>
      <c r="G911" s="3124"/>
      <c r="H911" s="3124"/>
      <c r="I911" s="3124"/>
      <c r="J911" s="3124"/>
      <c r="K911" s="3124"/>
      <c r="L911" s="3124"/>
      <c r="M911" s="3124"/>
      <c r="N911" s="3192"/>
      <c r="O911" s="3192"/>
      <c r="P911" s="3192"/>
      <c r="Q911" s="3192"/>
      <c r="R911" s="3124" t="s">
        <v>2573</v>
      </c>
      <c r="S911" s="3124" t="s">
        <v>2574</v>
      </c>
      <c r="T911" s="3124"/>
      <c r="V911" s="3124"/>
      <c r="W911" s="3193"/>
      <c r="X911" s="3124">
        <v>0</v>
      </c>
      <c r="Y911" s="3124"/>
      <c r="Z911" s="3124"/>
      <c r="AA911" s="3124"/>
      <c r="AC911" s="3124"/>
    </row>
    <row r="912" spans="1:29">
      <c r="A912" s="3124">
        <v>911</v>
      </c>
      <c r="B912" s="3124"/>
      <c r="C912" s="3124"/>
      <c r="D912" s="3124"/>
      <c r="F912" s="3234"/>
      <c r="G912" s="3124"/>
      <c r="H912" s="3124"/>
      <c r="I912" s="3124"/>
      <c r="J912" s="3124"/>
      <c r="K912" s="3124"/>
      <c r="L912" s="3124"/>
      <c r="M912" s="3124"/>
      <c r="N912" s="3192"/>
      <c r="O912" s="3192"/>
      <c r="P912" s="3192"/>
      <c r="Q912" s="3192"/>
      <c r="R912" s="3124" t="s">
        <v>2573</v>
      </c>
      <c r="S912" s="3124" t="s">
        <v>2574</v>
      </c>
      <c r="T912" s="3124"/>
      <c r="V912" s="3124"/>
      <c r="W912" s="3193"/>
      <c r="X912" s="3124">
        <v>0</v>
      </c>
      <c r="Y912" s="3124"/>
      <c r="Z912" s="3124"/>
      <c r="AA912" s="3124"/>
      <c r="AC912" s="3124"/>
    </row>
    <row r="913" spans="1:29">
      <c r="A913" s="3124">
        <v>912</v>
      </c>
      <c r="B913" s="3124"/>
      <c r="C913" s="3124"/>
      <c r="D913" s="3124"/>
      <c r="F913" s="3234"/>
      <c r="G913" s="3124"/>
      <c r="H913" s="3124"/>
      <c r="I913" s="3124"/>
      <c r="J913" s="3124"/>
      <c r="K913" s="3124"/>
      <c r="L913" s="3124"/>
      <c r="M913" s="3124"/>
      <c r="N913" s="3192"/>
      <c r="O913" s="3192"/>
      <c r="P913" s="3192"/>
      <c r="Q913" s="3192"/>
      <c r="R913" s="3124" t="s">
        <v>2573</v>
      </c>
      <c r="S913" s="3124" t="s">
        <v>2574</v>
      </c>
      <c r="T913" s="3124"/>
      <c r="V913" s="3124"/>
      <c r="W913" s="3193"/>
      <c r="X913" s="3124">
        <v>0</v>
      </c>
      <c r="Y913" s="3124"/>
      <c r="Z913" s="3124"/>
      <c r="AA913" s="3124"/>
      <c r="AC913" s="3124"/>
    </row>
    <row r="914" spans="1:29">
      <c r="A914" s="3124">
        <v>913</v>
      </c>
      <c r="B914" s="3124"/>
      <c r="C914" s="3124"/>
      <c r="D914" s="3124"/>
      <c r="F914" s="3234"/>
      <c r="G914" s="3124"/>
      <c r="H914" s="3124"/>
      <c r="I914" s="3124"/>
      <c r="J914" s="3124"/>
      <c r="K914" s="3124"/>
      <c r="L914" s="3124"/>
      <c r="M914" s="3124"/>
      <c r="N914" s="3192"/>
      <c r="O914" s="3192"/>
      <c r="P914" s="3192"/>
      <c r="Q914" s="3192"/>
      <c r="R914" s="3124" t="s">
        <v>2573</v>
      </c>
      <c r="S914" s="3124" t="s">
        <v>2574</v>
      </c>
      <c r="T914" s="3124"/>
      <c r="V914" s="3124"/>
      <c r="W914" s="3193"/>
      <c r="X914" s="3124">
        <v>0</v>
      </c>
      <c r="Y914" s="3124"/>
      <c r="Z914" s="3124"/>
      <c r="AA914" s="3124"/>
      <c r="AC914" s="3124"/>
    </row>
    <row r="915" spans="1:29">
      <c r="A915" s="3124">
        <v>914</v>
      </c>
      <c r="B915" s="3124"/>
      <c r="C915" s="3124"/>
      <c r="D915" s="3124"/>
      <c r="F915" s="3234"/>
      <c r="G915" s="3124"/>
      <c r="H915" s="3124"/>
      <c r="I915" s="3124"/>
      <c r="J915" s="3124"/>
      <c r="K915" s="3124"/>
      <c r="L915" s="3124"/>
      <c r="M915" s="3124"/>
      <c r="N915" s="3192"/>
      <c r="O915" s="3192"/>
      <c r="P915" s="3192"/>
      <c r="Q915" s="3192"/>
      <c r="R915" s="3124" t="s">
        <v>2573</v>
      </c>
      <c r="S915" s="3124" t="s">
        <v>2574</v>
      </c>
      <c r="T915" s="3124"/>
      <c r="V915" s="3124"/>
      <c r="W915" s="3193"/>
      <c r="X915" s="3124">
        <v>0</v>
      </c>
      <c r="Y915" s="3124"/>
      <c r="Z915" s="3124"/>
      <c r="AA915" s="3124"/>
      <c r="AC915" s="3124"/>
    </row>
    <row r="916" spans="1:29">
      <c r="A916" s="3124">
        <v>915</v>
      </c>
      <c r="B916" s="3124"/>
      <c r="C916" s="3124"/>
      <c r="D916" s="3124"/>
      <c r="F916" s="3234"/>
      <c r="G916" s="3124"/>
      <c r="H916" s="3124"/>
      <c r="I916" s="3124"/>
      <c r="J916" s="3124"/>
      <c r="K916" s="3124"/>
      <c r="L916" s="3124"/>
      <c r="M916" s="3124"/>
      <c r="N916" s="3192"/>
      <c r="O916" s="3192"/>
      <c r="P916" s="3192"/>
      <c r="Q916" s="3192"/>
      <c r="R916" s="3124" t="s">
        <v>2573</v>
      </c>
      <c r="S916" s="3124" t="s">
        <v>2574</v>
      </c>
      <c r="T916" s="3124"/>
      <c r="V916" s="3124"/>
      <c r="W916" s="3193"/>
      <c r="X916" s="3124">
        <v>0</v>
      </c>
      <c r="Y916" s="3124"/>
      <c r="Z916" s="3124"/>
      <c r="AA916" s="3124"/>
      <c r="AC916" s="3124"/>
    </row>
    <row r="917" spans="1:29">
      <c r="A917" s="3124">
        <v>916</v>
      </c>
      <c r="B917" s="3124"/>
      <c r="C917" s="3124"/>
      <c r="D917" s="3124"/>
      <c r="F917" s="3234"/>
      <c r="G917" s="3124"/>
      <c r="H917" s="3124"/>
      <c r="I917" s="3124"/>
      <c r="J917" s="3124"/>
      <c r="K917" s="3124"/>
      <c r="L917" s="3124"/>
      <c r="M917" s="3124"/>
      <c r="N917" s="3192"/>
      <c r="O917" s="3192"/>
      <c r="P917" s="3192"/>
      <c r="Q917" s="3192"/>
      <c r="R917" s="3124" t="s">
        <v>2573</v>
      </c>
      <c r="S917" s="3124" t="s">
        <v>2574</v>
      </c>
      <c r="T917" s="3124"/>
      <c r="V917" s="3124"/>
      <c r="W917" s="3193"/>
      <c r="X917" s="3124">
        <v>0</v>
      </c>
      <c r="Y917" s="3124"/>
      <c r="Z917" s="3124"/>
      <c r="AA917" s="3124"/>
      <c r="AC917" s="3124"/>
    </row>
    <row r="918" spans="1:29">
      <c r="A918" s="3124">
        <v>917</v>
      </c>
      <c r="B918" s="3124"/>
      <c r="C918" s="3124"/>
      <c r="D918" s="3124"/>
      <c r="F918" s="3234"/>
      <c r="G918" s="3124"/>
      <c r="H918" s="3124"/>
      <c r="I918" s="3124"/>
      <c r="J918" s="3124"/>
      <c r="K918" s="3124"/>
      <c r="L918" s="3124"/>
      <c r="M918" s="3124"/>
      <c r="N918" s="3192"/>
      <c r="O918" s="3192"/>
      <c r="P918" s="3192"/>
      <c r="Q918" s="3192"/>
      <c r="R918" s="3124" t="s">
        <v>2573</v>
      </c>
      <c r="S918" s="3124" t="s">
        <v>2574</v>
      </c>
      <c r="T918" s="3124"/>
      <c r="V918" s="3124"/>
      <c r="W918" s="3193"/>
      <c r="X918" s="3124">
        <v>0</v>
      </c>
      <c r="Y918" s="3124"/>
      <c r="Z918" s="3124"/>
      <c r="AA918" s="3124"/>
      <c r="AC918" s="3124"/>
    </row>
    <row r="919" spans="1:29">
      <c r="A919" s="3124">
        <v>918</v>
      </c>
      <c r="B919" s="3124"/>
      <c r="C919" s="3124"/>
      <c r="D919" s="3124"/>
      <c r="F919" s="3234"/>
      <c r="G919" s="3124"/>
      <c r="H919" s="3124"/>
      <c r="I919" s="3124"/>
      <c r="J919" s="3124"/>
      <c r="K919" s="3124"/>
      <c r="L919" s="3124"/>
      <c r="M919" s="3124"/>
      <c r="N919" s="3192"/>
      <c r="O919" s="3192"/>
      <c r="P919" s="3192"/>
      <c r="Q919" s="3192"/>
      <c r="R919" s="3124" t="s">
        <v>2573</v>
      </c>
      <c r="S919" s="3124" t="s">
        <v>2574</v>
      </c>
      <c r="T919" s="3124"/>
      <c r="V919" s="3124"/>
      <c r="W919" s="3193"/>
      <c r="X919" s="3124">
        <v>0</v>
      </c>
      <c r="Y919" s="3124"/>
      <c r="Z919" s="3124"/>
      <c r="AA919" s="3124"/>
      <c r="AC919" s="3124"/>
    </row>
    <row r="920" spans="1:29">
      <c r="A920" s="3124">
        <v>919</v>
      </c>
      <c r="B920" s="3124"/>
      <c r="C920" s="3124"/>
      <c r="D920" s="3124"/>
      <c r="F920" s="3234"/>
      <c r="G920" s="3124"/>
      <c r="H920" s="3124"/>
      <c r="I920" s="3124"/>
      <c r="J920" s="3124"/>
      <c r="K920" s="3124"/>
      <c r="L920" s="3124"/>
      <c r="M920" s="3124"/>
      <c r="N920" s="3192"/>
      <c r="O920" s="3192"/>
      <c r="P920" s="3192"/>
      <c r="Q920" s="3192"/>
      <c r="R920" s="3124" t="s">
        <v>2573</v>
      </c>
      <c r="S920" s="3124" t="s">
        <v>2574</v>
      </c>
      <c r="T920" s="3124"/>
      <c r="V920" s="3124"/>
      <c r="W920" s="3193"/>
      <c r="X920" s="3124">
        <v>0</v>
      </c>
      <c r="Y920" s="3124"/>
      <c r="Z920" s="3124"/>
      <c r="AA920" s="3124"/>
      <c r="AC920" s="3124"/>
    </row>
    <row r="921" spans="1:29">
      <c r="A921" s="3124">
        <v>920</v>
      </c>
      <c r="B921" s="3124"/>
      <c r="C921" s="3124"/>
      <c r="D921" s="3124"/>
      <c r="F921" s="3234"/>
      <c r="G921" s="3124"/>
      <c r="H921" s="3124"/>
      <c r="I921" s="3124"/>
      <c r="J921" s="3124"/>
      <c r="K921" s="3124"/>
      <c r="L921" s="3124"/>
      <c r="M921" s="3124"/>
      <c r="N921" s="3192"/>
      <c r="O921" s="3192"/>
      <c r="P921" s="3192"/>
      <c r="Q921" s="3192"/>
      <c r="R921" s="3124" t="s">
        <v>2573</v>
      </c>
      <c r="S921" s="3124" t="s">
        <v>2574</v>
      </c>
      <c r="T921" s="3124"/>
      <c r="V921" s="3124"/>
      <c r="W921" s="3193"/>
      <c r="X921" s="3124">
        <v>0</v>
      </c>
      <c r="Y921" s="3124"/>
      <c r="Z921" s="3124"/>
      <c r="AA921" s="3124"/>
      <c r="AC921" s="3124"/>
    </row>
    <row r="922" spans="1:29">
      <c r="A922" s="3124">
        <v>921</v>
      </c>
      <c r="B922" s="3124"/>
      <c r="C922" s="3124"/>
      <c r="D922" s="3124"/>
      <c r="F922" s="3234"/>
      <c r="G922" s="3124"/>
      <c r="H922" s="3124"/>
      <c r="I922" s="3124"/>
      <c r="J922" s="3124"/>
      <c r="K922" s="3124"/>
      <c r="L922" s="3124"/>
      <c r="M922" s="3124"/>
      <c r="N922" s="3192"/>
      <c r="O922" s="3192"/>
      <c r="P922" s="3192"/>
      <c r="Q922" s="3192"/>
      <c r="R922" s="3124" t="s">
        <v>2573</v>
      </c>
      <c r="S922" s="3124" t="s">
        <v>2574</v>
      </c>
      <c r="T922" s="3124"/>
      <c r="V922" s="3124"/>
      <c r="W922" s="3193"/>
      <c r="X922" s="3124">
        <v>0</v>
      </c>
      <c r="Y922" s="3124"/>
      <c r="Z922" s="3124"/>
      <c r="AA922" s="3124"/>
      <c r="AC922" s="3124"/>
    </row>
    <row r="923" spans="1:29">
      <c r="A923" s="3124">
        <v>922</v>
      </c>
      <c r="B923" s="3124"/>
      <c r="C923" s="3124"/>
      <c r="D923" s="3124"/>
      <c r="F923" s="3234"/>
      <c r="G923" s="3124"/>
      <c r="H923" s="3124"/>
      <c r="I923" s="3124"/>
      <c r="J923" s="3124"/>
      <c r="K923" s="3124"/>
      <c r="L923" s="3124"/>
      <c r="M923" s="3124"/>
      <c r="N923" s="3192"/>
      <c r="O923" s="3192"/>
      <c r="P923" s="3192"/>
      <c r="Q923" s="3192"/>
      <c r="R923" s="3124" t="s">
        <v>2573</v>
      </c>
      <c r="S923" s="3124" t="s">
        <v>2574</v>
      </c>
      <c r="T923" s="3124"/>
      <c r="V923" s="3124"/>
      <c r="W923" s="3193"/>
      <c r="X923" s="3124">
        <v>0</v>
      </c>
      <c r="Y923" s="3124"/>
      <c r="Z923" s="3124"/>
      <c r="AA923" s="3124"/>
      <c r="AC923" s="3124"/>
    </row>
    <row r="924" spans="1:29">
      <c r="A924" s="3124">
        <v>923</v>
      </c>
      <c r="B924" s="3124"/>
      <c r="C924" s="3124"/>
      <c r="D924" s="3124"/>
      <c r="F924" s="3234"/>
      <c r="G924" s="3124"/>
      <c r="H924" s="3124"/>
      <c r="I924" s="3124"/>
      <c r="J924" s="3124"/>
      <c r="K924" s="3124"/>
      <c r="L924" s="3124"/>
      <c r="M924" s="3124"/>
      <c r="N924" s="3192"/>
      <c r="O924" s="3192"/>
      <c r="P924" s="3192"/>
      <c r="Q924" s="3192"/>
      <c r="R924" s="3124" t="s">
        <v>2573</v>
      </c>
      <c r="S924" s="3124" t="s">
        <v>2574</v>
      </c>
      <c r="T924" s="3124"/>
      <c r="V924" s="3124"/>
      <c r="W924" s="3193"/>
      <c r="X924" s="3124">
        <v>0</v>
      </c>
      <c r="Y924" s="3124"/>
      <c r="Z924" s="3124"/>
      <c r="AA924" s="3124"/>
      <c r="AC924" s="3124"/>
    </row>
    <row r="925" spans="1:29">
      <c r="A925" s="3124">
        <v>924</v>
      </c>
      <c r="B925" s="3124"/>
      <c r="C925" s="3124"/>
      <c r="D925" s="3124"/>
      <c r="F925" s="3234"/>
      <c r="G925" s="3124"/>
      <c r="H925" s="3124"/>
      <c r="I925" s="3124"/>
      <c r="J925" s="3124"/>
      <c r="K925" s="3124"/>
      <c r="L925" s="3124"/>
      <c r="M925" s="3124"/>
      <c r="N925" s="3192"/>
      <c r="O925" s="3192"/>
      <c r="P925" s="3192"/>
      <c r="Q925" s="3192"/>
      <c r="R925" s="3124" t="s">
        <v>2573</v>
      </c>
      <c r="S925" s="3124" t="s">
        <v>2574</v>
      </c>
      <c r="T925" s="3124"/>
      <c r="V925" s="3124"/>
      <c r="W925" s="3193"/>
      <c r="X925" s="3124">
        <v>0</v>
      </c>
      <c r="Y925" s="3124"/>
      <c r="Z925" s="3124"/>
      <c r="AA925" s="3124"/>
      <c r="AC925" s="3124"/>
    </row>
    <row r="926" spans="1:29">
      <c r="A926" s="3124">
        <v>925</v>
      </c>
      <c r="B926" s="3124"/>
      <c r="C926" s="3124"/>
      <c r="D926" s="3124"/>
      <c r="F926" s="3234"/>
      <c r="G926" s="3124"/>
      <c r="H926" s="3124"/>
      <c r="I926" s="3124"/>
      <c r="J926" s="3124"/>
      <c r="K926" s="3124"/>
      <c r="L926" s="3124"/>
      <c r="M926" s="3124"/>
      <c r="N926" s="3192"/>
      <c r="O926" s="3192"/>
      <c r="P926" s="3192"/>
      <c r="Q926" s="3192"/>
      <c r="R926" s="3124" t="s">
        <v>2573</v>
      </c>
      <c r="S926" s="3124" t="s">
        <v>2574</v>
      </c>
      <c r="T926" s="3124"/>
      <c r="V926" s="3124"/>
      <c r="W926" s="3193"/>
      <c r="X926" s="3124">
        <v>0</v>
      </c>
      <c r="Y926" s="3124"/>
      <c r="Z926" s="3124"/>
      <c r="AA926" s="3124"/>
      <c r="AC926" s="3124"/>
    </row>
    <row r="927" spans="1:29">
      <c r="A927" s="3124">
        <v>926</v>
      </c>
      <c r="B927" s="3124"/>
      <c r="C927" s="3124"/>
      <c r="D927" s="3124"/>
      <c r="F927" s="3234"/>
      <c r="G927" s="3124"/>
      <c r="H927" s="3124"/>
      <c r="I927" s="3124"/>
      <c r="J927" s="3124"/>
      <c r="K927" s="3124"/>
      <c r="L927" s="3124"/>
      <c r="M927" s="3124"/>
      <c r="N927" s="3192"/>
      <c r="O927" s="3192"/>
      <c r="P927" s="3192"/>
      <c r="Q927" s="3192"/>
      <c r="R927" s="3124" t="s">
        <v>2573</v>
      </c>
      <c r="S927" s="3124" t="s">
        <v>2574</v>
      </c>
      <c r="T927" s="3124"/>
      <c r="V927" s="3124"/>
      <c r="W927" s="3193"/>
      <c r="X927" s="3124">
        <v>0</v>
      </c>
      <c r="Y927" s="3124"/>
      <c r="Z927" s="3124"/>
      <c r="AA927" s="3124"/>
      <c r="AC927" s="3124"/>
    </row>
    <row r="928" spans="1:29">
      <c r="A928" s="3124">
        <v>927</v>
      </c>
      <c r="B928" s="3124"/>
      <c r="C928" s="3124"/>
      <c r="D928" s="3124"/>
      <c r="F928" s="3234"/>
      <c r="G928" s="3124"/>
      <c r="H928" s="3124"/>
      <c r="I928" s="3124"/>
      <c r="J928" s="3124"/>
      <c r="K928" s="3124"/>
      <c r="L928" s="3124"/>
      <c r="M928" s="3124"/>
      <c r="N928" s="3192"/>
      <c r="O928" s="3192"/>
      <c r="P928" s="3192"/>
      <c r="Q928" s="3192"/>
      <c r="R928" s="3124" t="s">
        <v>2573</v>
      </c>
      <c r="S928" s="3124" t="s">
        <v>2574</v>
      </c>
      <c r="T928" s="3124"/>
      <c r="V928" s="3124"/>
      <c r="W928" s="3193"/>
      <c r="X928" s="3124">
        <v>0</v>
      </c>
      <c r="Y928" s="3124"/>
      <c r="Z928" s="3124"/>
      <c r="AA928" s="3124"/>
      <c r="AC928" s="3124"/>
    </row>
    <row r="929" spans="1:29">
      <c r="A929" s="3124">
        <v>928</v>
      </c>
      <c r="B929" s="3124"/>
      <c r="C929" s="3124"/>
      <c r="D929" s="3124"/>
      <c r="F929" s="3234"/>
      <c r="G929" s="3124"/>
      <c r="H929" s="3124"/>
      <c r="I929" s="3124"/>
      <c r="J929" s="3124"/>
      <c r="K929" s="3124"/>
      <c r="L929" s="3124"/>
      <c r="M929" s="3124"/>
      <c r="N929" s="3192"/>
      <c r="O929" s="3192"/>
      <c r="P929" s="3192"/>
      <c r="Q929" s="3192"/>
      <c r="R929" s="3124" t="s">
        <v>2573</v>
      </c>
      <c r="S929" s="3124" t="s">
        <v>2574</v>
      </c>
      <c r="T929" s="3124"/>
      <c r="V929" s="3124"/>
      <c r="W929" s="3193"/>
      <c r="X929" s="3124">
        <v>0</v>
      </c>
      <c r="Y929" s="3124"/>
      <c r="Z929" s="3124"/>
      <c r="AA929" s="3124"/>
      <c r="AC929" s="3124"/>
    </row>
    <row r="930" spans="1:29">
      <c r="A930" s="3124">
        <v>929</v>
      </c>
      <c r="B930" s="3124"/>
      <c r="C930" s="3124"/>
      <c r="D930" s="3124"/>
      <c r="F930" s="3234"/>
      <c r="G930" s="3124"/>
      <c r="H930" s="3124"/>
      <c r="I930" s="3124"/>
      <c r="J930" s="3124"/>
      <c r="K930" s="3124"/>
      <c r="L930" s="3124"/>
      <c r="M930" s="3124"/>
      <c r="N930" s="3192"/>
      <c r="O930" s="3192"/>
      <c r="P930" s="3192"/>
      <c r="Q930" s="3192"/>
      <c r="R930" s="3124" t="s">
        <v>2573</v>
      </c>
      <c r="S930" s="3124" t="s">
        <v>2574</v>
      </c>
      <c r="T930" s="3124"/>
      <c r="V930" s="3124"/>
      <c r="W930" s="3193"/>
      <c r="X930" s="3124">
        <v>0</v>
      </c>
      <c r="Y930" s="3124"/>
      <c r="Z930" s="3124"/>
      <c r="AA930" s="3124"/>
      <c r="AC930" s="3124"/>
    </row>
    <row r="931" spans="1:29">
      <c r="A931" s="3124">
        <v>930</v>
      </c>
      <c r="B931" s="3124"/>
      <c r="C931" s="3124"/>
      <c r="D931" s="3124"/>
      <c r="F931" s="3234"/>
      <c r="G931" s="3124"/>
      <c r="H931" s="3124"/>
      <c r="I931" s="3124"/>
      <c r="J931" s="3124"/>
      <c r="K931" s="3124"/>
      <c r="L931" s="3124"/>
      <c r="M931" s="3124"/>
      <c r="N931" s="3192"/>
      <c r="O931" s="3192"/>
      <c r="P931" s="3192"/>
      <c r="Q931" s="3192"/>
      <c r="R931" s="3124" t="s">
        <v>2573</v>
      </c>
      <c r="S931" s="3124" t="s">
        <v>2574</v>
      </c>
      <c r="T931" s="3124"/>
      <c r="V931" s="3124"/>
      <c r="W931" s="3193"/>
      <c r="X931" s="3124">
        <v>0</v>
      </c>
      <c r="Y931" s="3124"/>
      <c r="Z931" s="3124"/>
      <c r="AA931" s="3124"/>
      <c r="AC931" s="3124"/>
    </row>
    <row r="932" spans="1:29">
      <c r="A932" s="3124">
        <v>931</v>
      </c>
      <c r="B932" s="3124"/>
      <c r="C932" s="3124"/>
      <c r="D932" s="3124"/>
      <c r="F932" s="3234"/>
      <c r="G932" s="3124"/>
      <c r="H932" s="3124"/>
      <c r="I932" s="3124"/>
      <c r="J932" s="3124"/>
      <c r="K932" s="3124"/>
      <c r="L932" s="3124"/>
      <c r="M932" s="3124"/>
      <c r="N932" s="3192"/>
      <c r="O932" s="3192"/>
      <c r="P932" s="3192"/>
      <c r="Q932" s="3192"/>
      <c r="R932" s="3124" t="s">
        <v>2573</v>
      </c>
      <c r="S932" s="3124" t="s">
        <v>2574</v>
      </c>
      <c r="T932" s="3124"/>
      <c r="V932" s="3124"/>
      <c r="W932" s="3193"/>
      <c r="X932" s="3124">
        <v>0</v>
      </c>
      <c r="Y932" s="3124"/>
      <c r="Z932" s="3124"/>
      <c r="AA932" s="3124"/>
      <c r="AC932" s="3124"/>
    </row>
    <row r="933" spans="1:29">
      <c r="A933" s="3124">
        <v>932</v>
      </c>
      <c r="B933" s="3124"/>
      <c r="C933" s="3124"/>
      <c r="D933" s="3124"/>
      <c r="F933" s="3234"/>
      <c r="G933" s="3124"/>
      <c r="H933" s="3124"/>
      <c r="I933" s="3124"/>
      <c r="J933" s="3124"/>
      <c r="K933" s="3124"/>
      <c r="L933" s="3124"/>
      <c r="M933" s="3124"/>
      <c r="N933" s="3192"/>
      <c r="O933" s="3192"/>
      <c r="P933" s="3192"/>
      <c r="Q933" s="3192"/>
      <c r="R933" s="3124" t="s">
        <v>2573</v>
      </c>
      <c r="S933" s="3124" t="s">
        <v>2574</v>
      </c>
      <c r="T933" s="3124"/>
      <c r="V933" s="3124"/>
      <c r="W933" s="3193"/>
      <c r="X933" s="3124">
        <v>0</v>
      </c>
      <c r="Y933" s="3124"/>
      <c r="Z933" s="3124"/>
      <c r="AA933" s="3124"/>
      <c r="AC933" s="3124"/>
    </row>
    <row r="934" spans="1:29">
      <c r="A934" s="3124">
        <v>933</v>
      </c>
      <c r="B934" s="3124"/>
      <c r="C934" s="3124"/>
      <c r="D934" s="3124"/>
      <c r="F934" s="3234"/>
      <c r="G934" s="3124"/>
      <c r="H934" s="3124"/>
      <c r="I934" s="3124"/>
      <c r="J934" s="3124"/>
      <c r="K934" s="3124"/>
      <c r="L934" s="3124"/>
      <c r="M934" s="3124"/>
      <c r="N934" s="3192"/>
      <c r="O934" s="3192"/>
      <c r="P934" s="3192"/>
      <c r="Q934" s="3192"/>
      <c r="R934" s="3124" t="s">
        <v>2573</v>
      </c>
      <c r="S934" s="3124" t="s">
        <v>2574</v>
      </c>
      <c r="T934" s="3124"/>
      <c r="V934" s="3124"/>
      <c r="W934" s="3193"/>
      <c r="X934" s="3124">
        <v>0</v>
      </c>
      <c r="Y934" s="3124"/>
      <c r="Z934" s="3124"/>
      <c r="AA934" s="3124"/>
      <c r="AC934" s="3124"/>
    </row>
    <row r="935" spans="1:29">
      <c r="A935" s="3124">
        <v>934</v>
      </c>
      <c r="B935" s="3124"/>
      <c r="C935" s="3124"/>
      <c r="D935" s="3124"/>
      <c r="F935" s="3234"/>
      <c r="G935" s="3124"/>
      <c r="H935" s="3124"/>
      <c r="I935" s="3124"/>
      <c r="J935" s="3124"/>
      <c r="K935" s="3124"/>
      <c r="L935" s="3124"/>
      <c r="M935" s="3124"/>
      <c r="N935" s="3192"/>
      <c r="O935" s="3192"/>
      <c r="P935" s="3192"/>
      <c r="Q935" s="3192"/>
      <c r="R935" s="3124" t="s">
        <v>2573</v>
      </c>
      <c r="S935" s="3124" t="s">
        <v>2574</v>
      </c>
      <c r="T935" s="3124"/>
      <c r="V935" s="3124"/>
      <c r="W935" s="3193"/>
      <c r="X935" s="3124">
        <v>0</v>
      </c>
      <c r="Y935" s="3124"/>
      <c r="Z935" s="3124"/>
      <c r="AA935" s="3124"/>
      <c r="AC935" s="3124"/>
    </row>
    <row r="936" spans="1:29">
      <c r="A936" s="3124">
        <v>935</v>
      </c>
      <c r="B936" s="3124"/>
      <c r="C936" s="3124"/>
      <c r="D936" s="3124"/>
      <c r="F936" s="3234"/>
      <c r="G936" s="3124"/>
      <c r="H936" s="3124"/>
      <c r="I936" s="3124"/>
      <c r="J936" s="3124"/>
      <c r="K936" s="3124"/>
      <c r="L936" s="3124"/>
      <c r="M936" s="3124"/>
      <c r="N936" s="3192"/>
      <c r="O936" s="3192"/>
      <c r="P936" s="3192"/>
      <c r="Q936" s="3192"/>
      <c r="R936" s="3124" t="s">
        <v>2573</v>
      </c>
      <c r="S936" s="3124" t="s">
        <v>2574</v>
      </c>
      <c r="T936" s="3124"/>
      <c r="V936" s="3124"/>
      <c r="W936" s="3193"/>
      <c r="X936" s="3124">
        <v>0</v>
      </c>
      <c r="Y936" s="3124"/>
      <c r="Z936" s="3124"/>
      <c r="AA936" s="3124"/>
      <c r="AC936" s="3124"/>
    </row>
    <row r="937" spans="1:29">
      <c r="A937" s="3124">
        <v>936</v>
      </c>
      <c r="B937" s="3124"/>
      <c r="C937" s="3124"/>
      <c r="D937" s="3124"/>
      <c r="F937" s="3234"/>
      <c r="G937" s="3124"/>
      <c r="H937" s="3124"/>
      <c r="I937" s="3124"/>
      <c r="J937" s="3124"/>
      <c r="K937" s="3124"/>
      <c r="L937" s="3124"/>
      <c r="M937" s="3124"/>
      <c r="N937" s="3192"/>
      <c r="O937" s="3192"/>
      <c r="P937" s="3192"/>
      <c r="Q937" s="3192"/>
      <c r="R937" s="3124" t="s">
        <v>2573</v>
      </c>
      <c r="S937" s="3124" t="s">
        <v>2574</v>
      </c>
      <c r="T937" s="3124"/>
      <c r="V937" s="3124"/>
      <c r="W937" s="3193"/>
      <c r="X937" s="3124">
        <v>0</v>
      </c>
      <c r="Y937" s="3124"/>
      <c r="Z937" s="3124"/>
      <c r="AA937" s="3124"/>
      <c r="AC937" s="3124"/>
    </row>
    <row r="938" spans="1:29">
      <c r="A938" s="3124">
        <v>937</v>
      </c>
      <c r="B938" s="3124"/>
      <c r="C938" s="3124"/>
      <c r="D938" s="3124"/>
      <c r="F938" s="3234"/>
      <c r="G938" s="3124"/>
      <c r="H938" s="3124"/>
      <c r="I938" s="3124"/>
      <c r="J938" s="3124"/>
      <c r="K938" s="3124"/>
      <c r="L938" s="3124"/>
      <c r="M938" s="3124"/>
      <c r="N938" s="3192"/>
      <c r="O938" s="3192"/>
      <c r="P938" s="3192"/>
      <c r="Q938" s="3192"/>
      <c r="R938" s="3124" t="s">
        <v>2573</v>
      </c>
      <c r="S938" s="3124" t="s">
        <v>2574</v>
      </c>
      <c r="T938" s="3124"/>
      <c r="V938" s="3124"/>
      <c r="W938" s="3193"/>
      <c r="X938" s="3124">
        <v>0</v>
      </c>
      <c r="Y938" s="3124"/>
      <c r="Z938" s="3124"/>
      <c r="AA938" s="3124"/>
      <c r="AC938" s="3124"/>
    </row>
    <row r="939" spans="1:29">
      <c r="A939" s="3124">
        <v>938</v>
      </c>
      <c r="B939" s="3124"/>
      <c r="C939" s="3124"/>
      <c r="D939" s="3124"/>
      <c r="F939" s="3234"/>
      <c r="G939" s="3124"/>
      <c r="H939" s="3124"/>
      <c r="I939" s="3124"/>
      <c r="J939" s="3124"/>
      <c r="K939" s="3124"/>
      <c r="L939" s="3124"/>
      <c r="M939" s="3124"/>
      <c r="N939" s="3192"/>
      <c r="O939" s="3192"/>
      <c r="P939" s="3192"/>
      <c r="Q939" s="3192"/>
      <c r="R939" s="3124" t="s">
        <v>2573</v>
      </c>
      <c r="S939" s="3124" t="s">
        <v>2574</v>
      </c>
      <c r="T939" s="3124"/>
      <c r="V939" s="3124"/>
      <c r="W939" s="3193"/>
      <c r="X939" s="3124">
        <v>0</v>
      </c>
      <c r="Y939" s="3124"/>
      <c r="Z939" s="3124"/>
      <c r="AA939" s="3124"/>
      <c r="AC939" s="3124"/>
    </row>
    <row r="940" spans="1:29">
      <c r="A940" s="3124">
        <v>939</v>
      </c>
      <c r="B940" s="3124"/>
      <c r="C940" s="3124"/>
      <c r="D940" s="3124"/>
      <c r="F940" s="3234"/>
      <c r="G940" s="3124"/>
      <c r="H940" s="3124"/>
      <c r="I940" s="3124"/>
      <c r="J940" s="3124"/>
      <c r="K940" s="3124"/>
      <c r="L940" s="3124"/>
      <c r="M940" s="3124"/>
      <c r="N940" s="3192"/>
      <c r="O940" s="3192"/>
      <c r="P940" s="3192"/>
      <c r="Q940" s="3192"/>
      <c r="R940" s="3124" t="s">
        <v>2573</v>
      </c>
      <c r="S940" s="3124" t="s">
        <v>2574</v>
      </c>
      <c r="T940" s="3124"/>
      <c r="V940" s="3124"/>
      <c r="W940" s="3193"/>
      <c r="X940" s="3124">
        <v>0</v>
      </c>
      <c r="Y940" s="3124"/>
      <c r="Z940" s="3124"/>
      <c r="AA940" s="3124"/>
      <c r="AC940" s="3124"/>
    </row>
    <row r="941" spans="1:29">
      <c r="A941" s="3124">
        <v>940</v>
      </c>
      <c r="B941" s="3124"/>
      <c r="C941" s="3124"/>
      <c r="D941" s="3124"/>
      <c r="F941" s="3234"/>
      <c r="G941" s="3124"/>
      <c r="H941" s="3124"/>
      <c r="I941" s="3124"/>
      <c r="J941" s="3124"/>
      <c r="K941" s="3124"/>
      <c r="L941" s="3124"/>
      <c r="M941" s="3124"/>
      <c r="N941" s="3192"/>
      <c r="O941" s="3192"/>
      <c r="P941" s="3192"/>
      <c r="Q941" s="3192"/>
      <c r="R941" s="3124" t="s">
        <v>2573</v>
      </c>
      <c r="S941" s="3124" t="s">
        <v>2574</v>
      </c>
      <c r="T941" s="3124"/>
      <c r="V941" s="3124"/>
      <c r="W941" s="3193"/>
      <c r="X941" s="3124">
        <v>0</v>
      </c>
      <c r="Y941" s="3124"/>
      <c r="Z941" s="3124"/>
      <c r="AA941" s="3124"/>
      <c r="AC941" s="3124"/>
    </row>
    <row r="942" spans="1:29">
      <c r="A942" s="3124">
        <v>941</v>
      </c>
      <c r="B942" s="3124"/>
      <c r="C942" s="3124"/>
      <c r="D942" s="3124"/>
      <c r="F942" s="3234"/>
      <c r="G942" s="3124"/>
      <c r="H942" s="3124"/>
      <c r="I942" s="3124"/>
      <c r="J942" s="3124"/>
      <c r="K942" s="3124"/>
      <c r="L942" s="3124"/>
      <c r="M942" s="3124"/>
      <c r="N942" s="3192"/>
      <c r="O942" s="3192"/>
      <c r="P942" s="3192"/>
      <c r="Q942" s="3192"/>
      <c r="R942" s="3124" t="s">
        <v>2573</v>
      </c>
      <c r="S942" s="3124" t="s">
        <v>2574</v>
      </c>
      <c r="T942" s="3124"/>
      <c r="V942" s="3124"/>
      <c r="W942" s="3193"/>
      <c r="X942" s="3124">
        <v>0</v>
      </c>
      <c r="Y942" s="3124"/>
      <c r="Z942" s="3124"/>
      <c r="AA942" s="3124"/>
      <c r="AC942" s="3124"/>
    </row>
    <row r="943" spans="1:29">
      <c r="A943" s="3124">
        <v>942</v>
      </c>
      <c r="B943" s="3124"/>
      <c r="C943" s="3124"/>
      <c r="D943" s="3124"/>
      <c r="F943" s="3234"/>
      <c r="G943" s="3124"/>
      <c r="H943" s="3124"/>
      <c r="I943" s="3124"/>
      <c r="J943" s="3124"/>
      <c r="K943" s="3124"/>
      <c r="L943" s="3124"/>
      <c r="M943" s="3124"/>
      <c r="N943" s="3192"/>
      <c r="O943" s="3192"/>
      <c r="P943" s="3192"/>
      <c r="Q943" s="3192"/>
      <c r="R943" s="3124" t="s">
        <v>2573</v>
      </c>
      <c r="S943" s="3124" t="s">
        <v>2574</v>
      </c>
      <c r="T943" s="3124"/>
      <c r="V943" s="3124"/>
      <c r="W943" s="3193"/>
      <c r="X943" s="3124">
        <v>0</v>
      </c>
      <c r="Y943" s="3124"/>
      <c r="Z943" s="3124"/>
      <c r="AA943" s="3124"/>
      <c r="AC943" s="3124"/>
    </row>
    <row r="944" spans="1:29">
      <c r="A944" s="3124">
        <v>943</v>
      </c>
      <c r="B944" s="3124"/>
      <c r="C944" s="3124"/>
      <c r="D944" s="3124"/>
      <c r="F944" s="3234"/>
      <c r="G944" s="3124"/>
      <c r="H944" s="3124"/>
      <c r="I944" s="3124"/>
      <c r="J944" s="3124"/>
      <c r="K944" s="3124"/>
      <c r="L944" s="3124"/>
      <c r="M944" s="3124"/>
      <c r="N944" s="3192"/>
      <c r="O944" s="3192"/>
      <c r="P944" s="3192"/>
      <c r="Q944" s="3192"/>
      <c r="R944" s="3124" t="s">
        <v>2573</v>
      </c>
      <c r="S944" s="3124" t="s">
        <v>2574</v>
      </c>
      <c r="T944" s="3124"/>
      <c r="V944" s="3124"/>
      <c r="W944" s="3193"/>
      <c r="X944" s="3124">
        <v>0</v>
      </c>
      <c r="Y944" s="3124"/>
      <c r="Z944" s="3124"/>
      <c r="AA944" s="3124"/>
      <c r="AC944" s="3124"/>
    </row>
    <row r="945" spans="1:29">
      <c r="A945" s="3124">
        <v>944</v>
      </c>
      <c r="B945" s="3124"/>
      <c r="C945" s="3124"/>
      <c r="D945" s="3124"/>
      <c r="F945" s="3234"/>
      <c r="G945" s="3124"/>
      <c r="H945" s="3124"/>
      <c r="I945" s="3124"/>
      <c r="J945" s="3124"/>
      <c r="K945" s="3124"/>
      <c r="L945" s="3124"/>
      <c r="M945" s="3124"/>
      <c r="N945" s="3192"/>
      <c r="O945" s="3192"/>
      <c r="P945" s="3192"/>
      <c r="Q945" s="3192"/>
      <c r="R945" s="3124" t="s">
        <v>2573</v>
      </c>
      <c r="S945" s="3124" t="s">
        <v>2574</v>
      </c>
      <c r="T945" s="3124"/>
      <c r="V945" s="3124"/>
      <c r="W945" s="3193"/>
      <c r="X945" s="3124">
        <v>0</v>
      </c>
      <c r="Y945" s="3124"/>
      <c r="Z945" s="3124"/>
      <c r="AA945" s="3124"/>
      <c r="AC945" s="3124"/>
    </row>
    <row r="946" spans="1:29">
      <c r="A946" s="3124">
        <v>945</v>
      </c>
      <c r="B946" s="3124"/>
      <c r="C946" s="3124"/>
      <c r="D946" s="3124"/>
      <c r="F946" s="3234"/>
      <c r="G946" s="3124"/>
      <c r="H946" s="3124"/>
      <c r="I946" s="3124"/>
      <c r="J946" s="3124"/>
      <c r="K946" s="3124"/>
      <c r="L946" s="3124"/>
      <c r="M946" s="3124"/>
      <c r="N946" s="3192"/>
      <c r="O946" s="3192"/>
      <c r="P946" s="3192"/>
      <c r="Q946" s="3192"/>
      <c r="R946" s="3124" t="s">
        <v>2573</v>
      </c>
      <c r="S946" s="3124" t="s">
        <v>2574</v>
      </c>
      <c r="T946" s="3124"/>
      <c r="V946" s="3124"/>
      <c r="W946" s="3193"/>
      <c r="X946" s="3124">
        <v>0</v>
      </c>
      <c r="Y946" s="3124"/>
      <c r="Z946" s="3124"/>
      <c r="AA946" s="3124"/>
      <c r="AC946" s="3124"/>
    </row>
    <row r="947" spans="1:29">
      <c r="A947" s="3124">
        <v>946</v>
      </c>
      <c r="B947" s="3124"/>
      <c r="C947" s="3124"/>
      <c r="D947" s="3124"/>
      <c r="F947" s="3234"/>
      <c r="G947" s="3124"/>
      <c r="H947" s="3124"/>
      <c r="I947" s="3124"/>
      <c r="J947" s="3124"/>
      <c r="K947" s="3124"/>
      <c r="L947" s="3124"/>
      <c r="M947" s="3124"/>
      <c r="N947" s="3192"/>
      <c r="O947" s="3192"/>
      <c r="P947" s="3192"/>
      <c r="Q947" s="3192"/>
      <c r="R947" s="3124" t="s">
        <v>2573</v>
      </c>
      <c r="S947" s="3124" t="s">
        <v>2574</v>
      </c>
      <c r="T947" s="3124"/>
      <c r="V947" s="3124"/>
      <c r="W947" s="3193"/>
      <c r="X947" s="3124">
        <v>0</v>
      </c>
      <c r="Y947" s="3124"/>
      <c r="Z947" s="3124"/>
      <c r="AA947" s="3124"/>
      <c r="AC947" s="3124"/>
    </row>
    <row r="948" spans="1:29">
      <c r="A948" s="3124">
        <v>947</v>
      </c>
      <c r="B948" s="3124"/>
      <c r="C948" s="3124"/>
      <c r="D948" s="3124"/>
      <c r="F948" s="3234"/>
      <c r="G948" s="3124"/>
      <c r="H948" s="3124"/>
      <c r="I948" s="3124"/>
      <c r="J948" s="3124"/>
      <c r="K948" s="3124"/>
      <c r="L948" s="3124"/>
      <c r="M948" s="3124"/>
      <c r="N948" s="3192"/>
      <c r="O948" s="3192"/>
      <c r="P948" s="3192"/>
      <c r="Q948" s="3192"/>
      <c r="R948" s="3124" t="s">
        <v>2573</v>
      </c>
      <c r="S948" s="3124" t="s">
        <v>2574</v>
      </c>
      <c r="T948" s="3124"/>
      <c r="V948" s="3124"/>
      <c r="W948" s="3193"/>
      <c r="X948" s="3124">
        <v>0</v>
      </c>
      <c r="Y948" s="3124"/>
      <c r="Z948" s="3124"/>
      <c r="AA948" s="3124"/>
      <c r="AC948" s="3124"/>
    </row>
    <row r="949" spans="1:29">
      <c r="A949" s="3124">
        <v>948</v>
      </c>
      <c r="B949" s="3124"/>
      <c r="C949" s="3124"/>
      <c r="D949" s="3124"/>
      <c r="F949" s="3234"/>
      <c r="G949" s="3124"/>
      <c r="H949" s="3124"/>
      <c r="I949" s="3124"/>
      <c r="J949" s="3124"/>
      <c r="K949" s="3124"/>
      <c r="L949" s="3124"/>
      <c r="M949" s="3124"/>
      <c r="N949" s="3192"/>
      <c r="O949" s="3192"/>
      <c r="P949" s="3192"/>
      <c r="Q949" s="3192"/>
      <c r="R949" s="3124" t="s">
        <v>2573</v>
      </c>
      <c r="S949" s="3124" t="s">
        <v>2574</v>
      </c>
      <c r="T949" s="3124"/>
      <c r="V949" s="3124"/>
      <c r="W949" s="3193"/>
      <c r="X949" s="3124">
        <v>0</v>
      </c>
      <c r="Y949" s="3124"/>
      <c r="Z949" s="3124"/>
      <c r="AA949" s="3124"/>
      <c r="AC949" s="3124"/>
    </row>
    <row r="950" spans="1:29">
      <c r="A950" s="3124">
        <v>949</v>
      </c>
      <c r="B950" s="3124"/>
      <c r="C950" s="3124"/>
      <c r="D950" s="3124"/>
      <c r="F950" s="3234"/>
      <c r="G950" s="3124"/>
      <c r="H950" s="3124"/>
      <c r="I950" s="3124"/>
      <c r="J950" s="3124"/>
      <c r="K950" s="3124"/>
      <c r="L950" s="3124"/>
      <c r="M950" s="3124"/>
      <c r="N950" s="3192"/>
      <c r="O950" s="3192"/>
      <c r="P950" s="3192"/>
      <c r="Q950" s="3192"/>
      <c r="R950" s="3124" t="s">
        <v>2573</v>
      </c>
      <c r="S950" s="3124" t="s">
        <v>2574</v>
      </c>
      <c r="T950" s="3124"/>
      <c r="V950" s="3124"/>
      <c r="W950" s="3193"/>
      <c r="X950" s="3124">
        <v>0</v>
      </c>
      <c r="Y950" s="3124"/>
      <c r="Z950" s="3124"/>
      <c r="AA950" s="3124"/>
      <c r="AC950" s="3124"/>
    </row>
    <row r="951" spans="1:29">
      <c r="A951" s="3124">
        <v>950</v>
      </c>
      <c r="B951" s="3124"/>
      <c r="C951" s="3124"/>
      <c r="D951" s="3124"/>
      <c r="F951" s="3234"/>
      <c r="G951" s="3124"/>
      <c r="H951" s="3124"/>
      <c r="I951" s="3124"/>
      <c r="J951" s="3124"/>
      <c r="K951" s="3124"/>
      <c r="L951" s="3124"/>
      <c r="M951" s="3124"/>
      <c r="N951" s="3192"/>
      <c r="O951" s="3192"/>
      <c r="P951" s="3192"/>
      <c r="Q951" s="3192"/>
      <c r="R951" s="3124" t="s">
        <v>2573</v>
      </c>
      <c r="S951" s="3124" t="s">
        <v>2574</v>
      </c>
      <c r="T951" s="3124"/>
      <c r="V951" s="3124"/>
      <c r="W951" s="3193"/>
      <c r="X951" s="3124">
        <v>0</v>
      </c>
      <c r="Y951" s="3124"/>
      <c r="Z951" s="3124"/>
      <c r="AA951" s="3124"/>
      <c r="AC951" s="3124"/>
    </row>
    <row r="952" spans="1:29">
      <c r="A952" s="3124">
        <v>951</v>
      </c>
      <c r="B952" s="3124"/>
      <c r="C952" s="3124"/>
      <c r="D952" s="3124"/>
      <c r="F952" s="3234"/>
      <c r="G952" s="3124"/>
      <c r="H952" s="3124"/>
      <c r="I952" s="3124"/>
      <c r="J952" s="3124"/>
      <c r="K952" s="3124"/>
      <c r="L952" s="3124"/>
      <c r="M952" s="3124"/>
      <c r="N952" s="3192"/>
      <c r="O952" s="3192"/>
      <c r="P952" s="3192"/>
      <c r="Q952" s="3192"/>
      <c r="R952" s="3124" t="s">
        <v>2573</v>
      </c>
      <c r="S952" s="3124" t="s">
        <v>2574</v>
      </c>
      <c r="T952" s="3124"/>
      <c r="V952" s="3124"/>
      <c r="W952" s="3193"/>
      <c r="X952" s="3124">
        <v>0</v>
      </c>
      <c r="Y952" s="3124"/>
      <c r="Z952" s="3124"/>
      <c r="AA952" s="3124"/>
      <c r="AC952" s="3124"/>
    </row>
    <row r="953" spans="1:29">
      <c r="A953" s="3124">
        <v>952</v>
      </c>
      <c r="B953" s="3124"/>
      <c r="C953" s="3124"/>
      <c r="D953" s="3124"/>
      <c r="F953" s="3234"/>
      <c r="G953" s="3124"/>
      <c r="H953" s="3124"/>
      <c r="I953" s="3124"/>
      <c r="J953" s="3124"/>
      <c r="K953" s="3124"/>
      <c r="L953" s="3124"/>
      <c r="M953" s="3124"/>
      <c r="N953" s="3192"/>
      <c r="O953" s="3192"/>
      <c r="P953" s="3192"/>
      <c r="Q953" s="3192"/>
      <c r="R953" s="3124" t="s">
        <v>2573</v>
      </c>
      <c r="S953" s="3124" t="s">
        <v>2574</v>
      </c>
      <c r="T953" s="3124"/>
      <c r="V953" s="3124"/>
      <c r="W953" s="3193"/>
      <c r="X953" s="3124">
        <v>0</v>
      </c>
      <c r="Y953" s="3124"/>
      <c r="Z953" s="3124"/>
      <c r="AA953" s="3124"/>
      <c r="AC953" s="3124"/>
    </row>
    <row r="954" spans="1:29">
      <c r="A954" s="3124">
        <v>953</v>
      </c>
      <c r="B954" s="3124"/>
      <c r="C954" s="3124"/>
      <c r="D954" s="3124"/>
      <c r="F954" s="3234"/>
      <c r="G954" s="3124"/>
      <c r="H954" s="3124"/>
      <c r="I954" s="3124"/>
      <c r="J954" s="3124"/>
      <c r="K954" s="3124"/>
      <c r="L954" s="3124"/>
      <c r="M954" s="3124"/>
      <c r="N954" s="3192"/>
      <c r="O954" s="3192"/>
      <c r="P954" s="3192"/>
      <c r="Q954" s="3192"/>
      <c r="R954" s="3124" t="s">
        <v>2573</v>
      </c>
      <c r="S954" s="3124" t="s">
        <v>2574</v>
      </c>
      <c r="T954" s="3124"/>
      <c r="V954" s="3124"/>
      <c r="W954" s="3193"/>
      <c r="X954" s="3124">
        <v>0</v>
      </c>
      <c r="Y954" s="3124"/>
      <c r="Z954" s="3124"/>
      <c r="AA954" s="3124"/>
      <c r="AC954" s="3124"/>
    </row>
    <row r="955" spans="1:29">
      <c r="A955" s="3124">
        <v>954</v>
      </c>
      <c r="B955" s="3124"/>
      <c r="C955" s="3124"/>
      <c r="D955" s="3124"/>
      <c r="F955" s="3234"/>
      <c r="G955" s="3124"/>
      <c r="H955" s="3124"/>
      <c r="I955" s="3124"/>
      <c r="J955" s="3124"/>
      <c r="K955" s="3124"/>
      <c r="L955" s="3124"/>
      <c r="M955" s="3124"/>
      <c r="N955" s="3192"/>
      <c r="O955" s="3192"/>
      <c r="P955" s="3192"/>
      <c r="Q955" s="3192"/>
      <c r="R955" s="3124" t="s">
        <v>2573</v>
      </c>
      <c r="S955" s="3124" t="s">
        <v>2574</v>
      </c>
      <c r="T955" s="3124"/>
      <c r="V955" s="3124"/>
      <c r="W955" s="3193"/>
      <c r="X955" s="3124">
        <v>0</v>
      </c>
      <c r="Y955" s="3124"/>
      <c r="Z955" s="3124"/>
      <c r="AA955" s="3124"/>
      <c r="AC955" s="3124"/>
    </row>
    <row r="956" spans="1:29">
      <c r="A956" s="3124">
        <v>955</v>
      </c>
      <c r="B956" s="3124"/>
      <c r="C956" s="3124"/>
      <c r="D956" s="3124"/>
      <c r="F956" s="3234"/>
      <c r="G956" s="3124"/>
      <c r="H956" s="3124"/>
      <c r="I956" s="3124"/>
      <c r="J956" s="3124"/>
      <c r="K956" s="3124"/>
      <c r="L956" s="3124"/>
      <c r="M956" s="3124"/>
      <c r="N956" s="3192"/>
      <c r="O956" s="3192"/>
      <c r="P956" s="3192"/>
      <c r="Q956" s="3192"/>
      <c r="R956" s="3124" t="s">
        <v>2573</v>
      </c>
      <c r="S956" s="3124" t="s">
        <v>2574</v>
      </c>
      <c r="T956" s="3124"/>
      <c r="V956" s="3124"/>
      <c r="W956" s="3193"/>
      <c r="X956" s="3124">
        <v>0</v>
      </c>
      <c r="Y956" s="3124"/>
      <c r="Z956" s="3124"/>
      <c r="AA956" s="3124"/>
      <c r="AC956" s="3124"/>
    </row>
    <row r="957" spans="1:29">
      <c r="A957" s="3124">
        <v>956</v>
      </c>
      <c r="B957" s="3124"/>
      <c r="C957" s="3124"/>
      <c r="D957" s="3124"/>
      <c r="F957" s="3234"/>
      <c r="G957" s="3124"/>
      <c r="H957" s="3124"/>
      <c r="I957" s="3124"/>
      <c r="J957" s="3124"/>
      <c r="K957" s="3124"/>
      <c r="L957" s="3124"/>
      <c r="M957" s="3124"/>
      <c r="N957" s="3192"/>
      <c r="O957" s="3192"/>
      <c r="P957" s="3192"/>
      <c r="Q957" s="3192"/>
      <c r="R957" s="3124" t="s">
        <v>2573</v>
      </c>
      <c r="S957" s="3124" t="s">
        <v>2574</v>
      </c>
      <c r="T957" s="3124"/>
      <c r="V957" s="3124"/>
      <c r="W957" s="3193"/>
      <c r="X957" s="3124">
        <v>0</v>
      </c>
      <c r="Y957" s="3124"/>
      <c r="Z957" s="3124"/>
      <c r="AA957" s="3124"/>
      <c r="AC957" s="3124"/>
    </row>
    <row r="958" spans="1:29">
      <c r="A958" s="3124">
        <v>957</v>
      </c>
      <c r="B958" s="3124"/>
      <c r="C958" s="3124"/>
      <c r="D958" s="3124"/>
      <c r="F958" s="3234"/>
      <c r="G958" s="3124"/>
      <c r="H958" s="3124"/>
      <c r="I958" s="3124"/>
      <c r="J958" s="3124"/>
      <c r="K958" s="3124"/>
      <c r="L958" s="3124"/>
      <c r="M958" s="3124"/>
      <c r="N958" s="3192"/>
      <c r="O958" s="3192"/>
      <c r="P958" s="3192"/>
      <c r="Q958" s="3192"/>
      <c r="R958" s="3124" t="s">
        <v>2573</v>
      </c>
      <c r="S958" s="3124" t="s">
        <v>2574</v>
      </c>
      <c r="T958" s="3124"/>
      <c r="V958" s="3124"/>
      <c r="W958" s="3193"/>
      <c r="X958" s="3124">
        <v>0</v>
      </c>
      <c r="Y958" s="3124"/>
      <c r="Z958" s="3124"/>
      <c r="AA958" s="3124"/>
      <c r="AC958" s="3124"/>
    </row>
    <row r="959" spans="1:29">
      <c r="A959" s="3124">
        <v>958</v>
      </c>
      <c r="B959" s="3124"/>
      <c r="C959" s="3124"/>
      <c r="D959" s="3124"/>
      <c r="F959" s="3234"/>
      <c r="G959" s="3124"/>
      <c r="H959" s="3124"/>
      <c r="I959" s="3124"/>
      <c r="J959" s="3124"/>
      <c r="K959" s="3124"/>
      <c r="L959" s="3124"/>
      <c r="M959" s="3124"/>
      <c r="N959" s="3192"/>
      <c r="O959" s="3192"/>
      <c r="P959" s="3192"/>
      <c r="Q959" s="3192"/>
      <c r="R959" s="3124" t="s">
        <v>2573</v>
      </c>
      <c r="S959" s="3124" t="s">
        <v>2574</v>
      </c>
      <c r="T959" s="3124"/>
      <c r="V959" s="3124"/>
      <c r="W959" s="3193"/>
      <c r="X959" s="3124">
        <v>0</v>
      </c>
      <c r="Y959" s="3124"/>
      <c r="Z959" s="3124"/>
      <c r="AA959" s="3124"/>
      <c r="AC959" s="3124"/>
    </row>
    <row r="960" spans="1:29">
      <c r="A960" s="3124">
        <v>959</v>
      </c>
      <c r="B960" s="3124"/>
      <c r="C960" s="3124"/>
      <c r="D960" s="3124"/>
      <c r="F960" s="3234"/>
      <c r="G960" s="3124"/>
      <c r="H960" s="3124"/>
      <c r="I960" s="3124"/>
      <c r="J960" s="3124"/>
      <c r="K960" s="3124"/>
      <c r="L960" s="3124"/>
      <c r="M960" s="3124"/>
      <c r="N960" s="3192"/>
      <c r="O960" s="3192"/>
      <c r="P960" s="3192"/>
      <c r="Q960" s="3192"/>
      <c r="R960" s="3124" t="s">
        <v>2573</v>
      </c>
      <c r="S960" s="3124" t="s">
        <v>2574</v>
      </c>
      <c r="T960" s="3124"/>
      <c r="V960" s="3124"/>
      <c r="W960" s="3193"/>
      <c r="X960" s="3124">
        <v>0</v>
      </c>
      <c r="Y960" s="3124"/>
      <c r="Z960" s="3124"/>
      <c r="AA960" s="3124"/>
      <c r="AC960" s="3124"/>
    </row>
    <row r="961" spans="1:29">
      <c r="A961" s="3124">
        <v>960</v>
      </c>
      <c r="B961" s="3124"/>
      <c r="C961" s="3124"/>
      <c r="D961" s="3124"/>
      <c r="F961" s="3234"/>
      <c r="G961" s="3124"/>
      <c r="H961" s="3124"/>
      <c r="I961" s="3124"/>
      <c r="J961" s="3124"/>
      <c r="K961" s="3124"/>
      <c r="L961" s="3124"/>
      <c r="M961" s="3124"/>
      <c r="N961" s="3192"/>
      <c r="O961" s="3192"/>
      <c r="P961" s="3192"/>
      <c r="Q961" s="3192"/>
      <c r="R961" s="3124" t="s">
        <v>2573</v>
      </c>
      <c r="S961" s="3124" t="s">
        <v>2574</v>
      </c>
      <c r="T961" s="3124"/>
      <c r="V961" s="3124"/>
      <c r="W961" s="3193"/>
      <c r="X961" s="3124">
        <v>0</v>
      </c>
      <c r="Y961" s="3124"/>
      <c r="Z961" s="3124"/>
      <c r="AA961" s="3124"/>
      <c r="AC961" s="3124"/>
    </row>
    <row r="962" spans="1:29">
      <c r="A962" s="3124">
        <v>961</v>
      </c>
      <c r="B962" s="3124"/>
      <c r="C962" s="3124"/>
      <c r="D962" s="3124"/>
      <c r="F962" s="3234"/>
      <c r="G962" s="3124"/>
      <c r="H962" s="3124"/>
      <c r="I962" s="3124"/>
      <c r="J962" s="3124"/>
      <c r="K962" s="3124"/>
      <c r="L962" s="3124"/>
      <c r="M962" s="3124"/>
      <c r="N962" s="3192"/>
      <c r="O962" s="3192"/>
      <c r="P962" s="3192"/>
      <c r="Q962" s="3192"/>
      <c r="R962" s="3124" t="s">
        <v>2573</v>
      </c>
      <c r="S962" s="3124" t="s">
        <v>2574</v>
      </c>
      <c r="T962" s="3124"/>
      <c r="V962" s="3124"/>
      <c r="W962" s="3193"/>
      <c r="X962" s="3124">
        <v>0</v>
      </c>
      <c r="Y962" s="3124"/>
      <c r="Z962" s="3124"/>
      <c r="AA962" s="3124"/>
      <c r="AC962" s="3124"/>
    </row>
    <row r="963" spans="1:29">
      <c r="A963" s="3124">
        <v>962</v>
      </c>
      <c r="B963" s="3124"/>
      <c r="C963" s="3124"/>
      <c r="D963" s="3124"/>
      <c r="F963" s="3234"/>
      <c r="G963" s="3124"/>
      <c r="H963" s="3124"/>
      <c r="I963" s="3124"/>
      <c r="J963" s="3124"/>
      <c r="K963" s="3124"/>
      <c r="L963" s="3124"/>
      <c r="M963" s="3124"/>
      <c r="N963" s="3192"/>
      <c r="O963" s="3192"/>
      <c r="P963" s="3192"/>
      <c r="Q963" s="3192"/>
      <c r="R963" s="3124" t="s">
        <v>2573</v>
      </c>
      <c r="S963" s="3124" t="s">
        <v>2574</v>
      </c>
      <c r="T963" s="3124"/>
      <c r="V963" s="3124"/>
      <c r="W963" s="3193"/>
      <c r="X963" s="3124">
        <v>0</v>
      </c>
      <c r="Y963" s="3124"/>
      <c r="Z963" s="3124"/>
      <c r="AA963" s="3124"/>
      <c r="AC963" s="3124"/>
    </row>
    <row r="964" spans="1:29">
      <c r="A964" s="3124">
        <v>963</v>
      </c>
      <c r="B964" s="3124"/>
      <c r="C964" s="3124"/>
      <c r="D964" s="3124"/>
      <c r="F964" s="3234"/>
      <c r="G964" s="3124"/>
      <c r="H964" s="3124"/>
      <c r="I964" s="3124"/>
      <c r="J964" s="3124"/>
      <c r="K964" s="3124"/>
      <c r="L964" s="3124"/>
      <c r="M964" s="3124"/>
      <c r="N964" s="3192"/>
      <c r="O964" s="3192"/>
      <c r="P964" s="3192"/>
      <c r="Q964" s="3192"/>
      <c r="R964" s="3124" t="s">
        <v>2573</v>
      </c>
      <c r="S964" s="3124" t="s">
        <v>2574</v>
      </c>
      <c r="T964" s="3124"/>
      <c r="V964" s="3124"/>
      <c r="W964" s="3193"/>
      <c r="X964" s="3124">
        <v>0</v>
      </c>
      <c r="Y964" s="3124"/>
      <c r="Z964" s="3124"/>
      <c r="AA964" s="3124"/>
      <c r="AC964" s="3124"/>
    </row>
    <row r="965" spans="1:29">
      <c r="A965" s="3124">
        <v>964</v>
      </c>
      <c r="B965" s="3124"/>
      <c r="C965" s="3124"/>
      <c r="D965" s="3124"/>
      <c r="F965" s="3234"/>
      <c r="G965" s="3124"/>
      <c r="H965" s="3124"/>
      <c r="I965" s="3124"/>
      <c r="J965" s="3124"/>
      <c r="K965" s="3124"/>
      <c r="L965" s="3124"/>
      <c r="M965" s="3124"/>
      <c r="N965" s="3192"/>
      <c r="O965" s="3192"/>
      <c r="P965" s="3192"/>
      <c r="Q965" s="3192"/>
      <c r="R965" s="3124" t="s">
        <v>2573</v>
      </c>
      <c r="S965" s="3124" t="s">
        <v>2574</v>
      </c>
      <c r="T965" s="3124"/>
      <c r="V965" s="3124"/>
      <c r="W965" s="3193"/>
      <c r="X965" s="3124">
        <v>0</v>
      </c>
      <c r="Y965" s="3124"/>
      <c r="Z965" s="3124"/>
      <c r="AA965" s="3124"/>
      <c r="AC965" s="3124"/>
    </row>
    <row r="966" spans="1:29">
      <c r="A966" s="3124">
        <v>965</v>
      </c>
      <c r="B966" s="3124"/>
      <c r="C966" s="3124"/>
      <c r="D966" s="3124"/>
      <c r="F966" s="3234"/>
      <c r="G966" s="3124"/>
      <c r="H966" s="3124"/>
      <c r="I966" s="3124"/>
      <c r="J966" s="3124"/>
      <c r="K966" s="3124"/>
      <c r="L966" s="3124"/>
      <c r="M966" s="3124"/>
      <c r="N966" s="3192"/>
      <c r="O966" s="3192"/>
      <c r="P966" s="3192"/>
      <c r="Q966" s="3192"/>
      <c r="R966" s="3124" t="s">
        <v>2573</v>
      </c>
      <c r="S966" s="3124" t="s">
        <v>2574</v>
      </c>
      <c r="T966" s="3124"/>
      <c r="V966" s="3124"/>
      <c r="W966" s="3193"/>
      <c r="X966" s="3124">
        <v>0</v>
      </c>
      <c r="Y966" s="3124"/>
      <c r="Z966" s="3124"/>
      <c r="AA966" s="3124"/>
      <c r="AC966" s="3124"/>
    </row>
    <row r="967" spans="1:29">
      <c r="A967" s="3124">
        <v>966</v>
      </c>
      <c r="B967" s="3124"/>
      <c r="C967" s="3124"/>
      <c r="D967" s="3124"/>
      <c r="F967" s="3234"/>
      <c r="G967" s="3124"/>
      <c r="H967" s="3124"/>
      <c r="I967" s="3124"/>
      <c r="J967" s="3124"/>
      <c r="K967" s="3124"/>
      <c r="L967" s="3124"/>
      <c r="M967" s="3124"/>
      <c r="N967" s="3192"/>
      <c r="O967" s="3192"/>
      <c r="P967" s="3192"/>
      <c r="Q967" s="3192"/>
      <c r="R967" s="3124" t="s">
        <v>2573</v>
      </c>
      <c r="S967" s="3124" t="s">
        <v>2574</v>
      </c>
      <c r="T967" s="3124"/>
      <c r="V967" s="3124"/>
      <c r="W967" s="3193"/>
      <c r="X967" s="3124">
        <v>0</v>
      </c>
      <c r="Y967" s="3124"/>
      <c r="Z967" s="3124"/>
      <c r="AA967" s="3124"/>
      <c r="AC967" s="3124"/>
    </row>
    <row r="968" spans="1:29">
      <c r="A968" s="3124">
        <v>967</v>
      </c>
      <c r="B968" s="3124"/>
      <c r="C968" s="3124"/>
      <c r="D968" s="3124"/>
      <c r="F968" s="3234"/>
      <c r="G968" s="3124"/>
      <c r="H968" s="3124"/>
      <c r="I968" s="3124"/>
      <c r="J968" s="3124"/>
      <c r="K968" s="3124"/>
      <c r="L968" s="3124"/>
      <c r="M968" s="3124"/>
      <c r="N968" s="3192"/>
      <c r="O968" s="3192"/>
      <c r="P968" s="3192"/>
      <c r="Q968" s="3192"/>
      <c r="R968" s="3124" t="s">
        <v>2573</v>
      </c>
      <c r="S968" s="3124" t="s">
        <v>2574</v>
      </c>
      <c r="T968" s="3124"/>
      <c r="V968" s="3124"/>
      <c r="W968" s="3193"/>
      <c r="X968" s="3124">
        <v>0</v>
      </c>
      <c r="Y968" s="3124"/>
      <c r="Z968" s="3124"/>
      <c r="AA968" s="3124"/>
      <c r="AC968" s="3124"/>
    </row>
    <row r="969" spans="1:29">
      <c r="A969" s="3124">
        <v>968</v>
      </c>
      <c r="B969" s="3124"/>
      <c r="C969" s="3124"/>
      <c r="D969" s="3124"/>
      <c r="F969" s="3234"/>
      <c r="G969" s="3124"/>
      <c r="H969" s="3124"/>
      <c r="I969" s="3124"/>
      <c r="J969" s="3124"/>
      <c r="K969" s="3124"/>
      <c r="L969" s="3124"/>
      <c r="M969" s="3124"/>
      <c r="N969" s="3192"/>
      <c r="O969" s="3192"/>
      <c r="P969" s="3192"/>
      <c r="Q969" s="3192"/>
      <c r="R969" s="3124" t="s">
        <v>2573</v>
      </c>
      <c r="S969" s="3124" t="s">
        <v>2574</v>
      </c>
      <c r="T969" s="3124"/>
      <c r="V969" s="3124"/>
      <c r="W969" s="3193"/>
      <c r="X969" s="3124">
        <v>0</v>
      </c>
      <c r="Y969" s="3124"/>
      <c r="Z969" s="3124"/>
      <c r="AA969" s="3124"/>
      <c r="AC969" s="3124"/>
    </row>
    <row r="970" spans="1:29">
      <c r="A970" s="3124">
        <v>969</v>
      </c>
      <c r="B970" s="3124"/>
      <c r="C970" s="3124"/>
      <c r="D970" s="3124"/>
      <c r="F970" s="3234"/>
      <c r="G970" s="3124"/>
      <c r="H970" s="3124"/>
      <c r="I970" s="3124"/>
      <c r="J970" s="3124"/>
      <c r="K970" s="3124"/>
      <c r="L970" s="3124"/>
      <c r="M970" s="3124"/>
      <c r="N970" s="3192"/>
      <c r="O970" s="3192"/>
      <c r="P970" s="3192"/>
      <c r="Q970" s="3192"/>
      <c r="R970" s="3124" t="s">
        <v>2573</v>
      </c>
      <c r="S970" s="3124" t="s">
        <v>2574</v>
      </c>
      <c r="T970" s="3124"/>
      <c r="V970" s="3124"/>
      <c r="W970" s="3193"/>
      <c r="X970" s="3124">
        <v>0</v>
      </c>
      <c r="Y970" s="3124"/>
      <c r="Z970" s="3124"/>
      <c r="AA970" s="3124"/>
      <c r="AC970" s="3124"/>
    </row>
    <row r="971" spans="1:29">
      <c r="A971" s="3124">
        <v>970</v>
      </c>
      <c r="B971" s="3124"/>
      <c r="C971" s="3124"/>
      <c r="D971" s="3124"/>
      <c r="F971" s="3234"/>
      <c r="G971" s="3124"/>
      <c r="H971" s="3124"/>
      <c r="I971" s="3124"/>
      <c r="J971" s="3124"/>
      <c r="K971" s="3124"/>
      <c r="L971" s="3124"/>
      <c r="M971" s="3124"/>
      <c r="N971" s="3192"/>
      <c r="O971" s="3192"/>
      <c r="P971" s="3192"/>
      <c r="Q971" s="3192"/>
      <c r="R971" s="3124" t="s">
        <v>2573</v>
      </c>
      <c r="S971" s="3124" t="s">
        <v>2574</v>
      </c>
      <c r="T971" s="3124"/>
      <c r="V971" s="3124"/>
      <c r="W971" s="3193"/>
      <c r="X971" s="3124">
        <v>0</v>
      </c>
      <c r="Y971" s="3124"/>
      <c r="Z971" s="3124"/>
      <c r="AA971" s="3124"/>
      <c r="AC971" s="3124"/>
    </row>
    <row r="972" spans="1:29">
      <c r="A972" s="3124">
        <v>971</v>
      </c>
      <c r="B972" s="3124"/>
      <c r="C972" s="3124"/>
      <c r="D972" s="3124"/>
      <c r="F972" s="3234"/>
      <c r="G972" s="3124"/>
      <c r="H972" s="3124"/>
      <c r="I972" s="3124"/>
      <c r="J972" s="3124"/>
      <c r="K972" s="3124"/>
      <c r="L972" s="3124"/>
      <c r="M972" s="3124"/>
      <c r="N972" s="3192"/>
      <c r="O972" s="3192"/>
      <c r="P972" s="3192"/>
      <c r="Q972" s="3192"/>
      <c r="R972" s="3124" t="s">
        <v>2573</v>
      </c>
      <c r="S972" s="3124" t="s">
        <v>2574</v>
      </c>
      <c r="T972" s="3124"/>
      <c r="V972" s="3124"/>
      <c r="W972" s="3193"/>
      <c r="X972" s="3124">
        <v>0</v>
      </c>
      <c r="Y972" s="3124"/>
      <c r="Z972" s="3124"/>
      <c r="AA972" s="3124"/>
      <c r="AC972" s="3124"/>
    </row>
    <row r="973" spans="1:29">
      <c r="A973" s="3124">
        <v>972</v>
      </c>
      <c r="B973" s="3124"/>
      <c r="C973" s="3124"/>
      <c r="D973" s="3124"/>
      <c r="F973" s="3234"/>
      <c r="G973" s="3124"/>
      <c r="H973" s="3124"/>
      <c r="I973" s="3124"/>
      <c r="J973" s="3124"/>
      <c r="K973" s="3124"/>
      <c r="L973" s="3124"/>
      <c r="M973" s="3124"/>
      <c r="N973" s="3192"/>
      <c r="O973" s="3192"/>
      <c r="P973" s="3192"/>
      <c r="Q973" s="3192"/>
      <c r="R973" s="3124" t="s">
        <v>2573</v>
      </c>
      <c r="S973" s="3124" t="s">
        <v>2574</v>
      </c>
      <c r="T973" s="3124"/>
      <c r="V973" s="3124"/>
      <c r="W973" s="3193"/>
      <c r="X973" s="3124">
        <v>0</v>
      </c>
      <c r="Y973" s="3124"/>
      <c r="Z973" s="3124"/>
      <c r="AA973" s="3124"/>
      <c r="AC973" s="3124"/>
    </row>
    <row r="974" spans="1:29">
      <c r="A974" s="3124">
        <v>973</v>
      </c>
      <c r="B974" s="3124"/>
      <c r="C974" s="3124"/>
      <c r="D974" s="3124"/>
      <c r="F974" s="3234"/>
      <c r="G974" s="3124"/>
      <c r="H974" s="3124"/>
      <c r="I974" s="3124"/>
      <c r="J974" s="3124"/>
      <c r="K974" s="3124"/>
      <c r="L974" s="3124"/>
      <c r="M974" s="3124"/>
      <c r="N974" s="3192"/>
      <c r="O974" s="3192"/>
      <c r="P974" s="3192"/>
      <c r="Q974" s="3192"/>
      <c r="R974" s="3124" t="s">
        <v>2573</v>
      </c>
      <c r="S974" s="3124" t="s">
        <v>2574</v>
      </c>
      <c r="T974" s="3124"/>
      <c r="V974" s="3124"/>
      <c r="W974" s="3193"/>
      <c r="X974" s="3124">
        <v>0</v>
      </c>
      <c r="Y974" s="3124"/>
      <c r="Z974" s="3124"/>
      <c r="AA974" s="3124"/>
      <c r="AC974" s="3124"/>
    </row>
    <row r="975" spans="1:29">
      <c r="A975" s="3124">
        <v>974</v>
      </c>
      <c r="B975" s="3124"/>
      <c r="C975" s="3124"/>
      <c r="D975" s="3124"/>
      <c r="F975" s="3234"/>
      <c r="G975" s="3124"/>
      <c r="H975" s="3124"/>
      <c r="I975" s="3124"/>
      <c r="J975" s="3124"/>
      <c r="K975" s="3124"/>
      <c r="L975" s="3124"/>
      <c r="M975" s="3124"/>
      <c r="N975" s="3192"/>
      <c r="O975" s="3192"/>
      <c r="P975" s="3192"/>
      <c r="Q975" s="3192"/>
      <c r="R975" s="3124" t="s">
        <v>2573</v>
      </c>
      <c r="S975" s="3124" t="s">
        <v>2574</v>
      </c>
      <c r="T975" s="3124"/>
      <c r="V975" s="3124"/>
      <c r="W975" s="3193"/>
      <c r="X975" s="3124">
        <v>0</v>
      </c>
      <c r="Y975" s="3124"/>
      <c r="Z975" s="3124"/>
      <c r="AA975" s="3124"/>
      <c r="AC975" s="3124"/>
    </row>
    <row r="976" spans="1:29">
      <c r="A976" s="3124">
        <v>975</v>
      </c>
      <c r="B976" s="3124"/>
      <c r="C976" s="3124"/>
      <c r="D976" s="3124"/>
      <c r="F976" s="3234"/>
      <c r="G976" s="3124"/>
      <c r="H976" s="3124"/>
      <c r="I976" s="3124"/>
      <c r="J976" s="3124"/>
      <c r="K976" s="3124"/>
      <c r="L976" s="3124"/>
      <c r="M976" s="3124"/>
      <c r="N976" s="3192"/>
      <c r="O976" s="3192"/>
      <c r="P976" s="3192"/>
      <c r="Q976" s="3192"/>
      <c r="R976" s="3124" t="s">
        <v>2573</v>
      </c>
      <c r="S976" s="3124" t="s">
        <v>2574</v>
      </c>
      <c r="T976" s="3124"/>
      <c r="V976" s="3124"/>
      <c r="W976" s="3193"/>
      <c r="X976" s="3124">
        <v>0</v>
      </c>
      <c r="Y976" s="3124"/>
      <c r="Z976" s="3124"/>
      <c r="AA976" s="3124"/>
      <c r="AC976" s="3124"/>
    </row>
    <row r="977" spans="1:29">
      <c r="A977" s="3124">
        <v>976</v>
      </c>
      <c r="B977" s="3124"/>
      <c r="C977" s="3124"/>
      <c r="D977" s="3124"/>
      <c r="F977" s="3234"/>
      <c r="G977" s="3124"/>
      <c r="H977" s="3124"/>
      <c r="I977" s="3124"/>
      <c r="J977" s="3124"/>
      <c r="K977" s="3124"/>
      <c r="L977" s="3124"/>
      <c r="M977" s="3124"/>
      <c r="N977" s="3192"/>
      <c r="O977" s="3192"/>
      <c r="P977" s="3192"/>
      <c r="Q977" s="3192"/>
      <c r="R977" s="3124" t="s">
        <v>2573</v>
      </c>
      <c r="S977" s="3124" t="s">
        <v>2574</v>
      </c>
      <c r="T977" s="3124"/>
      <c r="V977" s="3124"/>
      <c r="W977" s="3193"/>
      <c r="X977" s="3124">
        <v>0</v>
      </c>
      <c r="Y977" s="3124"/>
      <c r="Z977" s="3124"/>
      <c r="AA977" s="3124"/>
      <c r="AC977" s="3124"/>
    </row>
    <row r="978" spans="1:29">
      <c r="A978" s="3124">
        <v>977</v>
      </c>
      <c r="B978" s="3124"/>
      <c r="C978" s="3124"/>
      <c r="D978" s="3124"/>
      <c r="F978" s="3234"/>
      <c r="G978" s="3124"/>
      <c r="H978" s="3124"/>
      <c r="I978" s="3124"/>
      <c r="J978" s="3124"/>
      <c r="K978" s="3124"/>
      <c r="L978" s="3124"/>
      <c r="M978" s="3124"/>
      <c r="N978" s="3192"/>
      <c r="O978" s="3192"/>
      <c r="P978" s="3192"/>
      <c r="Q978" s="3192"/>
      <c r="R978" s="3124" t="s">
        <v>2573</v>
      </c>
      <c r="S978" s="3124" t="s">
        <v>2574</v>
      </c>
      <c r="T978" s="3124"/>
      <c r="V978" s="3124"/>
      <c r="W978" s="3193"/>
      <c r="X978" s="3124">
        <v>0</v>
      </c>
      <c r="Y978" s="3124"/>
      <c r="Z978" s="3124"/>
      <c r="AA978" s="3124"/>
      <c r="AC978" s="3124"/>
    </row>
    <row r="979" spans="1:29">
      <c r="A979" s="3124">
        <v>978</v>
      </c>
      <c r="B979" s="3124"/>
      <c r="C979" s="3124"/>
      <c r="D979" s="3124"/>
      <c r="F979" s="3234"/>
      <c r="G979" s="3124"/>
      <c r="H979" s="3124"/>
      <c r="I979" s="3124"/>
      <c r="J979" s="3124"/>
      <c r="K979" s="3124"/>
      <c r="L979" s="3124"/>
      <c r="M979" s="3124"/>
      <c r="N979" s="3192"/>
      <c r="O979" s="3192"/>
      <c r="P979" s="3192"/>
      <c r="Q979" s="3192"/>
      <c r="R979" s="3124" t="s">
        <v>2573</v>
      </c>
      <c r="S979" s="3124" t="s">
        <v>2574</v>
      </c>
      <c r="T979" s="3124"/>
      <c r="V979" s="3124"/>
      <c r="W979" s="3193"/>
      <c r="X979" s="3124">
        <v>0</v>
      </c>
      <c r="Y979" s="3124"/>
      <c r="Z979" s="3124"/>
      <c r="AA979" s="3124"/>
      <c r="AC979" s="3124"/>
    </row>
    <row r="980" spans="1:29">
      <c r="A980" s="3124">
        <v>979</v>
      </c>
      <c r="B980" s="3124"/>
      <c r="C980" s="3124"/>
      <c r="D980" s="3124"/>
      <c r="F980" s="3234"/>
      <c r="G980" s="3124"/>
      <c r="H980" s="3124"/>
      <c r="I980" s="3124"/>
      <c r="J980" s="3124"/>
      <c r="K980" s="3124"/>
      <c r="L980" s="3124"/>
      <c r="M980" s="3124"/>
      <c r="N980" s="3192"/>
      <c r="O980" s="3192"/>
      <c r="P980" s="3192"/>
      <c r="Q980" s="3192"/>
      <c r="R980" s="3124" t="s">
        <v>2573</v>
      </c>
      <c r="S980" s="3124" t="s">
        <v>2574</v>
      </c>
      <c r="T980" s="3124"/>
      <c r="V980" s="3124"/>
      <c r="W980" s="3193"/>
      <c r="X980" s="3124">
        <v>0</v>
      </c>
      <c r="Y980" s="3124"/>
      <c r="Z980" s="3124"/>
      <c r="AA980" s="3124"/>
      <c r="AC980" s="3124"/>
    </row>
    <row r="981" spans="1:29">
      <c r="A981" s="3124">
        <v>980</v>
      </c>
      <c r="B981" s="3124"/>
      <c r="C981" s="3124"/>
      <c r="D981" s="3124"/>
      <c r="F981" s="3234"/>
      <c r="G981" s="3124"/>
      <c r="H981" s="3124"/>
      <c r="I981" s="3124"/>
      <c r="J981" s="3124"/>
      <c r="K981" s="3124"/>
      <c r="L981" s="3124"/>
      <c r="M981" s="3124"/>
      <c r="N981" s="3192"/>
      <c r="O981" s="3192"/>
      <c r="P981" s="3192"/>
      <c r="Q981" s="3192"/>
      <c r="R981" s="3124" t="s">
        <v>2573</v>
      </c>
      <c r="S981" s="3124" t="s">
        <v>2574</v>
      </c>
      <c r="T981" s="3124"/>
      <c r="V981" s="3124"/>
      <c r="W981" s="3193"/>
      <c r="X981" s="3124">
        <v>0</v>
      </c>
      <c r="Y981" s="3124"/>
      <c r="Z981" s="3124"/>
      <c r="AA981" s="3124"/>
      <c r="AC981" s="3124"/>
    </row>
    <row r="982" spans="1:29">
      <c r="A982" s="3124">
        <v>981</v>
      </c>
      <c r="B982" s="3124"/>
      <c r="C982" s="3124"/>
      <c r="D982" s="3124"/>
      <c r="F982" s="3234"/>
      <c r="G982" s="3124"/>
      <c r="H982" s="3124"/>
      <c r="I982" s="3124"/>
      <c r="J982" s="3124"/>
      <c r="K982" s="3124"/>
      <c r="L982" s="3124"/>
      <c r="M982" s="3124"/>
      <c r="N982" s="3192"/>
      <c r="O982" s="3192"/>
      <c r="P982" s="3192"/>
      <c r="Q982" s="3192"/>
      <c r="R982" s="3124" t="s">
        <v>2573</v>
      </c>
      <c r="S982" s="3124" t="s">
        <v>2574</v>
      </c>
      <c r="T982" s="3124"/>
      <c r="V982" s="3124"/>
      <c r="W982" s="3193"/>
      <c r="X982" s="3124">
        <v>0</v>
      </c>
      <c r="Y982" s="3124"/>
      <c r="Z982" s="3124"/>
      <c r="AA982" s="3124"/>
      <c r="AC982" s="3124"/>
    </row>
    <row r="983" spans="1:29">
      <c r="A983" s="3124">
        <v>982</v>
      </c>
      <c r="B983" s="3124"/>
      <c r="C983" s="3124"/>
      <c r="D983" s="3124"/>
      <c r="F983" s="3234"/>
      <c r="G983" s="3124"/>
      <c r="H983" s="3124"/>
      <c r="I983" s="3124"/>
      <c r="J983" s="3124"/>
      <c r="K983" s="3124"/>
      <c r="L983" s="3124"/>
      <c r="M983" s="3124"/>
      <c r="N983" s="3192"/>
      <c r="O983" s="3192"/>
      <c r="P983" s="3192"/>
      <c r="Q983" s="3192"/>
      <c r="R983" s="3124" t="s">
        <v>2573</v>
      </c>
      <c r="S983" s="3124" t="s">
        <v>2574</v>
      </c>
      <c r="T983" s="3124"/>
      <c r="V983" s="3124"/>
      <c r="W983" s="3193"/>
      <c r="X983" s="3124">
        <v>0</v>
      </c>
      <c r="Y983" s="3124"/>
      <c r="Z983" s="3124"/>
      <c r="AA983" s="3124"/>
      <c r="AC983" s="3124"/>
    </row>
    <row r="984" spans="1:29">
      <c r="A984" s="3124">
        <v>983</v>
      </c>
      <c r="B984" s="3124"/>
      <c r="C984" s="3124"/>
      <c r="D984" s="3124"/>
      <c r="F984" s="3234"/>
      <c r="G984" s="3124"/>
      <c r="H984" s="3124"/>
      <c r="I984" s="3124"/>
      <c r="J984" s="3124"/>
      <c r="K984" s="3124"/>
      <c r="L984" s="3124"/>
      <c r="M984" s="3124"/>
      <c r="N984" s="3192"/>
      <c r="O984" s="3192"/>
      <c r="P984" s="3192"/>
      <c r="Q984" s="3192"/>
      <c r="R984" s="3124" t="s">
        <v>2573</v>
      </c>
      <c r="S984" s="3124" t="s">
        <v>2574</v>
      </c>
      <c r="T984" s="3124"/>
      <c r="V984" s="3124"/>
      <c r="W984" s="3193"/>
      <c r="X984" s="3124">
        <v>0</v>
      </c>
      <c r="Y984" s="3124"/>
      <c r="Z984" s="3124"/>
      <c r="AA984" s="3124"/>
      <c r="AC984" s="3124"/>
    </row>
    <row r="985" spans="1:29">
      <c r="A985" s="3124">
        <v>984</v>
      </c>
      <c r="B985" s="3124"/>
      <c r="C985" s="3124"/>
      <c r="D985" s="3124"/>
      <c r="F985" s="3234"/>
      <c r="G985" s="3124"/>
      <c r="H985" s="3124"/>
      <c r="I985" s="3124"/>
      <c r="J985" s="3124"/>
      <c r="K985" s="3124"/>
      <c r="L985" s="3124"/>
      <c r="M985" s="3124"/>
      <c r="N985" s="3192"/>
      <c r="O985" s="3192"/>
      <c r="P985" s="3192"/>
      <c r="Q985" s="3192"/>
      <c r="R985" s="3124" t="s">
        <v>2573</v>
      </c>
      <c r="S985" s="3124" t="s">
        <v>2574</v>
      </c>
      <c r="T985" s="3124"/>
      <c r="V985" s="3124"/>
      <c r="W985" s="3193"/>
      <c r="X985" s="3124">
        <v>0</v>
      </c>
      <c r="Y985" s="3124"/>
      <c r="Z985" s="3124"/>
      <c r="AA985" s="3124"/>
      <c r="AC985" s="3124"/>
    </row>
    <row r="986" spans="1:29">
      <c r="A986" s="3124">
        <v>985</v>
      </c>
      <c r="B986" s="3124"/>
      <c r="C986" s="3124"/>
      <c r="D986" s="3124"/>
      <c r="F986" s="3234"/>
      <c r="G986" s="3124"/>
      <c r="H986" s="3124"/>
      <c r="I986" s="3124"/>
      <c r="J986" s="3124"/>
      <c r="K986" s="3124"/>
      <c r="L986" s="3124"/>
      <c r="M986" s="3124"/>
      <c r="N986" s="3192"/>
      <c r="O986" s="3192"/>
      <c r="P986" s="3192"/>
      <c r="Q986" s="3192"/>
      <c r="R986" s="3124" t="s">
        <v>2573</v>
      </c>
      <c r="S986" s="3124" t="s">
        <v>2574</v>
      </c>
      <c r="T986" s="3124"/>
      <c r="V986" s="3124"/>
      <c r="W986" s="3193"/>
      <c r="X986" s="3124">
        <v>0</v>
      </c>
      <c r="Y986" s="3124"/>
      <c r="Z986" s="3124"/>
      <c r="AA986" s="3124"/>
      <c r="AC986" s="3124"/>
    </row>
    <row r="987" spans="1:29">
      <c r="A987" s="3124">
        <v>986</v>
      </c>
      <c r="B987" s="3124"/>
      <c r="C987" s="3124"/>
      <c r="D987" s="3124"/>
      <c r="F987" s="3234"/>
      <c r="G987" s="3124"/>
      <c r="H987" s="3124"/>
      <c r="I987" s="3124"/>
      <c r="J987" s="3124"/>
      <c r="K987" s="3124"/>
      <c r="L987" s="3124"/>
      <c r="M987" s="3124"/>
      <c r="N987" s="3192"/>
      <c r="O987" s="3192"/>
      <c r="P987" s="3192"/>
      <c r="Q987" s="3192"/>
      <c r="R987" s="3124" t="s">
        <v>2573</v>
      </c>
      <c r="S987" s="3124" t="s">
        <v>2574</v>
      </c>
      <c r="T987" s="3124"/>
      <c r="V987" s="3124"/>
      <c r="W987" s="3193"/>
      <c r="X987" s="3124">
        <v>0</v>
      </c>
      <c r="Y987" s="3124"/>
      <c r="Z987" s="3124"/>
      <c r="AA987" s="3124"/>
      <c r="AC987" s="3124"/>
    </row>
    <row r="988" spans="1:29">
      <c r="A988" s="3124">
        <v>987</v>
      </c>
      <c r="B988" s="3124"/>
      <c r="C988" s="3124"/>
      <c r="D988" s="3124"/>
      <c r="F988" s="3234"/>
      <c r="G988" s="3124"/>
      <c r="H988" s="3124"/>
      <c r="I988" s="3124"/>
      <c r="J988" s="3124"/>
      <c r="K988" s="3124"/>
      <c r="L988" s="3124"/>
      <c r="M988" s="3124"/>
      <c r="N988" s="3192"/>
      <c r="O988" s="3192"/>
      <c r="P988" s="3192"/>
      <c r="Q988" s="3192"/>
      <c r="R988" s="3124" t="s">
        <v>2573</v>
      </c>
      <c r="S988" s="3124" t="s">
        <v>2574</v>
      </c>
      <c r="T988" s="3124"/>
      <c r="V988" s="3124"/>
      <c r="W988" s="3193"/>
      <c r="X988" s="3124">
        <v>0</v>
      </c>
      <c r="Y988" s="3124"/>
      <c r="Z988" s="3124"/>
      <c r="AA988" s="3124"/>
      <c r="AC988" s="3124"/>
    </row>
    <row r="989" spans="1:29">
      <c r="A989" s="3124">
        <v>988</v>
      </c>
      <c r="B989" s="3124"/>
      <c r="C989" s="3124"/>
      <c r="D989" s="3124"/>
      <c r="F989" s="3234"/>
      <c r="G989" s="3124"/>
      <c r="H989" s="3124"/>
      <c r="I989" s="3124"/>
      <c r="J989" s="3124"/>
      <c r="K989" s="3124"/>
      <c r="L989" s="3124"/>
      <c r="M989" s="3124"/>
      <c r="N989" s="3192"/>
      <c r="O989" s="3192"/>
      <c r="P989" s="3192"/>
      <c r="Q989" s="3192"/>
      <c r="R989" s="3124" t="s">
        <v>2573</v>
      </c>
      <c r="S989" s="3124" t="s">
        <v>2574</v>
      </c>
      <c r="T989" s="3124"/>
      <c r="V989" s="3124"/>
      <c r="W989" s="3193"/>
      <c r="X989" s="3124">
        <v>0</v>
      </c>
      <c r="Y989" s="3124"/>
      <c r="Z989" s="3124"/>
      <c r="AA989" s="3124"/>
      <c r="AC989" s="3124"/>
    </row>
    <row r="990" spans="1:29">
      <c r="A990" s="3124">
        <v>989</v>
      </c>
      <c r="B990" s="3124"/>
      <c r="C990" s="3124"/>
      <c r="D990" s="3124"/>
      <c r="F990" s="3234"/>
      <c r="G990" s="3124"/>
      <c r="H990" s="3124"/>
      <c r="I990" s="3124"/>
      <c r="J990" s="3124"/>
      <c r="K990" s="3124"/>
      <c r="L990" s="3124"/>
      <c r="M990" s="3124"/>
      <c r="N990" s="3192"/>
      <c r="O990" s="3192"/>
      <c r="P990" s="3192"/>
      <c r="Q990" s="3192"/>
      <c r="R990" s="3124" t="s">
        <v>2573</v>
      </c>
      <c r="S990" s="3124" t="s">
        <v>2574</v>
      </c>
      <c r="T990" s="3124"/>
      <c r="V990" s="3124"/>
      <c r="W990" s="3193"/>
      <c r="X990" s="3124">
        <v>0</v>
      </c>
      <c r="Y990" s="3124"/>
      <c r="Z990" s="3124"/>
      <c r="AA990" s="3124"/>
      <c r="AC990" s="3124"/>
    </row>
    <row r="991" spans="1:29">
      <c r="A991" s="3124">
        <v>990</v>
      </c>
      <c r="B991" s="3124"/>
      <c r="C991" s="3124"/>
      <c r="D991" s="3124"/>
      <c r="F991" s="3234"/>
      <c r="G991" s="3124"/>
      <c r="H991" s="3124"/>
      <c r="I991" s="3124"/>
      <c r="J991" s="3124"/>
      <c r="K991" s="3124"/>
      <c r="L991" s="3124"/>
      <c r="M991" s="3124"/>
      <c r="N991" s="3192"/>
      <c r="O991" s="3192"/>
      <c r="P991" s="3192"/>
      <c r="Q991" s="3192"/>
      <c r="R991" s="3124" t="s">
        <v>2573</v>
      </c>
      <c r="S991" s="3124" t="s">
        <v>2574</v>
      </c>
      <c r="T991" s="3124"/>
      <c r="V991" s="3124"/>
      <c r="W991" s="3193"/>
      <c r="X991" s="3124">
        <v>0</v>
      </c>
      <c r="Y991" s="3124"/>
      <c r="Z991" s="3124"/>
      <c r="AA991" s="3124"/>
      <c r="AC991" s="3124"/>
    </row>
    <row r="992" spans="1:29">
      <c r="A992" s="3124">
        <v>991</v>
      </c>
      <c r="B992" s="3124"/>
      <c r="C992" s="3124"/>
      <c r="D992" s="3124"/>
      <c r="F992" s="3234"/>
      <c r="G992" s="3124"/>
      <c r="H992" s="3124"/>
      <c r="I992" s="3124"/>
      <c r="J992" s="3124"/>
      <c r="K992" s="3124"/>
      <c r="L992" s="3124"/>
      <c r="M992" s="3124"/>
      <c r="N992" s="3192"/>
      <c r="O992" s="3192"/>
      <c r="P992" s="3192"/>
      <c r="Q992" s="3192"/>
      <c r="R992" s="3124" t="s">
        <v>2573</v>
      </c>
      <c r="S992" s="3124" t="s">
        <v>2574</v>
      </c>
      <c r="T992" s="3124"/>
      <c r="V992" s="3124"/>
      <c r="W992" s="3193"/>
      <c r="X992" s="3124">
        <v>0</v>
      </c>
      <c r="Y992" s="3124"/>
      <c r="Z992" s="3124"/>
      <c r="AA992" s="3124"/>
      <c r="AC992" s="3124"/>
    </row>
    <row r="993" spans="1:29">
      <c r="A993" s="3124">
        <v>992</v>
      </c>
      <c r="B993" s="3124"/>
      <c r="C993" s="3124"/>
      <c r="D993" s="3124"/>
      <c r="F993" s="3234"/>
      <c r="G993" s="3124"/>
      <c r="H993" s="3124"/>
      <c r="I993" s="3124"/>
      <c r="J993" s="3124"/>
      <c r="K993" s="3124"/>
      <c r="L993" s="3124"/>
      <c r="M993" s="3124"/>
      <c r="N993" s="3192"/>
      <c r="O993" s="3192"/>
      <c r="P993" s="3192"/>
      <c r="Q993" s="3192"/>
      <c r="R993" s="3124" t="s">
        <v>2573</v>
      </c>
      <c r="S993" s="3124" t="s">
        <v>2574</v>
      </c>
      <c r="T993" s="3124"/>
      <c r="V993" s="3124"/>
      <c r="W993" s="3193"/>
      <c r="X993" s="3124">
        <v>0</v>
      </c>
      <c r="Y993" s="3124"/>
      <c r="Z993" s="3124"/>
      <c r="AA993" s="3124"/>
      <c r="AC993" s="3124"/>
    </row>
    <row r="994" spans="1:29">
      <c r="A994" s="3124">
        <v>993</v>
      </c>
      <c r="B994" s="3124"/>
      <c r="C994" s="3124"/>
      <c r="D994" s="3124"/>
      <c r="F994" s="3234"/>
      <c r="G994" s="3124"/>
      <c r="H994" s="3124"/>
      <c r="I994" s="3124"/>
      <c r="J994" s="3124"/>
      <c r="K994" s="3124"/>
      <c r="L994" s="3124"/>
      <c r="M994" s="3124"/>
      <c r="N994" s="3192"/>
      <c r="O994" s="3192"/>
      <c r="P994" s="3192"/>
      <c r="Q994" s="3192"/>
      <c r="R994" s="3124" t="s">
        <v>2573</v>
      </c>
      <c r="S994" s="3124" t="s">
        <v>2574</v>
      </c>
      <c r="T994" s="3124"/>
      <c r="V994" s="3124"/>
      <c r="W994" s="3193"/>
      <c r="X994" s="3124">
        <v>0</v>
      </c>
      <c r="Y994" s="3124"/>
      <c r="Z994" s="3124"/>
      <c r="AA994" s="3124"/>
      <c r="AC994" s="3124"/>
    </row>
    <row r="995" spans="1:29">
      <c r="A995" s="3124">
        <v>994</v>
      </c>
      <c r="B995" s="3124"/>
      <c r="C995" s="3124"/>
      <c r="D995" s="3124"/>
      <c r="F995" s="3234"/>
      <c r="G995" s="3124"/>
      <c r="H995" s="3124"/>
      <c r="I995" s="3124"/>
      <c r="J995" s="3124"/>
      <c r="K995" s="3124"/>
      <c r="L995" s="3124"/>
      <c r="M995" s="3124"/>
      <c r="N995" s="3192"/>
      <c r="O995" s="3192"/>
      <c r="P995" s="3192"/>
      <c r="Q995" s="3192"/>
      <c r="R995" s="3124" t="s">
        <v>2573</v>
      </c>
      <c r="S995" s="3124" t="s">
        <v>2574</v>
      </c>
      <c r="T995" s="3124"/>
      <c r="V995" s="3124"/>
      <c r="W995" s="3193"/>
      <c r="X995" s="3124">
        <v>0</v>
      </c>
      <c r="Y995" s="3124"/>
      <c r="Z995" s="3124"/>
      <c r="AA995" s="3124"/>
      <c r="AC995" s="3124"/>
    </row>
    <row r="996" spans="1:29">
      <c r="A996" s="3124">
        <v>995</v>
      </c>
      <c r="B996" s="3124"/>
      <c r="C996" s="3124"/>
      <c r="D996" s="3124"/>
      <c r="F996" s="3234"/>
      <c r="G996" s="3124"/>
      <c r="H996" s="3124"/>
      <c r="I996" s="3124"/>
      <c r="J996" s="3124"/>
      <c r="K996" s="3124"/>
      <c r="L996" s="3124"/>
      <c r="M996" s="3124"/>
      <c r="N996" s="3192"/>
      <c r="O996" s="3192"/>
      <c r="P996" s="3192"/>
      <c r="Q996" s="3192"/>
      <c r="R996" s="3124" t="s">
        <v>2573</v>
      </c>
      <c r="S996" s="3124" t="s">
        <v>2574</v>
      </c>
      <c r="T996" s="3124"/>
      <c r="V996" s="3124"/>
      <c r="W996" s="3193"/>
      <c r="X996" s="3124">
        <v>0</v>
      </c>
      <c r="Y996" s="3124"/>
      <c r="Z996" s="3124"/>
      <c r="AA996" s="3124"/>
      <c r="AC996" s="3124"/>
    </row>
    <row r="997" spans="1:29">
      <c r="A997" s="3124">
        <v>996</v>
      </c>
      <c r="B997" s="3124"/>
      <c r="C997" s="3124"/>
      <c r="D997" s="3124"/>
      <c r="F997" s="3234"/>
      <c r="G997" s="3124"/>
      <c r="H997" s="3124"/>
      <c r="I997" s="3124"/>
      <c r="J997" s="3124"/>
      <c r="K997" s="3124"/>
      <c r="L997" s="3124"/>
      <c r="M997" s="3124"/>
      <c r="N997" s="3192"/>
      <c r="O997" s="3192"/>
      <c r="P997" s="3192"/>
      <c r="Q997" s="3192"/>
      <c r="R997" s="3124" t="s">
        <v>2573</v>
      </c>
      <c r="S997" s="3124" t="s">
        <v>2574</v>
      </c>
      <c r="T997" s="3124"/>
      <c r="V997" s="3124"/>
      <c r="W997" s="3193"/>
      <c r="X997" s="3124">
        <v>0</v>
      </c>
      <c r="Y997" s="3124"/>
      <c r="Z997" s="3124"/>
      <c r="AA997" s="3124"/>
      <c r="AC997" s="3124"/>
    </row>
    <row r="998" spans="1:29">
      <c r="A998" s="3124">
        <v>997</v>
      </c>
      <c r="B998" s="3124"/>
      <c r="C998" s="3124"/>
      <c r="D998" s="3124"/>
      <c r="F998" s="3234"/>
      <c r="G998" s="3124"/>
      <c r="H998" s="3124"/>
      <c r="I998" s="3124"/>
      <c r="J998" s="3124"/>
      <c r="K998" s="3124"/>
      <c r="L998" s="3124"/>
      <c r="M998" s="3124"/>
      <c r="N998" s="3192"/>
      <c r="O998" s="3192"/>
      <c r="P998" s="3192"/>
      <c r="Q998" s="3192"/>
      <c r="R998" s="3124" t="s">
        <v>2573</v>
      </c>
      <c r="S998" s="3124" t="s">
        <v>2574</v>
      </c>
      <c r="T998" s="3124"/>
      <c r="V998" s="3124"/>
      <c r="W998" s="3193"/>
      <c r="X998" s="3124">
        <v>0</v>
      </c>
      <c r="Y998" s="3124"/>
      <c r="Z998" s="3124"/>
      <c r="AA998" s="3124"/>
      <c r="AC998" s="3124"/>
    </row>
    <row r="999" spans="1:29">
      <c r="A999" s="3124">
        <v>998</v>
      </c>
      <c r="B999" s="3124"/>
      <c r="C999" s="3124"/>
      <c r="D999" s="3124"/>
      <c r="F999" s="3234"/>
      <c r="G999" s="3124"/>
      <c r="H999" s="3124"/>
      <c r="I999" s="3124"/>
      <c r="J999" s="3124"/>
      <c r="K999" s="3124"/>
      <c r="L999" s="3124"/>
      <c r="M999" s="3124"/>
      <c r="N999" s="3192"/>
      <c r="O999" s="3192"/>
      <c r="P999" s="3192"/>
      <c r="Q999" s="3192"/>
      <c r="R999" s="3124" t="s">
        <v>2573</v>
      </c>
      <c r="S999" s="3124" t="s">
        <v>2574</v>
      </c>
      <c r="T999" s="3124"/>
      <c r="V999" s="3124"/>
      <c r="W999" s="3193"/>
      <c r="X999" s="3124">
        <v>0</v>
      </c>
      <c r="Y999" s="3124"/>
      <c r="Z999" s="3124"/>
      <c r="AA999" s="3124"/>
      <c r="AC999" s="3124"/>
    </row>
    <row r="1000" spans="1:29">
      <c r="A1000" s="3124">
        <v>999</v>
      </c>
      <c r="B1000" s="3124"/>
      <c r="C1000" s="3124"/>
      <c r="D1000" s="3124"/>
      <c r="F1000" s="3234"/>
      <c r="G1000" s="3124"/>
      <c r="H1000" s="3124"/>
      <c r="I1000" s="3124"/>
      <c r="J1000" s="3124"/>
      <c r="K1000" s="3124"/>
      <c r="L1000" s="3124"/>
      <c r="M1000" s="3124"/>
      <c r="N1000" s="3192"/>
      <c r="O1000" s="3192"/>
      <c r="P1000" s="3192"/>
      <c r="Q1000" s="3192"/>
      <c r="R1000" s="3124" t="s">
        <v>2573</v>
      </c>
      <c r="S1000" s="3124" t="s">
        <v>2574</v>
      </c>
      <c r="T1000" s="3124"/>
      <c r="V1000" s="3124"/>
      <c r="W1000" s="3193"/>
      <c r="X1000" s="3124">
        <v>0</v>
      </c>
      <c r="Y1000" s="3124"/>
      <c r="Z1000" s="3124"/>
      <c r="AA1000" s="3124"/>
      <c r="AC1000" s="3124"/>
    </row>
    <row r="1001" spans="1:29">
      <c r="A1001" s="3124">
        <v>1000</v>
      </c>
      <c r="B1001" s="3124"/>
      <c r="C1001" s="3124"/>
      <c r="D1001" s="3124"/>
      <c r="F1001" s="3234"/>
      <c r="G1001" s="3124"/>
      <c r="H1001" s="3124"/>
      <c r="I1001" s="3124"/>
      <c r="J1001" s="3124"/>
      <c r="K1001" s="3124"/>
      <c r="L1001" s="3124"/>
      <c r="M1001" s="3124"/>
      <c r="N1001" s="3192"/>
      <c r="O1001" s="3192"/>
      <c r="P1001" s="3192"/>
      <c r="Q1001" s="3192"/>
      <c r="R1001" s="3124" t="s">
        <v>2573</v>
      </c>
      <c r="S1001" s="3124" t="s">
        <v>2574</v>
      </c>
      <c r="T1001" s="3124"/>
      <c r="V1001" s="3124"/>
      <c r="W1001" s="3193"/>
      <c r="X1001" s="3124">
        <v>0</v>
      </c>
      <c r="Y1001" s="3124"/>
      <c r="Z1001" s="3124"/>
      <c r="AA1001" s="3124"/>
      <c r="AC1001" s="3124"/>
    </row>
    <row r="1002" spans="1:29">
      <c r="A1002" s="3124">
        <v>1001</v>
      </c>
      <c r="B1002" s="3124"/>
      <c r="C1002" s="3124"/>
      <c r="D1002" s="3124"/>
      <c r="F1002" s="3234"/>
      <c r="G1002" s="3124"/>
      <c r="H1002" s="3124"/>
      <c r="I1002" s="3124"/>
      <c r="J1002" s="3124"/>
      <c r="K1002" s="3124"/>
      <c r="L1002" s="3124"/>
      <c r="M1002" s="3124"/>
      <c r="N1002" s="3192"/>
      <c r="O1002" s="3192"/>
      <c r="P1002" s="3192"/>
      <c r="Q1002" s="3192"/>
      <c r="R1002" s="3124" t="s">
        <v>2573</v>
      </c>
      <c r="S1002" s="3124" t="s">
        <v>2574</v>
      </c>
      <c r="T1002" s="3124"/>
      <c r="V1002" s="3124"/>
      <c r="W1002" s="3193"/>
      <c r="X1002" s="3124">
        <v>0</v>
      </c>
      <c r="Y1002" s="3124"/>
      <c r="Z1002" s="3124"/>
      <c r="AA1002" s="3124"/>
      <c r="AC1002" s="3124"/>
    </row>
    <row r="1003" spans="1:29">
      <c r="A1003" s="3124">
        <v>1002</v>
      </c>
      <c r="B1003" s="3124"/>
      <c r="C1003" s="3124"/>
      <c r="D1003" s="3124"/>
      <c r="F1003" s="3234"/>
      <c r="G1003" s="3124"/>
      <c r="H1003" s="3124"/>
      <c r="I1003" s="3124"/>
      <c r="J1003" s="3124"/>
      <c r="K1003" s="3124"/>
      <c r="L1003" s="3124"/>
      <c r="M1003" s="3124"/>
      <c r="N1003" s="3192"/>
      <c r="O1003" s="3192"/>
      <c r="P1003" s="3192"/>
      <c r="Q1003" s="3192"/>
      <c r="R1003" s="3124" t="s">
        <v>2573</v>
      </c>
      <c r="S1003" s="3124" t="s">
        <v>2574</v>
      </c>
      <c r="T1003" s="3124"/>
      <c r="V1003" s="3124"/>
      <c r="W1003" s="3193"/>
      <c r="X1003" s="3124">
        <v>0</v>
      </c>
      <c r="Y1003" s="3124"/>
      <c r="Z1003" s="3124"/>
      <c r="AA1003" s="3124"/>
      <c r="AC1003" s="3124"/>
    </row>
    <row r="1004" spans="1:29">
      <c r="A1004" s="3124">
        <v>1003</v>
      </c>
      <c r="B1004" s="3124"/>
      <c r="C1004" s="3124"/>
      <c r="D1004" s="3124"/>
      <c r="F1004" s="3234"/>
      <c r="G1004" s="3124"/>
      <c r="H1004" s="3124"/>
      <c r="I1004" s="3124"/>
      <c r="J1004" s="3124"/>
      <c r="K1004" s="3124"/>
      <c r="L1004" s="3124"/>
      <c r="M1004" s="3124"/>
      <c r="N1004" s="3192"/>
      <c r="O1004" s="3192"/>
      <c r="P1004" s="3192"/>
      <c r="Q1004" s="3192"/>
      <c r="R1004" s="3124" t="s">
        <v>2573</v>
      </c>
      <c r="S1004" s="3124" t="s">
        <v>2574</v>
      </c>
      <c r="T1004" s="3124"/>
      <c r="V1004" s="3124"/>
      <c r="W1004" s="3193"/>
      <c r="X1004" s="3124">
        <v>0</v>
      </c>
      <c r="Y1004" s="3124"/>
      <c r="Z1004" s="3124"/>
      <c r="AA1004" s="3124"/>
      <c r="AC1004" s="3124"/>
    </row>
    <row r="1005" spans="1:29">
      <c r="A1005" s="3124">
        <v>1004</v>
      </c>
      <c r="B1005" s="3124"/>
      <c r="C1005" s="3124"/>
      <c r="D1005" s="3124"/>
      <c r="F1005" s="3234"/>
      <c r="G1005" s="3124"/>
      <c r="H1005" s="3124"/>
      <c r="I1005" s="3124"/>
      <c r="J1005" s="3124"/>
      <c r="K1005" s="3124"/>
      <c r="L1005" s="3124"/>
      <c r="M1005" s="3124"/>
      <c r="N1005" s="3192"/>
      <c r="O1005" s="3192"/>
      <c r="P1005" s="3192"/>
      <c r="Q1005" s="3192"/>
      <c r="R1005" s="3124" t="s">
        <v>2573</v>
      </c>
      <c r="S1005" s="3124" t="s">
        <v>2574</v>
      </c>
      <c r="T1005" s="3124"/>
      <c r="V1005" s="3124"/>
      <c r="W1005" s="3193"/>
      <c r="X1005" s="3124">
        <v>0</v>
      </c>
      <c r="Y1005" s="3124"/>
      <c r="Z1005" s="3124"/>
      <c r="AA1005" s="3124"/>
      <c r="AC1005" s="3124"/>
    </row>
    <row r="1006" spans="1:29">
      <c r="A1006" s="3124">
        <v>1005</v>
      </c>
      <c r="B1006" s="3124"/>
      <c r="C1006" s="3124"/>
      <c r="D1006" s="3124"/>
      <c r="F1006" s="3234"/>
      <c r="G1006" s="3124"/>
      <c r="H1006" s="3124"/>
      <c r="I1006" s="3124"/>
      <c r="J1006" s="3124"/>
      <c r="K1006" s="3124"/>
      <c r="L1006" s="3124"/>
      <c r="M1006" s="3124"/>
      <c r="N1006" s="3192"/>
      <c r="O1006" s="3192"/>
      <c r="P1006" s="3192"/>
      <c r="Q1006" s="3192"/>
      <c r="R1006" s="3124" t="s">
        <v>2573</v>
      </c>
      <c r="S1006" s="3124" t="s">
        <v>2574</v>
      </c>
      <c r="T1006" s="3124"/>
      <c r="V1006" s="3124"/>
      <c r="W1006" s="3193"/>
      <c r="X1006" s="3124">
        <v>0</v>
      </c>
      <c r="Y1006" s="3124"/>
      <c r="Z1006" s="3124"/>
      <c r="AA1006" s="3124"/>
      <c r="AC1006" s="3124"/>
    </row>
    <row r="1007" spans="1:29">
      <c r="A1007" s="3124">
        <v>1006</v>
      </c>
      <c r="B1007" s="3124"/>
      <c r="C1007" s="3124"/>
      <c r="D1007" s="3124"/>
      <c r="F1007" s="3234"/>
      <c r="G1007" s="3124"/>
      <c r="H1007" s="3124"/>
      <c r="I1007" s="3124"/>
      <c r="J1007" s="3124"/>
      <c r="K1007" s="3124"/>
      <c r="L1007" s="3124"/>
      <c r="M1007" s="3124"/>
      <c r="N1007" s="3192"/>
      <c r="O1007" s="3192"/>
      <c r="P1007" s="3192"/>
      <c r="Q1007" s="3192"/>
      <c r="R1007" s="3124" t="s">
        <v>2573</v>
      </c>
      <c r="S1007" s="3124" t="s">
        <v>2574</v>
      </c>
      <c r="T1007" s="3124"/>
      <c r="V1007" s="3124"/>
      <c r="W1007" s="3193"/>
      <c r="X1007" s="3124">
        <v>0</v>
      </c>
      <c r="Y1007" s="3124"/>
      <c r="Z1007" s="3124"/>
      <c r="AA1007" s="3124"/>
      <c r="AC1007" s="3124"/>
    </row>
    <row r="1008" spans="1:29">
      <c r="A1008" s="3124">
        <v>1007</v>
      </c>
      <c r="B1008" s="3124"/>
      <c r="C1008" s="3124"/>
      <c r="D1008" s="3124"/>
      <c r="F1008" s="3234"/>
      <c r="G1008" s="3124"/>
      <c r="H1008" s="3124"/>
      <c r="I1008" s="3124"/>
      <c r="J1008" s="3124"/>
      <c r="K1008" s="3124"/>
      <c r="L1008" s="3124"/>
      <c r="M1008" s="3124"/>
      <c r="N1008" s="3192"/>
      <c r="O1008" s="3192"/>
      <c r="P1008" s="3192"/>
      <c r="Q1008" s="3192"/>
      <c r="R1008" s="3124" t="s">
        <v>2573</v>
      </c>
      <c r="S1008" s="3124" t="s">
        <v>2574</v>
      </c>
      <c r="T1008" s="3124"/>
      <c r="V1008" s="3124"/>
      <c r="W1008" s="3193"/>
      <c r="X1008" s="3124">
        <v>0</v>
      </c>
      <c r="Y1008" s="3124"/>
      <c r="Z1008" s="3124"/>
      <c r="AA1008" s="3124"/>
      <c r="AC1008" s="3124"/>
    </row>
    <row r="1009" spans="1:29">
      <c r="A1009" s="3124">
        <v>1008</v>
      </c>
      <c r="B1009" s="3124"/>
      <c r="C1009" s="3124"/>
      <c r="D1009" s="3124"/>
      <c r="F1009" s="3234"/>
      <c r="G1009" s="3124"/>
      <c r="H1009" s="3124"/>
      <c r="I1009" s="3124"/>
      <c r="J1009" s="3124"/>
      <c r="K1009" s="3124"/>
      <c r="L1009" s="3124"/>
      <c r="M1009" s="3124"/>
      <c r="N1009" s="3192"/>
      <c r="O1009" s="3192"/>
      <c r="P1009" s="3192"/>
      <c r="Q1009" s="3192"/>
      <c r="R1009" s="3124" t="s">
        <v>2573</v>
      </c>
      <c r="S1009" s="3124" t="s">
        <v>2574</v>
      </c>
      <c r="T1009" s="3124"/>
      <c r="V1009" s="3124"/>
      <c r="W1009" s="3193"/>
      <c r="X1009" s="3124">
        <v>0</v>
      </c>
      <c r="Y1009" s="3124"/>
      <c r="Z1009" s="3124"/>
      <c r="AA1009" s="3124"/>
      <c r="AC1009" s="3124"/>
    </row>
    <row r="1010" spans="1:29">
      <c r="A1010" s="3124">
        <v>1009</v>
      </c>
      <c r="B1010" s="3124"/>
      <c r="C1010" s="3124"/>
      <c r="D1010" s="3124"/>
      <c r="F1010" s="3234"/>
      <c r="G1010" s="3124"/>
      <c r="H1010" s="3124"/>
      <c r="I1010" s="3124"/>
      <c r="J1010" s="3124"/>
      <c r="K1010" s="3124"/>
      <c r="L1010" s="3124"/>
      <c r="M1010" s="3124"/>
      <c r="N1010" s="3192"/>
      <c r="O1010" s="3192"/>
      <c r="P1010" s="3192"/>
      <c r="Q1010" s="3192"/>
      <c r="R1010" s="3124" t="s">
        <v>2573</v>
      </c>
      <c r="S1010" s="3124" t="s">
        <v>2574</v>
      </c>
      <c r="T1010" s="3124"/>
      <c r="V1010" s="3124"/>
      <c r="W1010" s="3193"/>
      <c r="X1010" s="3124">
        <v>0</v>
      </c>
      <c r="Y1010" s="3124"/>
      <c r="Z1010" s="3124"/>
      <c r="AA1010" s="3124"/>
      <c r="AC1010" s="3124"/>
    </row>
    <row r="1011" spans="1:29">
      <c r="A1011" s="3124">
        <v>1010</v>
      </c>
      <c r="B1011" s="3124"/>
      <c r="C1011" s="3124"/>
      <c r="D1011" s="3124"/>
      <c r="F1011" s="3234"/>
      <c r="G1011" s="3124"/>
      <c r="H1011" s="3124"/>
      <c r="I1011" s="3124"/>
      <c r="J1011" s="3124"/>
      <c r="K1011" s="3124"/>
      <c r="L1011" s="3124"/>
      <c r="M1011" s="3124"/>
      <c r="N1011" s="3192"/>
      <c r="O1011" s="3192"/>
      <c r="P1011" s="3192"/>
      <c r="Q1011" s="3192"/>
      <c r="R1011" s="3124" t="s">
        <v>2573</v>
      </c>
      <c r="S1011" s="3124" t="s">
        <v>2574</v>
      </c>
      <c r="T1011" s="3124"/>
      <c r="V1011" s="3124"/>
      <c r="W1011" s="3193"/>
      <c r="X1011" s="3124">
        <v>0</v>
      </c>
      <c r="Y1011" s="3124"/>
      <c r="Z1011" s="3124"/>
      <c r="AA1011" s="3124"/>
      <c r="AC1011" s="3124"/>
    </row>
    <row r="1012" spans="1:29">
      <c r="A1012" s="3124">
        <v>1011</v>
      </c>
      <c r="B1012" s="3124"/>
      <c r="C1012" s="3124"/>
      <c r="D1012" s="3124"/>
      <c r="F1012" s="3234"/>
      <c r="G1012" s="3124"/>
      <c r="H1012" s="3124"/>
      <c r="I1012" s="3124"/>
      <c r="J1012" s="3124"/>
      <c r="K1012" s="3124"/>
      <c r="L1012" s="3124"/>
      <c r="M1012" s="3124"/>
      <c r="N1012" s="3192"/>
      <c r="O1012" s="3192"/>
      <c r="P1012" s="3192"/>
      <c r="Q1012" s="3192"/>
      <c r="R1012" s="3124" t="s">
        <v>2573</v>
      </c>
      <c r="S1012" s="3124" t="s">
        <v>2574</v>
      </c>
      <c r="T1012" s="3124"/>
      <c r="V1012" s="3124"/>
      <c r="W1012" s="3193"/>
      <c r="X1012" s="3124">
        <v>0</v>
      </c>
      <c r="Y1012" s="3124"/>
      <c r="Z1012" s="3124"/>
      <c r="AA1012" s="3124"/>
      <c r="AC1012" s="3124"/>
    </row>
    <row r="1013" spans="1:29">
      <c r="A1013" s="3124">
        <v>1012</v>
      </c>
      <c r="B1013" s="3124"/>
      <c r="C1013" s="3124"/>
      <c r="D1013" s="3124"/>
      <c r="F1013" s="3234"/>
      <c r="G1013" s="3124"/>
      <c r="H1013" s="3124"/>
      <c r="I1013" s="3124"/>
      <c r="J1013" s="3124"/>
      <c r="K1013" s="3124"/>
      <c r="L1013" s="3124"/>
      <c r="M1013" s="3124"/>
      <c r="N1013" s="3192"/>
      <c r="O1013" s="3192"/>
      <c r="P1013" s="3192"/>
      <c r="Q1013" s="3192"/>
      <c r="R1013" s="3124" t="s">
        <v>2573</v>
      </c>
      <c r="S1013" s="3124" t="s">
        <v>2574</v>
      </c>
      <c r="T1013" s="3124"/>
      <c r="V1013" s="3124"/>
      <c r="W1013" s="3193"/>
      <c r="X1013" s="3124">
        <v>0</v>
      </c>
      <c r="Y1013" s="3124"/>
      <c r="Z1013" s="3124"/>
      <c r="AA1013" s="3124"/>
      <c r="AC1013" s="3124"/>
    </row>
    <row r="1014" spans="1:29">
      <c r="A1014" s="3124">
        <v>1013</v>
      </c>
      <c r="B1014" s="3124"/>
      <c r="C1014" s="3124"/>
      <c r="D1014" s="3124"/>
      <c r="F1014" s="3234"/>
      <c r="G1014" s="3124"/>
      <c r="H1014" s="3124"/>
      <c r="I1014" s="3124"/>
      <c r="J1014" s="3124"/>
      <c r="K1014" s="3124"/>
      <c r="L1014" s="3124"/>
      <c r="M1014" s="3124"/>
      <c r="N1014" s="3192"/>
      <c r="O1014" s="3192"/>
      <c r="P1014" s="3192"/>
      <c r="Q1014" s="3192"/>
      <c r="R1014" s="3124" t="s">
        <v>2573</v>
      </c>
      <c r="S1014" s="3124" t="s">
        <v>2574</v>
      </c>
      <c r="T1014" s="3124"/>
      <c r="V1014" s="3124"/>
      <c r="W1014" s="3193"/>
      <c r="X1014" s="3124">
        <v>0</v>
      </c>
      <c r="Y1014" s="3124"/>
      <c r="Z1014" s="3124"/>
      <c r="AA1014" s="3124"/>
      <c r="AC1014" s="3124"/>
    </row>
    <row r="1015" spans="1:29">
      <c r="A1015" s="3124">
        <v>1014</v>
      </c>
      <c r="B1015" s="3124"/>
      <c r="C1015" s="3124"/>
      <c r="D1015" s="3124"/>
      <c r="F1015" s="3234"/>
      <c r="G1015" s="3124"/>
      <c r="H1015" s="3124"/>
      <c r="I1015" s="3124"/>
      <c r="J1015" s="3124"/>
      <c r="K1015" s="3124"/>
      <c r="L1015" s="3124"/>
      <c r="M1015" s="3124"/>
      <c r="N1015" s="3192"/>
      <c r="O1015" s="3192"/>
      <c r="P1015" s="3192"/>
      <c r="Q1015" s="3192"/>
      <c r="R1015" s="3124" t="s">
        <v>2573</v>
      </c>
      <c r="S1015" s="3124" t="s">
        <v>2574</v>
      </c>
      <c r="T1015" s="3124"/>
      <c r="V1015" s="3124"/>
      <c r="W1015" s="3193"/>
      <c r="X1015" s="3124">
        <v>0</v>
      </c>
      <c r="Y1015" s="3124"/>
      <c r="Z1015" s="3124"/>
      <c r="AA1015" s="3124"/>
      <c r="AC1015" s="3124"/>
    </row>
    <row r="1016" spans="1:29">
      <c r="A1016" s="3124">
        <v>1015</v>
      </c>
      <c r="B1016" s="3124"/>
      <c r="C1016" s="3124"/>
      <c r="D1016" s="3124"/>
      <c r="F1016" s="3234"/>
      <c r="G1016" s="3124"/>
      <c r="H1016" s="3124"/>
      <c r="I1016" s="3124"/>
      <c r="J1016" s="3124"/>
      <c r="K1016" s="3124"/>
      <c r="L1016" s="3124"/>
      <c r="M1016" s="3124"/>
      <c r="N1016" s="3192"/>
      <c r="O1016" s="3192"/>
      <c r="P1016" s="3192"/>
      <c r="Q1016" s="3192"/>
      <c r="R1016" s="3124" t="s">
        <v>2573</v>
      </c>
      <c r="S1016" s="3124" t="s">
        <v>2574</v>
      </c>
      <c r="T1016" s="3124"/>
      <c r="V1016" s="3124"/>
      <c r="W1016" s="3193"/>
      <c r="X1016" s="3124">
        <v>0</v>
      </c>
      <c r="Y1016" s="3124"/>
      <c r="Z1016" s="3124"/>
      <c r="AA1016" s="3124"/>
      <c r="AC1016" s="3124"/>
    </row>
    <row r="1017" spans="1:29">
      <c r="A1017" s="3124">
        <v>1016</v>
      </c>
      <c r="B1017" s="3124"/>
      <c r="C1017" s="3124"/>
      <c r="D1017" s="3124"/>
      <c r="F1017" s="3234"/>
      <c r="G1017" s="3124"/>
      <c r="H1017" s="3124"/>
      <c r="I1017" s="3124"/>
      <c r="J1017" s="3124"/>
      <c r="K1017" s="3124"/>
      <c r="L1017" s="3124"/>
      <c r="M1017" s="3124"/>
      <c r="N1017" s="3192"/>
      <c r="O1017" s="3192"/>
      <c r="P1017" s="3192"/>
      <c r="Q1017" s="3192"/>
      <c r="R1017" s="3124" t="s">
        <v>2573</v>
      </c>
      <c r="S1017" s="3124" t="s">
        <v>2574</v>
      </c>
      <c r="T1017" s="3124"/>
      <c r="V1017" s="3124"/>
      <c r="W1017" s="3193"/>
      <c r="X1017" s="3124">
        <v>0</v>
      </c>
      <c r="Y1017" s="3124"/>
      <c r="Z1017" s="3124"/>
      <c r="AA1017" s="3124"/>
      <c r="AC1017" s="3124"/>
    </row>
    <row r="1018" spans="1:29">
      <c r="A1018" s="3124">
        <v>1017</v>
      </c>
      <c r="B1018" s="3124"/>
      <c r="C1018" s="3124"/>
      <c r="D1018" s="3124"/>
      <c r="F1018" s="3234"/>
      <c r="G1018" s="3124"/>
      <c r="H1018" s="3124"/>
      <c r="I1018" s="3124"/>
      <c r="J1018" s="3124"/>
      <c r="K1018" s="3124"/>
      <c r="L1018" s="3124"/>
      <c r="M1018" s="3124"/>
      <c r="N1018" s="3192"/>
      <c r="O1018" s="3192"/>
      <c r="P1018" s="3192"/>
      <c r="Q1018" s="3192"/>
      <c r="R1018" s="3124" t="s">
        <v>2573</v>
      </c>
      <c r="S1018" s="3124" t="s">
        <v>2574</v>
      </c>
      <c r="T1018" s="3124"/>
      <c r="V1018" s="3124"/>
      <c r="W1018" s="3193"/>
      <c r="X1018" s="3124">
        <v>0</v>
      </c>
      <c r="Y1018" s="3124"/>
      <c r="Z1018" s="3124"/>
      <c r="AA1018" s="3124"/>
      <c r="AC1018" s="3124"/>
    </row>
    <row r="1019" spans="1:29">
      <c r="A1019" s="3124">
        <v>1018</v>
      </c>
      <c r="B1019" s="3124"/>
      <c r="C1019" s="3124"/>
      <c r="D1019" s="3124"/>
      <c r="F1019" s="3234"/>
      <c r="G1019" s="3124"/>
      <c r="H1019" s="3124"/>
      <c r="I1019" s="3124"/>
      <c r="J1019" s="3124"/>
      <c r="K1019" s="3124"/>
      <c r="L1019" s="3124"/>
      <c r="M1019" s="3124"/>
      <c r="N1019" s="3192"/>
      <c r="O1019" s="3192"/>
      <c r="P1019" s="3192"/>
      <c r="Q1019" s="3192"/>
      <c r="R1019" s="3124" t="s">
        <v>2573</v>
      </c>
      <c r="S1019" s="3124" t="s">
        <v>2574</v>
      </c>
      <c r="T1019" s="3124"/>
      <c r="V1019" s="3124"/>
      <c r="W1019" s="3193"/>
      <c r="X1019" s="3124">
        <v>0</v>
      </c>
      <c r="Y1019" s="3124"/>
      <c r="Z1019" s="3124"/>
      <c r="AA1019" s="3124"/>
      <c r="AC1019" s="3124"/>
    </row>
    <row r="1020" spans="1:29">
      <c r="A1020" s="3124">
        <v>1019</v>
      </c>
      <c r="B1020" s="3124"/>
      <c r="C1020" s="3124"/>
      <c r="D1020" s="3124"/>
      <c r="F1020" s="3234"/>
      <c r="G1020" s="3124"/>
      <c r="H1020" s="3124"/>
      <c r="I1020" s="3124"/>
      <c r="J1020" s="3124"/>
      <c r="K1020" s="3124"/>
      <c r="L1020" s="3124"/>
      <c r="M1020" s="3124"/>
      <c r="N1020" s="3192"/>
      <c r="O1020" s="3192"/>
      <c r="P1020" s="3192"/>
      <c r="Q1020" s="3192"/>
      <c r="R1020" s="3124" t="s">
        <v>2573</v>
      </c>
      <c r="S1020" s="3124" t="s">
        <v>2574</v>
      </c>
      <c r="T1020" s="3124"/>
      <c r="V1020" s="3124"/>
      <c r="W1020" s="3193"/>
      <c r="X1020" s="3124">
        <v>0</v>
      </c>
      <c r="Y1020" s="3124"/>
      <c r="Z1020" s="3124"/>
      <c r="AA1020" s="3124"/>
      <c r="AC1020" s="3124"/>
    </row>
    <row r="1021" spans="1:29">
      <c r="A1021" s="3124">
        <v>1020</v>
      </c>
      <c r="B1021" s="3124"/>
      <c r="C1021" s="3124"/>
      <c r="D1021" s="3124"/>
      <c r="F1021" s="3234"/>
      <c r="G1021" s="3124"/>
      <c r="H1021" s="3124"/>
      <c r="I1021" s="3124"/>
      <c r="J1021" s="3124"/>
      <c r="K1021" s="3124"/>
      <c r="L1021" s="3124"/>
      <c r="M1021" s="3124"/>
      <c r="N1021" s="3192"/>
      <c r="O1021" s="3192"/>
      <c r="P1021" s="3192"/>
      <c r="Q1021" s="3192"/>
      <c r="R1021" s="3124" t="s">
        <v>2573</v>
      </c>
      <c r="S1021" s="3124" t="s">
        <v>2574</v>
      </c>
      <c r="T1021" s="3124"/>
      <c r="V1021" s="3124"/>
      <c r="W1021" s="3193"/>
      <c r="X1021" s="3124">
        <v>0</v>
      </c>
      <c r="Y1021" s="3124"/>
      <c r="Z1021" s="3124"/>
      <c r="AA1021" s="3124"/>
      <c r="AC1021" s="3124"/>
    </row>
    <row r="1022" spans="1:29">
      <c r="A1022" s="3124">
        <v>1021</v>
      </c>
      <c r="B1022" s="3124"/>
      <c r="C1022" s="3124"/>
      <c r="D1022" s="3124"/>
      <c r="F1022" s="3234"/>
      <c r="G1022" s="3124"/>
      <c r="H1022" s="3124"/>
      <c r="I1022" s="3124"/>
      <c r="J1022" s="3124"/>
      <c r="K1022" s="3124"/>
      <c r="L1022" s="3124"/>
      <c r="M1022" s="3124"/>
      <c r="N1022" s="3192"/>
      <c r="O1022" s="3192"/>
      <c r="P1022" s="3192"/>
      <c r="Q1022" s="3192"/>
      <c r="R1022" s="3124" t="s">
        <v>2573</v>
      </c>
      <c r="S1022" s="3124" t="s">
        <v>2574</v>
      </c>
      <c r="T1022" s="3124"/>
      <c r="V1022" s="3124"/>
      <c r="W1022" s="3193"/>
      <c r="X1022" s="3124">
        <v>0</v>
      </c>
      <c r="Y1022" s="3124"/>
      <c r="Z1022" s="3124"/>
      <c r="AA1022" s="3124"/>
      <c r="AC1022" s="3124"/>
    </row>
    <row r="1023" spans="1:29">
      <c r="A1023" s="3124">
        <v>1022</v>
      </c>
      <c r="B1023" s="3124"/>
      <c r="C1023" s="3124"/>
      <c r="D1023" s="3124"/>
      <c r="F1023" s="3234"/>
      <c r="G1023" s="3124"/>
      <c r="H1023" s="3124"/>
      <c r="I1023" s="3124"/>
      <c r="J1023" s="3124"/>
      <c r="K1023" s="3124"/>
      <c r="L1023" s="3124"/>
      <c r="M1023" s="3124"/>
      <c r="N1023" s="3192"/>
      <c r="O1023" s="3192"/>
      <c r="P1023" s="3192"/>
      <c r="Q1023" s="3192"/>
      <c r="R1023" s="3124" t="s">
        <v>2573</v>
      </c>
      <c r="S1023" s="3124" t="s">
        <v>2574</v>
      </c>
      <c r="T1023" s="3124"/>
      <c r="V1023" s="3124"/>
      <c r="W1023" s="3193"/>
      <c r="X1023" s="3124">
        <v>0</v>
      </c>
      <c r="Y1023" s="3124"/>
      <c r="Z1023" s="3124"/>
      <c r="AA1023" s="3124"/>
      <c r="AC1023" s="3124"/>
    </row>
    <row r="1024" spans="1:29">
      <c r="A1024" s="3124">
        <v>1023</v>
      </c>
      <c r="B1024" s="3124"/>
      <c r="C1024" s="3124"/>
      <c r="D1024" s="3124"/>
      <c r="F1024" s="3234"/>
      <c r="G1024" s="3124"/>
      <c r="H1024" s="3124"/>
      <c r="I1024" s="3124"/>
      <c r="J1024" s="3124"/>
      <c r="K1024" s="3124"/>
      <c r="L1024" s="3124"/>
      <c r="M1024" s="3124"/>
      <c r="N1024" s="3192"/>
      <c r="O1024" s="3192"/>
      <c r="P1024" s="3192"/>
      <c r="Q1024" s="3192"/>
      <c r="R1024" s="3124" t="s">
        <v>2573</v>
      </c>
      <c r="S1024" s="3124" t="s">
        <v>2574</v>
      </c>
      <c r="T1024" s="3124"/>
      <c r="V1024" s="3124"/>
      <c r="W1024" s="3193"/>
      <c r="X1024" s="3124">
        <v>0</v>
      </c>
      <c r="Y1024" s="3124"/>
      <c r="Z1024" s="3124"/>
      <c r="AA1024" s="3124"/>
      <c r="AC1024" s="3124"/>
    </row>
    <row r="1025" spans="1:29">
      <c r="A1025" s="3124">
        <v>1024</v>
      </c>
      <c r="B1025" s="3124"/>
      <c r="C1025" s="3124"/>
      <c r="D1025" s="3124"/>
      <c r="F1025" s="3234"/>
      <c r="G1025" s="3124"/>
      <c r="H1025" s="3124"/>
      <c r="I1025" s="3124"/>
      <c r="J1025" s="3124"/>
      <c r="K1025" s="3124"/>
      <c r="L1025" s="3124"/>
      <c r="M1025" s="3124"/>
      <c r="N1025" s="3192"/>
      <c r="O1025" s="3192"/>
      <c r="P1025" s="3192"/>
      <c r="Q1025" s="3192"/>
      <c r="R1025" s="3124" t="s">
        <v>2573</v>
      </c>
      <c r="S1025" s="3124" t="s">
        <v>2574</v>
      </c>
      <c r="T1025" s="3124"/>
      <c r="V1025" s="3124"/>
      <c r="W1025" s="3193"/>
      <c r="X1025" s="3124">
        <v>0</v>
      </c>
      <c r="Y1025" s="3124"/>
      <c r="Z1025" s="3124"/>
      <c r="AA1025" s="3124"/>
      <c r="AC1025" s="3124"/>
    </row>
    <row r="1026" spans="1:29">
      <c r="A1026" s="3124">
        <v>1025</v>
      </c>
      <c r="B1026" s="3124"/>
      <c r="C1026" s="3124"/>
      <c r="D1026" s="3124"/>
      <c r="F1026" s="3234"/>
      <c r="G1026" s="3124"/>
      <c r="H1026" s="3124"/>
      <c r="I1026" s="3124"/>
      <c r="J1026" s="3124"/>
      <c r="K1026" s="3124"/>
      <c r="L1026" s="3124"/>
      <c r="M1026" s="3124"/>
      <c r="N1026" s="3192"/>
      <c r="O1026" s="3192"/>
      <c r="P1026" s="3192"/>
      <c r="Q1026" s="3192"/>
      <c r="R1026" s="3124" t="s">
        <v>2573</v>
      </c>
      <c r="S1026" s="3124" t="s">
        <v>2574</v>
      </c>
      <c r="T1026" s="3124"/>
      <c r="V1026" s="3124"/>
      <c r="W1026" s="3193"/>
      <c r="X1026" s="3124">
        <v>0</v>
      </c>
      <c r="Y1026" s="3124"/>
      <c r="Z1026" s="3124"/>
      <c r="AA1026" s="3124"/>
      <c r="AC1026" s="3124"/>
    </row>
    <row r="1027" spans="1:29">
      <c r="A1027" s="3124">
        <v>1026</v>
      </c>
      <c r="B1027" s="3124"/>
      <c r="C1027" s="3124"/>
      <c r="D1027" s="3124"/>
      <c r="F1027" s="3234"/>
      <c r="G1027" s="3124"/>
      <c r="H1027" s="3124"/>
      <c r="I1027" s="3124"/>
      <c r="J1027" s="3124"/>
      <c r="K1027" s="3124"/>
      <c r="L1027" s="3124"/>
      <c r="M1027" s="3124"/>
      <c r="N1027" s="3192"/>
      <c r="O1027" s="3192"/>
      <c r="P1027" s="3192"/>
      <c r="Q1027" s="3192"/>
      <c r="R1027" s="3124" t="s">
        <v>2573</v>
      </c>
      <c r="S1027" s="3124" t="s">
        <v>2574</v>
      </c>
      <c r="T1027" s="3124"/>
      <c r="V1027" s="3124"/>
      <c r="W1027" s="3193"/>
      <c r="X1027" s="3124">
        <v>0</v>
      </c>
      <c r="Y1027" s="3124"/>
      <c r="Z1027" s="3124"/>
      <c r="AA1027" s="3124"/>
      <c r="AC1027" s="3124"/>
    </row>
    <row r="1028" spans="1:29">
      <c r="A1028" s="3124">
        <v>1027</v>
      </c>
      <c r="B1028" s="3124"/>
      <c r="C1028" s="3124"/>
      <c r="D1028" s="3124"/>
      <c r="F1028" s="3234"/>
      <c r="G1028" s="3124"/>
      <c r="H1028" s="3124"/>
      <c r="I1028" s="3124"/>
      <c r="J1028" s="3124"/>
      <c r="K1028" s="3124"/>
      <c r="L1028" s="3124"/>
      <c r="M1028" s="3124"/>
      <c r="N1028" s="3192"/>
      <c r="O1028" s="3192"/>
      <c r="P1028" s="3192"/>
      <c r="Q1028" s="3192"/>
      <c r="R1028" s="3124" t="s">
        <v>2573</v>
      </c>
      <c r="S1028" s="3124" t="s">
        <v>2574</v>
      </c>
      <c r="T1028" s="3124"/>
      <c r="V1028" s="3124"/>
      <c r="W1028" s="3193"/>
      <c r="X1028" s="3124">
        <v>0</v>
      </c>
      <c r="Y1028" s="3124"/>
      <c r="Z1028" s="3124"/>
      <c r="AA1028" s="3124"/>
      <c r="AC1028" s="3124"/>
    </row>
    <row r="1029" spans="1:29">
      <c r="A1029" s="3124">
        <v>1028</v>
      </c>
      <c r="B1029" s="3124"/>
      <c r="C1029" s="3124"/>
      <c r="D1029" s="3124"/>
      <c r="F1029" s="3234"/>
      <c r="G1029" s="3124"/>
      <c r="H1029" s="3124"/>
      <c r="I1029" s="3124"/>
      <c r="J1029" s="3124"/>
      <c r="K1029" s="3124"/>
      <c r="L1029" s="3124"/>
      <c r="M1029" s="3124"/>
      <c r="N1029" s="3192"/>
      <c r="O1029" s="3192"/>
      <c r="P1029" s="3192"/>
      <c r="Q1029" s="3192"/>
      <c r="R1029" s="3124" t="s">
        <v>2573</v>
      </c>
      <c r="S1029" s="3124" t="s">
        <v>2574</v>
      </c>
      <c r="T1029" s="3124"/>
      <c r="V1029" s="3124"/>
      <c r="W1029" s="3193"/>
      <c r="X1029" s="3124">
        <v>0</v>
      </c>
      <c r="Y1029" s="3124"/>
      <c r="Z1029" s="3124"/>
      <c r="AA1029" s="3124"/>
      <c r="AC1029" s="3124"/>
    </row>
    <row r="1030" spans="1:29">
      <c r="A1030" s="3124">
        <v>1029</v>
      </c>
      <c r="B1030" s="3124"/>
      <c r="C1030" s="3124"/>
      <c r="D1030" s="3124"/>
      <c r="F1030" s="3234"/>
      <c r="G1030" s="3124"/>
      <c r="H1030" s="3124"/>
      <c r="I1030" s="3124"/>
      <c r="J1030" s="3124"/>
      <c r="K1030" s="3124"/>
      <c r="L1030" s="3124"/>
      <c r="M1030" s="3124"/>
      <c r="N1030" s="3192"/>
      <c r="O1030" s="3192"/>
      <c r="P1030" s="3192"/>
      <c r="Q1030" s="3192"/>
      <c r="R1030" s="3124" t="s">
        <v>2573</v>
      </c>
      <c r="S1030" s="3124" t="s">
        <v>2574</v>
      </c>
      <c r="T1030" s="3124"/>
      <c r="V1030" s="3124"/>
      <c r="W1030" s="3193"/>
      <c r="X1030" s="3124">
        <v>0</v>
      </c>
      <c r="Y1030" s="3124"/>
      <c r="Z1030" s="3124"/>
      <c r="AA1030" s="3124"/>
      <c r="AC1030" s="3124"/>
    </row>
    <row r="1031" spans="1:29">
      <c r="A1031" s="3124">
        <v>1030</v>
      </c>
      <c r="B1031" s="3124"/>
      <c r="C1031" s="3124"/>
      <c r="D1031" s="3124"/>
      <c r="F1031" s="3234"/>
      <c r="G1031" s="3124"/>
      <c r="H1031" s="3124"/>
      <c r="I1031" s="3124"/>
      <c r="J1031" s="3124"/>
      <c r="K1031" s="3124"/>
      <c r="L1031" s="3124"/>
      <c r="M1031" s="3124"/>
      <c r="N1031" s="3192"/>
      <c r="O1031" s="3192"/>
      <c r="P1031" s="3192"/>
      <c r="Q1031" s="3192"/>
      <c r="R1031" s="3124" t="s">
        <v>2573</v>
      </c>
      <c r="S1031" s="3124" t="s">
        <v>2574</v>
      </c>
      <c r="T1031" s="3124"/>
      <c r="V1031" s="3124"/>
      <c r="W1031" s="3193"/>
      <c r="X1031" s="3124">
        <v>0</v>
      </c>
      <c r="Y1031" s="3124"/>
      <c r="Z1031" s="3124"/>
      <c r="AA1031" s="3124"/>
      <c r="AC1031" s="3124"/>
    </row>
    <row r="1032" spans="1:29">
      <c r="A1032" s="3124">
        <v>1031</v>
      </c>
      <c r="B1032" s="3124"/>
      <c r="C1032" s="3124"/>
      <c r="D1032" s="3124"/>
      <c r="F1032" s="3234"/>
      <c r="G1032" s="3124"/>
      <c r="H1032" s="3124"/>
      <c r="I1032" s="3124"/>
      <c r="J1032" s="3124"/>
      <c r="K1032" s="3124"/>
      <c r="L1032" s="3124"/>
      <c r="M1032" s="3124"/>
      <c r="N1032" s="3192"/>
      <c r="O1032" s="3192"/>
      <c r="P1032" s="3192"/>
      <c r="Q1032" s="3192"/>
      <c r="R1032" s="3124" t="s">
        <v>2573</v>
      </c>
      <c r="S1032" s="3124" t="s">
        <v>2574</v>
      </c>
      <c r="T1032" s="3124"/>
      <c r="V1032" s="3124"/>
      <c r="W1032" s="3193"/>
      <c r="X1032" s="3124">
        <v>0</v>
      </c>
      <c r="Y1032" s="3124"/>
      <c r="Z1032" s="3124"/>
      <c r="AA1032" s="3124"/>
      <c r="AC1032" s="3124"/>
    </row>
    <row r="1033" spans="1:29">
      <c r="A1033" s="3124">
        <v>1032</v>
      </c>
      <c r="B1033" s="3124"/>
      <c r="C1033" s="3124"/>
      <c r="D1033" s="3124"/>
      <c r="F1033" s="3234"/>
      <c r="G1033" s="3124"/>
      <c r="H1033" s="3124"/>
      <c r="I1033" s="3124"/>
      <c r="J1033" s="3124"/>
      <c r="K1033" s="3124"/>
      <c r="L1033" s="3124"/>
      <c r="M1033" s="3124"/>
      <c r="N1033" s="3192"/>
      <c r="O1033" s="3192"/>
      <c r="P1033" s="3192"/>
      <c r="Q1033" s="3192"/>
      <c r="R1033" s="3124" t="s">
        <v>2573</v>
      </c>
      <c r="S1033" s="3124" t="s">
        <v>2574</v>
      </c>
      <c r="T1033" s="3124"/>
      <c r="V1033" s="3124"/>
      <c r="W1033" s="3193"/>
      <c r="X1033" s="3124">
        <v>0</v>
      </c>
      <c r="Y1033" s="3124"/>
      <c r="Z1033" s="3124"/>
      <c r="AA1033" s="3124"/>
      <c r="AC1033" s="3124"/>
    </row>
    <row r="1034" spans="1:29">
      <c r="A1034" s="3124">
        <v>1033</v>
      </c>
      <c r="B1034" s="3124"/>
      <c r="C1034" s="3124"/>
      <c r="D1034" s="3124"/>
      <c r="F1034" s="3234"/>
      <c r="G1034" s="3124"/>
      <c r="H1034" s="3124"/>
      <c r="I1034" s="3124"/>
      <c r="J1034" s="3124"/>
      <c r="K1034" s="3124"/>
      <c r="L1034" s="3124"/>
      <c r="M1034" s="3124"/>
      <c r="N1034" s="3192"/>
      <c r="O1034" s="3192"/>
      <c r="P1034" s="3192"/>
      <c r="Q1034" s="3192"/>
      <c r="R1034" s="3124" t="s">
        <v>2573</v>
      </c>
      <c r="S1034" s="3124" t="s">
        <v>2574</v>
      </c>
      <c r="T1034" s="3124"/>
      <c r="V1034" s="3124"/>
      <c r="W1034" s="3193"/>
      <c r="X1034" s="3124">
        <v>0</v>
      </c>
      <c r="Y1034" s="3124"/>
      <c r="Z1034" s="3124"/>
      <c r="AA1034" s="3124"/>
      <c r="AC1034" s="3124"/>
    </row>
    <row r="1035" spans="1:29">
      <c r="A1035" s="3124">
        <v>1034</v>
      </c>
      <c r="B1035" s="3124"/>
      <c r="C1035" s="3124"/>
      <c r="D1035" s="3124"/>
      <c r="F1035" s="3234"/>
      <c r="G1035" s="3124"/>
      <c r="H1035" s="3124"/>
      <c r="I1035" s="3124"/>
      <c r="J1035" s="3124"/>
      <c r="K1035" s="3124"/>
      <c r="L1035" s="3124"/>
      <c r="M1035" s="3124"/>
      <c r="N1035" s="3192"/>
      <c r="O1035" s="3192"/>
      <c r="P1035" s="3192"/>
      <c r="Q1035" s="3192"/>
      <c r="R1035" s="3124" t="s">
        <v>2573</v>
      </c>
      <c r="S1035" s="3124" t="s">
        <v>2574</v>
      </c>
      <c r="T1035" s="3124"/>
      <c r="V1035" s="3124"/>
      <c r="W1035" s="3193"/>
      <c r="X1035" s="3124">
        <v>0</v>
      </c>
      <c r="Y1035" s="3124"/>
      <c r="Z1035" s="3124"/>
      <c r="AA1035" s="3124"/>
      <c r="AC1035" s="3124"/>
    </row>
    <row r="1036" spans="1:29">
      <c r="A1036" s="3124">
        <v>1035</v>
      </c>
      <c r="B1036" s="3124"/>
      <c r="C1036" s="3124"/>
      <c r="D1036" s="3124"/>
      <c r="F1036" s="3234"/>
      <c r="G1036" s="3124"/>
      <c r="H1036" s="3124"/>
      <c r="I1036" s="3124"/>
      <c r="J1036" s="3124"/>
      <c r="K1036" s="3124"/>
      <c r="L1036" s="3124"/>
      <c r="M1036" s="3124"/>
      <c r="N1036" s="3192"/>
      <c r="O1036" s="3192"/>
      <c r="P1036" s="3192"/>
      <c r="Q1036" s="3192"/>
      <c r="R1036" s="3124" t="s">
        <v>2573</v>
      </c>
      <c r="S1036" s="3124" t="s">
        <v>2574</v>
      </c>
      <c r="T1036" s="3124"/>
      <c r="V1036" s="3124"/>
      <c r="W1036" s="3193"/>
      <c r="X1036" s="3124">
        <v>0</v>
      </c>
      <c r="Y1036" s="3124"/>
      <c r="Z1036" s="3124"/>
      <c r="AA1036" s="3124"/>
      <c r="AC1036" s="3124"/>
    </row>
    <row r="1037" spans="1:29">
      <c r="A1037" s="3124">
        <v>1036</v>
      </c>
      <c r="B1037" s="3124"/>
      <c r="C1037" s="3124"/>
      <c r="D1037" s="3124"/>
      <c r="F1037" s="3234"/>
      <c r="G1037" s="3124"/>
      <c r="H1037" s="3124"/>
      <c r="I1037" s="3124"/>
      <c r="J1037" s="3124"/>
      <c r="K1037" s="3124"/>
      <c r="L1037" s="3124"/>
      <c r="M1037" s="3124"/>
      <c r="N1037" s="3192"/>
      <c r="O1037" s="3192"/>
      <c r="P1037" s="3192"/>
      <c r="Q1037" s="3192"/>
      <c r="R1037" s="3124" t="s">
        <v>2573</v>
      </c>
      <c r="S1037" s="3124" t="s">
        <v>2574</v>
      </c>
      <c r="T1037" s="3124"/>
      <c r="V1037" s="3124"/>
      <c r="W1037" s="3193"/>
      <c r="X1037" s="3124">
        <v>0</v>
      </c>
      <c r="Y1037" s="3124"/>
      <c r="Z1037" s="3124"/>
      <c r="AA1037" s="3124"/>
      <c r="AC1037" s="3124"/>
    </row>
    <row r="1038" spans="1:29">
      <c r="A1038" s="3124">
        <v>1037</v>
      </c>
      <c r="B1038" s="3124"/>
      <c r="C1038" s="3124"/>
      <c r="D1038" s="3124"/>
      <c r="F1038" s="3234"/>
      <c r="G1038" s="3124"/>
      <c r="H1038" s="3124"/>
      <c r="I1038" s="3124"/>
      <c r="J1038" s="3124"/>
      <c r="K1038" s="3124"/>
      <c r="L1038" s="3124"/>
      <c r="M1038" s="3124"/>
      <c r="N1038" s="3192"/>
      <c r="O1038" s="3192"/>
      <c r="P1038" s="3192"/>
      <c r="Q1038" s="3192"/>
      <c r="R1038" s="3124" t="s">
        <v>2573</v>
      </c>
      <c r="S1038" s="3124" t="s">
        <v>2574</v>
      </c>
      <c r="T1038" s="3124"/>
      <c r="V1038" s="3124"/>
      <c r="W1038" s="3193"/>
      <c r="X1038" s="3124">
        <v>0</v>
      </c>
      <c r="Y1038" s="3124"/>
      <c r="Z1038" s="3124"/>
      <c r="AA1038" s="3124"/>
      <c r="AC1038" s="3124"/>
    </row>
    <row r="1039" spans="1:29">
      <c r="A1039" s="3124">
        <v>1038</v>
      </c>
      <c r="B1039" s="3124"/>
      <c r="C1039" s="3124"/>
      <c r="D1039" s="3124"/>
      <c r="F1039" s="3234"/>
      <c r="G1039" s="3124"/>
      <c r="H1039" s="3124"/>
      <c r="I1039" s="3124"/>
      <c r="J1039" s="3124"/>
      <c r="K1039" s="3124"/>
      <c r="L1039" s="3124"/>
      <c r="M1039" s="3124"/>
      <c r="N1039" s="3192"/>
      <c r="O1039" s="3192"/>
      <c r="P1039" s="3192"/>
      <c r="Q1039" s="3192"/>
      <c r="R1039" s="3124" t="s">
        <v>2573</v>
      </c>
      <c r="S1039" s="3124" t="s">
        <v>2574</v>
      </c>
      <c r="T1039" s="3124"/>
      <c r="V1039" s="3124"/>
      <c r="W1039" s="3193"/>
      <c r="X1039" s="3124">
        <v>0</v>
      </c>
      <c r="Y1039" s="3124"/>
      <c r="Z1039" s="3124"/>
      <c r="AA1039" s="3124"/>
      <c r="AC1039" s="3124"/>
    </row>
    <row r="1040" spans="1:29">
      <c r="A1040" s="3124">
        <v>1039</v>
      </c>
      <c r="B1040" s="3124"/>
      <c r="C1040" s="3124"/>
      <c r="D1040" s="3124"/>
      <c r="F1040" s="3234"/>
      <c r="G1040" s="3124"/>
      <c r="H1040" s="3124"/>
      <c r="I1040" s="3124"/>
      <c r="J1040" s="3124"/>
      <c r="K1040" s="3124"/>
      <c r="L1040" s="3124"/>
      <c r="M1040" s="3124"/>
      <c r="N1040" s="3192"/>
      <c r="O1040" s="3192"/>
      <c r="P1040" s="3192"/>
      <c r="Q1040" s="3192"/>
      <c r="R1040" s="3124" t="s">
        <v>2573</v>
      </c>
      <c r="S1040" s="3124" t="s">
        <v>2574</v>
      </c>
      <c r="T1040" s="3124"/>
      <c r="V1040" s="3124"/>
      <c r="W1040" s="3193"/>
      <c r="X1040" s="3124">
        <v>0</v>
      </c>
      <c r="Y1040" s="3124"/>
      <c r="Z1040" s="3124"/>
      <c r="AA1040" s="3124"/>
      <c r="AC1040" s="3124"/>
    </row>
    <row r="1041" spans="1:29">
      <c r="A1041" s="3124">
        <v>1040</v>
      </c>
      <c r="B1041" s="3124"/>
      <c r="C1041" s="3124"/>
      <c r="D1041" s="3124"/>
      <c r="F1041" s="3234"/>
      <c r="G1041" s="3124"/>
      <c r="H1041" s="3124"/>
      <c r="I1041" s="3124"/>
      <c r="J1041" s="3124"/>
      <c r="K1041" s="3124"/>
      <c r="L1041" s="3124"/>
      <c r="M1041" s="3124"/>
      <c r="N1041" s="3192"/>
      <c r="O1041" s="3192"/>
      <c r="P1041" s="3192"/>
      <c r="Q1041" s="3192"/>
      <c r="R1041" s="3124" t="s">
        <v>2573</v>
      </c>
      <c r="S1041" s="3124" t="s">
        <v>2574</v>
      </c>
      <c r="T1041" s="3124"/>
      <c r="V1041" s="3124"/>
      <c r="W1041" s="3193"/>
      <c r="X1041" s="3124">
        <v>0</v>
      </c>
      <c r="Y1041" s="3124"/>
      <c r="Z1041" s="3124"/>
      <c r="AA1041" s="3124"/>
      <c r="AC1041" s="3124"/>
    </row>
    <row r="1042" spans="1:29">
      <c r="A1042" s="3124">
        <v>1041</v>
      </c>
      <c r="B1042" s="3124"/>
      <c r="C1042" s="3124"/>
      <c r="D1042" s="3124"/>
      <c r="F1042" s="3234"/>
      <c r="G1042" s="3124"/>
      <c r="H1042" s="3124"/>
      <c r="I1042" s="3124"/>
      <c r="J1042" s="3124"/>
      <c r="K1042" s="3124"/>
      <c r="L1042" s="3124"/>
      <c r="M1042" s="3124"/>
      <c r="N1042" s="3192"/>
      <c r="O1042" s="3192"/>
      <c r="P1042" s="3192"/>
      <c r="Q1042" s="3192"/>
      <c r="R1042" s="3124" t="s">
        <v>2573</v>
      </c>
      <c r="S1042" s="3124" t="s">
        <v>2574</v>
      </c>
      <c r="T1042" s="3124"/>
      <c r="V1042" s="3124"/>
      <c r="W1042" s="3193"/>
      <c r="X1042" s="3124">
        <v>0</v>
      </c>
      <c r="Y1042" s="3124"/>
      <c r="Z1042" s="3124"/>
      <c r="AA1042" s="3124"/>
      <c r="AC1042" s="3124"/>
    </row>
    <row r="1043" spans="1:29">
      <c r="A1043" s="3124">
        <v>1042</v>
      </c>
      <c r="B1043" s="3124"/>
      <c r="C1043" s="3124"/>
      <c r="D1043" s="3124"/>
      <c r="F1043" s="3234"/>
      <c r="G1043" s="3124"/>
      <c r="H1043" s="3124"/>
      <c r="I1043" s="3124"/>
      <c r="J1043" s="3124"/>
      <c r="K1043" s="3124"/>
      <c r="L1043" s="3124"/>
      <c r="M1043" s="3124"/>
      <c r="N1043" s="3192"/>
      <c r="O1043" s="3192"/>
      <c r="P1043" s="3192"/>
      <c r="Q1043" s="3192"/>
      <c r="R1043" s="3124" t="s">
        <v>2573</v>
      </c>
      <c r="S1043" s="3124" t="s">
        <v>2574</v>
      </c>
      <c r="T1043" s="3124"/>
      <c r="V1043" s="3124"/>
      <c r="W1043" s="3193"/>
      <c r="X1043" s="3124">
        <v>0</v>
      </c>
      <c r="Y1043" s="3124"/>
      <c r="Z1043" s="3124"/>
      <c r="AA1043" s="3124"/>
      <c r="AC1043" s="3124"/>
    </row>
    <row r="1044" spans="1:29">
      <c r="A1044" s="3124">
        <v>1043</v>
      </c>
      <c r="B1044" s="3124"/>
      <c r="C1044" s="3124"/>
      <c r="D1044" s="3124"/>
      <c r="F1044" s="3234"/>
      <c r="G1044" s="3124"/>
      <c r="H1044" s="3124"/>
      <c r="I1044" s="3124"/>
      <c r="J1044" s="3124"/>
      <c r="K1044" s="3124"/>
      <c r="L1044" s="3124"/>
      <c r="M1044" s="3124"/>
      <c r="N1044" s="3192"/>
      <c r="O1044" s="3192"/>
      <c r="P1044" s="3192"/>
      <c r="Q1044" s="3192"/>
      <c r="R1044" s="3124" t="s">
        <v>2573</v>
      </c>
      <c r="S1044" s="3124" t="s">
        <v>2574</v>
      </c>
      <c r="T1044" s="3124"/>
      <c r="V1044" s="3124"/>
      <c r="W1044" s="3193"/>
      <c r="X1044" s="3124">
        <v>0</v>
      </c>
      <c r="Y1044" s="3124"/>
      <c r="Z1044" s="3124"/>
      <c r="AA1044" s="3124"/>
      <c r="AC1044" s="3124"/>
    </row>
    <row r="1045" spans="1:29">
      <c r="A1045" s="3124">
        <v>1044</v>
      </c>
      <c r="B1045" s="3124"/>
      <c r="C1045" s="3124"/>
      <c r="D1045" s="3124"/>
      <c r="F1045" s="3234"/>
      <c r="G1045" s="3124"/>
      <c r="H1045" s="3124"/>
      <c r="I1045" s="3124"/>
      <c r="J1045" s="3124"/>
      <c r="K1045" s="3124"/>
      <c r="L1045" s="3124"/>
      <c r="M1045" s="3124"/>
      <c r="N1045" s="3192"/>
      <c r="O1045" s="3192"/>
      <c r="P1045" s="3192"/>
      <c r="Q1045" s="3192"/>
      <c r="R1045" s="3124" t="s">
        <v>2573</v>
      </c>
      <c r="S1045" s="3124" t="s">
        <v>2574</v>
      </c>
      <c r="T1045" s="3124"/>
      <c r="V1045" s="3124"/>
      <c r="W1045" s="3193"/>
      <c r="X1045" s="3124">
        <v>0</v>
      </c>
      <c r="Y1045" s="3124"/>
      <c r="Z1045" s="3124"/>
      <c r="AA1045" s="3124"/>
      <c r="AC1045" s="3124"/>
    </row>
    <row r="1046" spans="1:29">
      <c r="A1046" s="3124">
        <v>1045</v>
      </c>
      <c r="B1046" s="3124"/>
      <c r="C1046" s="3124"/>
      <c r="D1046" s="3124"/>
      <c r="F1046" s="3234"/>
      <c r="G1046" s="3124"/>
      <c r="H1046" s="3124"/>
      <c r="I1046" s="3124"/>
      <c r="J1046" s="3124"/>
      <c r="K1046" s="3124"/>
      <c r="L1046" s="3124"/>
      <c r="M1046" s="3124"/>
      <c r="N1046" s="3192"/>
      <c r="O1046" s="3192"/>
      <c r="P1046" s="3192"/>
      <c r="Q1046" s="3192"/>
      <c r="R1046" s="3124" t="s">
        <v>2573</v>
      </c>
      <c r="S1046" s="3124" t="s">
        <v>2574</v>
      </c>
      <c r="T1046" s="3124"/>
      <c r="V1046" s="3124"/>
      <c r="W1046" s="3193"/>
      <c r="X1046" s="3124">
        <v>0</v>
      </c>
      <c r="Y1046" s="3124"/>
      <c r="Z1046" s="3124"/>
      <c r="AA1046" s="3124"/>
      <c r="AC1046" s="3124"/>
    </row>
    <row r="1047" spans="1:29">
      <c r="A1047" s="3124">
        <v>1046</v>
      </c>
      <c r="B1047" s="3124"/>
      <c r="C1047" s="3124"/>
      <c r="D1047" s="3124"/>
      <c r="F1047" s="3234"/>
      <c r="G1047" s="3124"/>
      <c r="H1047" s="3124"/>
      <c r="I1047" s="3124"/>
      <c r="J1047" s="3124"/>
      <c r="K1047" s="3124"/>
      <c r="L1047" s="3124"/>
      <c r="M1047" s="3124"/>
      <c r="N1047" s="3192"/>
      <c r="O1047" s="3192"/>
      <c r="P1047" s="3192"/>
      <c r="Q1047" s="3192"/>
      <c r="R1047" s="3124" t="s">
        <v>2573</v>
      </c>
      <c r="S1047" s="3124" t="s">
        <v>2574</v>
      </c>
      <c r="T1047" s="3124"/>
      <c r="V1047" s="3124"/>
      <c r="W1047" s="3193"/>
      <c r="X1047" s="3124">
        <v>0</v>
      </c>
      <c r="Y1047" s="3124"/>
      <c r="Z1047" s="3124"/>
      <c r="AA1047" s="3124"/>
      <c r="AC1047" s="3124"/>
    </row>
    <row r="1048" spans="1:29">
      <c r="A1048" s="3124">
        <v>1047</v>
      </c>
      <c r="B1048" s="3124"/>
      <c r="C1048" s="3124"/>
      <c r="D1048" s="3124"/>
      <c r="F1048" s="3234"/>
      <c r="G1048" s="3124"/>
      <c r="H1048" s="3124"/>
      <c r="I1048" s="3124"/>
      <c r="J1048" s="3124"/>
      <c r="K1048" s="3124"/>
      <c r="L1048" s="3124"/>
      <c r="M1048" s="3124"/>
      <c r="N1048" s="3192"/>
      <c r="O1048" s="3192"/>
      <c r="P1048" s="3192"/>
      <c r="Q1048" s="3192"/>
      <c r="R1048" s="3124" t="s">
        <v>2573</v>
      </c>
      <c r="S1048" s="3124" t="s">
        <v>2574</v>
      </c>
      <c r="T1048" s="3124"/>
      <c r="V1048" s="3124"/>
      <c r="W1048" s="3193"/>
      <c r="X1048" s="3124">
        <v>0</v>
      </c>
      <c r="Y1048" s="3124"/>
      <c r="Z1048" s="3124"/>
      <c r="AA1048" s="3124"/>
      <c r="AC1048" s="3124"/>
    </row>
    <row r="1049" spans="1:29">
      <c r="A1049" s="3124">
        <v>1048</v>
      </c>
      <c r="B1049" s="3124"/>
      <c r="C1049" s="3124"/>
      <c r="D1049" s="3124"/>
      <c r="F1049" s="3234"/>
      <c r="G1049" s="3124"/>
      <c r="H1049" s="3124"/>
      <c r="I1049" s="3124"/>
      <c r="J1049" s="3124"/>
      <c r="K1049" s="3124"/>
      <c r="L1049" s="3124"/>
      <c r="M1049" s="3124"/>
      <c r="N1049" s="3192"/>
      <c r="O1049" s="3192"/>
      <c r="P1049" s="3192"/>
      <c r="Q1049" s="3192"/>
      <c r="R1049" s="3124" t="s">
        <v>2573</v>
      </c>
      <c r="S1049" s="3124" t="s">
        <v>2574</v>
      </c>
      <c r="T1049" s="3124"/>
      <c r="V1049" s="3124"/>
      <c r="W1049" s="3193"/>
      <c r="X1049" s="3124">
        <v>0</v>
      </c>
      <c r="Y1049" s="3124"/>
      <c r="Z1049" s="3124"/>
      <c r="AA1049" s="3124"/>
      <c r="AC1049" s="3124"/>
    </row>
    <row r="1050" spans="1:29">
      <c r="A1050" s="3124">
        <v>1049</v>
      </c>
      <c r="B1050" s="3124"/>
      <c r="C1050" s="3124"/>
      <c r="D1050" s="3124"/>
      <c r="F1050" s="3234"/>
      <c r="G1050" s="3124"/>
      <c r="H1050" s="3124"/>
      <c r="I1050" s="3124"/>
      <c r="J1050" s="3124"/>
      <c r="K1050" s="3124"/>
      <c r="L1050" s="3124"/>
      <c r="M1050" s="3124"/>
      <c r="N1050" s="3192"/>
      <c r="O1050" s="3192"/>
      <c r="P1050" s="3192"/>
      <c r="Q1050" s="3192"/>
      <c r="R1050" s="3124" t="s">
        <v>2573</v>
      </c>
      <c r="S1050" s="3124" t="s">
        <v>2574</v>
      </c>
      <c r="T1050" s="3124"/>
      <c r="V1050" s="3124"/>
      <c r="W1050" s="3193"/>
      <c r="X1050" s="3124">
        <v>0</v>
      </c>
      <c r="Y1050" s="3124"/>
      <c r="Z1050" s="3124"/>
      <c r="AA1050" s="3124"/>
      <c r="AC1050" s="3124"/>
    </row>
    <row r="1051" spans="1:29">
      <c r="A1051" s="3124">
        <v>1050</v>
      </c>
      <c r="B1051" s="3124"/>
      <c r="C1051" s="3124"/>
      <c r="D1051" s="3124"/>
      <c r="F1051" s="3234"/>
      <c r="G1051" s="3124"/>
      <c r="H1051" s="3124"/>
      <c r="I1051" s="3124"/>
      <c r="J1051" s="3124"/>
      <c r="K1051" s="3124"/>
      <c r="L1051" s="3124"/>
      <c r="M1051" s="3124"/>
      <c r="N1051" s="3192"/>
      <c r="O1051" s="3192"/>
      <c r="P1051" s="3192"/>
      <c r="Q1051" s="3192"/>
      <c r="R1051" s="3124" t="s">
        <v>2573</v>
      </c>
      <c r="S1051" s="3124" t="s">
        <v>2574</v>
      </c>
      <c r="T1051" s="3124"/>
      <c r="V1051" s="3124"/>
      <c r="W1051" s="3193"/>
      <c r="X1051" s="3124">
        <v>0</v>
      </c>
      <c r="Y1051" s="3124"/>
      <c r="Z1051" s="3124"/>
      <c r="AA1051" s="3124"/>
      <c r="AC1051" s="3124"/>
    </row>
    <row r="1052" spans="1:29">
      <c r="A1052" s="3124">
        <v>1051</v>
      </c>
      <c r="B1052" s="3124"/>
      <c r="C1052" s="3124"/>
      <c r="D1052" s="3124"/>
      <c r="F1052" s="3234"/>
      <c r="G1052" s="3124"/>
      <c r="H1052" s="3124"/>
      <c r="I1052" s="3124"/>
      <c r="J1052" s="3124"/>
      <c r="K1052" s="3124"/>
      <c r="L1052" s="3124"/>
      <c r="M1052" s="3124"/>
      <c r="N1052" s="3192"/>
      <c r="O1052" s="3192"/>
      <c r="P1052" s="3192"/>
      <c r="Q1052" s="3192"/>
      <c r="R1052" s="3124" t="s">
        <v>2573</v>
      </c>
      <c r="S1052" s="3124" t="s">
        <v>2574</v>
      </c>
      <c r="T1052" s="3124"/>
      <c r="V1052" s="3124"/>
      <c r="W1052" s="3193"/>
      <c r="X1052" s="3124">
        <v>0</v>
      </c>
      <c r="Y1052" s="3124"/>
      <c r="Z1052" s="3124"/>
      <c r="AA1052" s="3124"/>
      <c r="AC1052" s="3124"/>
    </row>
    <row r="1053" spans="1:29">
      <c r="A1053" s="3124">
        <v>1052</v>
      </c>
      <c r="B1053" s="3124"/>
      <c r="C1053" s="3124"/>
      <c r="D1053" s="3124"/>
      <c r="F1053" s="3234"/>
      <c r="G1053" s="3124"/>
      <c r="H1053" s="3124"/>
      <c r="I1053" s="3124"/>
      <c r="J1053" s="3124"/>
      <c r="K1053" s="3124"/>
      <c r="L1053" s="3124"/>
      <c r="M1053" s="3124"/>
      <c r="N1053" s="3192"/>
      <c r="O1053" s="3192"/>
      <c r="P1053" s="3192"/>
      <c r="Q1053" s="3192"/>
      <c r="R1053" s="3124" t="s">
        <v>2573</v>
      </c>
      <c r="S1053" s="3124" t="s">
        <v>2574</v>
      </c>
      <c r="T1053" s="3124"/>
      <c r="V1053" s="3124"/>
      <c r="W1053" s="3193"/>
      <c r="X1053" s="3124">
        <v>0</v>
      </c>
      <c r="Y1053" s="3124"/>
      <c r="Z1053" s="3124"/>
      <c r="AA1053" s="3124"/>
      <c r="AC1053" s="3124"/>
    </row>
    <row r="1054" spans="1:29">
      <c r="A1054" s="3124">
        <v>1053</v>
      </c>
      <c r="B1054" s="3124"/>
      <c r="C1054" s="3124"/>
      <c r="D1054" s="3124"/>
      <c r="F1054" s="3234"/>
      <c r="G1054" s="3124"/>
      <c r="H1054" s="3124"/>
      <c r="I1054" s="3124"/>
      <c r="J1054" s="3124"/>
      <c r="K1054" s="3124"/>
      <c r="L1054" s="3124"/>
      <c r="M1054" s="3124"/>
      <c r="N1054" s="3192"/>
      <c r="O1054" s="3192"/>
      <c r="P1054" s="3192"/>
      <c r="Q1054" s="3192"/>
      <c r="R1054" s="3124" t="s">
        <v>2573</v>
      </c>
      <c r="S1054" s="3124" t="s">
        <v>2574</v>
      </c>
      <c r="T1054" s="3124"/>
      <c r="V1054" s="3124"/>
      <c r="W1054" s="3193"/>
      <c r="X1054" s="3124">
        <v>0</v>
      </c>
      <c r="Y1054" s="3124"/>
      <c r="Z1054" s="3124"/>
      <c r="AA1054" s="3124"/>
      <c r="AC1054" s="3124"/>
    </row>
    <row r="1055" spans="1:29">
      <c r="A1055" s="3124">
        <v>1054</v>
      </c>
      <c r="B1055" s="3124"/>
      <c r="C1055" s="3124"/>
      <c r="D1055" s="3124"/>
      <c r="F1055" s="3234"/>
      <c r="G1055" s="3124"/>
      <c r="H1055" s="3124"/>
      <c r="I1055" s="3124"/>
      <c r="J1055" s="3124"/>
      <c r="K1055" s="3124"/>
      <c r="L1055" s="3124"/>
      <c r="M1055" s="3124"/>
      <c r="N1055" s="3192"/>
      <c r="O1055" s="3192"/>
      <c r="P1055" s="3192"/>
      <c r="Q1055" s="3192"/>
      <c r="R1055" s="3124" t="s">
        <v>2573</v>
      </c>
      <c r="S1055" s="3124" t="s">
        <v>2574</v>
      </c>
      <c r="T1055" s="3124"/>
      <c r="V1055" s="3124"/>
      <c r="W1055" s="3193"/>
      <c r="X1055" s="3124">
        <v>0</v>
      </c>
      <c r="Y1055" s="3124"/>
      <c r="Z1055" s="3124"/>
      <c r="AA1055" s="3124"/>
      <c r="AC1055" s="3124"/>
    </row>
    <row r="1056" spans="1:29">
      <c r="A1056" s="3124">
        <v>1055</v>
      </c>
      <c r="B1056" s="3124"/>
      <c r="C1056" s="3124"/>
      <c r="D1056" s="3124"/>
      <c r="F1056" s="3234"/>
      <c r="G1056" s="3124"/>
      <c r="H1056" s="3124"/>
      <c r="I1056" s="3124"/>
      <c r="J1056" s="3124"/>
      <c r="K1056" s="3124"/>
      <c r="L1056" s="3124"/>
      <c r="M1056" s="3124"/>
      <c r="N1056" s="3192"/>
      <c r="O1056" s="3192"/>
      <c r="P1056" s="3192"/>
      <c r="Q1056" s="3192"/>
      <c r="R1056" s="3124" t="s">
        <v>2573</v>
      </c>
      <c r="S1056" s="3124" t="s">
        <v>2574</v>
      </c>
      <c r="T1056" s="3124"/>
      <c r="V1056" s="3124"/>
      <c r="W1056" s="3193"/>
      <c r="X1056" s="3124">
        <v>0</v>
      </c>
      <c r="Y1056" s="3124"/>
      <c r="Z1056" s="3124"/>
      <c r="AA1056" s="3124"/>
      <c r="AC1056" s="3124"/>
    </row>
    <row r="1057" spans="1:29">
      <c r="A1057" s="3124">
        <v>1056</v>
      </c>
      <c r="B1057" s="3124"/>
      <c r="C1057" s="3124"/>
      <c r="D1057" s="3124"/>
      <c r="F1057" s="3234"/>
      <c r="G1057" s="3124"/>
      <c r="H1057" s="3124"/>
      <c r="I1057" s="3124"/>
      <c r="J1057" s="3124"/>
      <c r="K1057" s="3124"/>
      <c r="L1057" s="3124"/>
      <c r="M1057" s="3124"/>
      <c r="N1057" s="3192"/>
      <c r="O1057" s="3192"/>
      <c r="P1057" s="3192"/>
      <c r="Q1057" s="3192"/>
      <c r="R1057" s="3124" t="s">
        <v>2573</v>
      </c>
      <c r="S1057" s="3124" t="s">
        <v>2574</v>
      </c>
      <c r="T1057" s="3124"/>
      <c r="V1057" s="3124"/>
      <c r="W1057" s="3193"/>
      <c r="X1057" s="3124">
        <v>0</v>
      </c>
      <c r="Y1057" s="3124"/>
      <c r="Z1057" s="3124"/>
      <c r="AA1057" s="3124"/>
      <c r="AC1057" s="3124"/>
    </row>
    <row r="1058" spans="1:29">
      <c r="A1058" s="3124">
        <v>1057</v>
      </c>
      <c r="B1058" s="3124"/>
      <c r="C1058" s="3124"/>
      <c r="D1058" s="3124"/>
      <c r="F1058" s="3234"/>
      <c r="G1058" s="3124"/>
      <c r="H1058" s="3124"/>
      <c r="I1058" s="3124"/>
      <c r="J1058" s="3124"/>
      <c r="K1058" s="3124"/>
      <c r="L1058" s="3124"/>
      <c r="M1058" s="3124"/>
      <c r="N1058" s="3192"/>
      <c r="O1058" s="3192"/>
      <c r="P1058" s="3192"/>
      <c r="Q1058" s="3192"/>
      <c r="R1058" s="3124" t="s">
        <v>2573</v>
      </c>
      <c r="S1058" s="3124" t="s">
        <v>2574</v>
      </c>
      <c r="T1058" s="3124"/>
      <c r="V1058" s="3124"/>
      <c r="W1058" s="3193"/>
      <c r="X1058" s="3124">
        <v>0</v>
      </c>
      <c r="Y1058" s="3124"/>
      <c r="Z1058" s="3124"/>
      <c r="AA1058" s="3124"/>
      <c r="AC1058" s="3124"/>
    </row>
    <row r="1059" spans="1:29">
      <c r="A1059" s="3124">
        <v>1058</v>
      </c>
      <c r="B1059" s="3124"/>
      <c r="C1059" s="3124"/>
      <c r="D1059" s="3124"/>
      <c r="F1059" s="3234"/>
      <c r="G1059" s="3124"/>
      <c r="H1059" s="3124"/>
      <c r="I1059" s="3124"/>
      <c r="J1059" s="3124"/>
      <c r="K1059" s="3124"/>
      <c r="L1059" s="3124"/>
      <c r="M1059" s="3124"/>
      <c r="N1059" s="3192"/>
      <c r="O1059" s="3192"/>
      <c r="P1059" s="3192"/>
      <c r="Q1059" s="3192"/>
      <c r="R1059" s="3124" t="s">
        <v>2573</v>
      </c>
      <c r="S1059" s="3124" t="s">
        <v>2574</v>
      </c>
      <c r="T1059" s="3124"/>
      <c r="V1059" s="3124"/>
      <c r="W1059" s="3193"/>
      <c r="X1059" s="3124">
        <v>0</v>
      </c>
      <c r="Y1059" s="3124"/>
      <c r="Z1059" s="3124"/>
      <c r="AA1059" s="3124"/>
      <c r="AC1059" s="3124"/>
    </row>
    <row r="1060" spans="1:29">
      <c r="A1060" s="3124">
        <v>1059</v>
      </c>
      <c r="B1060" s="3124"/>
      <c r="C1060" s="3124"/>
      <c r="D1060" s="3124"/>
      <c r="F1060" s="3234"/>
      <c r="G1060" s="3124"/>
      <c r="H1060" s="3124"/>
      <c r="I1060" s="3124"/>
      <c r="J1060" s="3124"/>
      <c r="K1060" s="3124"/>
      <c r="L1060" s="3124"/>
      <c r="M1060" s="3124"/>
      <c r="N1060" s="3192"/>
      <c r="O1060" s="3192"/>
      <c r="P1060" s="3192"/>
      <c r="Q1060" s="3192"/>
      <c r="R1060" s="3124" t="s">
        <v>2573</v>
      </c>
      <c r="S1060" s="3124" t="s">
        <v>2574</v>
      </c>
      <c r="T1060" s="3124"/>
      <c r="V1060" s="3124"/>
      <c r="W1060" s="3193"/>
      <c r="X1060" s="3124">
        <v>0</v>
      </c>
      <c r="Y1060" s="3124"/>
      <c r="Z1060" s="3124"/>
      <c r="AA1060" s="3124"/>
      <c r="AC1060" s="3124"/>
    </row>
    <row r="1061" spans="1:29">
      <c r="A1061" s="3124">
        <v>1060</v>
      </c>
      <c r="B1061" s="3124"/>
      <c r="C1061" s="3124"/>
      <c r="D1061" s="3124"/>
      <c r="F1061" s="3234"/>
      <c r="G1061" s="3124"/>
      <c r="H1061" s="3124"/>
      <c r="I1061" s="3124"/>
      <c r="J1061" s="3124"/>
      <c r="K1061" s="3124"/>
      <c r="L1061" s="3124"/>
      <c r="M1061" s="3124"/>
      <c r="N1061" s="3192"/>
      <c r="O1061" s="3192"/>
      <c r="P1061" s="3192"/>
      <c r="Q1061" s="3192"/>
      <c r="R1061" s="3124" t="s">
        <v>2573</v>
      </c>
      <c r="S1061" s="3124" t="s">
        <v>2574</v>
      </c>
      <c r="T1061" s="3124"/>
      <c r="V1061" s="3124"/>
      <c r="W1061" s="3193"/>
      <c r="X1061" s="3124">
        <v>0</v>
      </c>
      <c r="Y1061" s="3124"/>
      <c r="Z1061" s="3124"/>
      <c r="AA1061" s="3124"/>
      <c r="AC1061" s="3124"/>
    </row>
    <row r="1062" spans="1:29">
      <c r="A1062" s="3124">
        <v>1061</v>
      </c>
      <c r="B1062" s="3124"/>
      <c r="C1062" s="3124"/>
      <c r="D1062" s="3124"/>
      <c r="F1062" s="3234"/>
      <c r="G1062" s="3124"/>
      <c r="H1062" s="3124"/>
      <c r="I1062" s="3124"/>
      <c r="J1062" s="3124"/>
      <c r="K1062" s="3124"/>
      <c r="L1062" s="3124"/>
      <c r="M1062" s="3124"/>
      <c r="N1062" s="3192"/>
      <c r="O1062" s="3192"/>
      <c r="P1062" s="3192"/>
      <c r="Q1062" s="3192"/>
      <c r="R1062" s="3124" t="s">
        <v>2573</v>
      </c>
      <c r="S1062" s="3124" t="s">
        <v>2574</v>
      </c>
      <c r="T1062" s="3124"/>
      <c r="V1062" s="3124"/>
      <c r="W1062" s="3193"/>
      <c r="X1062" s="3124">
        <v>0</v>
      </c>
      <c r="Y1062" s="3124"/>
      <c r="Z1062" s="3124"/>
      <c r="AA1062" s="3124"/>
      <c r="AC1062" s="3124"/>
    </row>
    <row r="1063" spans="1:29">
      <c r="A1063" s="3124">
        <v>1062</v>
      </c>
      <c r="B1063" s="3124"/>
      <c r="C1063" s="3124"/>
      <c r="D1063" s="3124"/>
      <c r="F1063" s="3234"/>
      <c r="G1063" s="3124"/>
      <c r="H1063" s="3124"/>
      <c r="I1063" s="3124"/>
      <c r="J1063" s="3124"/>
      <c r="K1063" s="3124"/>
      <c r="L1063" s="3124"/>
      <c r="M1063" s="3124"/>
      <c r="N1063" s="3192"/>
      <c r="O1063" s="3192"/>
      <c r="P1063" s="3192"/>
      <c r="Q1063" s="3192"/>
      <c r="R1063" s="3124" t="s">
        <v>2573</v>
      </c>
      <c r="S1063" s="3124" t="s">
        <v>2574</v>
      </c>
      <c r="T1063" s="3124"/>
      <c r="V1063" s="3124"/>
      <c r="W1063" s="3193"/>
      <c r="X1063" s="3124">
        <v>0</v>
      </c>
      <c r="Y1063" s="3124"/>
      <c r="Z1063" s="3124"/>
      <c r="AA1063" s="3124"/>
      <c r="AC1063" s="3124"/>
    </row>
    <row r="1064" spans="1:29">
      <c r="A1064" s="3124">
        <v>1063</v>
      </c>
      <c r="B1064" s="3124"/>
      <c r="C1064" s="3124"/>
      <c r="D1064" s="3124"/>
      <c r="F1064" s="3234"/>
      <c r="G1064" s="3124"/>
      <c r="H1064" s="3124"/>
      <c r="I1064" s="3124"/>
      <c r="J1064" s="3124"/>
      <c r="K1064" s="3124"/>
      <c r="L1064" s="3124"/>
      <c r="M1064" s="3124"/>
      <c r="N1064" s="3192"/>
      <c r="O1064" s="3192"/>
      <c r="P1064" s="3192"/>
      <c r="Q1064" s="3192"/>
      <c r="R1064" s="3124" t="s">
        <v>2573</v>
      </c>
      <c r="S1064" s="3124" t="s">
        <v>2574</v>
      </c>
      <c r="T1064" s="3124"/>
      <c r="V1064" s="3124"/>
      <c r="W1064" s="3193"/>
      <c r="X1064" s="3124">
        <v>0</v>
      </c>
      <c r="Y1064" s="3124"/>
      <c r="Z1064" s="3124"/>
      <c r="AA1064" s="3124"/>
      <c r="AC1064" s="3124"/>
    </row>
    <row r="1065" spans="1:29">
      <c r="A1065" s="3124">
        <v>1064</v>
      </c>
      <c r="B1065" s="3124"/>
      <c r="C1065" s="3124"/>
      <c r="D1065" s="3124"/>
      <c r="F1065" s="3234"/>
      <c r="G1065" s="3124"/>
      <c r="H1065" s="3124"/>
      <c r="I1065" s="3124"/>
      <c r="J1065" s="3124"/>
      <c r="K1065" s="3124"/>
      <c r="L1065" s="3124"/>
      <c r="M1065" s="3124"/>
      <c r="N1065" s="3192"/>
      <c r="O1065" s="3192"/>
      <c r="P1065" s="3192"/>
      <c r="Q1065" s="3192"/>
      <c r="R1065" s="3124" t="s">
        <v>2573</v>
      </c>
      <c r="S1065" s="3124" t="s">
        <v>2574</v>
      </c>
      <c r="T1065" s="3124"/>
      <c r="V1065" s="3124"/>
      <c r="W1065" s="3193"/>
      <c r="X1065" s="3124">
        <v>0</v>
      </c>
      <c r="Y1065" s="3124"/>
      <c r="Z1065" s="3124"/>
      <c r="AA1065" s="3124"/>
      <c r="AC1065" s="3124"/>
    </row>
    <row r="1066" spans="1:29">
      <c r="A1066" s="3124">
        <v>1065</v>
      </c>
      <c r="B1066" s="3124"/>
      <c r="C1066" s="3124"/>
      <c r="D1066" s="3124"/>
      <c r="F1066" s="3234"/>
      <c r="G1066" s="3124"/>
      <c r="H1066" s="3124"/>
      <c r="I1066" s="3124"/>
      <c r="J1066" s="3124"/>
      <c r="K1066" s="3124"/>
      <c r="L1066" s="3124"/>
      <c r="M1066" s="3124"/>
      <c r="N1066" s="3192"/>
      <c r="O1066" s="3192"/>
      <c r="P1066" s="3192"/>
      <c r="Q1066" s="3192"/>
      <c r="R1066" s="3124" t="s">
        <v>2573</v>
      </c>
      <c r="S1066" s="3124" t="s">
        <v>2574</v>
      </c>
      <c r="T1066" s="3124"/>
      <c r="V1066" s="3124"/>
      <c r="W1066" s="3193"/>
      <c r="X1066" s="3124">
        <v>0</v>
      </c>
      <c r="Y1066" s="3124"/>
      <c r="Z1066" s="3124"/>
      <c r="AA1066" s="3124"/>
      <c r="AC1066" s="3124"/>
    </row>
    <row r="1067" spans="1:29">
      <c r="A1067" s="3124">
        <v>1066</v>
      </c>
      <c r="B1067" s="3124"/>
      <c r="C1067" s="3124"/>
      <c r="D1067" s="3124"/>
      <c r="F1067" s="3234"/>
      <c r="G1067" s="3124"/>
      <c r="H1067" s="3124"/>
      <c r="I1067" s="3124"/>
      <c r="J1067" s="3124"/>
      <c r="K1067" s="3124"/>
      <c r="L1067" s="3124"/>
      <c r="M1067" s="3124"/>
      <c r="N1067" s="3192"/>
      <c r="O1067" s="3192"/>
      <c r="P1067" s="3192"/>
      <c r="Q1067" s="3192"/>
      <c r="R1067" s="3124" t="s">
        <v>2573</v>
      </c>
      <c r="S1067" s="3124" t="s">
        <v>2574</v>
      </c>
      <c r="T1067" s="3124"/>
      <c r="V1067" s="3124"/>
      <c r="W1067" s="3193"/>
      <c r="X1067" s="3124">
        <v>0</v>
      </c>
      <c r="Y1067" s="3124"/>
      <c r="Z1067" s="3124"/>
      <c r="AA1067" s="3124"/>
      <c r="AC1067" s="3124"/>
    </row>
    <row r="1068" spans="1:29">
      <c r="A1068" s="3124">
        <v>1067</v>
      </c>
      <c r="B1068" s="3124"/>
      <c r="C1068" s="3124"/>
      <c r="D1068" s="3124"/>
      <c r="F1068" s="3234"/>
      <c r="G1068" s="3124"/>
      <c r="H1068" s="3124"/>
      <c r="I1068" s="3124"/>
      <c r="J1068" s="3124"/>
      <c r="K1068" s="3124"/>
      <c r="L1068" s="3124"/>
      <c r="M1068" s="3124"/>
      <c r="N1068" s="3192"/>
      <c r="O1068" s="3192"/>
      <c r="P1068" s="3192"/>
      <c r="Q1068" s="3192"/>
      <c r="R1068" s="3124" t="s">
        <v>2573</v>
      </c>
      <c r="S1068" s="3124" t="s">
        <v>2574</v>
      </c>
      <c r="T1068" s="3124"/>
      <c r="V1068" s="3124"/>
      <c r="W1068" s="3193"/>
      <c r="X1068" s="3124">
        <v>0</v>
      </c>
      <c r="Y1068" s="3124"/>
      <c r="Z1068" s="3124"/>
      <c r="AA1068" s="3124"/>
      <c r="AC1068" s="3124"/>
    </row>
    <row r="1069" spans="1:29">
      <c r="A1069" s="3124">
        <v>1068</v>
      </c>
      <c r="B1069" s="3124"/>
      <c r="C1069" s="3124"/>
      <c r="D1069" s="3124"/>
      <c r="F1069" s="3234"/>
      <c r="G1069" s="3124"/>
      <c r="H1069" s="3124"/>
      <c r="I1069" s="3124"/>
      <c r="J1069" s="3124"/>
      <c r="K1069" s="3124"/>
      <c r="L1069" s="3124"/>
      <c r="M1069" s="3124"/>
      <c r="N1069" s="3192"/>
      <c r="O1069" s="3192"/>
      <c r="P1069" s="3192"/>
      <c r="Q1069" s="3192"/>
      <c r="R1069" s="3124" t="s">
        <v>2573</v>
      </c>
      <c r="S1069" s="3124" t="s">
        <v>2574</v>
      </c>
      <c r="T1069" s="3124"/>
      <c r="V1069" s="3124"/>
      <c r="W1069" s="3193"/>
      <c r="X1069" s="3124">
        <v>0</v>
      </c>
      <c r="Y1069" s="3124"/>
      <c r="Z1069" s="3124"/>
      <c r="AA1069" s="3124"/>
      <c r="AC1069" s="3124"/>
    </row>
    <row r="1070" spans="1:29">
      <c r="A1070" s="3124">
        <v>1069</v>
      </c>
      <c r="B1070" s="3124"/>
      <c r="C1070" s="3124"/>
      <c r="D1070" s="3124"/>
      <c r="F1070" s="3234"/>
      <c r="G1070" s="3124"/>
      <c r="H1070" s="3124"/>
      <c r="I1070" s="3124"/>
      <c r="J1070" s="3124"/>
      <c r="K1070" s="3124"/>
      <c r="L1070" s="3124"/>
      <c r="M1070" s="3124"/>
      <c r="N1070" s="3192"/>
      <c r="O1070" s="3192"/>
      <c r="P1070" s="3192"/>
      <c r="Q1070" s="3192"/>
      <c r="R1070" s="3124" t="s">
        <v>2573</v>
      </c>
      <c r="S1070" s="3124" t="s">
        <v>2574</v>
      </c>
      <c r="T1070" s="3124"/>
      <c r="V1070" s="3124"/>
      <c r="W1070" s="3193"/>
      <c r="X1070" s="3124">
        <v>0</v>
      </c>
      <c r="Y1070" s="3124"/>
      <c r="Z1070" s="3124"/>
      <c r="AA1070" s="3124"/>
      <c r="AC1070" s="3124"/>
    </row>
    <row r="1071" spans="1:29">
      <c r="A1071" s="3124">
        <v>1070</v>
      </c>
      <c r="B1071" s="3124"/>
      <c r="C1071" s="3124"/>
      <c r="D1071" s="3124"/>
      <c r="F1071" s="3234"/>
      <c r="G1071" s="3124"/>
      <c r="H1071" s="3124"/>
      <c r="I1071" s="3124"/>
      <c r="J1071" s="3124"/>
      <c r="K1071" s="3124"/>
      <c r="L1071" s="3124"/>
      <c r="M1071" s="3124"/>
      <c r="N1071" s="3192"/>
      <c r="O1071" s="3192"/>
      <c r="P1071" s="3192"/>
      <c r="Q1071" s="3192"/>
      <c r="R1071" s="3124" t="s">
        <v>2573</v>
      </c>
      <c r="S1071" s="3124" t="s">
        <v>2574</v>
      </c>
      <c r="T1071" s="3124"/>
      <c r="V1071" s="3124"/>
      <c r="W1071" s="3193"/>
      <c r="X1071" s="3124">
        <v>0</v>
      </c>
      <c r="Y1071" s="3124"/>
      <c r="Z1071" s="3124"/>
      <c r="AA1071" s="3124"/>
      <c r="AC1071" s="3124"/>
    </row>
    <row r="1072" spans="1:29">
      <c r="A1072" s="3124">
        <v>1071</v>
      </c>
      <c r="B1072" s="3124"/>
      <c r="C1072" s="3124"/>
      <c r="D1072" s="3124"/>
      <c r="F1072" s="3234"/>
      <c r="G1072" s="3124"/>
      <c r="H1072" s="3124"/>
      <c r="I1072" s="3124"/>
      <c r="J1072" s="3124"/>
      <c r="K1072" s="3124"/>
      <c r="L1072" s="3124"/>
      <c r="M1072" s="3124"/>
      <c r="N1072" s="3192"/>
      <c r="O1072" s="3192"/>
      <c r="P1072" s="3192"/>
      <c r="Q1072" s="3192"/>
      <c r="R1072" s="3124" t="s">
        <v>2573</v>
      </c>
      <c r="S1072" s="3124" t="s">
        <v>2574</v>
      </c>
      <c r="T1072" s="3124"/>
      <c r="V1072" s="3124"/>
      <c r="W1072" s="3193"/>
      <c r="X1072" s="3124">
        <v>0</v>
      </c>
      <c r="Y1072" s="3124"/>
      <c r="Z1072" s="3124"/>
      <c r="AA1072" s="3124"/>
      <c r="AC1072" s="3124"/>
    </row>
    <row r="1073" spans="1:29">
      <c r="A1073" s="3124">
        <v>1072</v>
      </c>
      <c r="B1073" s="3124"/>
      <c r="C1073" s="3124"/>
      <c r="D1073" s="3124"/>
      <c r="F1073" s="3234"/>
      <c r="G1073" s="3124"/>
      <c r="H1073" s="3124"/>
      <c r="I1073" s="3124"/>
      <c r="J1073" s="3124"/>
      <c r="K1073" s="3124"/>
      <c r="L1073" s="3124"/>
      <c r="M1073" s="3124"/>
      <c r="N1073" s="3192"/>
      <c r="O1073" s="3192"/>
      <c r="P1073" s="3192"/>
      <c r="Q1073" s="3192"/>
      <c r="R1073" s="3124" t="s">
        <v>2573</v>
      </c>
      <c r="S1073" s="3124" t="s">
        <v>2574</v>
      </c>
      <c r="T1073" s="3124"/>
      <c r="V1073" s="3124"/>
      <c r="W1073" s="3193"/>
      <c r="X1073" s="3124">
        <v>0</v>
      </c>
      <c r="Y1073" s="3124"/>
      <c r="Z1073" s="3124"/>
      <c r="AA1073" s="3124"/>
      <c r="AC1073" s="3124"/>
    </row>
    <row r="1074" spans="1:29">
      <c r="A1074" s="3124">
        <v>1073</v>
      </c>
      <c r="B1074" s="3124"/>
      <c r="C1074" s="3124"/>
      <c r="D1074" s="3124"/>
      <c r="F1074" s="3234"/>
      <c r="G1074" s="3124"/>
      <c r="H1074" s="3124"/>
      <c r="I1074" s="3124"/>
      <c r="J1074" s="3124"/>
      <c r="K1074" s="3124"/>
      <c r="L1074" s="3124"/>
      <c r="M1074" s="3124"/>
      <c r="N1074" s="3192"/>
      <c r="O1074" s="3192"/>
      <c r="P1074" s="3192"/>
      <c r="Q1074" s="3192"/>
      <c r="R1074" s="3124" t="s">
        <v>2573</v>
      </c>
      <c r="S1074" s="3124" t="s">
        <v>2574</v>
      </c>
      <c r="T1074" s="3124"/>
      <c r="V1074" s="3124"/>
      <c r="W1074" s="3193"/>
      <c r="X1074" s="3124">
        <v>0</v>
      </c>
      <c r="Y1074" s="3124"/>
      <c r="Z1074" s="3124"/>
      <c r="AA1074" s="3124"/>
      <c r="AC1074" s="3124"/>
    </row>
    <row r="1075" spans="1:29">
      <c r="A1075" s="3124">
        <v>1074</v>
      </c>
      <c r="B1075" s="3124"/>
      <c r="C1075" s="3124"/>
      <c r="D1075" s="3124"/>
      <c r="F1075" s="3234"/>
      <c r="G1075" s="3124"/>
      <c r="H1075" s="3124"/>
      <c r="I1075" s="3124"/>
      <c r="J1075" s="3124"/>
      <c r="K1075" s="3124"/>
      <c r="L1075" s="3124"/>
      <c r="M1075" s="3124"/>
      <c r="N1075" s="3192"/>
      <c r="O1075" s="3192"/>
      <c r="P1075" s="3192"/>
      <c r="Q1075" s="3192"/>
      <c r="R1075" s="3124" t="s">
        <v>2573</v>
      </c>
      <c r="S1075" s="3124" t="s">
        <v>2574</v>
      </c>
      <c r="T1075" s="3124"/>
      <c r="V1075" s="3124"/>
      <c r="W1075" s="3193"/>
      <c r="X1075" s="3124">
        <v>0</v>
      </c>
      <c r="Y1075" s="3124"/>
      <c r="Z1075" s="3124"/>
      <c r="AA1075" s="3124"/>
      <c r="AC1075" s="3124"/>
    </row>
    <row r="1076" spans="1:29">
      <c r="A1076" s="3124">
        <v>1075</v>
      </c>
      <c r="B1076" s="3124"/>
      <c r="C1076" s="3124"/>
      <c r="D1076" s="3124"/>
      <c r="F1076" s="3234"/>
      <c r="G1076" s="3124"/>
      <c r="H1076" s="3124"/>
      <c r="I1076" s="3124"/>
      <c r="J1076" s="3124"/>
      <c r="K1076" s="3124"/>
      <c r="L1076" s="3124"/>
      <c r="M1076" s="3124"/>
      <c r="N1076" s="3192"/>
      <c r="O1076" s="3192"/>
      <c r="P1076" s="3192"/>
      <c r="Q1076" s="3192"/>
      <c r="R1076" s="3124" t="s">
        <v>2573</v>
      </c>
      <c r="S1076" s="3124" t="s">
        <v>2574</v>
      </c>
      <c r="T1076" s="3124"/>
      <c r="V1076" s="3124"/>
      <c r="W1076" s="3193"/>
      <c r="X1076" s="3124">
        <v>0</v>
      </c>
      <c r="Y1076" s="3124"/>
      <c r="Z1076" s="3124"/>
      <c r="AA1076" s="3124"/>
      <c r="AC1076" s="3124"/>
    </row>
    <row r="1077" spans="1:29">
      <c r="A1077" s="3124">
        <v>1076</v>
      </c>
      <c r="B1077" s="3124"/>
      <c r="C1077" s="3124"/>
      <c r="D1077" s="3124"/>
      <c r="F1077" s="3234"/>
      <c r="G1077" s="3124"/>
      <c r="H1077" s="3124"/>
      <c r="I1077" s="3124"/>
      <c r="J1077" s="3124"/>
      <c r="K1077" s="3124"/>
      <c r="L1077" s="3124"/>
      <c r="M1077" s="3124"/>
      <c r="N1077" s="3192"/>
      <c r="O1077" s="3192"/>
      <c r="P1077" s="3192"/>
      <c r="Q1077" s="3192"/>
      <c r="R1077" s="3124" t="s">
        <v>2573</v>
      </c>
      <c r="S1077" s="3124" t="s">
        <v>2574</v>
      </c>
      <c r="T1077" s="3124"/>
      <c r="V1077" s="3124"/>
      <c r="W1077" s="3193"/>
      <c r="X1077" s="3124">
        <v>0</v>
      </c>
      <c r="Y1077" s="3124"/>
      <c r="Z1077" s="3124"/>
      <c r="AA1077" s="3124"/>
      <c r="AC1077" s="3124"/>
    </row>
    <row r="1078" spans="1:29">
      <c r="A1078" s="3124">
        <v>1077</v>
      </c>
      <c r="B1078" s="3124"/>
      <c r="C1078" s="3124"/>
      <c r="D1078" s="3124"/>
      <c r="F1078" s="3234"/>
      <c r="G1078" s="3124"/>
      <c r="H1078" s="3124"/>
      <c r="I1078" s="3124"/>
      <c r="J1078" s="3124"/>
      <c r="K1078" s="3124"/>
      <c r="L1078" s="3124"/>
      <c r="M1078" s="3124"/>
      <c r="N1078" s="3192"/>
      <c r="O1078" s="3192"/>
      <c r="P1078" s="3192"/>
      <c r="Q1078" s="3192"/>
      <c r="R1078" s="3124" t="s">
        <v>2573</v>
      </c>
      <c r="S1078" s="3124" t="s">
        <v>2574</v>
      </c>
      <c r="T1078" s="3124"/>
      <c r="V1078" s="3124"/>
      <c r="W1078" s="3193"/>
      <c r="X1078" s="3124">
        <v>0</v>
      </c>
      <c r="Y1078" s="3124"/>
      <c r="Z1078" s="3124"/>
      <c r="AA1078" s="3124"/>
      <c r="AC1078" s="3124"/>
    </row>
    <row r="1079" spans="1:29">
      <c r="A1079" s="3124">
        <v>1078</v>
      </c>
      <c r="B1079" s="3124"/>
      <c r="C1079" s="3124"/>
      <c r="D1079" s="3124"/>
      <c r="F1079" s="3234"/>
      <c r="G1079" s="3124"/>
      <c r="H1079" s="3124"/>
      <c r="I1079" s="3124"/>
      <c r="J1079" s="3124"/>
      <c r="K1079" s="3124"/>
      <c r="L1079" s="3124"/>
      <c r="M1079" s="3124"/>
      <c r="N1079" s="3192"/>
      <c r="O1079" s="3192"/>
      <c r="P1079" s="3192"/>
      <c r="Q1079" s="3192"/>
      <c r="R1079" s="3124" t="s">
        <v>2573</v>
      </c>
      <c r="S1079" s="3124" t="s">
        <v>2574</v>
      </c>
      <c r="T1079" s="3124"/>
      <c r="V1079" s="3124"/>
      <c r="W1079" s="3193"/>
      <c r="X1079" s="3124">
        <v>0</v>
      </c>
      <c r="Y1079" s="3124"/>
      <c r="Z1079" s="3124"/>
      <c r="AA1079" s="3124"/>
      <c r="AC1079" s="3124"/>
    </row>
    <row r="1080" spans="1:29">
      <c r="A1080" s="3124">
        <v>1079</v>
      </c>
      <c r="B1080" s="3124"/>
      <c r="C1080" s="3124"/>
      <c r="D1080" s="3124"/>
      <c r="F1080" s="3234"/>
      <c r="G1080" s="3124"/>
      <c r="H1080" s="3124"/>
      <c r="I1080" s="3124"/>
      <c r="J1080" s="3124"/>
      <c r="K1080" s="3124"/>
      <c r="L1080" s="3124"/>
      <c r="M1080" s="3124"/>
      <c r="N1080" s="3192"/>
      <c r="O1080" s="3192"/>
      <c r="P1080" s="3192"/>
      <c r="Q1080" s="3192"/>
      <c r="R1080" s="3124" t="s">
        <v>2573</v>
      </c>
      <c r="S1080" s="3124" t="s">
        <v>2574</v>
      </c>
      <c r="T1080" s="3124"/>
      <c r="V1080" s="3124"/>
      <c r="W1080" s="3193"/>
      <c r="X1080" s="3124">
        <v>0</v>
      </c>
      <c r="Y1080" s="3124"/>
      <c r="Z1080" s="3124"/>
      <c r="AA1080" s="3124"/>
      <c r="AC1080" s="3124"/>
    </row>
    <row r="1081" spans="1:29">
      <c r="A1081" s="3124">
        <v>1080</v>
      </c>
      <c r="B1081" s="3124"/>
      <c r="C1081" s="3124"/>
      <c r="D1081" s="3124"/>
      <c r="F1081" s="3234"/>
      <c r="G1081" s="3124"/>
      <c r="H1081" s="3124"/>
      <c r="I1081" s="3124"/>
      <c r="J1081" s="3124"/>
      <c r="K1081" s="3124"/>
      <c r="L1081" s="3124"/>
      <c r="M1081" s="3124"/>
      <c r="N1081" s="3192"/>
      <c r="O1081" s="3192"/>
      <c r="P1081" s="3192"/>
      <c r="Q1081" s="3192"/>
      <c r="R1081" s="3124" t="s">
        <v>2573</v>
      </c>
      <c r="S1081" s="3124" t="s">
        <v>2574</v>
      </c>
      <c r="T1081" s="3124"/>
      <c r="V1081" s="3124"/>
      <c r="W1081" s="3193"/>
      <c r="X1081" s="3124">
        <v>0</v>
      </c>
      <c r="Y1081" s="3124"/>
      <c r="Z1081" s="3124"/>
      <c r="AA1081" s="3124"/>
      <c r="AC1081" s="3124"/>
    </row>
    <row r="1082" spans="1:29">
      <c r="A1082" s="3124">
        <v>1081</v>
      </c>
      <c r="B1082" s="3124"/>
      <c r="C1082" s="3124"/>
      <c r="D1082" s="3124"/>
      <c r="F1082" s="3234"/>
      <c r="G1082" s="3124"/>
      <c r="H1082" s="3124"/>
      <c r="I1082" s="3124"/>
      <c r="J1082" s="3124"/>
      <c r="K1082" s="3124"/>
      <c r="L1082" s="3124"/>
      <c r="M1082" s="3124"/>
      <c r="N1082" s="3192"/>
      <c r="O1082" s="3192"/>
      <c r="P1082" s="3192"/>
      <c r="Q1082" s="3192"/>
      <c r="R1082" s="3124" t="s">
        <v>2573</v>
      </c>
      <c r="S1082" s="3124" t="s">
        <v>2574</v>
      </c>
      <c r="T1082" s="3124"/>
      <c r="V1082" s="3124"/>
      <c r="W1082" s="3193"/>
      <c r="X1082" s="3124">
        <v>0</v>
      </c>
      <c r="Y1082" s="3124"/>
      <c r="Z1082" s="3124"/>
      <c r="AA1082" s="3124"/>
      <c r="AC1082" s="3124"/>
    </row>
    <row r="1083" spans="1:29">
      <c r="A1083" s="3124">
        <v>1082</v>
      </c>
      <c r="B1083" s="3124"/>
      <c r="C1083" s="3124"/>
      <c r="D1083" s="3124"/>
      <c r="F1083" s="3234"/>
      <c r="G1083" s="3124"/>
      <c r="H1083" s="3124"/>
      <c r="I1083" s="3124"/>
      <c r="J1083" s="3124"/>
      <c r="K1083" s="3124"/>
      <c r="L1083" s="3124"/>
      <c r="M1083" s="3124"/>
      <c r="N1083" s="3192"/>
      <c r="O1083" s="3192"/>
      <c r="P1083" s="3192"/>
      <c r="Q1083" s="3192"/>
      <c r="R1083" s="3124" t="s">
        <v>2573</v>
      </c>
      <c r="S1083" s="3124" t="s">
        <v>2574</v>
      </c>
      <c r="T1083" s="3124"/>
      <c r="V1083" s="3124"/>
      <c r="W1083" s="3193"/>
      <c r="X1083" s="3124">
        <v>0</v>
      </c>
      <c r="Y1083" s="3124"/>
      <c r="Z1083" s="3124"/>
      <c r="AA1083" s="3124"/>
      <c r="AC1083" s="3124"/>
    </row>
    <row r="1084" spans="1:29">
      <c r="A1084" s="3124">
        <v>1083</v>
      </c>
      <c r="B1084" s="3124"/>
      <c r="C1084" s="3124"/>
      <c r="D1084" s="3124"/>
      <c r="F1084" s="3234"/>
      <c r="G1084" s="3124"/>
      <c r="H1084" s="3124"/>
      <c r="I1084" s="3124"/>
      <c r="J1084" s="3124"/>
      <c r="K1084" s="3124"/>
      <c r="L1084" s="3124"/>
      <c r="M1084" s="3124"/>
      <c r="N1084" s="3192"/>
      <c r="O1084" s="3192"/>
      <c r="P1084" s="3192"/>
      <c r="Q1084" s="3192"/>
      <c r="R1084" s="3124" t="s">
        <v>2573</v>
      </c>
      <c r="S1084" s="3124" t="s">
        <v>2574</v>
      </c>
      <c r="T1084" s="3124"/>
      <c r="V1084" s="3124"/>
      <c r="W1084" s="3193"/>
      <c r="X1084" s="3124">
        <v>0</v>
      </c>
      <c r="Y1084" s="3124"/>
      <c r="Z1084" s="3124"/>
      <c r="AA1084" s="3124"/>
      <c r="AC1084" s="3124"/>
    </row>
    <row r="1085" spans="1:29">
      <c r="A1085" s="3124">
        <v>1084</v>
      </c>
      <c r="B1085" s="3124"/>
      <c r="C1085" s="3124"/>
      <c r="D1085" s="3124"/>
      <c r="F1085" s="3234"/>
      <c r="G1085" s="3124"/>
      <c r="H1085" s="3124"/>
      <c r="I1085" s="3124"/>
      <c r="J1085" s="3124"/>
      <c r="K1085" s="3124"/>
      <c r="L1085" s="3124"/>
      <c r="M1085" s="3124"/>
      <c r="N1085" s="3192"/>
      <c r="O1085" s="3192"/>
      <c r="P1085" s="3192"/>
      <c r="Q1085" s="3192"/>
      <c r="R1085" s="3124" t="s">
        <v>2573</v>
      </c>
      <c r="S1085" s="3124" t="s">
        <v>2574</v>
      </c>
      <c r="T1085" s="3124"/>
      <c r="V1085" s="3124"/>
      <c r="W1085" s="3193"/>
      <c r="X1085" s="3124">
        <v>0</v>
      </c>
      <c r="Y1085" s="3124"/>
      <c r="Z1085" s="3124"/>
      <c r="AA1085" s="3124"/>
      <c r="AC1085" s="3124"/>
    </row>
    <row r="1086" spans="1:29">
      <c r="A1086" s="3124">
        <v>1085</v>
      </c>
      <c r="B1086" s="3124"/>
      <c r="C1086" s="3124"/>
      <c r="D1086" s="3124"/>
      <c r="F1086" s="3234"/>
      <c r="G1086" s="3124"/>
      <c r="H1086" s="3124"/>
      <c r="I1086" s="3124"/>
      <c r="J1086" s="3124"/>
      <c r="K1086" s="3124"/>
      <c r="L1086" s="3124"/>
      <c r="M1086" s="3124"/>
      <c r="N1086" s="3192"/>
      <c r="O1086" s="3192"/>
      <c r="P1086" s="3192"/>
      <c r="Q1086" s="3192"/>
      <c r="R1086" s="3124" t="s">
        <v>2573</v>
      </c>
      <c r="S1086" s="3124" t="s">
        <v>2574</v>
      </c>
      <c r="T1086" s="3124"/>
      <c r="V1086" s="3124"/>
      <c r="W1086" s="3193"/>
      <c r="X1086" s="3124">
        <v>0</v>
      </c>
      <c r="Y1086" s="3124"/>
      <c r="Z1086" s="3124"/>
      <c r="AA1086" s="3124"/>
      <c r="AC1086" s="3124"/>
    </row>
    <row r="1087" spans="1:29">
      <c r="A1087" s="3124">
        <v>1086</v>
      </c>
      <c r="B1087" s="3124"/>
      <c r="C1087" s="3124"/>
      <c r="D1087" s="3124"/>
      <c r="F1087" s="3234"/>
      <c r="G1087" s="3124"/>
      <c r="H1087" s="3124"/>
      <c r="I1087" s="3124"/>
      <c r="J1087" s="3124"/>
      <c r="K1087" s="3124"/>
      <c r="L1087" s="3124"/>
      <c r="M1087" s="3124"/>
      <c r="N1087" s="3192"/>
      <c r="O1087" s="3192"/>
      <c r="P1087" s="3192"/>
      <c r="Q1087" s="3192"/>
      <c r="R1087" s="3124" t="s">
        <v>2573</v>
      </c>
      <c r="S1087" s="3124" t="s">
        <v>2574</v>
      </c>
      <c r="T1087" s="3124"/>
      <c r="V1087" s="3124"/>
      <c r="W1087" s="3193"/>
      <c r="X1087" s="3124">
        <v>0</v>
      </c>
      <c r="Y1087" s="3124"/>
      <c r="Z1087" s="3124"/>
      <c r="AA1087" s="3124"/>
      <c r="AC1087" s="3124"/>
    </row>
    <row r="1088" spans="1:29">
      <c r="A1088" s="3124">
        <v>1087</v>
      </c>
      <c r="B1088" s="3124"/>
      <c r="C1088" s="3124"/>
      <c r="D1088" s="3124"/>
      <c r="F1088" s="3234"/>
      <c r="G1088" s="3124"/>
      <c r="H1088" s="3124"/>
      <c r="I1088" s="3124"/>
      <c r="J1088" s="3124"/>
      <c r="K1088" s="3124"/>
      <c r="L1088" s="3124"/>
      <c r="M1088" s="3124"/>
      <c r="N1088" s="3192"/>
      <c r="O1088" s="3192"/>
      <c r="P1088" s="3192"/>
      <c r="Q1088" s="3192"/>
      <c r="R1088" s="3124" t="s">
        <v>2573</v>
      </c>
      <c r="S1088" s="3124" t="s">
        <v>2574</v>
      </c>
      <c r="T1088" s="3124"/>
      <c r="V1088" s="3124"/>
      <c r="W1088" s="3193"/>
      <c r="X1088" s="3124">
        <v>0</v>
      </c>
      <c r="Y1088" s="3124"/>
      <c r="Z1088" s="3124"/>
      <c r="AA1088" s="3124"/>
      <c r="AC1088" s="3124"/>
    </row>
    <row r="1089" spans="1:29">
      <c r="A1089" s="3124">
        <v>1088</v>
      </c>
      <c r="B1089" s="3124"/>
      <c r="C1089" s="3124"/>
      <c r="D1089" s="3124"/>
      <c r="F1089" s="3234"/>
      <c r="G1089" s="3124"/>
      <c r="H1089" s="3124"/>
      <c r="I1089" s="3124"/>
      <c r="J1089" s="3124"/>
      <c r="K1089" s="3124"/>
      <c r="L1089" s="3124"/>
      <c r="M1089" s="3124"/>
      <c r="N1089" s="3192"/>
      <c r="O1089" s="3192"/>
      <c r="P1089" s="3192"/>
      <c r="Q1089" s="3192"/>
      <c r="R1089" s="3124" t="s">
        <v>2573</v>
      </c>
      <c r="S1089" s="3124" t="s">
        <v>2574</v>
      </c>
      <c r="T1089" s="3124"/>
      <c r="V1089" s="3124"/>
      <c r="W1089" s="3193"/>
      <c r="X1089" s="3124">
        <v>0</v>
      </c>
      <c r="Y1089" s="3124"/>
      <c r="Z1089" s="3124"/>
      <c r="AA1089" s="3124"/>
      <c r="AC1089" s="3124"/>
    </row>
    <row r="1090" spans="1:29">
      <c r="A1090" s="3124">
        <v>1089</v>
      </c>
      <c r="B1090" s="3124"/>
      <c r="C1090" s="3124"/>
      <c r="D1090" s="3124"/>
      <c r="F1090" s="3234"/>
      <c r="G1090" s="3124"/>
      <c r="H1090" s="3124"/>
      <c r="I1090" s="3124"/>
      <c r="J1090" s="3124"/>
      <c r="K1090" s="3124"/>
      <c r="L1090" s="3124"/>
      <c r="M1090" s="3124"/>
      <c r="N1090" s="3192"/>
      <c r="O1090" s="3192"/>
      <c r="P1090" s="3192"/>
      <c r="Q1090" s="3192"/>
      <c r="R1090" s="3124" t="s">
        <v>2573</v>
      </c>
      <c r="S1090" s="3124" t="s">
        <v>2574</v>
      </c>
      <c r="T1090" s="3124"/>
      <c r="V1090" s="3124"/>
      <c r="W1090" s="3193"/>
      <c r="X1090" s="3124">
        <v>0</v>
      </c>
      <c r="Y1090" s="3124"/>
      <c r="Z1090" s="3124"/>
      <c r="AA1090" s="3124"/>
      <c r="AC1090" s="3124"/>
    </row>
    <row r="1091" spans="1:29">
      <c r="A1091" s="3124">
        <v>1090</v>
      </c>
      <c r="B1091" s="3124"/>
      <c r="C1091" s="3124"/>
      <c r="D1091" s="3124"/>
      <c r="F1091" s="3234"/>
      <c r="G1091" s="3124"/>
      <c r="H1091" s="3124"/>
      <c r="I1091" s="3124"/>
      <c r="J1091" s="3124"/>
      <c r="K1091" s="3124"/>
      <c r="L1091" s="3124"/>
      <c r="M1091" s="3124"/>
      <c r="N1091" s="3192"/>
      <c r="O1091" s="3192"/>
      <c r="P1091" s="3192"/>
      <c r="Q1091" s="3192"/>
      <c r="R1091" s="3124" t="s">
        <v>2573</v>
      </c>
      <c r="S1091" s="3124" t="s">
        <v>2574</v>
      </c>
      <c r="T1091" s="3124"/>
      <c r="V1091" s="3124"/>
      <c r="W1091" s="3193"/>
      <c r="X1091" s="3124">
        <v>0</v>
      </c>
      <c r="Y1091" s="3124"/>
      <c r="Z1091" s="3124"/>
      <c r="AA1091" s="3124"/>
      <c r="AC1091" s="3124"/>
    </row>
    <row r="1092" spans="1:29">
      <c r="A1092" s="3124">
        <v>1091</v>
      </c>
      <c r="B1092" s="3124"/>
      <c r="C1092" s="3124"/>
      <c r="D1092" s="3124"/>
      <c r="F1092" s="3234"/>
      <c r="G1092" s="3124"/>
      <c r="H1092" s="3124"/>
      <c r="I1092" s="3124"/>
      <c r="J1092" s="3124"/>
      <c r="K1092" s="3124"/>
      <c r="L1092" s="3124"/>
      <c r="M1092" s="3124"/>
      <c r="N1092" s="3192"/>
      <c r="O1092" s="3192"/>
      <c r="P1092" s="3192"/>
      <c r="Q1092" s="3192"/>
      <c r="R1092" s="3124" t="s">
        <v>2573</v>
      </c>
      <c r="S1092" s="3124" t="s">
        <v>2574</v>
      </c>
      <c r="T1092" s="3124"/>
      <c r="V1092" s="3124"/>
      <c r="W1092" s="3193"/>
      <c r="X1092" s="3124">
        <v>0</v>
      </c>
      <c r="Y1092" s="3124"/>
      <c r="Z1092" s="3124"/>
      <c r="AA1092" s="3124"/>
      <c r="AC1092" s="3124"/>
    </row>
    <row r="1093" spans="1:29">
      <c r="A1093" s="3124">
        <v>1092</v>
      </c>
      <c r="B1093" s="3124"/>
      <c r="C1093" s="3124"/>
      <c r="D1093" s="3124"/>
      <c r="F1093" s="3234"/>
      <c r="G1093" s="3124"/>
      <c r="H1093" s="3124"/>
      <c r="I1093" s="3124"/>
      <c r="J1093" s="3124"/>
      <c r="K1093" s="3124"/>
      <c r="L1093" s="3124"/>
      <c r="M1093" s="3124"/>
      <c r="N1093" s="3192"/>
      <c r="O1093" s="3192"/>
      <c r="P1093" s="3192"/>
      <c r="Q1093" s="3192"/>
      <c r="R1093" s="3124" t="s">
        <v>2573</v>
      </c>
      <c r="S1093" s="3124" t="s">
        <v>2574</v>
      </c>
      <c r="T1093" s="3124"/>
      <c r="V1093" s="3124"/>
      <c r="W1093" s="3193"/>
      <c r="X1093" s="3124">
        <v>0</v>
      </c>
      <c r="Y1093" s="3124"/>
      <c r="Z1093" s="3124"/>
      <c r="AA1093" s="3124"/>
      <c r="AC1093" s="3124"/>
    </row>
    <row r="1094" spans="1:29">
      <c r="A1094" s="3124">
        <v>1093</v>
      </c>
      <c r="B1094" s="3124"/>
      <c r="C1094" s="3124"/>
      <c r="D1094" s="3124"/>
      <c r="F1094" s="3234"/>
      <c r="G1094" s="3124"/>
      <c r="H1094" s="3124"/>
      <c r="I1094" s="3124"/>
      <c r="J1094" s="3124"/>
      <c r="K1094" s="3124"/>
      <c r="L1094" s="3124"/>
      <c r="M1094" s="3124"/>
      <c r="N1094" s="3192"/>
      <c r="O1094" s="3192"/>
      <c r="P1094" s="3192"/>
      <c r="Q1094" s="3192"/>
      <c r="R1094" s="3124" t="s">
        <v>2573</v>
      </c>
      <c r="S1094" s="3124" t="s">
        <v>2574</v>
      </c>
      <c r="T1094" s="3124"/>
      <c r="V1094" s="3124"/>
      <c r="W1094" s="3193"/>
      <c r="X1094" s="3124">
        <v>0</v>
      </c>
      <c r="Y1094" s="3124"/>
      <c r="Z1094" s="3124"/>
      <c r="AA1094" s="3124"/>
      <c r="AC1094" s="3124"/>
    </row>
    <row r="1095" spans="1:29">
      <c r="A1095" s="3124">
        <v>1094</v>
      </c>
      <c r="B1095" s="3124"/>
      <c r="C1095" s="3124"/>
      <c r="D1095" s="3124"/>
      <c r="F1095" s="3234"/>
      <c r="G1095" s="3124"/>
      <c r="H1095" s="3124"/>
      <c r="I1095" s="3124"/>
      <c r="J1095" s="3124"/>
      <c r="K1095" s="3124"/>
      <c r="L1095" s="3124"/>
      <c r="M1095" s="3124"/>
      <c r="N1095" s="3192"/>
      <c r="O1095" s="3192"/>
      <c r="P1095" s="3192"/>
      <c r="Q1095" s="3192"/>
      <c r="R1095" s="3124" t="s">
        <v>2573</v>
      </c>
      <c r="S1095" s="3124" t="s">
        <v>2574</v>
      </c>
      <c r="T1095" s="3124"/>
      <c r="V1095" s="3124"/>
      <c r="W1095" s="3193"/>
      <c r="X1095" s="3124">
        <v>0</v>
      </c>
      <c r="Y1095" s="3124"/>
      <c r="Z1095" s="3124"/>
      <c r="AA1095" s="3124"/>
      <c r="AC1095" s="3124"/>
    </row>
    <row r="1096" spans="1:29">
      <c r="A1096" s="3124">
        <v>1095</v>
      </c>
      <c r="B1096" s="3124"/>
      <c r="C1096" s="3124"/>
      <c r="D1096" s="3124"/>
      <c r="F1096" s="3234"/>
      <c r="G1096" s="3124"/>
      <c r="H1096" s="3124"/>
      <c r="I1096" s="3124"/>
      <c r="J1096" s="3124"/>
      <c r="K1096" s="3124"/>
      <c r="L1096" s="3124"/>
      <c r="M1096" s="3124"/>
      <c r="N1096" s="3192"/>
      <c r="O1096" s="3192"/>
      <c r="P1096" s="3192"/>
      <c r="Q1096" s="3192"/>
      <c r="R1096" s="3124" t="s">
        <v>2573</v>
      </c>
      <c r="S1096" s="3124" t="s">
        <v>2574</v>
      </c>
      <c r="T1096" s="3124"/>
      <c r="V1096" s="3124"/>
      <c r="W1096" s="3193"/>
      <c r="X1096" s="3124">
        <v>0</v>
      </c>
      <c r="Y1096" s="3124"/>
      <c r="Z1096" s="3124"/>
      <c r="AA1096" s="3124"/>
      <c r="AC1096" s="3124"/>
    </row>
    <row r="1097" spans="1:29">
      <c r="A1097" s="3124">
        <v>1096</v>
      </c>
      <c r="B1097" s="3124"/>
      <c r="C1097" s="3124"/>
      <c r="D1097" s="3124"/>
      <c r="F1097" s="3234"/>
      <c r="G1097" s="3124"/>
      <c r="H1097" s="3124"/>
      <c r="I1097" s="3124"/>
      <c r="J1097" s="3124"/>
      <c r="K1097" s="3124"/>
      <c r="L1097" s="3124"/>
      <c r="M1097" s="3124"/>
      <c r="N1097" s="3192"/>
      <c r="O1097" s="3192"/>
      <c r="P1097" s="3192"/>
      <c r="Q1097" s="3192"/>
      <c r="R1097" s="3124" t="s">
        <v>2573</v>
      </c>
      <c r="S1097" s="3124" t="s">
        <v>2574</v>
      </c>
      <c r="T1097" s="3124"/>
      <c r="V1097" s="3124"/>
      <c r="W1097" s="3193"/>
      <c r="X1097" s="3124">
        <v>0</v>
      </c>
      <c r="Y1097" s="3124"/>
      <c r="Z1097" s="3124"/>
      <c r="AA1097" s="3124"/>
      <c r="AC1097" s="3124"/>
    </row>
    <row r="1098" spans="1:29">
      <c r="A1098" s="3124">
        <v>1097</v>
      </c>
      <c r="B1098" s="3124"/>
      <c r="C1098" s="3124"/>
      <c r="D1098" s="3124"/>
      <c r="F1098" s="3234"/>
      <c r="G1098" s="3124"/>
      <c r="H1098" s="3124"/>
      <c r="I1098" s="3124"/>
      <c r="J1098" s="3124"/>
      <c r="K1098" s="3124"/>
      <c r="L1098" s="3124"/>
      <c r="M1098" s="3124"/>
      <c r="N1098" s="3192"/>
      <c r="O1098" s="3192"/>
      <c r="P1098" s="3192"/>
      <c r="Q1098" s="3192"/>
      <c r="R1098" s="3124" t="s">
        <v>2573</v>
      </c>
      <c r="S1098" s="3124" t="s">
        <v>2574</v>
      </c>
      <c r="T1098" s="3124"/>
      <c r="V1098" s="3124"/>
      <c r="W1098" s="3193"/>
      <c r="X1098" s="3124">
        <v>0</v>
      </c>
      <c r="Y1098" s="3124"/>
      <c r="Z1098" s="3124"/>
      <c r="AA1098" s="3124"/>
      <c r="AC1098" s="3124"/>
    </row>
    <row r="1099" spans="1:29">
      <c r="A1099" s="3124">
        <v>1098</v>
      </c>
      <c r="B1099" s="3124"/>
      <c r="C1099" s="3124"/>
      <c r="D1099" s="3124"/>
      <c r="F1099" s="3234"/>
      <c r="G1099" s="3124"/>
      <c r="H1099" s="3124"/>
      <c r="I1099" s="3124"/>
      <c r="J1099" s="3124"/>
      <c r="K1099" s="3124"/>
      <c r="L1099" s="3124"/>
      <c r="M1099" s="3124"/>
      <c r="N1099" s="3192"/>
      <c r="O1099" s="3192"/>
      <c r="P1099" s="3192"/>
      <c r="Q1099" s="3192"/>
      <c r="R1099" s="3124" t="s">
        <v>2573</v>
      </c>
      <c r="S1099" s="3124" t="s">
        <v>2574</v>
      </c>
      <c r="T1099" s="3124"/>
      <c r="V1099" s="3124"/>
      <c r="W1099" s="3193"/>
      <c r="X1099" s="3124">
        <v>0</v>
      </c>
      <c r="Y1099" s="3124"/>
      <c r="Z1099" s="3124"/>
      <c r="AA1099" s="3124"/>
      <c r="AC1099" s="3124"/>
    </row>
    <row r="1100" spans="1:29">
      <c r="A1100" s="3124">
        <v>1099</v>
      </c>
      <c r="B1100" s="3124"/>
      <c r="C1100" s="3124"/>
      <c r="D1100" s="3124"/>
      <c r="F1100" s="3234"/>
      <c r="G1100" s="3124"/>
      <c r="H1100" s="3124"/>
      <c r="I1100" s="3124"/>
      <c r="J1100" s="3124"/>
      <c r="K1100" s="3124"/>
      <c r="L1100" s="3124"/>
      <c r="M1100" s="3124"/>
      <c r="N1100" s="3192"/>
      <c r="O1100" s="3192"/>
      <c r="P1100" s="3192"/>
      <c r="Q1100" s="3192"/>
      <c r="R1100" s="3124" t="s">
        <v>2573</v>
      </c>
      <c r="S1100" s="3124" t="s">
        <v>2574</v>
      </c>
      <c r="T1100" s="3124"/>
      <c r="V1100" s="3124"/>
      <c r="W1100" s="3193"/>
      <c r="X1100" s="3124">
        <v>0</v>
      </c>
      <c r="Y1100" s="3124"/>
      <c r="Z1100" s="3124"/>
      <c r="AA1100" s="3124"/>
      <c r="AC1100" s="3124"/>
    </row>
    <row r="1101" spans="1:29">
      <c r="A1101" s="3124">
        <v>1100</v>
      </c>
      <c r="B1101" s="3124"/>
      <c r="C1101" s="3124"/>
      <c r="D1101" s="3124"/>
      <c r="F1101" s="3234"/>
      <c r="G1101" s="3124"/>
      <c r="H1101" s="3124"/>
      <c r="I1101" s="3124"/>
      <c r="J1101" s="3124"/>
      <c r="K1101" s="3124"/>
      <c r="L1101" s="3124"/>
      <c r="M1101" s="3124"/>
      <c r="N1101" s="3192"/>
      <c r="O1101" s="3192"/>
      <c r="P1101" s="3192"/>
      <c r="Q1101" s="3192"/>
      <c r="R1101" s="3124" t="s">
        <v>2573</v>
      </c>
      <c r="S1101" s="3124" t="s">
        <v>2574</v>
      </c>
      <c r="T1101" s="3124"/>
      <c r="V1101" s="3124"/>
      <c r="W1101" s="3193"/>
      <c r="X1101" s="3124">
        <v>0</v>
      </c>
      <c r="Y1101" s="3124"/>
      <c r="Z1101" s="3124"/>
      <c r="AA1101" s="3124"/>
      <c r="AC1101" s="3124"/>
    </row>
    <row r="1102" spans="1:29">
      <c r="A1102" s="3124">
        <v>1101</v>
      </c>
      <c r="B1102" s="3124"/>
      <c r="C1102" s="3124"/>
      <c r="D1102" s="3124"/>
      <c r="F1102" s="3234"/>
      <c r="G1102" s="3124"/>
      <c r="H1102" s="3124"/>
      <c r="I1102" s="3124"/>
      <c r="J1102" s="3124"/>
      <c r="K1102" s="3124"/>
      <c r="L1102" s="3124"/>
      <c r="M1102" s="3124"/>
      <c r="N1102" s="3192"/>
      <c r="O1102" s="3192"/>
      <c r="P1102" s="3192"/>
      <c r="Q1102" s="3192"/>
      <c r="R1102" s="3124" t="s">
        <v>2573</v>
      </c>
      <c r="S1102" s="3124" t="s">
        <v>2574</v>
      </c>
      <c r="T1102" s="3124"/>
      <c r="V1102" s="3124"/>
      <c r="W1102" s="3193"/>
      <c r="X1102" s="3124">
        <v>0</v>
      </c>
      <c r="Y1102" s="3124"/>
      <c r="Z1102" s="3124"/>
      <c r="AA1102" s="3124"/>
      <c r="AC1102" s="3124"/>
    </row>
    <row r="1103" spans="1:29">
      <c r="A1103" s="3124">
        <v>1102</v>
      </c>
      <c r="B1103" s="3124"/>
      <c r="C1103" s="3124"/>
      <c r="D1103" s="3124"/>
      <c r="F1103" s="3234"/>
      <c r="G1103" s="3124"/>
      <c r="H1103" s="3124"/>
      <c r="I1103" s="3124"/>
      <c r="J1103" s="3124"/>
      <c r="K1103" s="3124"/>
      <c r="L1103" s="3124"/>
      <c r="M1103" s="3124"/>
      <c r="N1103" s="3192"/>
      <c r="O1103" s="3192"/>
      <c r="P1103" s="3192"/>
      <c r="Q1103" s="3192"/>
      <c r="R1103" s="3124" t="s">
        <v>2573</v>
      </c>
      <c r="S1103" s="3124" t="s">
        <v>2574</v>
      </c>
      <c r="T1103" s="3124"/>
      <c r="V1103" s="3124"/>
      <c r="W1103" s="3193"/>
      <c r="X1103" s="3124">
        <v>0</v>
      </c>
      <c r="Y1103" s="3124"/>
      <c r="Z1103" s="3124"/>
      <c r="AA1103" s="3124"/>
      <c r="AC1103" s="3124"/>
    </row>
    <row r="1104" spans="1:29">
      <c r="A1104" s="3124">
        <v>1103</v>
      </c>
      <c r="B1104" s="3124"/>
      <c r="C1104" s="3124"/>
      <c r="D1104" s="3124"/>
      <c r="F1104" s="3234"/>
      <c r="G1104" s="3124"/>
      <c r="H1104" s="3124"/>
      <c r="I1104" s="3124"/>
      <c r="J1104" s="3124"/>
      <c r="K1104" s="3124"/>
      <c r="L1104" s="3124"/>
      <c r="M1104" s="3124"/>
      <c r="N1104" s="3192"/>
      <c r="O1104" s="3192"/>
      <c r="P1104" s="3192"/>
      <c r="Q1104" s="3192"/>
      <c r="R1104" s="3124" t="s">
        <v>2573</v>
      </c>
      <c r="S1104" s="3124" t="s">
        <v>2574</v>
      </c>
      <c r="T1104" s="3124"/>
      <c r="V1104" s="3124"/>
      <c r="W1104" s="3193"/>
      <c r="X1104" s="3124">
        <v>0</v>
      </c>
      <c r="Y1104" s="3124"/>
      <c r="Z1104" s="3124"/>
      <c r="AA1104" s="3124"/>
      <c r="AC1104" s="3124"/>
    </row>
    <row r="1105" spans="1:29">
      <c r="A1105" s="3124">
        <v>1104</v>
      </c>
      <c r="B1105" s="3124"/>
      <c r="C1105" s="3124"/>
      <c r="D1105" s="3124"/>
      <c r="F1105" s="3234"/>
      <c r="G1105" s="3124"/>
      <c r="H1105" s="3124"/>
      <c r="I1105" s="3124"/>
      <c r="J1105" s="3124"/>
      <c r="K1105" s="3124"/>
      <c r="L1105" s="3124"/>
      <c r="M1105" s="3124"/>
      <c r="N1105" s="3192"/>
      <c r="O1105" s="3192"/>
      <c r="P1105" s="3192"/>
      <c r="Q1105" s="3192"/>
      <c r="R1105" s="3124" t="s">
        <v>2573</v>
      </c>
      <c r="S1105" s="3124" t="s">
        <v>2574</v>
      </c>
      <c r="T1105" s="3124"/>
      <c r="V1105" s="3124"/>
      <c r="W1105" s="3193"/>
      <c r="X1105" s="3124">
        <v>0</v>
      </c>
      <c r="Y1105" s="3124"/>
      <c r="Z1105" s="3124"/>
      <c r="AA1105" s="3124"/>
      <c r="AC1105" s="3124"/>
    </row>
    <row r="1106" spans="1:29">
      <c r="A1106" s="3124">
        <v>1105</v>
      </c>
      <c r="B1106" s="3124"/>
      <c r="C1106" s="3124"/>
      <c r="D1106" s="3124"/>
      <c r="F1106" s="3234"/>
      <c r="G1106" s="3124"/>
      <c r="H1106" s="3124"/>
      <c r="I1106" s="3124"/>
      <c r="J1106" s="3124"/>
      <c r="K1106" s="3124"/>
      <c r="L1106" s="3124"/>
      <c r="M1106" s="3124"/>
      <c r="N1106" s="3192"/>
      <c r="O1106" s="3192"/>
      <c r="P1106" s="3192"/>
      <c r="Q1106" s="3192"/>
      <c r="R1106" s="3124" t="s">
        <v>2573</v>
      </c>
      <c r="S1106" s="3124" t="s">
        <v>2574</v>
      </c>
      <c r="T1106" s="3124"/>
      <c r="V1106" s="3124"/>
      <c r="W1106" s="3193"/>
      <c r="X1106" s="3124">
        <v>0</v>
      </c>
      <c r="Y1106" s="3124"/>
      <c r="Z1106" s="3124"/>
      <c r="AA1106" s="3124"/>
      <c r="AC1106" s="3124"/>
    </row>
    <row r="1107" spans="1:29">
      <c r="A1107" s="3124">
        <v>1106</v>
      </c>
      <c r="B1107" s="3124"/>
      <c r="C1107" s="3124"/>
      <c r="D1107" s="3124"/>
      <c r="F1107" s="3234"/>
      <c r="G1107" s="3124"/>
      <c r="H1107" s="3124"/>
      <c r="I1107" s="3124"/>
      <c r="J1107" s="3124"/>
      <c r="K1107" s="3124"/>
      <c r="L1107" s="3124"/>
      <c r="M1107" s="3124"/>
      <c r="N1107" s="3192"/>
      <c r="O1107" s="3192"/>
      <c r="P1107" s="3192"/>
      <c r="Q1107" s="3192"/>
      <c r="R1107" s="3124" t="s">
        <v>2573</v>
      </c>
      <c r="S1107" s="3124" t="s">
        <v>2574</v>
      </c>
      <c r="T1107" s="3124"/>
      <c r="V1107" s="3124"/>
      <c r="W1107" s="3193"/>
      <c r="X1107" s="3124">
        <v>0</v>
      </c>
      <c r="Y1107" s="3124"/>
      <c r="Z1107" s="3124"/>
      <c r="AA1107" s="3124"/>
      <c r="AC1107" s="3124"/>
    </row>
    <row r="1108" spans="1:29">
      <c r="A1108" s="3124">
        <v>1107</v>
      </c>
      <c r="B1108" s="3124"/>
      <c r="C1108" s="3124"/>
      <c r="D1108" s="3124"/>
      <c r="F1108" s="3234"/>
      <c r="G1108" s="3124"/>
      <c r="H1108" s="3124"/>
      <c r="I1108" s="3124"/>
      <c r="J1108" s="3124"/>
      <c r="K1108" s="3124"/>
      <c r="L1108" s="3124"/>
      <c r="M1108" s="3124"/>
      <c r="N1108" s="3192"/>
      <c r="O1108" s="3192"/>
      <c r="P1108" s="3192"/>
      <c r="Q1108" s="3192"/>
      <c r="R1108" s="3124" t="s">
        <v>2573</v>
      </c>
      <c r="S1108" s="3124" t="s">
        <v>2574</v>
      </c>
      <c r="T1108" s="3124"/>
      <c r="V1108" s="3124"/>
      <c r="W1108" s="3193"/>
      <c r="X1108" s="3124">
        <v>0</v>
      </c>
      <c r="Y1108" s="3124"/>
      <c r="Z1108" s="3124"/>
      <c r="AA1108" s="3124"/>
      <c r="AC1108" s="3124"/>
    </row>
    <row r="1109" spans="1:29">
      <c r="A1109" s="3124">
        <v>1108</v>
      </c>
      <c r="B1109" s="3124"/>
      <c r="C1109" s="3124"/>
      <c r="D1109" s="3124"/>
      <c r="F1109" s="3234"/>
      <c r="G1109" s="3124"/>
      <c r="H1109" s="3124"/>
      <c r="I1109" s="3124"/>
      <c r="J1109" s="3124"/>
      <c r="K1109" s="3124"/>
      <c r="L1109" s="3124"/>
      <c r="M1109" s="3124"/>
      <c r="N1109" s="3192"/>
      <c r="O1109" s="3192"/>
      <c r="P1109" s="3192"/>
      <c r="Q1109" s="3192"/>
      <c r="R1109" s="3124" t="s">
        <v>2573</v>
      </c>
      <c r="S1109" s="3124" t="s">
        <v>2574</v>
      </c>
      <c r="T1109" s="3124"/>
      <c r="V1109" s="3124"/>
      <c r="W1109" s="3193"/>
      <c r="X1109" s="3124">
        <v>0</v>
      </c>
      <c r="Y1109" s="3124"/>
      <c r="Z1109" s="3124"/>
      <c r="AA1109" s="3124"/>
      <c r="AC1109" s="3124"/>
    </row>
    <row r="1110" spans="1:29">
      <c r="A1110" s="3124">
        <v>1109</v>
      </c>
      <c r="B1110" s="3124"/>
      <c r="C1110" s="3124"/>
      <c r="D1110" s="3124"/>
      <c r="F1110" s="3234"/>
      <c r="G1110" s="3124"/>
      <c r="H1110" s="3124"/>
      <c r="I1110" s="3124"/>
      <c r="J1110" s="3124"/>
      <c r="K1110" s="3124"/>
      <c r="L1110" s="3124"/>
      <c r="M1110" s="3124"/>
      <c r="N1110" s="3192"/>
      <c r="O1110" s="3192"/>
      <c r="P1110" s="3192"/>
      <c r="Q1110" s="3192"/>
      <c r="R1110" s="3124" t="s">
        <v>2573</v>
      </c>
      <c r="S1110" s="3124" t="s">
        <v>2574</v>
      </c>
      <c r="T1110" s="3124"/>
      <c r="V1110" s="3124"/>
      <c r="W1110" s="3193"/>
      <c r="X1110" s="3124">
        <v>0</v>
      </c>
      <c r="Y1110" s="3124"/>
      <c r="Z1110" s="3124"/>
      <c r="AA1110" s="3124"/>
      <c r="AC1110" s="3124"/>
    </row>
    <row r="1111" spans="1:29">
      <c r="A1111" s="3124">
        <v>1110</v>
      </c>
      <c r="B1111" s="3124"/>
      <c r="C1111" s="3124"/>
      <c r="D1111" s="3124"/>
      <c r="F1111" s="3234"/>
      <c r="G1111" s="3124"/>
      <c r="H1111" s="3124"/>
      <c r="I1111" s="3124"/>
      <c r="J1111" s="3124"/>
      <c r="K1111" s="3124"/>
      <c r="L1111" s="3124"/>
      <c r="M1111" s="3124"/>
      <c r="N1111" s="3192"/>
      <c r="O1111" s="3192"/>
      <c r="P1111" s="3192"/>
      <c r="Q1111" s="3192"/>
      <c r="R1111" s="3124" t="s">
        <v>2573</v>
      </c>
      <c r="S1111" s="3124" t="s">
        <v>2574</v>
      </c>
      <c r="T1111" s="3124"/>
      <c r="V1111" s="3124"/>
      <c r="W1111" s="3193"/>
      <c r="X1111" s="3124">
        <v>0</v>
      </c>
      <c r="Y1111" s="3124"/>
      <c r="Z1111" s="3124"/>
      <c r="AA1111" s="3124"/>
      <c r="AC1111" s="3124"/>
    </row>
    <row r="1112" spans="1:29">
      <c r="A1112" s="3124">
        <v>1111</v>
      </c>
      <c r="B1112" s="3124"/>
      <c r="C1112" s="3124"/>
      <c r="D1112" s="3124"/>
      <c r="F1112" s="3234"/>
      <c r="G1112" s="3124"/>
      <c r="H1112" s="3124"/>
      <c r="I1112" s="3124"/>
      <c r="J1112" s="3124"/>
      <c r="K1112" s="3124"/>
      <c r="L1112" s="3124"/>
      <c r="M1112" s="3124"/>
      <c r="N1112" s="3192"/>
      <c r="O1112" s="3192"/>
      <c r="P1112" s="3192"/>
      <c r="Q1112" s="3192"/>
      <c r="R1112" s="3124" t="s">
        <v>2573</v>
      </c>
      <c r="S1112" s="3124" t="s">
        <v>2574</v>
      </c>
      <c r="T1112" s="3124"/>
      <c r="V1112" s="3124"/>
      <c r="W1112" s="3193"/>
      <c r="X1112" s="3124">
        <v>0</v>
      </c>
      <c r="Y1112" s="3124"/>
      <c r="Z1112" s="3124"/>
      <c r="AA1112" s="3124"/>
      <c r="AC1112" s="3124"/>
    </row>
    <row r="1113" spans="1:29">
      <c r="A1113" s="3124">
        <v>1112</v>
      </c>
      <c r="B1113" s="3124"/>
      <c r="C1113" s="3124"/>
      <c r="D1113" s="3124"/>
      <c r="F1113" s="3234"/>
      <c r="G1113" s="3124"/>
      <c r="H1113" s="3124"/>
      <c r="I1113" s="3124"/>
      <c r="J1113" s="3124"/>
      <c r="K1113" s="3124"/>
      <c r="L1113" s="3124"/>
      <c r="M1113" s="3124"/>
      <c r="N1113" s="3192"/>
      <c r="O1113" s="3192"/>
      <c r="P1113" s="3192"/>
      <c r="Q1113" s="3192"/>
      <c r="R1113" s="3124" t="s">
        <v>2573</v>
      </c>
      <c r="S1113" s="3124" t="s">
        <v>2574</v>
      </c>
      <c r="T1113" s="3124"/>
      <c r="V1113" s="3124"/>
      <c r="W1113" s="3193"/>
      <c r="X1113" s="3124">
        <v>0</v>
      </c>
      <c r="Y1113" s="3124"/>
      <c r="Z1113" s="3124"/>
      <c r="AA1113" s="3124"/>
      <c r="AC1113" s="3124"/>
    </row>
    <row r="1114" spans="1:29">
      <c r="A1114" s="3124">
        <v>1113</v>
      </c>
      <c r="B1114" s="3124"/>
      <c r="C1114" s="3124"/>
      <c r="D1114" s="3124"/>
      <c r="F1114" s="3234"/>
      <c r="G1114" s="3124"/>
      <c r="H1114" s="3124"/>
      <c r="I1114" s="3124"/>
      <c r="J1114" s="3124"/>
      <c r="K1114" s="3124"/>
      <c r="L1114" s="3124"/>
      <c r="M1114" s="3124"/>
      <c r="N1114" s="3192"/>
      <c r="O1114" s="3192"/>
      <c r="P1114" s="3192"/>
      <c r="Q1114" s="3192"/>
      <c r="R1114" s="3124" t="s">
        <v>2573</v>
      </c>
      <c r="S1114" s="3124" t="s">
        <v>2574</v>
      </c>
      <c r="T1114" s="3124"/>
      <c r="V1114" s="3124"/>
      <c r="W1114" s="3193"/>
      <c r="X1114" s="3124">
        <v>0</v>
      </c>
      <c r="Y1114" s="3124"/>
      <c r="Z1114" s="3124"/>
      <c r="AA1114" s="3124"/>
      <c r="AC1114" s="3124"/>
    </row>
    <row r="1115" spans="1:29">
      <c r="A1115" s="3124">
        <v>1114</v>
      </c>
      <c r="B1115" s="3124"/>
      <c r="C1115" s="3124"/>
      <c r="D1115" s="3124"/>
      <c r="F1115" s="3234"/>
      <c r="G1115" s="3124"/>
      <c r="H1115" s="3124"/>
      <c r="I1115" s="3124"/>
      <c r="J1115" s="3124"/>
      <c r="K1115" s="3124"/>
      <c r="L1115" s="3124"/>
      <c r="M1115" s="3124"/>
      <c r="N1115" s="3192"/>
      <c r="O1115" s="3192"/>
      <c r="P1115" s="3192"/>
      <c r="Q1115" s="3192"/>
      <c r="R1115" s="3124" t="s">
        <v>2573</v>
      </c>
      <c r="S1115" s="3124" t="s">
        <v>2574</v>
      </c>
      <c r="T1115" s="3124"/>
      <c r="V1115" s="3124"/>
      <c r="W1115" s="3193"/>
      <c r="X1115" s="3124">
        <v>0</v>
      </c>
      <c r="Y1115" s="3124"/>
      <c r="Z1115" s="3124"/>
      <c r="AA1115" s="3124"/>
      <c r="AC1115" s="3124"/>
    </row>
    <row r="1116" spans="1:29">
      <c r="A1116" s="3124">
        <v>1115</v>
      </c>
      <c r="B1116" s="3124"/>
      <c r="C1116" s="3124"/>
      <c r="D1116" s="3124"/>
      <c r="F1116" s="3234"/>
      <c r="G1116" s="3124"/>
      <c r="H1116" s="3124"/>
      <c r="I1116" s="3124"/>
      <c r="J1116" s="3124"/>
      <c r="K1116" s="3124"/>
      <c r="L1116" s="3124"/>
      <c r="M1116" s="3124"/>
      <c r="N1116" s="3192"/>
      <c r="O1116" s="3192"/>
      <c r="P1116" s="3192"/>
      <c r="Q1116" s="3192"/>
      <c r="R1116" s="3124" t="s">
        <v>2573</v>
      </c>
      <c r="S1116" s="3124" t="s">
        <v>2574</v>
      </c>
      <c r="T1116" s="3124"/>
      <c r="V1116" s="3124"/>
      <c r="W1116" s="3193"/>
      <c r="X1116" s="3124">
        <v>0</v>
      </c>
      <c r="Y1116" s="3124"/>
      <c r="Z1116" s="3124"/>
      <c r="AA1116" s="3124"/>
      <c r="AC1116" s="3124"/>
    </row>
    <row r="1117" spans="1:29">
      <c r="A1117" s="3124">
        <v>1116</v>
      </c>
      <c r="B1117" s="3124"/>
      <c r="C1117" s="3124"/>
      <c r="D1117" s="3124"/>
      <c r="F1117" s="3234"/>
      <c r="G1117" s="3124"/>
      <c r="H1117" s="3124"/>
      <c r="I1117" s="3124"/>
      <c r="J1117" s="3124"/>
      <c r="K1117" s="3124"/>
      <c r="L1117" s="3124"/>
      <c r="M1117" s="3124"/>
      <c r="N1117" s="3192"/>
      <c r="O1117" s="3192"/>
      <c r="P1117" s="3192"/>
      <c r="Q1117" s="3192"/>
      <c r="R1117" s="3124" t="s">
        <v>2573</v>
      </c>
      <c r="S1117" s="3124" t="s">
        <v>2574</v>
      </c>
      <c r="T1117" s="3124"/>
      <c r="V1117" s="3124"/>
      <c r="W1117" s="3193"/>
      <c r="X1117" s="3124">
        <v>0</v>
      </c>
      <c r="Y1117" s="3124"/>
      <c r="Z1117" s="3124"/>
      <c r="AA1117" s="3124"/>
      <c r="AC1117" s="3124"/>
    </row>
    <row r="1118" spans="1:29">
      <c r="A1118" s="3124">
        <v>1117</v>
      </c>
      <c r="B1118" s="3124"/>
      <c r="C1118" s="3124"/>
      <c r="D1118" s="3124"/>
      <c r="F1118" s="3234"/>
      <c r="G1118" s="3124"/>
      <c r="H1118" s="3124"/>
      <c r="I1118" s="3124"/>
      <c r="J1118" s="3124"/>
      <c r="K1118" s="3124"/>
      <c r="L1118" s="3124"/>
      <c r="M1118" s="3124"/>
      <c r="N1118" s="3192"/>
      <c r="O1118" s="3192"/>
      <c r="P1118" s="3192"/>
      <c r="Q1118" s="3192"/>
      <c r="R1118" s="3124" t="s">
        <v>2573</v>
      </c>
      <c r="S1118" s="3124" t="s">
        <v>2574</v>
      </c>
      <c r="T1118" s="3124"/>
      <c r="V1118" s="3124"/>
      <c r="W1118" s="3193"/>
      <c r="X1118" s="3124">
        <v>0</v>
      </c>
      <c r="Y1118" s="3124"/>
      <c r="Z1118" s="3124"/>
      <c r="AA1118" s="3124"/>
      <c r="AC1118" s="3124"/>
    </row>
    <row r="1119" spans="1:29">
      <c r="A1119" s="3124">
        <v>1118</v>
      </c>
      <c r="B1119" s="3124"/>
      <c r="C1119" s="3124"/>
      <c r="D1119" s="3124"/>
      <c r="F1119" s="3234"/>
      <c r="G1119" s="3124"/>
      <c r="H1119" s="3124"/>
      <c r="I1119" s="3124"/>
      <c r="J1119" s="3124"/>
      <c r="K1119" s="3124"/>
      <c r="L1119" s="3124"/>
      <c r="M1119" s="3124"/>
      <c r="N1119" s="3192"/>
      <c r="O1119" s="3192"/>
      <c r="P1119" s="3192"/>
      <c r="Q1119" s="3192"/>
      <c r="R1119" s="3124" t="s">
        <v>2573</v>
      </c>
      <c r="S1119" s="3124" t="s">
        <v>2574</v>
      </c>
      <c r="T1119" s="3124"/>
      <c r="V1119" s="3124"/>
      <c r="W1119" s="3193"/>
      <c r="X1119" s="3124">
        <v>0</v>
      </c>
      <c r="Y1119" s="3124"/>
      <c r="Z1119" s="3124"/>
      <c r="AA1119" s="3124"/>
      <c r="AC1119" s="3124"/>
    </row>
    <row r="1120" spans="1:29">
      <c r="A1120" s="3124">
        <v>1119</v>
      </c>
      <c r="B1120" s="3124"/>
      <c r="C1120" s="3124"/>
      <c r="D1120" s="3124"/>
      <c r="F1120" s="3234"/>
      <c r="G1120" s="3124"/>
      <c r="H1120" s="3124"/>
      <c r="I1120" s="3124"/>
      <c r="J1120" s="3124"/>
      <c r="K1120" s="3124"/>
      <c r="L1120" s="3124"/>
      <c r="M1120" s="3124"/>
      <c r="N1120" s="3192"/>
      <c r="O1120" s="3192"/>
      <c r="P1120" s="3192"/>
      <c r="Q1120" s="3192"/>
      <c r="R1120" s="3124" t="s">
        <v>2573</v>
      </c>
      <c r="S1120" s="3124" t="s">
        <v>2574</v>
      </c>
      <c r="T1120" s="3124"/>
      <c r="V1120" s="3124"/>
      <c r="W1120" s="3193"/>
      <c r="X1120" s="3124">
        <v>0</v>
      </c>
      <c r="Y1120" s="3124"/>
      <c r="Z1120" s="3124"/>
      <c r="AA1120" s="3124"/>
      <c r="AC1120" s="3124"/>
    </row>
    <row r="1121" spans="1:29">
      <c r="A1121" s="3124">
        <v>1120</v>
      </c>
      <c r="B1121" s="3124"/>
      <c r="C1121" s="3124"/>
      <c r="D1121" s="3124"/>
      <c r="F1121" s="3234"/>
      <c r="G1121" s="3124"/>
      <c r="H1121" s="3124"/>
      <c r="I1121" s="3124"/>
      <c r="J1121" s="3124"/>
      <c r="K1121" s="3124"/>
      <c r="L1121" s="3124"/>
      <c r="M1121" s="3124"/>
      <c r="N1121" s="3192"/>
      <c r="O1121" s="3192"/>
      <c r="P1121" s="3192"/>
      <c r="Q1121" s="3192"/>
      <c r="R1121" s="3124" t="s">
        <v>2573</v>
      </c>
      <c r="S1121" s="3124" t="s">
        <v>2574</v>
      </c>
      <c r="T1121" s="3124"/>
      <c r="V1121" s="3124"/>
      <c r="W1121" s="3193"/>
      <c r="X1121" s="3124">
        <v>0</v>
      </c>
      <c r="Y1121" s="3124"/>
      <c r="Z1121" s="3124"/>
      <c r="AA1121" s="3124"/>
      <c r="AC1121" s="3124"/>
    </row>
    <row r="1122" spans="1:29">
      <c r="A1122" s="3124">
        <v>1121</v>
      </c>
      <c r="B1122" s="3124"/>
      <c r="C1122" s="3124"/>
      <c r="D1122" s="3124"/>
      <c r="F1122" s="3234"/>
      <c r="G1122" s="3124"/>
      <c r="H1122" s="3124"/>
      <c r="I1122" s="3124"/>
      <c r="J1122" s="3124"/>
      <c r="K1122" s="3124"/>
      <c r="L1122" s="3124"/>
      <c r="M1122" s="3124"/>
      <c r="N1122" s="3192"/>
      <c r="O1122" s="3192"/>
      <c r="P1122" s="3192"/>
      <c r="Q1122" s="3192"/>
      <c r="R1122" s="3124" t="s">
        <v>2573</v>
      </c>
      <c r="S1122" s="3124" t="s">
        <v>2574</v>
      </c>
      <c r="T1122" s="3124"/>
      <c r="V1122" s="3124"/>
      <c r="W1122" s="3193"/>
      <c r="X1122" s="3124">
        <v>0</v>
      </c>
      <c r="Y1122" s="3124"/>
      <c r="Z1122" s="3124"/>
      <c r="AA1122" s="3124"/>
      <c r="AC1122" s="3124"/>
    </row>
    <row r="1123" spans="1:29">
      <c r="A1123" s="3124">
        <v>1122</v>
      </c>
      <c r="B1123" s="3124"/>
      <c r="C1123" s="3124"/>
      <c r="D1123" s="3124"/>
      <c r="F1123" s="3234"/>
      <c r="G1123" s="3124"/>
      <c r="H1123" s="3124"/>
      <c r="I1123" s="3124"/>
      <c r="J1123" s="3124"/>
      <c r="K1123" s="3124"/>
      <c r="L1123" s="3124"/>
      <c r="M1123" s="3124"/>
      <c r="N1123" s="3192"/>
      <c r="O1123" s="3192"/>
      <c r="P1123" s="3192"/>
      <c r="Q1123" s="3192"/>
      <c r="R1123" s="3124" t="s">
        <v>2573</v>
      </c>
      <c r="S1123" s="3124" t="s">
        <v>2574</v>
      </c>
      <c r="T1123" s="3124"/>
      <c r="V1123" s="3124"/>
      <c r="W1123" s="3193"/>
      <c r="X1123" s="3124">
        <v>0</v>
      </c>
      <c r="Y1123" s="3124"/>
      <c r="Z1123" s="3124"/>
      <c r="AA1123" s="3124"/>
      <c r="AC1123" s="3124"/>
    </row>
    <row r="1124" spans="1:29">
      <c r="A1124" s="3124">
        <v>1123</v>
      </c>
      <c r="B1124" s="3124"/>
      <c r="C1124" s="3124"/>
      <c r="D1124" s="3124"/>
      <c r="F1124" s="3234"/>
      <c r="G1124" s="3124"/>
      <c r="H1124" s="3124"/>
      <c r="I1124" s="3124"/>
      <c r="J1124" s="3124"/>
      <c r="K1124" s="3124"/>
      <c r="L1124" s="3124"/>
      <c r="M1124" s="3124"/>
      <c r="N1124" s="3192"/>
      <c r="O1124" s="3192"/>
      <c r="P1124" s="3192"/>
      <c r="Q1124" s="3192"/>
      <c r="R1124" s="3124" t="s">
        <v>2573</v>
      </c>
      <c r="S1124" s="3124" t="s">
        <v>2574</v>
      </c>
      <c r="T1124" s="3124"/>
      <c r="V1124" s="3124"/>
      <c r="W1124" s="3193"/>
      <c r="X1124" s="3124">
        <v>0</v>
      </c>
      <c r="Y1124" s="3124"/>
      <c r="Z1124" s="3124"/>
      <c r="AA1124" s="3124"/>
      <c r="AC1124" s="3124"/>
    </row>
    <row r="1125" spans="1:29">
      <c r="A1125" s="3124">
        <v>1124</v>
      </c>
      <c r="B1125" s="3124"/>
      <c r="C1125" s="3124"/>
      <c r="D1125" s="3124"/>
      <c r="F1125" s="3234"/>
      <c r="G1125" s="3124"/>
      <c r="H1125" s="3124"/>
      <c r="I1125" s="3124"/>
      <c r="J1125" s="3124"/>
      <c r="K1125" s="3124"/>
      <c r="L1125" s="3124"/>
      <c r="M1125" s="3124"/>
      <c r="N1125" s="3192"/>
      <c r="O1125" s="3192"/>
      <c r="P1125" s="3192"/>
      <c r="Q1125" s="3192"/>
      <c r="R1125" s="3124" t="s">
        <v>2573</v>
      </c>
      <c r="S1125" s="3124" t="s">
        <v>2574</v>
      </c>
      <c r="T1125" s="3124"/>
      <c r="V1125" s="3124"/>
      <c r="W1125" s="3193"/>
      <c r="X1125" s="3124">
        <v>0</v>
      </c>
      <c r="Y1125" s="3124"/>
      <c r="Z1125" s="3124"/>
      <c r="AA1125" s="3124"/>
      <c r="AC1125" s="3124"/>
    </row>
    <row r="1126" spans="1:29">
      <c r="A1126" s="3124">
        <v>1125</v>
      </c>
      <c r="B1126" s="3124"/>
      <c r="C1126" s="3124"/>
      <c r="D1126" s="3124"/>
      <c r="F1126" s="3234"/>
      <c r="G1126" s="3124"/>
      <c r="H1126" s="3124"/>
      <c r="I1126" s="3124"/>
      <c r="J1126" s="3124"/>
      <c r="K1126" s="3124"/>
      <c r="L1126" s="3124"/>
      <c r="M1126" s="3124"/>
      <c r="N1126" s="3192"/>
      <c r="O1126" s="3192"/>
      <c r="P1126" s="3192"/>
      <c r="Q1126" s="3192"/>
      <c r="R1126" s="3124" t="s">
        <v>2573</v>
      </c>
      <c r="S1126" s="3124" t="s">
        <v>2574</v>
      </c>
      <c r="T1126" s="3124"/>
      <c r="V1126" s="3124"/>
      <c r="W1126" s="3193"/>
      <c r="X1126" s="3124">
        <v>0</v>
      </c>
      <c r="Y1126" s="3124"/>
      <c r="Z1126" s="3124"/>
      <c r="AA1126" s="3124"/>
      <c r="AC1126" s="3124"/>
    </row>
    <row r="1127" spans="1:29">
      <c r="A1127" s="3124">
        <v>1126</v>
      </c>
      <c r="B1127" s="3124"/>
      <c r="C1127" s="3124"/>
      <c r="D1127" s="3124"/>
      <c r="F1127" s="3234"/>
      <c r="G1127" s="3124"/>
      <c r="H1127" s="3124"/>
      <c r="I1127" s="3124"/>
      <c r="J1127" s="3124"/>
      <c r="K1127" s="3124"/>
      <c r="L1127" s="3124"/>
      <c r="M1127" s="3124"/>
      <c r="N1127" s="3192"/>
      <c r="O1127" s="3192"/>
      <c r="P1127" s="3192"/>
      <c r="Q1127" s="3192"/>
      <c r="R1127" s="3124" t="s">
        <v>2573</v>
      </c>
      <c r="S1127" s="3124" t="s">
        <v>2574</v>
      </c>
      <c r="T1127" s="3124"/>
      <c r="V1127" s="3124"/>
      <c r="W1127" s="3193"/>
      <c r="X1127" s="3124">
        <v>0</v>
      </c>
      <c r="Y1127" s="3124"/>
      <c r="Z1127" s="3124"/>
      <c r="AA1127" s="3124"/>
      <c r="AC1127" s="3124"/>
    </row>
    <row r="1128" spans="1:29">
      <c r="A1128" s="3124">
        <v>1127</v>
      </c>
      <c r="B1128" s="3124"/>
      <c r="C1128" s="3124"/>
      <c r="D1128" s="3124"/>
      <c r="F1128" s="3234"/>
      <c r="G1128" s="3124"/>
      <c r="H1128" s="3124"/>
      <c r="I1128" s="3124"/>
      <c r="J1128" s="3124"/>
      <c r="K1128" s="3124"/>
      <c r="L1128" s="3124"/>
      <c r="M1128" s="3124"/>
      <c r="N1128" s="3192"/>
      <c r="O1128" s="3192"/>
      <c r="P1128" s="3192"/>
      <c r="Q1128" s="3192"/>
      <c r="R1128" s="3124" t="s">
        <v>2573</v>
      </c>
      <c r="S1128" s="3124" t="s">
        <v>2574</v>
      </c>
      <c r="T1128" s="3124"/>
      <c r="V1128" s="3124"/>
      <c r="W1128" s="3193"/>
      <c r="X1128" s="3124">
        <v>0</v>
      </c>
      <c r="Y1128" s="3124"/>
      <c r="Z1128" s="3124"/>
      <c r="AA1128" s="3124"/>
      <c r="AC1128" s="3124"/>
    </row>
    <row r="1129" spans="1:29">
      <c r="A1129" s="3124">
        <v>1128</v>
      </c>
      <c r="B1129" s="3124"/>
      <c r="C1129" s="3124"/>
      <c r="D1129" s="3124"/>
      <c r="F1129" s="3234"/>
      <c r="G1129" s="3124"/>
      <c r="H1129" s="3124"/>
      <c r="I1129" s="3124"/>
      <c r="J1129" s="3124"/>
      <c r="K1129" s="3124"/>
      <c r="L1129" s="3124"/>
      <c r="M1129" s="3124"/>
      <c r="N1129" s="3192"/>
      <c r="O1129" s="3192"/>
      <c r="P1129" s="3192"/>
      <c r="Q1129" s="3192"/>
      <c r="R1129" s="3124" t="s">
        <v>2573</v>
      </c>
      <c r="S1129" s="3124" t="s">
        <v>2574</v>
      </c>
      <c r="T1129" s="3124"/>
      <c r="V1129" s="3124"/>
      <c r="W1129" s="3193"/>
      <c r="X1129" s="3124">
        <v>0</v>
      </c>
      <c r="Y1129" s="3124"/>
      <c r="Z1129" s="3124"/>
      <c r="AA1129" s="3124"/>
      <c r="AC1129" s="3124"/>
    </row>
    <row r="1130" spans="1:29">
      <c r="A1130" s="3124">
        <v>1129</v>
      </c>
      <c r="B1130" s="3124"/>
      <c r="C1130" s="3124"/>
      <c r="D1130" s="3124"/>
      <c r="F1130" s="3234"/>
      <c r="G1130" s="3124"/>
      <c r="H1130" s="3124"/>
      <c r="I1130" s="3124"/>
      <c r="J1130" s="3124"/>
      <c r="K1130" s="3124"/>
      <c r="L1130" s="3124"/>
      <c r="M1130" s="3124"/>
      <c r="N1130" s="3192"/>
      <c r="O1130" s="3192"/>
      <c r="P1130" s="3192"/>
      <c r="Q1130" s="3192"/>
      <c r="R1130" s="3124" t="s">
        <v>2573</v>
      </c>
      <c r="S1130" s="3124" t="s">
        <v>2574</v>
      </c>
      <c r="T1130" s="3124"/>
      <c r="V1130" s="3124"/>
      <c r="W1130" s="3193"/>
      <c r="X1130" s="3124">
        <v>0</v>
      </c>
      <c r="Y1130" s="3124"/>
      <c r="Z1130" s="3124"/>
      <c r="AA1130" s="3124"/>
      <c r="AC1130" s="3124"/>
    </row>
    <row r="1131" spans="1:29">
      <c r="A1131" s="3124">
        <v>1130</v>
      </c>
      <c r="B1131" s="3124"/>
      <c r="C1131" s="3124"/>
      <c r="D1131" s="3124"/>
      <c r="F1131" s="3234"/>
      <c r="G1131" s="3124"/>
      <c r="H1131" s="3124"/>
      <c r="I1131" s="3124"/>
      <c r="J1131" s="3124"/>
      <c r="K1131" s="3124"/>
      <c r="L1131" s="3124"/>
      <c r="M1131" s="3124"/>
      <c r="N1131" s="3192"/>
      <c r="O1131" s="3192"/>
      <c r="P1131" s="3192"/>
      <c r="Q1131" s="3192"/>
      <c r="R1131" s="3124" t="s">
        <v>2573</v>
      </c>
      <c r="S1131" s="3124" t="s">
        <v>2574</v>
      </c>
      <c r="T1131" s="3124"/>
      <c r="V1131" s="3124"/>
      <c r="W1131" s="3193"/>
      <c r="X1131" s="3124">
        <v>0</v>
      </c>
      <c r="Y1131" s="3124"/>
      <c r="Z1131" s="3124"/>
      <c r="AA1131" s="3124"/>
      <c r="AC1131" s="3124"/>
    </row>
    <row r="1132" spans="1:29">
      <c r="A1132" s="3124">
        <v>1131</v>
      </c>
      <c r="B1132" s="3124"/>
      <c r="C1132" s="3124"/>
      <c r="D1132" s="3124"/>
      <c r="F1132" s="3234"/>
      <c r="G1132" s="3124"/>
      <c r="H1132" s="3124"/>
      <c r="I1132" s="3124"/>
      <c r="J1132" s="3124"/>
      <c r="K1132" s="3124"/>
      <c r="L1132" s="3124"/>
      <c r="M1132" s="3124"/>
      <c r="N1132" s="3192"/>
      <c r="O1132" s="3192"/>
      <c r="P1132" s="3192"/>
      <c r="Q1132" s="3192"/>
      <c r="R1132" s="3124" t="s">
        <v>2573</v>
      </c>
      <c r="S1132" s="3124" t="s">
        <v>2574</v>
      </c>
      <c r="T1132" s="3124"/>
      <c r="V1132" s="3124"/>
      <c r="W1132" s="3193"/>
      <c r="X1132" s="3124">
        <v>0</v>
      </c>
      <c r="Y1132" s="3124"/>
      <c r="Z1132" s="3124"/>
      <c r="AA1132" s="3124"/>
      <c r="AC1132" s="3124"/>
    </row>
    <row r="1133" spans="1:29">
      <c r="A1133" s="3124">
        <v>1132</v>
      </c>
      <c r="B1133" s="3124"/>
      <c r="C1133" s="3124"/>
      <c r="D1133" s="3124"/>
      <c r="F1133" s="3234"/>
      <c r="G1133" s="3124"/>
      <c r="H1133" s="3124"/>
      <c r="I1133" s="3124"/>
      <c r="J1133" s="3124"/>
      <c r="K1133" s="3124"/>
      <c r="L1133" s="3124"/>
      <c r="M1133" s="3124"/>
      <c r="N1133" s="3192"/>
      <c r="O1133" s="3192"/>
      <c r="P1133" s="3192"/>
      <c r="Q1133" s="3192"/>
      <c r="R1133" s="3124" t="s">
        <v>2573</v>
      </c>
      <c r="S1133" s="3124" t="s">
        <v>2574</v>
      </c>
      <c r="T1133" s="3124"/>
      <c r="V1133" s="3124"/>
      <c r="W1133" s="3193"/>
      <c r="X1133" s="3124">
        <v>0</v>
      </c>
      <c r="Y1133" s="3124"/>
      <c r="Z1133" s="3124"/>
      <c r="AA1133" s="3124"/>
      <c r="AC1133" s="3124"/>
    </row>
    <row r="1134" spans="1:29">
      <c r="A1134" s="3124">
        <v>1133</v>
      </c>
      <c r="B1134" s="3124"/>
      <c r="C1134" s="3124"/>
      <c r="D1134" s="3124"/>
      <c r="F1134" s="3234"/>
      <c r="G1134" s="3124"/>
      <c r="H1134" s="3124"/>
      <c r="I1134" s="3124"/>
      <c r="J1134" s="3124"/>
      <c r="K1134" s="3124"/>
      <c r="L1134" s="3124"/>
      <c r="M1134" s="3124"/>
      <c r="N1134" s="3192"/>
      <c r="O1134" s="3192"/>
      <c r="P1134" s="3192"/>
      <c r="Q1134" s="3192"/>
      <c r="R1134" s="3124" t="s">
        <v>2573</v>
      </c>
      <c r="S1134" s="3124" t="s">
        <v>2574</v>
      </c>
      <c r="T1134" s="3124"/>
      <c r="V1134" s="3124"/>
      <c r="W1134" s="3193"/>
      <c r="X1134" s="3124">
        <v>0</v>
      </c>
      <c r="Y1134" s="3124"/>
      <c r="Z1134" s="3124"/>
      <c r="AA1134" s="3124"/>
      <c r="AC1134" s="3124"/>
    </row>
    <row r="1135" spans="1:29">
      <c r="A1135" s="3124">
        <v>1134</v>
      </c>
      <c r="B1135" s="3124"/>
      <c r="C1135" s="3124"/>
      <c r="D1135" s="3124"/>
      <c r="F1135" s="3234"/>
      <c r="G1135" s="3124"/>
      <c r="H1135" s="3124"/>
      <c r="I1135" s="3124"/>
      <c r="J1135" s="3124"/>
      <c r="K1135" s="3124"/>
      <c r="L1135" s="3124"/>
      <c r="M1135" s="3124"/>
      <c r="N1135" s="3192"/>
      <c r="O1135" s="3192"/>
      <c r="P1135" s="3192"/>
      <c r="Q1135" s="3192"/>
      <c r="R1135" s="3124" t="s">
        <v>2573</v>
      </c>
      <c r="S1135" s="3124" t="s">
        <v>2574</v>
      </c>
      <c r="T1135" s="3124"/>
      <c r="V1135" s="3124"/>
      <c r="W1135" s="3193"/>
      <c r="X1135" s="3124">
        <v>0</v>
      </c>
      <c r="Y1135" s="3124"/>
      <c r="Z1135" s="3124"/>
      <c r="AA1135" s="3124"/>
      <c r="AC1135" s="3124"/>
    </row>
    <row r="1136" spans="1:29">
      <c r="A1136" s="3124">
        <v>1135</v>
      </c>
      <c r="B1136" s="3124"/>
      <c r="C1136" s="3124"/>
      <c r="D1136" s="3124"/>
      <c r="F1136" s="3234"/>
      <c r="G1136" s="3124"/>
      <c r="H1136" s="3124"/>
      <c r="I1136" s="3124"/>
      <c r="J1136" s="3124"/>
      <c r="K1136" s="3124"/>
      <c r="L1136" s="3124"/>
      <c r="M1136" s="3124"/>
      <c r="N1136" s="3192"/>
      <c r="O1136" s="3192"/>
      <c r="P1136" s="3192"/>
      <c r="Q1136" s="3192"/>
      <c r="R1136" s="3124" t="s">
        <v>2573</v>
      </c>
      <c r="S1136" s="3124" t="s">
        <v>2574</v>
      </c>
      <c r="T1136" s="3124"/>
      <c r="V1136" s="3124"/>
      <c r="W1136" s="3193"/>
      <c r="X1136" s="3124">
        <v>0</v>
      </c>
      <c r="Y1136" s="3124"/>
      <c r="Z1136" s="3124"/>
      <c r="AA1136" s="3124"/>
      <c r="AC1136" s="3124"/>
    </row>
    <row r="1137" spans="1:29">
      <c r="A1137" s="3124">
        <v>1136</v>
      </c>
      <c r="B1137" s="3124"/>
      <c r="C1137" s="3124"/>
      <c r="D1137" s="3124"/>
      <c r="F1137" s="3234"/>
      <c r="G1137" s="3124"/>
      <c r="H1137" s="3124"/>
      <c r="I1137" s="3124"/>
      <c r="J1137" s="3124"/>
      <c r="K1137" s="3124"/>
      <c r="L1137" s="3124"/>
      <c r="M1137" s="3124"/>
      <c r="N1137" s="3192"/>
      <c r="O1137" s="3192"/>
      <c r="P1137" s="3192"/>
      <c r="Q1137" s="3192"/>
      <c r="R1137" s="3124" t="s">
        <v>2573</v>
      </c>
      <c r="S1137" s="3124" t="s">
        <v>2574</v>
      </c>
      <c r="T1137" s="3124"/>
      <c r="V1137" s="3124"/>
      <c r="W1137" s="3193"/>
      <c r="X1137" s="3124">
        <v>0</v>
      </c>
      <c r="Y1137" s="3124"/>
      <c r="Z1137" s="3124"/>
      <c r="AA1137" s="3124"/>
      <c r="AC1137" s="3124"/>
    </row>
    <row r="1138" spans="1:29">
      <c r="A1138" s="3124">
        <v>1137</v>
      </c>
      <c r="B1138" s="3124"/>
      <c r="C1138" s="3124"/>
      <c r="D1138" s="3124"/>
      <c r="F1138" s="3234"/>
      <c r="G1138" s="3124"/>
      <c r="H1138" s="3124"/>
      <c r="I1138" s="3124"/>
      <c r="J1138" s="3124"/>
      <c r="K1138" s="3124"/>
      <c r="L1138" s="3124"/>
      <c r="M1138" s="3124"/>
      <c r="N1138" s="3192"/>
      <c r="O1138" s="3192"/>
      <c r="P1138" s="3192"/>
      <c r="Q1138" s="3192"/>
      <c r="R1138" s="3124" t="s">
        <v>2573</v>
      </c>
      <c r="S1138" s="3124" t="s">
        <v>2574</v>
      </c>
      <c r="T1138" s="3124"/>
      <c r="V1138" s="3124"/>
      <c r="W1138" s="3193"/>
      <c r="X1138" s="3124">
        <v>0</v>
      </c>
      <c r="Y1138" s="3124"/>
      <c r="Z1138" s="3124"/>
      <c r="AA1138" s="3124"/>
      <c r="AC1138" s="3124"/>
    </row>
    <row r="1139" spans="1:29">
      <c r="A1139" s="3124">
        <v>1138</v>
      </c>
      <c r="B1139" s="3124"/>
      <c r="C1139" s="3124"/>
      <c r="D1139" s="3124"/>
      <c r="F1139" s="3234"/>
      <c r="G1139" s="3124"/>
      <c r="H1139" s="3124"/>
      <c r="I1139" s="3124"/>
      <c r="J1139" s="3124"/>
      <c r="K1139" s="3124"/>
      <c r="L1139" s="3124"/>
      <c r="M1139" s="3124"/>
      <c r="N1139" s="3192"/>
      <c r="O1139" s="3192"/>
      <c r="P1139" s="3192"/>
      <c r="Q1139" s="3192"/>
      <c r="R1139" s="3124" t="s">
        <v>2573</v>
      </c>
      <c r="S1139" s="3124" t="s">
        <v>2574</v>
      </c>
      <c r="T1139" s="3124"/>
      <c r="V1139" s="3124"/>
      <c r="W1139" s="3193"/>
      <c r="X1139" s="3124">
        <v>0</v>
      </c>
      <c r="Y1139" s="3124"/>
      <c r="Z1139" s="3124"/>
      <c r="AA1139" s="3124"/>
      <c r="AC1139" s="3124"/>
    </row>
    <row r="1140" spans="1:29">
      <c r="A1140" s="3124">
        <v>1139</v>
      </c>
      <c r="B1140" s="3124"/>
      <c r="C1140" s="3124"/>
      <c r="D1140" s="3124"/>
      <c r="F1140" s="3234"/>
      <c r="G1140" s="3124"/>
      <c r="H1140" s="3124"/>
      <c r="I1140" s="3124"/>
      <c r="J1140" s="3124"/>
      <c r="K1140" s="3124"/>
      <c r="L1140" s="3124"/>
      <c r="M1140" s="3124"/>
      <c r="N1140" s="3192"/>
      <c r="O1140" s="3192"/>
      <c r="P1140" s="3192"/>
      <c r="Q1140" s="3192"/>
      <c r="R1140" s="3124" t="s">
        <v>2573</v>
      </c>
      <c r="S1140" s="3124" t="s">
        <v>2574</v>
      </c>
      <c r="T1140" s="3124"/>
      <c r="V1140" s="3124"/>
      <c r="W1140" s="3193"/>
      <c r="X1140" s="3124">
        <v>0</v>
      </c>
      <c r="Y1140" s="3124"/>
      <c r="Z1140" s="3124"/>
      <c r="AA1140" s="3124"/>
      <c r="AC1140" s="3124"/>
    </row>
    <row r="1141" spans="1:29">
      <c r="A1141" s="3124">
        <v>1140</v>
      </c>
      <c r="B1141" s="3124"/>
      <c r="C1141" s="3124"/>
      <c r="D1141" s="3124"/>
      <c r="F1141" s="3234"/>
      <c r="G1141" s="3124"/>
      <c r="H1141" s="3124"/>
      <c r="I1141" s="3124"/>
      <c r="J1141" s="3124"/>
      <c r="K1141" s="3124"/>
      <c r="L1141" s="3124"/>
      <c r="M1141" s="3124"/>
      <c r="N1141" s="3192"/>
      <c r="O1141" s="3192"/>
      <c r="P1141" s="3192"/>
      <c r="Q1141" s="3192"/>
      <c r="R1141" s="3124" t="s">
        <v>2573</v>
      </c>
      <c r="S1141" s="3124" t="s">
        <v>2574</v>
      </c>
      <c r="T1141" s="3124"/>
      <c r="V1141" s="3124"/>
      <c r="W1141" s="3193"/>
      <c r="X1141" s="3124">
        <v>0</v>
      </c>
      <c r="Y1141" s="3124"/>
      <c r="Z1141" s="3124"/>
      <c r="AA1141" s="3124"/>
      <c r="AC1141" s="3124"/>
    </row>
    <row r="1142" spans="1:29">
      <c r="A1142" s="3124">
        <v>1141</v>
      </c>
      <c r="B1142" s="3124"/>
      <c r="C1142" s="3124"/>
      <c r="D1142" s="3124"/>
      <c r="F1142" s="3234"/>
      <c r="G1142" s="3124"/>
      <c r="H1142" s="3124"/>
      <c r="I1142" s="3124"/>
      <c r="J1142" s="3124"/>
      <c r="K1142" s="3124"/>
      <c r="L1142" s="3124"/>
      <c r="M1142" s="3124"/>
      <c r="N1142" s="3192"/>
      <c r="O1142" s="3192"/>
      <c r="P1142" s="3192"/>
      <c r="Q1142" s="3192"/>
      <c r="R1142" s="3124" t="s">
        <v>2573</v>
      </c>
      <c r="S1142" s="3124" t="s">
        <v>2574</v>
      </c>
      <c r="T1142" s="3124"/>
      <c r="V1142" s="3124"/>
      <c r="W1142" s="3193"/>
      <c r="X1142" s="3124">
        <v>0</v>
      </c>
      <c r="Y1142" s="3124"/>
      <c r="Z1142" s="3124"/>
      <c r="AA1142" s="3124"/>
      <c r="AC1142" s="3124"/>
    </row>
    <row r="1143" spans="1:29">
      <c r="A1143" s="3124">
        <v>1142</v>
      </c>
      <c r="B1143" s="3124"/>
      <c r="C1143" s="3124"/>
      <c r="D1143" s="3124"/>
      <c r="F1143" s="3234"/>
      <c r="G1143" s="3124"/>
      <c r="H1143" s="3124"/>
      <c r="I1143" s="3124"/>
      <c r="J1143" s="3124"/>
      <c r="K1143" s="3124"/>
      <c r="L1143" s="3124"/>
      <c r="M1143" s="3124"/>
      <c r="N1143" s="3192"/>
      <c r="O1143" s="3192"/>
      <c r="P1143" s="3192"/>
      <c r="Q1143" s="3192"/>
      <c r="R1143" s="3124" t="s">
        <v>2573</v>
      </c>
      <c r="S1143" s="3124" t="s">
        <v>2574</v>
      </c>
      <c r="T1143" s="3124"/>
      <c r="V1143" s="3124"/>
      <c r="W1143" s="3193"/>
      <c r="X1143" s="3124">
        <v>0</v>
      </c>
      <c r="Y1143" s="3124"/>
      <c r="Z1143" s="3124"/>
      <c r="AA1143" s="3124"/>
      <c r="AC1143" s="3124"/>
    </row>
    <row r="1144" spans="1:29">
      <c r="A1144" s="3124">
        <v>1143</v>
      </c>
      <c r="B1144" s="3124"/>
      <c r="C1144" s="3124"/>
      <c r="D1144" s="3124"/>
      <c r="F1144" s="3234"/>
      <c r="G1144" s="3124"/>
      <c r="H1144" s="3124"/>
      <c r="I1144" s="3124"/>
      <c r="J1144" s="3124"/>
      <c r="K1144" s="3124"/>
      <c r="L1144" s="3124"/>
      <c r="M1144" s="3124"/>
      <c r="N1144" s="3192"/>
      <c r="O1144" s="3192"/>
      <c r="P1144" s="3192"/>
      <c r="Q1144" s="3192"/>
      <c r="R1144" s="3124" t="s">
        <v>2573</v>
      </c>
      <c r="S1144" s="3124" t="s">
        <v>2574</v>
      </c>
      <c r="T1144" s="3124"/>
      <c r="V1144" s="3124"/>
      <c r="W1144" s="3193"/>
      <c r="X1144" s="3124">
        <v>0</v>
      </c>
      <c r="Y1144" s="3124"/>
      <c r="Z1144" s="3124"/>
      <c r="AA1144" s="3124"/>
      <c r="AC1144" s="3124"/>
    </row>
    <row r="1145" spans="1:29">
      <c r="A1145" s="3124">
        <v>1144</v>
      </c>
      <c r="B1145" s="3124"/>
      <c r="C1145" s="3124"/>
      <c r="D1145" s="3124"/>
      <c r="F1145" s="3234"/>
      <c r="G1145" s="3124"/>
      <c r="H1145" s="3124"/>
      <c r="I1145" s="3124"/>
      <c r="J1145" s="3124"/>
      <c r="K1145" s="3124"/>
      <c r="L1145" s="3124"/>
      <c r="M1145" s="3124"/>
      <c r="N1145" s="3192"/>
      <c r="O1145" s="3192"/>
      <c r="P1145" s="3192"/>
      <c r="Q1145" s="3192"/>
      <c r="R1145" s="3124" t="s">
        <v>2573</v>
      </c>
      <c r="S1145" s="3124" t="s">
        <v>2574</v>
      </c>
      <c r="T1145" s="3124"/>
      <c r="V1145" s="3124"/>
      <c r="W1145" s="3193"/>
      <c r="X1145" s="3124">
        <v>0</v>
      </c>
      <c r="Y1145" s="3124"/>
      <c r="Z1145" s="3124"/>
      <c r="AA1145" s="3124"/>
      <c r="AC1145" s="3124"/>
    </row>
    <row r="1146" spans="1:29">
      <c r="A1146" s="3124">
        <v>1145</v>
      </c>
      <c r="B1146" s="3124"/>
      <c r="C1146" s="3124"/>
      <c r="D1146" s="3124"/>
      <c r="F1146" s="3234"/>
      <c r="G1146" s="3124"/>
      <c r="H1146" s="3124"/>
      <c r="I1146" s="3124"/>
      <c r="J1146" s="3124"/>
      <c r="K1146" s="3124"/>
      <c r="L1146" s="3124"/>
      <c r="M1146" s="3124"/>
      <c r="N1146" s="3192"/>
      <c r="O1146" s="3192"/>
      <c r="P1146" s="3192"/>
      <c r="Q1146" s="3192"/>
      <c r="R1146" s="3124" t="s">
        <v>2573</v>
      </c>
      <c r="S1146" s="3124" t="s">
        <v>2574</v>
      </c>
      <c r="T1146" s="3124"/>
      <c r="V1146" s="3124"/>
      <c r="W1146" s="3193"/>
      <c r="X1146" s="3124">
        <v>0</v>
      </c>
      <c r="Y1146" s="3124"/>
      <c r="Z1146" s="3124"/>
      <c r="AA1146" s="3124"/>
      <c r="AC1146" s="3124"/>
    </row>
    <row r="1147" spans="1:29">
      <c r="A1147" s="3124">
        <v>1146</v>
      </c>
      <c r="B1147" s="3124"/>
      <c r="C1147" s="3124"/>
      <c r="D1147" s="3124"/>
      <c r="F1147" s="3234"/>
      <c r="G1147" s="3124"/>
      <c r="H1147" s="3124"/>
      <c r="I1147" s="3124"/>
      <c r="J1147" s="3124"/>
      <c r="K1147" s="3124"/>
      <c r="L1147" s="3124"/>
      <c r="M1147" s="3124"/>
      <c r="N1147" s="3192"/>
      <c r="O1147" s="3192"/>
      <c r="P1147" s="3192"/>
      <c r="Q1147" s="3192"/>
      <c r="R1147" s="3124" t="s">
        <v>2573</v>
      </c>
      <c r="S1147" s="3124" t="s">
        <v>2574</v>
      </c>
      <c r="T1147" s="3124"/>
      <c r="V1147" s="3124"/>
      <c r="W1147" s="3193"/>
      <c r="X1147" s="3124">
        <v>0</v>
      </c>
      <c r="Y1147" s="3124"/>
      <c r="Z1147" s="3124"/>
      <c r="AA1147" s="3124"/>
      <c r="AC1147" s="3124"/>
    </row>
    <row r="1148" spans="1:29">
      <c r="A1148" s="3124">
        <v>1147</v>
      </c>
      <c r="B1148" s="3124"/>
      <c r="C1148" s="3124"/>
      <c r="D1148" s="3124"/>
      <c r="F1148" s="3234"/>
      <c r="G1148" s="3124"/>
      <c r="H1148" s="3124"/>
      <c r="I1148" s="3124"/>
      <c r="J1148" s="3124"/>
      <c r="K1148" s="3124"/>
      <c r="L1148" s="3124"/>
      <c r="M1148" s="3124"/>
      <c r="N1148" s="3192"/>
      <c r="O1148" s="3192"/>
      <c r="P1148" s="3192"/>
      <c r="Q1148" s="3192"/>
      <c r="R1148" s="3124" t="s">
        <v>2573</v>
      </c>
      <c r="S1148" s="3124" t="s">
        <v>2574</v>
      </c>
      <c r="T1148" s="3124"/>
      <c r="V1148" s="3124"/>
      <c r="W1148" s="3193"/>
      <c r="X1148" s="3124">
        <v>0</v>
      </c>
      <c r="Y1148" s="3124"/>
      <c r="Z1148" s="3124"/>
      <c r="AA1148" s="3124"/>
      <c r="AC1148" s="3124"/>
    </row>
    <row r="1149" spans="1:29">
      <c r="A1149" s="3124">
        <v>1148</v>
      </c>
      <c r="B1149" s="3124"/>
      <c r="C1149" s="3124"/>
      <c r="D1149" s="3124"/>
      <c r="F1149" s="3234"/>
      <c r="G1149" s="3124"/>
      <c r="H1149" s="3124"/>
      <c r="I1149" s="3124"/>
      <c r="J1149" s="3124"/>
      <c r="K1149" s="3124"/>
      <c r="L1149" s="3124"/>
      <c r="M1149" s="3124"/>
      <c r="N1149" s="3192"/>
      <c r="O1149" s="3192"/>
      <c r="P1149" s="3192"/>
      <c r="Q1149" s="3192"/>
      <c r="R1149" s="3124" t="s">
        <v>2573</v>
      </c>
      <c r="S1149" s="3124" t="s">
        <v>2574</v>
      </c>
      <c r="T1149" s="3124"/>
      <c r="V1149" s="3124"/>
      <c r="W1149" s="3193"/>
      <c r="X1149" s="3124">
        <v>0</v>
      </c>
      <c r="Y1149" s="3124"/>
      <c r="Z1149" s="3124"/>
      <c r="AA1149" s="3124"/>
      <c r="AC1149" s="3124"/>
    </row>
    <row r="1150" spans="1:29">
      <c r="A1150" s="3124">
        <v>1149</v>
      </c>
      <c r="B1150" s="3124"/>
      <c r="C1150" s="3124"/>
      <c r="D1150" s="3124"/>
      <c r="F1150" s="3234"/>
      <c r="G1150" s="3124"/>
      <c r="H1150" s="3124"/>
      <c r="I1150" s="3124"/>
      <c r="J1150" s="3124"/>
      <c r="K1150" s="3124"/>
      <c r="L1150" s="3124"/>
      <c r="M1150" s="3124"/>
      <c r="N1150" s="3192"/>
      <c r="O1150" s="3192"/>
      <c r="P1150" s="3192"/>
      <c r="Q1150" s="3192"/>
      <c r="R1150" s="3124" t="s">
        <v>2573</v>
      </c>
      <c r="S1150" s="3124" t="s">
        <v>2574</v>
      </c>
      <c r="T1150" s="3124"/>
      <c r="V1150" s="3124"/>
      <c r="W1150" s="3193"/>
      <c r="X1150" s="3124">
        <v>0</v>
      </c>
      <c r="Y1150" s="3124"/>
      <c r="Z1150" s="3124"/>
      <c r="AA1150" s="3124"/>
      <c r="AC1150" s="3124"/>
    </row>
    <row r="1151" spans="1:29">
      <c r="A1151" s="3124">
        <v>1150</v>
      </c>
      <c r="B1151" s="3124"/>
      <c r="C1151" s="3124"/>
      <c r="D1151" s="3124"/>
      <c r="F1151" s="3234"/>
      <c r="G1151" s="3124"/>
      <c r="H1151" s="3124"/>
      <c r="I1151" s="3124"/>
      <c r="J1151" s="3124"/>
      <c r="K1151" s="3124"/>
      <c r="L1151" s="3124"/>
      <c r="M1151" s="3124"/>
      <c r="N1151" s="3192"/>
      <c r="O1151" s="3192"/>
      <c r="P1151" s="3192"/>
      <c r="Q1151" s="3192"/>
      <c r="R1151" s="3124" t="s">
        <v>2573</v>
      </c>
      <c r="S1151" s="3124" t="s">
        <v>2574</v>
      </c>
      <c r="T1151" s="3124"/>
      <c r="V1151" s="3124"/>
      <c r="W1151" s="3193"/>
      <c r="X1151" s="3124">
        <v>0</v>
      </c>
      <c r="Y1151" s="3124"/>
      <c r="Z1151" s="3124"/>
      <c r="AA1151" s="3124"/>
      <c r="AC1151" s="3124"/>
    </row>
    <row r="1152" spans="1:29">
      <c r="A1152" s="3124">
        <v>1151</v>
      </c>
      <c r="B1152" s="3124"/>
      <c r="C1152" s="3124"/>
      <c r="D1152" s="3124"/>
      <c r="F1152" s="3234"/>
      <c r="G1152" s="3124"/>
      <c r="H1152" s="3124"/>
      <c r="I1152" s="3124"/>
      <c r="J1152" s="3124"/>
      <c r="K1152" s="3124"/>
      <c r="L1152" s="3124"/>
      <c r="M1152" s="3124"/>
      <c r="N1152" s="3192"/>
      <c r="O1152" s="3192"/>
      <c r="P1152" s="3192"/>
      <c r="Q1152" s="3192"/>
      <c r="R1152" s="3124" t="s">
        <v>2573</v>
      </c>
      <c r="S1152" s="3124" t="s">
        <v>2574</v>
      </c>
      <c r="T1152" s="3124"/>
      <c r="V1152" s="3124"/>
      <c r="W1152" s="3193"/>
      <c r="X1152" s="3124">
        <v>0</v>
      </c>
      <c r="Y1152" s="3124"/>
      <c r="Z1152" s="3124"/>
      <c r="AA1152" s="3124"/>
      <c r="AC1152" s="3124"/>
    </row>
    <row r="1153" spans="1:29">
      <c r="A1153" s="3124">
        <v>1152</v>
      </c>
      <c r="B1153" s="3124"/>
      <c r="C1153" s="3124"/>
      <c r="D1153" s="3124"/>
      <c r="F1153" s="3234"/>
      <c r="G1153" s="3124"/>
      <c r="H1153" s="3124"/>
      <c r="I1153" s="3124"/>
      <c r="J1153" s="3124"/>
      <c r="K1153" s="3124"/>
      <c r="L1153" s="3124"/>
      <c r="M1153" s="3124"/>
      <c r="N1153" s="3192"/>
      <c r="O1153" s="3192"/>
      <c r="P1153" s="3192"/>
      <c r="Q1153" s="3192"/>
      <c r="R1153" s="3124" t="s">
        <v>2573</v>
      </c>
      <c r="S1153" s="3124" t="s">
        <v>2574</v>
      </c>
      <c r="T1153" s="3124"/>
      <c r="V1153" s="3124"/>
      <c r="W1153" s="3193"/>
      <c r="X1153" s="3124">
        <v>0</v>
      </c>
      <c r="Y1153" s="3124"/>
      <c r="Z1153" s="3124"/>
      <c r="AA1153" s="3124"/>
      <c r="AC1153" s="3124"/>
    </row>
    <row r="1154" spans="1:29">
      <c r="A1154" s="3124">
        <v>1153</v>
      </c>
      <c r="B1154" s="3124"/>
      <c r="C1154" s="3124"/>
      <c r="D1154" s="3124"/>
      <c r="F1154" s="3234"/>
      <c r="G1154" s="3124"/>
      <c r="H1154" s="3124"/>
      <c r="I1154" s="3124"/>
      <c r="J1154" s="3124"/>
      <c r="K1154" s="3124"/>
      <c r="L1154" s="3124"/>
      <c r="M1154" s="3124"/>
      <c r="N1154" s="3192"/>
      <c r="O1154" s="3192"/>
      <c r="P1154" s="3192"/>
      <c r="Q1154" s="3192"/>
      <c r="R1154" s="3124" t="s">
        <v>2573</v>
      </c>
      <c r="S1154" s="3124" t="s">
        <v>2574</v>
      </c>
      <c r="T1154" s="3124"/>
      <c r="V1154" s="3124"/>
      <c r="W1154" s="3193"/>
      <c r="X1154" s="3124">
        <v>0</v>
      </c>
      <c r="Y1154" s="3124"/>
      <c r="Z1154" s="3124"/>
      <c r="AA1154" s="3124"/>
      <c r="AC1154" s="3124"/>
    </row>
    <row r="1155" spans="1:29">
      <c r="A1155" s="3124">
        <v>1154</v>
      </c>
      <c r="B1155" s="3124"/>
      <c r="C1155" s="3124"/>
      <c r="D1155" s="3124"/>
      <c r="F1155" s="3234"/>
      <c r="G1155" s="3124"/>
      <c r="H1155" s="3124"/>
      <c r="I1155" s="3124"/>
      <c r="J1155" s="3124"/>
      <c r="K1155" s="3124"/>
      <c r="L1155" s="3124"/>
      <c r="M1155" s="3124"/>
      <c r="N1155" s="3192"/>
      <c r="O1155" s="3192"/>
      <c r="P1155" s="3192"/>
      <c r="Q1155" s="3192"/>
      <c r="R1155" s="3124" t="s">
        <v>2573</v>
      </c>
      <c r="S1155" s="3124" t="s">
        <v>2574</v>
      </c>
      <c r="T1155" s="3124"/>
      <c r="V1155" s="3124"/>
      <c r="W1155" s="3193"/>
      <c r="X1155" s="3124">
        <v>0</v>
      </c>
      <c r="Y1155" s="3124"/>
      <c r="Z1155" s="3124"/>
      <c r="AA1155" s="3124"/>
      <c r="AC1155" s="3124"/>
    </row>
    <row r="1156" spans="1:29">
      <c r="A1156" s="3124">
        <v>1155</v>
      </c>
      <c r="B1156" s="3124"/>
      <c r="C1156" s="3124"/>
      <c r="D1156" s="3124"/>
      <c r="F1156" s="3234"/>
      <c r="G1156" s="3124"/>
      <c r="H1156" s="3124"/>
      <c r="I1156" s="3124"/>
      <c r="J1156" s="3124"/>
      <c r="K1156" s="3124"/>
      <c r="L1156" s="3124"/>
      <c r="M1156" s="3124"/>
      <c r="N1156" s="3192"/>
      <c r="O1156" s="3192"/>
      <c r="P1156" s="3192"/>
      <c r="Q1156" s="3192"/>
      <c r="R1156" s="3124" t="s">
        <v>2573</v>
      </c>
      <c r="S1156" s="3124" t="s">
        <v>2574</v>
      </c>
      <c r="T1156" s="3124"/>
      <c r="V1156" s="3124"/>
      <c r="W1156" s="3193"/>
      <c r="X1156" s="3124">
        <v>0</v>
      </c>
      <c r="Y1156" s="3124"/>
      <c r="Z1156" s="3124"/>
      <c r="AA1156" s="3124"/>
      <c r="AC1156" s="3124"/>
    </row>
    <row r="1157" spans="1:29">
      <c r="A1157" s="3124">
        <v>1156</v>
      </c>
      <c r="B1157" s="3124"/>
      <c r="C1157" s="3124"/>
      <c r="D1157" s="3124"/>
      <c r="F1157" s="3234"/>
      <c r="G1157" s="3124"/>
      <c r="H1157" s="3124"/>
      <c r="I1157" s="3124"/>
      <c r="J1157" s="3124"/>
      <c r="K1157" s="3124"/>
      <c r="L1157" s="3124"/>
      <c r="M1157" s="3124"/>
      <c r="N1157" s="3192"/>
      <c r="O1157" s="3192"/>
      <c r="P1157" s="3192"/>
      <c r="Q1157" s="3192"/>
      <c r="R1157" s="3124" t="s">
        <v>2573</v>
      </c>
      <c r="S1157" s="3124" t="s">
        <v>2574</v>
      </c>
      <c r="T1157" s="3124"/>
      <c r="V1157" s="3124"/>
      <c r="W1157" s="3193"/>
      <c r="X1157" s="3124">
        <v>0</v>
      </c>
      <c r="Y1157" s="3124"/>
      <c r="Z1157" s="3124"/>
      <c r="AA1157" s="3124"/>
      <c r="AC1157" s="3124"/>
    </row>
    <row r="1158" spans="1:29">
      <c r="A1158" s="3124">
        <v>1157</v>
      </c>
      <c r="B1158" s="3124"/>
      <c r="C1158" s="3124"/>
      <c r="D1158" s="3124"/>
      <c r="F1158" s="3234"/>
      <c r="G1158" s="3124"/>
      <c r="H1158" s="3124"/>
      <c r="I1158" s="3124"/>
      <c r="J1158" s="3124"/>
      <c r="K1158" s="3124"/>
      <c r="L1158" s="3124"/>
      <c r="M1158" s="3124"/>
      <c r="N1158" s="3192"/>
      <c r="O1158" s="3192"/>
      <c r="P1158" s="3192"/>
      <c r="Q1158" s="3192"/>
      <c r="R1158" s="3124" t="s">
        <v>2573</v>
      </c>
      <c r="S1158" s="3124" t="s">
        <v>2574</v>
      </c>
      <c r="T1158" s="3124"/>
      <c r="V1158" s="3124"/>
      <c r="W1158" s="3193"/>
      <c r="X1158" s="3124">
        <v>0</v>
      </c>
      <c r="Y1158" s="3124"/>
      <c r="Z1158" s="3124"/>
      <c r="AA1158" s="3124"/>
      <c r="AC1158" s="3124"/>
    </row>
    <row r="1159" spans="1:29">
      <c r="A1159" s="3124">
        <v>1158</v>
      </c>
      <c r="B1159" s="3124"/>
      <c r="C1159" s="3124"/>
      <c r="D1159" s="3124"/>
      <c r="F1159" s="3234"/>
      <c r="G1159" s="3124"/>
      <c r="H1159" s="3124"/>
      <c r="I1159" s="3124"/>
      <c r="J1159" s="3124"/>
      <c r="K1159" s="3124"/>
      <c r="L1159" s="3124"/>
      <c r="M1159" s="3124"/>
      <c r="N1159" s="3192"/>
      <c r="O1159" s="3192"/>
      <c r="P1159" s="3192"/>
      <c r="Q1159" s="3192"/>
      <c r="R1159" s="3124" t="s">
        <v>2573</v>
      </c>
      <c r="S1159" s="3124" t="s">
        <v>2574</v>
      </c>
      <c r="T1159" s="3124"/>
      <c r="V1159" s="3124"/>
      <c r="W1159" s="3193"/>
      <c r="X1159" s="3124">
        <v>0</v>
      </c>
      <c r="Y1159" s="3124"/>
      <c r="Z1159" s="3124"/>
      <c r="AA1159" s="3124"/>
      <c r="AC1159" s="3124"/>
    </row>
    <row r="1160" spans="1:29">
      <c r="A1160" s="3124">
        <v>1159</v>
      </c>
      <c r="B1160" s="3124"/>
      <c r="C1160" s="3124"/>
      <c r="D1160" s="3124"/>
      <c r="F1160" s="3234"/>
      <c r="G1160" s="3124"/>
      <c r="H1160" s="3124"/>
      <c r="I1160" s="3124"/>
      <c r="J1160" s="3124"/>
      <c r="K1160" s="3124"/>
      <c r="L1160" s="3124"/>
      <c r="M1160" s="3124"/>
      <c r="N1160" s="3192"/>
      <c r="O1160" s="3192"/>
      <c r="P1160" s="3192"/>
      <c r="Q1160" s="3192"/>
      <c r="R1160" s="3124" t="s">
        <v>2573</v>
      </c>
      <c r="S1160" s="3124" t="s">
        <v>2574</v>
      </c>
      <c r="T1160" s="3124"/>
      <c r="V1160" s="3124"/>
      <c r="W1160" s="3193"/>
      <c r="X1160" s="3124">
        <v>0</v>
      </c>
      <c r="Y1160" s="3124"/>
      <c r="Z1160" s="3124"/>
      <c r="AA1160" s="3124"/>
      <c r="AC1160" s="3124"/>
    </row>
    <row r="1161" spans="1:29">
      <c r="A1161" s="3124">
        <v>1160</v>
      </c>
      <c r="B1161" s="3124"/>
      <c r="C1161" s="3124"/>
      <c r="D1161" s="3124"/>
      <c r="F1161" s="3234"/>
      <c r="G1161" s="3124"/>
      <c r="H1161" s="3124"/>
      <c r="I1161" s="3124"/>
      <c r="J1161" s="3124"/>
      <c r="K1161" s="3124"/>
      <c r="L1161" s="3124"/>
      <c r="M1161" s="3124"/>
      <c r="N1161" s="3192"/>
      <c r="O1161" s="3192"/>
      <c r="P1161" s="3192"/>
      <c r="Q1161" s="3192"/>
      <c r="R1161" s="3124" t="s">
        <v>2573</v>
      </c>
      <c r="S1161" s="3124" t="s">
        <v>2574</v>
      </c>
      <c r="T1161" s="3124"/>
      <c r="V1161" s="3124"/>
      <c r="W1161" s="3193"/>
      <c r="X1161" s="3124">
        <v>0</v>
      </c>
      <c r="Y1161" s="3124"/>
      <c r="Z1161" s="3124"/>
      <c r="AA1161" s="3124"/>
      <c r="AC1161" s="3124"/>
    </row>
    <row r="1162" spans="1:29">
      <c r="A1162" s="3124">
        <v>1161</v>
      </c>
      <c r="B1162" s="3124"/>
      <c r="C1162" s="3124"/>
      <c r="D1162" s="3124"/>
      <c r="F1162" s="3234"/>
      <c r="G1162" s="3124"/>
      <c r="H1162" s="3124"/>
      <c r="I1162" s="3124"/>
      <c r="J1162" s="3124"/>
      <c r="K1162" s="3124"/>
      <c r="L1162" s="3124"/>
      <c r="M1162" s="3124"/>
      <c r="N1162" s="3192"/>
      <c r="O1162" s="3192"/>
      <c r="P1162" s="3192"/>
      <c r="Q1162" s="3192"/>
      <c r="R1162" s="3124" t="s">
        <v>2573</v>
      </c>
      <c r="S1162" s="3124" t="s">
        <v>2574</v>
      </c>
      <c r="T1162" s="3124"/>
      <c r="V1162" s="3124"/>
      <c r="W1162" s="3193"/>
      <c r="X1162" s="3124">
        <v>0</v>
      </c>
      <c r="Y1162" s="3124"/>
      <c r="Z1162" s="3124"/>
      <c r="AA1162" s="3124"/>
      <c r="AC1162" s="3124"/>
    </row>
    <row r="1163" spans="1:29">
      <c r="A1163" s="3124">
        <v>1162</v>
      </c>
      <c r="B1163" s="3124"/>
      <c r="C1163" s="3124"/>
      <c r="D1163" s="3124"/>
      <c r="F1163" s="3234"/>
      <c r="G1163" s="3124"/>
      <c r="H1163" s="3124"/>
      <c r="I1163" s="3124"/>
      <c r="J1163" s="3124"/>
      <c r="K1163" s="3124"/>
      <c r="L1163" s="3124"/>
      <c r="M1163" s="3124"/>
      <c r="N1163" s="3192"/>
      <c r="O1163" s="3192"/>
      <c r="P1163" s="3192"/>
      <c r="Q1163" s="3192"/>
      <c r="R1163" s="3124" t="s">
        <v>2573</v>
      </c>
      <c r="S1163" s="3124" t="s">
        <v>2574</v>
      </c>
      <c r="T1163" s="3124"/>
      <c r="V1163" s="3124"/>
      <c r="W1163" s="3193"/>
      <c r="X1163" s="3124">
        <v>0</v>
      </c>
      <c r="Y1163" s="3124"/>
      <c r="Z1163" s="3124"/>
      <c r="AA1163" s="3124"/>
      <c r="AC1163" s="3124"/>
    </row>
    <row r="1164" spans="1:29">
      <c r="A1164" s="3124">
        <v>1163</v>
      </c>
      <c r="B1164" s="3124"/>
      <c r="C1164" s="3124"/>
      <c r="D1164" s="3124"/>
      <c r="F1164" s="3234"/>
      <c r="G1164" s="3124"/>
      <c r="H1164" s="3124"/>
      <c r="I1164" s="3124"/>
      <c r="J1164" s="3124"/>
      <c r="K1164" s="3124"/>
      <c r="L1164" s="3124"/>
      <c r="M1164" s="3124"/>
      <c r="N1164" s="3192"/>
      <c r="O1164" s="3192"/>
      <c r="P1164" s="3192"/>
      <c r="Q1164" s="3192"/>
      <c r="R1164" s="3124" t="s">
        <v>2573</v>
      </c>
      <c r="S1164" s="3124" t="s">
        <v>2574</v>
      </c>
      <c r="T1164" s="3124"/>
      <c r="V1164" s="3124"/>
      <c r="W1164" s="3193"/>
      <c r="X1164" s="3124">
        <v>0</v>
      </c>
      <c r="Y1164" s="3124"/>
      <c r="Z1164" s="3124"/>
      <c r="AA1164" s="3124"/>
      <c r="AC1164" s="3124"/>
    </row>
    <row r="1165" spans="1:29">
      <c r="A1165" s="3124">
        <v>1164</v>
      </c>
      <c r="B1165" s="3124"/>
      <c r="C1165" s="3124"/>
      <c r="D1165" s="3124"/>
      <c r="F1165" s="3234"/>
      <c r="G1165" s="3124"/>
      <c r="H1165" s="3124"/>
      <c r="I1165" s="3124"/>
      <c r="J1165" s="3124"/>
      <c r="K1165" s="3124"/>
      <c r="L1165" s="3124"/>
      <c r="M1165" s="3124"/>
      <c r="N1165" s="3192"/>
      <c r="O1165" s="3192"/>
      <c r="P1165" s="3192"/>
      <c r="Q1165" s="3192"/>
      <c r="R1165" s="3124" t="s">
        <v>2573</v>
      </c>
      <c r="S1165" s="3124" t="s">
        <v>2574</v>
      </c>
      <c r="T1165" s="3124"/>
      <c r="V1165" s="3124"/>
      <c r="W1165" s="3193"/>
      <c r="X1165" s="3124">
        <v>0</v>
      </c>
      <c r="Y1165" s="3124"/>
      <c r="Z1165" s="3124"/>
      <c r="AA1165" s="3124"/>
      <c r="AC1165" s="3124"/>
    </row>
    <row r="1166" spans="1:29">
      <c r="A1166" s="3124">
        <v>1165</v>
      </c>
      <c r="B1166" s="3124"/>
      <c r="C1166" s="3124"/>
      <c r="D1166" s="3124"/>
      <c r="F1166" s="3234"/>
      <c r="G1166" s="3124"/>
      <c r="H1166" s="3124"/>
      <c r="I1166" s="3124"/>
      <c r="J1166" s="3124"/>
      <c r="K1166" s="3124"/>
      <c r="L1166" s="3124"/>
      <c r="M1166" s="3124"/>
      <c r="N1166" s="3192"/>
      <c r="O1166" s="3192"/>
      <c r="P1166" s="3192"/>
      <c r="Q1166" s="3192"/>
      <c r="R1166" s="3124" t="s">
        <v>2573</v>
      </c>
      <c r="S1166" s="3124" t="s">
        <v>2574</v>
      </c>
      <c r="T1166" s="3124"/>
      <c r="V1166" s="3124"/>
      <c r="W1166" s="3193"/>
      <c r="X1166" s="3124">
        <v>0</v>
      </c>
      <c r="Y1166" s="3124"/>
      <c r="Z1166" s="3124"/>
      <c r="AA1166" s="3124"/>
      <c r="AC1166" s="3124"/>
    </row>
    <row r="1167" spans="1:29">
      <c r="A1167" s="3124">
        <v>1166</v>
      </c>
      <c r="B1167" s="3124"/>
      <c r="C1167" s="3124"/>
      <c r="D1167" s="3124"/>
      <c r="F1167" s="3234"/>
      <c r="G1167" s="3124"/>
      <c r="H1167" s="3124"/>
      <c r="I1167" s="3124"/>
      <c r="J1167" s="3124"/>
      <c r="K1167" s="3124"/>
      <c r="L1167" s="3124"/>
      <c r="M1167" s="3124"/>
      <c r="N1167" s="3192"/>
      <c r="O1167" s="3192"/>
      <c r="P1167" s="3192"/>
      <c r="Q1167" s="3192"/>
      <c r="R1167" s="3124" t="s">
        <v>2573</v>
      </c>
      <c r="S1167" s="3124" t="s">
        <v>2574</v>
      </c>
      <c r="T1167" s="3124"/>
      <c r="V1167" s="3124"/>
      <c r="W1167" s="3193"/>
      <c r="X1167" s="3124">
        <v>0</v>
      </c>
      <c r="Y1167" s="3124"/>
      <c r="Z1167" s="3124"/>
      <c r="AA1167" s="3124"/>
      <c r="AC1167" s="3124"/>
    </row>
    <row r="1168" spans="1:29">
      <c r="A1168" s="3124">
        <v>1167</v>
      </c>
      <c r="B1168" s="3124"/>
      <c r="C1168" s="3124"/>
      <c r="D1168" s="3124"/>
      <c r="F1168" s="3234"/>
      <c r="G1168" s="3124"/>
      <c r="H1168" s="3124"/>
      <c r="I1168" s="3124"/>
      <c r="J1168" s="3124"/>
      <c r="K1168" s="3124"/>
      <c r="L1168" s="3124"/>
      <c r="M1168" s="3124"/>
      <c r="N1168" s="3192"/>
      <c r="O1168" s="3192"/>
      <c r="P1168" s="3192"/>
      <c r="Q1168" s="3192"/>
      <c r="R1168" s="3124" t="s">
        <v>2573</v>
      </c>
      <c r="S1168" s="3124" t="s">
        <v>2574</v>
      </c>
      <c r="T1168" s="3124"/>
      <c r="V1168" s="3124"/>
      <c r="W1168" s="3193"/>
      <c r="X1168" s="3124">
        <v>0</v>
      </c>
      <c r="Y1168" s="3124"/>
      <c r="Z1168" s="3124"/>
      <c r="AA1168" s="3124"/>
      <c r="AC1168" s="3124"/>
    </row>
    <row r="1169" spans="1:29">
      <c r="A1169" s="3124">
        <v>1168</v>
      </c>
      <c r="B1169" s="3124"/>
      <c r="C1169" s="3124"/>
      <c r="D1169" s="3124"/>
      <c r="F1169" s="3234"/>
      <c r="G1169" s="3124"/>
      <c r="H1169" s="3124"/>
      <c r="I1169" s="3124"/>
      <c r="J1169" s="3124"/>
      <c r="K1169" s="3124"/>
      <c r="L1169" s="3124"/>
      <c r="M1169" s="3124"/>
      <c r="N1169" s="3192"/>
      <c r="O1169" s="3192"/>
      <c r="P1169" s="3192"/>
      <c r="Q1169" s="3192"/>
      <c r="R1169" s="3124" t="s">
        <v>2573</v>
      </c>
      <c r="S1169" s="3124" t="s">
        <v>2574</v>
      </c>
      <c r="T1169" s="3124"/>
      <c r="V1169" s="3124"/>
      <c r="W1169" s="3193"/>
      <c r="X1169" s="3124">
        <v>0</v>
      </c>
      <c r="Y1169" s="3124"/>
      <c r="Z1169" s="3124"/>
      <c r="AA1169" s="3124"/>
      <c r="AC1169" s="3124"/>
    </row>
    <row r="1170" spans="1:29">
      <c r="A1170" s="3124">
        <v>1169</v>
      </c>
      <c r="B1170" s="3124"/>
      <c r="C1170" s="3124"/>
      <c r="D1170" s="3124"/>
      <c r="F1170" s="3234"/>
      <c r="G1170" s="3124"/>
      <c r="H1170" s="3124"/>
      <c r="I1170" s="3124"/>
      <c r="J1170" s="3124"/>
      <c r="K1170" s="3124"/>
      <c r="L1170" s="3124"/>
      <c r="M1170" s="3124"/>
      <c r="N1170" s="3192"/>
      <c r="O1170" s="3192"/>
      <c r="P1170" s="3192"/>
      <c r="Q1170" s="3192"/>
      <c r="R1170" s="3124" t="s">
        <v>2573</v>
      </c>
      <c r="S1170" s="3124" t="s">
        <v>2574</v>
      </c>
      <c r="T1170" s="3124"/>
      <c r="V1170" s="3124"/>
      <c r="W1170" s="3193"/>
      <c r="X1170" s="3124">
        <v>0</v>
      </c>
      <c r="Y1170" s="3124"/>
      <c r="Z1170" s="3124"/>
      <c r="AA1170" s="3124"/>
      <c r="AC1170" s="3124"/>
    </row>
    <row r="1171" spans="1:29">
      <c r="A1171" s="3124">
        <v>1170</v>
      </c>
      <c r="B1171" s="3124"/>
      <c r="C1171" s="3124"/>
      <c r="D1171" s="3124"/>
      <c r="F1171" s="3234"/>
      <c r="G1171" s="3124"/>
      <c r="H1171" s="3124"/>
      <c r="I1171" s="3124"/>
      <c r="J1171" s="3124"/>
      <c r="K1171" s="3124"/>
      <c r="L1171" s="3124"/>
      <c r="M1171" s="3124"/>
      <c r="N1171" s="3192"/>
      <c r="O1171" s="3192"/>
      <c r="P1171" s="3192"/>
      <c r="Q1171" s="3192"/>
      <c r="R1171" s="3124" t="s">
        <v>2573</v>
      </c>
      <c r="S1171" s="3124" t="s">
        <v>2574</v>
      </c>
      <c r="T1171" s="3124"/>
      <c r="V1171" s="3124"/>
      <c r="W1171" s="3193"/>
      <c r="X1171" s="3124">
        <v>0</v>
      </c>
      <c r="Y1171" s="3124"/>
      <c r="Z1171" s="3124"/>
      <c r="AA1171" s="3124"/>
      <c r="AC1171" s="3124"/>
    </row>
    <row r="1172" spans="1:29">
      <c r="A1172" s="3124">
        <v>1171</v>
      </c>
      <c r="B1172" s="3124"/>
      <c r="C1172" s="3124"/>
      <c r="D1172" s="3124"/>
      <c r="F1172" s="3234"/>
      <c r="G1172" s="3124"/>
      <c r="H1172" s="3124"/>
      <c r="I1172" s="3124"/>
      <c r="J1172" s="3124"/>
      <c r="K1172" s="3124"/>
      <c r="L1172" s="3124"/>
      <c r="M1172" s="3124"/>
      <c r="N1172" s="3192"/>
      <c r="O1172" s="3192"/>
      <c r="P1172" s="3192"/>
      <c r="Q1172" s="3192"/>
      <c r="R1172" s="3124" t="s">
        <v>2573</v>
      </c>
      <c r="S1172" s="3124" t="s">
        <v>2574</v>
      </c>
      <c r="T1172" s="3124"/>
      <c r="V1172" s="3124"/>
      <c r="W1172" s="3193"/>
      <c r="X1172" s="3124">
        <v>0</v>
      </c>
      <c r="Y1172" s="3124"/>
      <c r="Z1172" s="3124"/>
      <c r="AA1172" s="3124"/>
      <c r="AC1172" s="3124"/>
    </row>
    <row r="1173" spans="1:29">
      <c r="A1173" s="3124">
        <v>1172</v>
      </c>
      <c r="B1173" s="3124"/>
      <c r="C1173" s="3124"/>
      <c r="D1173" s="3124"/>
      <c r="F1173" s="3234"/>
      <c r="G1173" s="3124"/>
      <c r="H1173" s="3124"/>
      <c r="I1173" s="3124"/>
      <c r="J1173" s="3124"/>
      <c r="K1173" s="3124"/>
      <c r="L1173" s="3124"/>
      <c r="M1173" s="3124"/>
      <c r="N1173" s="3192"/>
      <c r="O1173" s="3192"/>
      <c r="P1173" s="3192"/>
      <c r="Q1173" s="3192"/>
      <c r="R1173" s="3124" t="s">
        <v>2573</v>
      </c>
      <c r="S1173" s="3124" t="s">
        <v>2574</v>
      </c>
      <c r="T1173" s="3124"/>
      <c r="V1173" s="3124"/>
      <c r="W1173" s="3193"/>
      <c r="X1173" s="3124">
        <v>0</v>
      </c>
      <c r="Y1173" s="3124"/>
      <c r="Z1173" s="3124"/>
      <c r="AA1173" s="3124"/>
      <c r="AC1173" s="3124"/>
    </row>
    <row r="1174" spans="1:29">
      <c r="A1174" s="3124">
        <v>1173</v>
      </c>
      <c r="B1174" s="3124"/>
      <c r="C1174" s="3124"/>
      <c r="D1174" s="3124"/>
      <c r="F1174" s="3234"/>
      <c r="G1174" s="3124"/>
      <c r="H1174" s="3124"/>
      <c r="I1174" s="3124"/>
      <c r="J1174" s="3124"/>
      <c r="K1174" s="3124"/>
      <c r="L1174" s="3124"/>
      <c r="M1174" s="3124"/>
      <c r="N1174" s="3192"/>
      <c r="O1174" s="3192"/>
      <c r="P1174" s="3192"/>
      <c r="Q1174" s="3192"/>
      <c r="R1174" s="3124" t="s">
        <v>2573</v>
      </c>
      <c r="S1174" s="3124" t="s">
        <v>2574</v>
      </c>
      <c r="T1174" s="3124"/>
      <c r="V1174" s="3124"/>
      <c r="W1174" s="3193"/>
      <c r="X1174" s="3124">
        <v>0</v>
      </c>
      <c r="Y1174" s="3124"/>
      <c r="Z1174" s="3124"/>
      <c r="AA1174" s="3124"/>
      <c r="AC1174" s="3124"/>
    </row>
    <row r="1175" spans="1:29">
      <c r="A1175" s="3124">
        <v>1174</v>
      </c>
      <c r="B1175" s="3124"/>
      <c r="C1175" s="3124"/>
      <c r="D1175" s="3124"/>
      <c r="F1175" s="3234"/>
      <c r="G1175" s="3124"/>
      <c r="H1175" s="3124"/>
      <c r="I1175" s="3124"/>
      <c r="J1175" s="3124"/>
      <c r="K1175" s="3124"/>
      <c r="L1175" s="3124"/>
      <c r="M1175" s="3124"/>
      <c r="N1175" s="3192"/>
      <c r="O1175" s="3192"/>
      <c r="P1175" s="3192"/>
      <c r="Q1175" s="3192"/>
      <c r="R1175" s="3124" t="s">
        <v>2573</v>
      </c>
      <c r="S1175" s="3124" t="s">
        <v>2574</v>
      </c>
      <c r="T1175" s="3124"/>
      <c r="V1175" s="3124"/>
      <c r="W1175" s="3193"/>
      <c r="X1175" s="3124">
        <v>0</v>
      </c>
      <c r="Y1175" s="3124"/>
      <c r="Z1175" s="3124"/>
      <c r="AA1175" s="3124"/>
      <c r="AC1175" s="3124"/>
    </row>
    <row r="1176" spans="1:29">
      <c r="A1176" s="3124">
        <v>1175</v>
      </c>
      <c r="B1176" s="3124"/>
      <c r="C1176" s="3124"/>
      <c r="D1176" s="3124"/>
      <c r="F1176" s="3234"/>
      <c r="G1176" s="3124"/>
      <c r="H1176" s="3124"/>
      <c r="I1176" s="3124"/>
      <c r="J1176" s="3124"/>
      <c r="K1176" s="3124"/>
      <c r="L1176" s="3124"/>
      <c r="M1176" s="3124"/>
      <c r="N1176" s="3192"/>
      <c r="O1176" s="3192"/>
      <c r="P1176" s="3192"/>
      <c r="Q1176" s="3192"/>
      <c r="R1176" s="3124" t="s">
        <v>2573</v>
      </c>
      <c r="S1176" s="3124" t="s">
        <v>2574</v>
      </c>
      <c r="T1176" s="3124"/>
      <c r="V1176" s="3124"/>
      <c r="W1176" s="3193"/>
      <c r="X1176" s="3124">
        <v>0</v>
      </c>
      <c r="Y1176" s="3124"/>
      <c r="Z1176" s="3124"/>
      <c r="AA1176" s="3124"/>
      <c r="AC1176" s="3124"/>
    </row>
    <row r="1177" spans="1:29">
      <c r="A1177" s="3124">
        <v>1176</v>
      </c>
      <c r="B1177" s="3124"/>
      <c r="C1177" s="3124"/>
      <c r="D1177" s="3124"/>
      <c r="F1177" s="3234"/>
      <c r="G1177" s="3124"/>
      <c r="H1177" s="3124"/>
      <c r="I1177" s="3124"/>
      <c r="J1177" s="3124"/>
      <c r="K1177" s="3124"/>
      <c r="L1177" s="3124"/>
      <c r="M1177" s="3124"/>
      <c r="N1177" s="3192"/>
      <c r="O1177" s="3192"/>
      <c r="P1177" s="3192"/>
      <c r="Q1177" s="3192"/>
      <c r="R1177" s="3124" t="s">
        <v>2573</v>
      </c>
      <c r="S1177" s="3124" t="s">
        <v>2574</v>
      </c>
      <c r="T1177" s="3124"/>
      <c r="V1177" s="3124"/>
      <c r="W1177" s="3193"/>
      <c r="X1177" s="3124">
        <v>0</v>
      </c>
      <c r="Y1177" s="3124"/>
      <c r="Z1177" s="3124"/>
      <c r="AA1177" s="3124"/>
      <c r="AC1177" s="3124"/>
    </row>
    <row r="1178" spans="1:29">
      <c r="A1178" s="3124">
        <v>1177</v>
      </c>
      <c r="B1178" s="3124"/>
      <c r="C1178" s="3124"/>
      <c r="D1178" s="3124"/>
      <c r="F1178" s="3234"/>
      <c r="G1178" s="3124"/>
      <c r="H1178" s="3124"/>
      <c r="I1178" s="3124"/>
      <c r="J1178" s="3124"/>
      <c r="K1178" s="3124"/>
      <c r="L1178" s="3124"/>
      <c r="M1178" s="3124"/>
      <c r="N1178" s="3192"/>
      <c r="O1178" s="3192"/>
      <c r="P1178" s="3192"/>
      <c r="Q1178" s="3192"/>
      <c r="R1178" s="3124" t="s">
        <v>2573</v>
      </c>
      <c r="S1178" s="3124" t="s">
        <v>2574</v>
      </c>
      <c r="T1178" s="3124"/>
      <c r="V1178" s="3124"/>
      <c r="W1178" s="3193"/>
      <c r="X1178" s="3124">
        <v>0</v>
      </c>
      <c r="Y1178" s="3124"/>
      <c r="Z1178" s="3124"/>
      <c r="AA1178" s="3124"/>
      <c r="AC1178" s="3124"/>
    </row>
    <row r="1179" spans="1:29">
      <c r="A1179" s="3124">
        <v>1178</v>
      </c>
      <c r="B1179" s="3124"/>
      <c r="C1179" s="3124"/>
      <c r="D1179" s="3124"/>
      <c r="F1179" s="3234"/>
      <c r="G1179" s="3124"/>
      <c r="H1179" s="3124"/>
      <c r="I1179" s="3124"/>
      <c r="J1179" s="3124"/>
      <c r="K1179" s="3124"/>
      <c r="L1179" s="3124"/>
      <c r="M1179" s="3124"/>
      <c r="N1179" s="3192"/>
      <c r="O1179" s="3192"/>
      <c r="P1179" s="3192"/>
      <c r="Q1179" s="3192"/>
      <c r="R1179" s="3124" t="s">
        <v>2573</v>
      </c>
      <c r="S1179" s="3124" t="s">
        <v>2574</v>
      </c>
      <c r="T1179" s="3124"/>
      <c r="V1179" s="3124"/>
      <c r="W1179" s="3193"/>
      <c r="X1179" s="3124">
        <v>0</v>
      </c>
      <c r="Y1179" s="3124"/>
      <c r="Z1179" s="3124"/>
      <c r="AA1179" s="3124"/>
      <c r="AC1179" s="3124"/>
    </row>
    <row r="1180" spans="1:29">
      <c r="A1180" s="3124">
        <v>1179</v>
      </c>
      <c r="B1180" s="3124"/>
      <c r="C1180" s="3124"/>
      <c r="D1180" s="3124"/>
      <c r="F1180" s="3234"/>
      <c r="G1180" s="3124"/>
      <c r="H1180" s="3124"/>
      <c r="I1180" s="3124"/>
      <c r="J1180" s="3124"/>
      <c r="K1180" s="3124"/>
      <c r="L1180" s="3124"/>
      <c r="M1180" s="3124"/>
      <c r="N1180" s="3192"/>
      <c r="O1180" s="3192"/>
      <c r="P1180" s="3192"/>
      <c r="Q1180" s="3192"/>
      <c r="R1180" s="3124" t="s">
        <v>2573</v>
      </c>
      <c r="S1180" s="3124" t="s">
        <v>2574</v>
      </c>
      <c r="T1180" s="3124"/>
      <c r="V1180" s="3124"/>
      <c r="W1180" s="3193"/>
      <c r="X1180" s="3124">
        <v>0</v>
      </c>
      <c r="Y1180" s="3124"/>
      <c r="Z1180" s="3124"/>
      <c r="AA1180" s="3124"/>
      <c r="AC1180" s="3124"/>
    </row>
    <row r="1181" spans="1:29">
      <c r="A1181" s="3124">
        <v>1180</v>
      </c>
      <c r="B1181" s="3124"/>
      <c r="C1181" s="3124"/>
      <c r="D1181" s="3124"/>
      <c r="F1181" s="3234"/>
      <c r="G1181" s="3124"/>
      <c r="H1181" s="3124"/>
      <c r="I1181" s="3124"/>
      <c r="J1181" s="3124"/>
      <c r="K1181" s="3124"/>
      <c r="L1181" s="3124"/>
      <c r="M1181" s="3124"/>
      <c r="N1181" s="3192"/>
      <c r="O1181" s="3192"/>
      <c r="P1181" s="3192"/>
      <c r="Q1181" s="3192"/>
      <c r="R1181" s="3124" t="s">
        <v>2573</v>
      </c>
      <c r="S1181" s="3124" t="s">
        <v>2574</v>
      </c>
      <c r="T1181" s="3124"/>
      <c r="V1181" s="3124"/>
      <c r="W1181" s="3193"/>
      <c r="X1181" s="3124">
        <v>0</v>
      </c>
      <c r="Y1181" s="3124"/>
      <c r="Z1181" s="3124"/>
      <c r="AA1181" s="3124"/>
      <c r="AC1181" s="3124"/>
    </row>
    <row r="1182" spans="1:29">
      <c r="A1182" s="3124">
        <v>1181</v>
      </c>
      <c r="B1182" s="3124"/>
      <c r="C1182" s="3124"/>
      <c r="D1182" s="3124"/>
      <c r="F1182" s="3234"/>
      <c r="G1182" s="3124"/>
      <c r="H1182" s="3124"/>
      <c r="I1182" s="3124"/>
      <c r="J1182" s="3124"/>
      <c r="K1182" s="3124"/>
      <c r="L1182" s="3124"/>
      <c r="M1182" s="3124"/>
      <c r="N1182" s="3192"/>
      <c r="O1182" s="3192"/>
      <c r="P1182" s="3192"/>
      <c r="Q1182" s="3192"/>
      <c r="R1182" s="3124" t="s">
        <v>2573</v>
      </c>
      <c r="S1182" s="3124" t="s">
        <v>2574</v>
      </c>
      <c r="T1182" s="3124"/>
      <c r="V1182" s="3124"/>
      <c r="W1182" s="3193"/>
      <c r="X1182" s="3124">
        <v>0</v>
      </c>
      <c r="Y1182" s="3124"/>
      <c r="Z1182" s="3124"/>
      <c r="AA1182" s="3124"/>
      <c r="AC1182" s="3124"/>
    </row>
    <row r="1183" spans="1:29">
      <c r="A1183" s="3124">
        <v>1182</v>
      </c>
      <c r="B1183" s="3124"/>
      <c r="C1183" s="3124"/>
      <c r="D1183" s="3124"/>
      <c r="F1183" s="3234"/>
      <c r="G1183" s="3124"/>
      <c r="H1183" s="3124"/>
      <c r="I1183" s="3124"/>
      <c r="J1183" s="3124"/>
      <c r="K1183" s="3124"/>
      <c r="L1183" s="3124"/>
      <c r="M1183" s="3124"/>
      <c r="N1183" s="3192"/>
      <c r="O1183" s="3192"/>
      <c r="P1183" s="3192"/>
      <c r="Q1183" s="3192"/>
      <c r="R1183" s="3124" t="s">
        <v>2573</v>
      </c>
      <c r="S1183" s="3124" t="s">
        <v>2574</v>
      </c>
      <c r="T1183" s="3124"/>
      <c r="V1183" s="3124"/>
      <c r="W1183" s="3193"/>
      <c r="X1183" s="3124">
        <v>0</v>
      </c>
      <c r="Y1183" s="3124"/>
      <c r="Z1183" s="3124"/>
      <c r="AA1183" s="3124"/>
      <c r="AC1183" s="3124"/>
    </row>
    <row r="1184" spans="1:29">
      <c r="A1184" s="3124">
        <v>1183</v>
      </c>
      <c r="B1184" s="3124"/>
      <c r="C1184" s="3124"/>
      <c r="D1184" s="3124"/>
      <c r="F1184" s="3234"/>
      <c r="G1184" s="3124"/>
      <c r="H1184" s="3124"/>
      <c r="I1184" s="3124"/>
      <c r="J1184" s="3124"/>
      <c r="K1184" s="3124"/>
      <c r="L1184" s="3124"/>
      <c r="M1184" s="3124"/>
      <c r="N1184" s="3192"/>
      <c r="O1184" s="3192"/>
      <c r="P1184" s="3192"/>
      <c r="Q1184" s="3192"/>
      <c r="R1184" s="3124" t="s">
        <v>2573</v>
      </c>
      <c r="S1184" s="3124" t="s">
        <v>2574</v>
      </c>
      <c r="T1184" s="3124"/>
      <c r="V1184" s="3124"/>
      <c r="W1184" s="3193"/>
      <c r="X1184" s="3124">
        <v>0</v>
      </c>
      <c r="Y1184" s="3124"/>
      <c r="Z1184" s="3124"/>
      <c r="AA1184" s="3124"/>
      <c r="AC1184" s="3124"/>
    </row>
    <row r="1185" spans="1:29">
      <c r="A1185" s="3124">
        <v>1184</v>
      </c>
      <c r="B1185" s="3124"/>
      <c r="C1185" s="3124"/>
      <c r="D1185" s="3124"/>
      <c r="F1185" s="3234"/>
      <c r="G1185" s="3124"/>
      <c r="H1185" s="3124"/>
      <c r="I1185" s="3124"/>
      <c r="J1185" s="3124"/>
      <c r="K1185" s="3124"/>
      <c r="L1185" s="3124"/>
      <c r="M1185" s="3124"/>
      <c r="N1185" s="3192"/>
      <c r="O1185" s="3192"/>
      <c r="P1185" s="3192"/>
      <c r="Q1185" s="3192"/>
      <c r="R1185" s="3124" t="s">
        <v>2573</v>
      </c>
      <c r="S1185" s="3124" t="s">
        <v>2574</v>
      </c>
      <c r="T1185" s="3124"/>
      <c r="V1185" s="3124"/>
      <c r="W1185" s="3193"/>
      <c r="X1185" s="3124">
        <v>0</v>
      </c>
      <c r="Y1185" s="3124"/>
      <c r="Z1185" s="3124"/>
      <c r="AA1185" s="3124"/>
      <c r="AC1185" s="3124"/>
    </row>
    <row r="1186" spans="1:29">
      <c r="A1186" s="3124">
        <v>1185</v>
      </c>
      <c r="B1186" s="3124"/>
      <c r="C1186" s="3124"/>
      <c r="D1186" s="3124"/>
      <c r="F1186" s="3234"/>
      <c r="G1186" s="3124"/>
      <c r="H1186" s="3124"/>
      <c r="I1186" s="3124"/>
      <c r="J1186" s="3124"/>
      <c r="K1186" s="3124"/>
      <c r="L1186" s="3124"/>
      <c r="M1186" s="3124"/>
      <c r="N1186" s="3192"/>
      <c r="O1186" s="3192"/>
      <c r="P1186" s="3192"/>
      <c r="Q1186" s="3192"/>
      <c r="R1186" s="3124" t="s">
        <v>2573</v>
      </c>
      <c r="S1186" s="3124" t="s">
        <v>2574</v>
      </c>
      <c r="T1186" s="3124"/>
      <c r="V1186" s="3124"/>
      <c r="W1186" s="3193"/>
      <c r="X1186" s="3124">
        <v>0</v>
      </c>
      <c r="Y1186" s="3124"/>
      <c r="Z1186" s="3124"/>
      <c r="AA1186" s="3124"/>
      <c r="AC1186" s="3124"/>
    </row>
    <row r="1187" spans="1:29">
      <c r="A1187" s="3124">
        <v>1186</v>
      </c>
      <c r="B1187" s="3124"/>
      <c r="C1187" s="3124"/>
      <c r="D1187" s="3124"/>
      <c r="F1187" s="3234"/>
      <c r="G1187" s="3124"/>
      <c r="H1187" s="3124"/>
      <c r="I1187" s="3124"/>
      <c r="J1187" s="3124"/>
      <c r="K1187" s="3124"/>
      <c r="L1187" s="3124"/>
      <c r="M1187" s="3124"/>
      <c r="N1187" s="3192"/>
      <c r="O1187" s="3192"/>
      <c r="P1187" s="3192"/>
      <c r="Q1187" s="3192"/>
      <c r="R1187" s="3124" t="s">
        <v>2573</v>
      </c>
      <c r="S1187" s="3124" t="s">
        <v>2574</v>
      </c>
      <c r="T1187" s="3124"/>
      <c r="V1187" s="3124"/>
      <c r="W1187" s="3193"/>
      <c r="X1187" s="3124">
        <v>0</v>
      </c>
      <c r="Y1187" s="3124"/>
      <c r="Z1187" s="3124"/>
      <c r="AA1187" s="3124"/>
      <c r="AC1187" s="3124"/>
    </row>
    <row r="1188" spans="1:29">
      <c r="A1188" s="3124">
        <v>1187</v>
      </c>
      <c r="B1188" s="3124"/>
      <c r="C1188" s="3124"/>
      <c r="D1188" s="3124"/>
      <c r="F1188" s="3234"/>
      <c r="G1188" s="3124"/>
      <c r="H1188" s="3124"/>
      <c r="I1188" s="3124"/>
      <c r="J1188" s="3124"/>
      <c r="K1188" s="3124"/>
      <c r="L1188" s="3124"/>
      <c r="M1188" s="3124"/>
      <c r="N1188" s="3192"/>
      <c r="O1188" s="3192"/>
      <c r="P1188" s="3192"/>
      <c r="Q1188" s="3192"/>
      <c r="R1188" s="3124" t="s">
        <v>2573</v>
      </c>
      <c r="S1188" s="3124" t="s">
        <v>2574</v>
      </c>
      <c r="T1188" s="3124"/>
      <c r="V1188" s="3124"/>
      <c r="W1188" s="3193"/>
      <c r="X1188" s="3124">
        <v>0</v>
      </c>
      <c r="Y1188" s="3124"/>
      <c r="Z1188" s="3124"/>
      <c r="AA1188" s="3124"/>
      <c r="AC1188" s="3124"/>
    </row>
    <row r="1189" spans="1:29">
      <c r="A1189" s="3124">
        <v>1188</v>
      </c>
      <c r="B1189" s="3124"/>
      <c r="C1189" s="3124"/>
      <c r="D1189" s="3124"/>
      <c r="F1189" s="3234"/>
      <c r="G1189" s="3124"/>
      <c r="H1189" s="3124"/>
      <c r="I1189" s="3124"/>
      <c r="J1189" s="3124"/>
      <c r="K1189" s="3124"/>
      <c r="L1189" s="3124"/>
      <c r="M1189" s="3124"/>
      <c r="N1189" s="3192"/>
      <c r="O1189" s="3192"/>
      <c r="P1189" s="3192"/>
      <c r="Q1189" s="3192"/>
      <c r="R1189" s="3124" t="s">
        <v>2573</v>
      </c>
      <c r="S1189" s="3124" t="s">
        <v>2574</v>
      </c>
      <c r="T1189" s="3124"/>
      <c r="V1189" s="3124"/>
      <c r="W1189" s="3193"/>
      <c r="X1189" s="3124">
        <v>0</v>
      </c>
      <c r="Y1189" s="3124"/>
      <c r="Z1189" s="3124"/>
      <c r="AA1189" s="3124"/>
      <c r="AC1189" s="3124"/>
    </row>
    <row r="1190" spans="1:29">
      <c r="A1190" s="3124">
        <v>1189</v>
      </c>
      <c r="B1190" s="3124"/>
      <c r="C1190" s="3124"/>
      <c r="D1190" s="3124"/>
      <c r="F1190" s="3234"/>
      <c r="G1190" s="3124"/>
      <c r="H1190" s="3124"/>
      <c r="I1190" s="3124"/>
      <c r="J1190" s="3124"/>
      <c r="K1190" s="3124"/>
      <c r="L1190" s="3124"/>
      <c r="M1190" s="3124"/>
      <c r="N1190" s="3192"/>
      <c r="O1190" s="3192"/>
      <c r="P1190" s="3192"/>
      <c r="Q1190" s="3192"/>
      <c r="R1190" s="3124" t="s">
        <v>2573</v>
      </c>
      <c r="S1190" s="3124" t="s">
        <v>2574</v>
      </c>
      <c r="T1190" s="3124"/>
      <c r="V1190" s="3124"/>
      <c r="W1190" s="3193"/>
      <c r="X1190" s="3124">
        <v>0</v>
      </c>
      <c r="Y1190" s="3124"/>
      <c r="Z1190" s="3124"/>
      <c r="AA1190" s="3124"/>
      <c r="AC1190" s="3124"/>
    </row>
    <row r="1191" spans="1:29">
      <c r="A1191" s="3124">
        <v>1190</v>
      </c>
      <c r="B1191" s="3124"/>
      <c r="C1191" s="3124"/>
      <c r="D1191" s="3124"/>
      <c r="F1191" s="3234"/>
      <c r="G1191" s="3124"/>
      <c r="H1191" s="3124"/>
      <c r="I1191" s="3124"/>
      <c r="J1191" s="3124"/>
      <c r="K1191" s="3124"/>
      <c r="L1191" s="3124"/>
      <c r="M1191" s="3124"/>
      <c r="N1191" s="3192"/>
      <c r="O1191" s="3192"/>
      <c r="P1191" s="3192"/>
      <c r="Q1191" s="3192"/>
      <c r="R1191" s="3124" t="s">
        <v>2573</v>
      </c>
      <c r="S1191" s="3124" t="s">
        <v>2574</v>
      </c>
      <c r="T1191" s="3124"/>
      <c r="V1191" s="3124"/>
      <c r="W1191" s="3193"/>
      <c r="X1191" s="3124">
        <v>0</v>
      </c>
      <c r="Y1191" s="3124"/>
      <c r="Z1191" s="3124"/>
      <c r="AA1191" s="3124"/>
      <c r="AC1191" s="3124"/>
    </row>
    <row r="1192" spans="1:29">
      <c r="A1192" s="3124">
        <v>1191</v>
      </c>
      <c r="B1192" s="3124"/>
      <c r="C1192" s="3124"/>
      <c r="D1192" s="3124"/>
      <c r="F1192" s="3234"/>
      <c r="G1192" s="3124"/>
      <c r="H1192" s="3124"/>
      <c r="I1192" s="3124"/>
      <c r="J1192" s="3124"/>
      <c r="K1192" s="3124"/>
      <c r="L1192" s="3124"/>
      <c r="M1192" s="3124"/>
      <c r="N1192" s="3192"/>
      <c r="O1192" s="3192"/>
      <c r="P1192" s="3192"/>
      <c r="Q1192" s="3192"/>
      <c r="R1192" s="3124" t="s">
        <v>2573</v>
      </c>
      <c r="S1192" s="3124" t="s">
        <v>2574</v>
      </c>
      <c r="T1192" s="3124"/>
      <c r="V1192" s="3124"/>
      <c r="W1192" s="3193"/>
      <c r="X1192" s="3124">
        <v>0</v>
      </c>
      <c r="Y1192" s="3124"/>
      <c r="Z1192" s="3124"/>
      <c r="AA1192" s="3124"/>
      <c r="AC1192" s="3124"/>
    </row>
    <row r="1193" spans="1:29">
      <c r="A1193" s="3124">
        <v>1192</v>
      </c>
      <c r="B1193" s="3124"/>
      <c r="C1193" s="3124"/>
      <c r="D1193" s="3124"/>
      <c r="F1193" s="3234"/>
      <c r="G1193" s="3124"/>
      <c r="H1193" s="3124"/>
      <c r="I1193" s="3124"/>
      <c r="J1193" s="3124"/>
      <c r="K1193" s="3124"/>
      <c r="L1193" s="3124"/>
      <c r="M1193" s="3124"/>
      <c r="N1193" s="3192"/>
      <c r="O1193" s="3192"/>
      <c r="P1193" s="3192"/>
      <c r="Q1193" s="3192"/>
      <c r="R1193" s="3124" t="s">
        <v>2573</v>
      </c>
      <c r="S1193" s="3124" t="s">
        <v>2574</v>
      </c>
      <c r="T1193" s="3124"/>
      <c r="V1193" s="3124"/>
      <c r="W1193" s="3193"/>
      <c r="X1193" s="3124">
        <v>0</v>
      </c>
      <c r="Y1193" s="3124"/>
      <c r="Z1193" s="3124"/>
      <c r="AA1193" s="3124"/>
      <c r="AC1193" s="3124"/>
    </row>
    <row r="1194" spans="1:29">
      <c r="A1194" s="3124">
        <v>1193</v>
      </c>
      <c r="B1194" s="3124"/>
      <c r="C1194" s="3124"/>
      <c r="D1194" s="3124"/>
      <c r="F1194" s="3234"/>
      <c r="G1194" s="3124"/>
      <c r="H1194" s="3124"/>
      <c r="I1194" s="3124"/>
      <c r="J1194" s="3124"/>
      <c r="K1194" s="3124"/>
      <c r="L1194" s="3124"/>
      <c r="M1194" s="3124"/>
      <c r="N1194" s="3192"/>
      <c r="O1194" s="3192"/>
      <c r="P1194" s="3192"/>
      <c r="Q1194" s="3192"/>
      <c r="R1194" s="3124" t="s">
        <v>2573</v>
      </c>
      <c r="S1194" s="3124" t="s">
        <v>2574</v>
      </c>
      <c r="T1194" s="3124"/>
      <c r="V1194" s="3124"/>
      <c r="W1194" s="3193"/>
      <c r="X1194" s="3124">
        <v>0</v>
      </c>
      <c r="Y1194" s="3124"/>
      <c r="Z1194" s="3124"/>
      <c r="AA1194" s="3124"/>
      <c r="AC1194" s="3124"/>
    </row>
    <row r="1195" spans="1:29">
      <c r="A1195" s="3124">
        <v>1194</v>
      </c>
      <c r="B1195" s="3124"/>
      <c r="C1195" s="3124"/>
      <c r="D1195" s="3124"/>
      <c r="F1195" s="3234"/>
      <c r="G1195" s="3124"/>
      <c r="H1195" s="3124"/>
      <c r="I1195" s="3124"/>
      <c r="J1195" s="3124"/>
      <c r="K1195" s="3124"/>
      <c r="L1195" s="3124"/>
      <c r="M1195" s="3124"/>
      <c r="N1195" s="3192"/>
      <c r="O1195" s="3192"/>
      <c r="P1195" s="3192"/>
      <c r="Q1195" s="3192"/>
      <c r="R1195" s="3124" t="s">
        <v>2573</v>
      </c>
      <c r="S1195" s="3124" t="s">
        <v>2574</v>
      </c>
      <c r="T1195" s="3124"/>
      <c r="V1195" s="3124"/>
      <c r="W1195" s="3193"/>
      <c r="X1195" s="3124">
        <v>0</v>
      </c>
      <c r="Y1195" s="3124"/>
      <c r="Z1195" s="3124"/>
      <c r="AA1195" s="3124"/>
      <c r="AC1195" s="3124"/>
    </row>
    <row r="1196" spans="1:29">
      <c r="A1196" s="3124">
        <v>1195</v>
      </c>
      <c r="B1196" s="3124"/>
      <c r="C1196" s="3124"/>
      <c r="D1196" s="3124"/>
      <c r="F1196" s="3234"/>
      <c r="G1196" s="3124"/>
      <c r="H1196" s="3124"/>
      <c r="I1196" s="3124"/>
      <c r="J1196" s="3124"/>
      <c r="K1196" s="3124"/>
      <c r="L1196" s="3124"/>
      <c r="M1196" s="3124"/>
      <c r="N1196" s="3192"/>
      <c r="O1196" s="3192"/>
      <c r="P1196" s="3192"/>
      <c r="Q1196" s="3192"/>
      <c r="R1196" s="3124" t="s">
        <v>2573</v>
      </c>
      <c r="S1196" s="3124" t="s">
        <v>2574</v>
      </c>
      <c r="T1196" s="3124"/>
      <c r="V1196" s="3124"/>
      <c r="W1196" s="3193"/>
      <c r="X1196" s="3124">
        <v>0</v>
      </c>
      <c r="Y1196" s="3124"/>
      <c r="Z1196" s="3124"/>
      <c r="AA1196" s="3124"/>
      <c r="AC1196" s="3124"/>
    </row>
    <row r="1197" spans="1:29">
      <c r="A1197" s="3124">
        <v>1196</v>
      </c>
      <c r="B1197" s="3124"/>
      <c r="C1197" s="3124"/>
      <c r="D1197" s="3124"/>
      <c r="F1197" s="3234"/>
      <c r="G1197" s="3124"/>
      <c r="H1197" s="3124"/>
      <c r="I1197" s="3124"/>
      <c r="J1197" s="3124"/>
      <c r="K1197" s="3124"/>
      <c r="L1197" s="3124"/>
      <c r="M1197" s="3124"/>
      <c r="N1197" s="3192"/>
      <c r="O1197" s="3192"/>
      <c r="P1197" s="3192"/>
      <c r="Q1197" s="3192"/>
      <c r="R1197" s="3124" t="s">
        <v>2573</v>
      </c>
      <c r="S1197" s="3124" t="s">
        <v>2574</v>
      </c>
      <c r="T1197" s="3124"/>
      <c r="V1197" s="3124"/>
      <c r="W1197" s="3193"/>
      <c r="X1197" s="3124">
        <v>0</v>
      </c>
      <c r="Y1197" s="3124"/>
      <c r="Z1197" s="3124"/>
      <c r="AA1197" s="3124"/>
      <c r="AC1197" s="3124"/>
    </row>
    <row r="1198" spans="1:29">
      <c r="A1198" s="3124">
        <v>1197</v>
      </c>
      <c r="B1198" s="3124"/>
      <c r="C1198" s="3124"/>
      <c r="D1198" s="3124"/>
      <c r="F1198" s="3234"/>
      <c r="G1198" s="3124"/>
      <c r="H1198" s="3124"/>
      <c r="I1198" s="3124"/>
      <c r="J1198" s="3124"/>
      <c r="K1198" s="3124"/>
      <c r="L1198" s="3124"/>
      <c r="M1198" s="3124"/>
      <c r="N1198" s="3192"/>
      <c r="O1198" s="3192"/>
      <c r="P1198" s="3192"/>
      <c r="Q1198" s="3192"/>
      <c r="R1198" s="3124" t="s">
        <v>2573</v>
      </c>
      <c r="S1198" s="3124" t="s">
        <v>2574</v>
      </c>
      <c r="T1198" s="3124"/>
      <c r="V1198" s="3124"/>
      <c r="W1198" s="3193"/>
      <c r="X1198" s="3124">
        <v>0</v>
      </c>
      <c r="Y1198" s="3124"/>
      <c r="Z1198" s="3124"/>
      <c r="AA1198" s="3124"/>
      <c r="AC1198" s="3124"/>
    </row>
    <row r="1199" spans="1:29">
      <c r="A1199" s="3124">
        <v>1198</v>
      </c>
      <c r="B1199" s="3124"/>
      <c r="C1199" s="3124"/>
      <c r="D1199" s="3124"/>
      <c r="F1199" s="3234"/>
      <c r="G1199" s="3124"/>
      <c r="H1199" s="3124"/>
      <c r="I1199" s="3124"/>
      <c r="J1199" s="3124"/>
      <c r="K1199" s="3124"/>
      <c r="L1199" s="3124"/>
      <c r="M1199" s="3124"/>
      <c r="N1199" s="3192"/>
      <c r="O1199" s="3192"/>
      <c r="P1199" s="3192"/>
      <c r="Q1199" s="3192"/>
      <c r="R1199" s="3124" t="s">
        <v>2573</v>
      </c>
      <c r="S1199" s="3124" t="s">
        <v>2574</v>
      </c>
      <c r="T1199" s="3124"/>
      <c r="V1199" s="3124"/>
      <c r="W1199" s="3193"/>
      <c r="X1199" s="3124">
        <v>0</v>
      </c>
      <c r="Y1199" s="3124"/>
      <c r="Z1199" s="3124"/>
      <c r="AA1199" s="3124"/>
      <c r="AC1199" s="3124"/>
    </row>
    <row r="1200" spans="1:29">
      <c r="A1200" s="3124">
        <v>1199</v>
      </c>
      <c r="B1200" s="3124"/>
      <c r="C1200" s="3124"/>
      <c r="D1200" s="3124"/>
      <c r="F1200" s="3234"/>
      <c r="G1200" s="3124"/>
      <c r="H1200" s="3124"/>
      <c r="I1200" s="3124"/>
      <c r="J1200" s="3124"/>
      <c r="K1200" s="3124"/>
      <c r="L1200" s="3124"/>
      <c r="M1200" s="3124"/>
      <c r="N1200" s="3192"/>
      <c r="O1200" s="3192"/>
      <c r="P1200" s="3192"/>
      <c r="Q1200" s="3192"/>
      <c r="R1200" s="3124" t="s">
        <v>2573</v>
      </c>
      <c r="S1200" s="3124" t="s">
        <v>2574</v>
      </c>
      <c r="T1200" s="3124"/>
      <c r="V1200" s="3124"/>
      <c r="W1200" s="3193"/>
      <c r="X1200" s="3124">
        <v>0</v>
      </c>
      <c r="Y1200" s="3124"/>
      <c r="Z1200" s="3124"/>
      <c r="AA1200" s="3124"/>
      <c r="AC1200" s="3124"/>
    </row>
    <row r="1201" spans="1:29">
      <c r="A1201" s="3124">
        <v>1200</v>
      </c>
      <c r="B1201" s="3124"/>
      <c r="C1201" s="3124"/>
      <c r="D1201" s="3124"/>
      <c r="F1201" s="3234"/>
      <c r="G1201" s="3124"/>
      <c r="H1201" s="3124"/>
      <c r="I1201" s="3124"/>
      <c r="J1201" s="3124"/>
      <c r="K1201" s="3124"/>
      <c r="L1201" s="3124"/>
      <c r="M1201" s="3124"/>
      <c r="N1201" s="3192"/>
      <c r="O1201" s="3192"/>
      <c r="P1201" s="3192"/>
      <c r="Q1201" s="3192"/>
      <c r="R1201" s="3124" t="s">
        <v>2573</v>
      </c>
      <c r="S1201" s="3124" t="s">
        <v>2574</v>
      </c>
      <c r="T1201" s="3124"/>
      <c r="V1201" s="3124"/>
      <c r="W1201" s="3193"/>
      <c r="X1201" s="3124">
        <v>0</v>
      </c>
      <c r="Y1201" s="3124"/>
      <c r="Z1201" s="3124"/>
      <c r="AA1201" s="3124"/>
      <c r="AC1201" s="3124"/>
    </row>
    <row r="1202" spans="1:29">
      <c r="A1202" s="3124">
        <v>1201</v>
      </c>
      <c r="B1202" s="3124"/>
      <c r="C1202" s="3124"/>
      <c r="D1202" s="3124"/>
      <c r="F1202" s="3234"/>
      <c r="G1202" s="3124"/>
      <c r="H1202" s="3124"/>
      <c r="I1202" s="3124"/>
      <c r="J1202" s="3124"/>
      <c r="K1202" s="3124"/>
      <c r="L1202" s="3124"/>
      <c r="M1202" s="3124"/>
      <c r="N1202" s="3192"/>
      <c r="O1202" s="3192"/>
      <c r="P1202" s="3192"/>
      <c r="Q1202" s="3192"/>
      <c r="R1202" s="3124" t="s">
        <v>2573</v>
      </c>
      <c r="S1202" s="3124" t="s">
        <v>2574</v>
      </c>
      <c r="T1202" s="3124"/>
      <c r="V1202" s="3124"/>
      <c r="W1202" s="3193"/>
      <c r="X1202" s="3124">
        <v>0</v>
      </c>
      <c r="Y1202" s="3124"/>
      <c r="Z1202" s="3124"/>
      <c r="AA1202" s="3124"/>
      <c r="AC1202" s="3124"/>
    </row>
    <row r="1203" spans="1:29">
      <c r="A1203" s="3124">
        <v>1202</v>
      </c>
      <c r="B1203" s="3124"/>
      <c r="C1203" s="3124"/>
      <c r="D1203" s="3124"/>
      <c r="F1203" s="3234"/>
      <c r="G1203" s="3124"/>
      <c r="H1203" s="3124"/>
      <c r="I1203" s="3124"/>
      <c r="J1203" s="3124"/>
      <c r="K1203" s="3124"/>
      <c r="L1203" s="3124"/>
      <c r="M1203" s="3124"/>
      <c r="N1203" s="3192"/>
      <c r="O1203" s="3192"/>
      <c r="P1203" s="3192"/>
      <c r="Q1203" s="3192"/>
      <c r="R1203" s="3124" t="s">
        <v>2573</v>
      </c>
      <c r="S1203" s="3124" t="s">
        <v>2574</v>
      </c>
      <c r="T1203" s="3124"/>
      <c r="V1203" s="3124"/>
      <c r="W1203" s="3193"/>
      <c r="X1203" s="3124">
        <v>0</v>
      </c>
      <c r="Y1203" s="3124"/>
      <c r="Z1203" s="3124"/>
      <c r="AA1203" s="3124"/>
      <c r="AC1203" s="3124"/>
    </row>
    <row r="1204" spans="1:29">
      <c r="A1204" s="3124">
        <v>1203</v>
      </c>
      <c r="B1204" s="3124"/>
      <c r="C1204" s="3124"/>
      <c r="D1204" s="3124"/>
      <c r="F1204" s="3234"/>
      <c r="G1204" s="3124"/>
      <c r="H1204" s="3124"/>
      <c r="I1204" s="3124"/>
      <c r="J1204" s="3124"/>
      <c r="K1204" s="3124"/>
      <c r="L1204" s="3124"/>
      <c r="M1204" s="3124"/>
      <c r="N1204" s="3192"/>
      <c r="O1204" s="3192"/>
      <c r="P1204" s="3192"/>
      <c r="Q1204" s="3192"/>
      <c r="R1204" s="3124" t="s">
        <v>2573</v>
      </c>
      <c r="S1204" s="3124" t="s">
        <v>2574</v>
      </c>
      <c r="T1204" s="3124"/>
      <c r="V1204" s="3124"/>
      <c r="W1204" s="3193"/>
      <c r="X1204" s="3124">
        <v>0</v>
      </c>
      <c r="Y1204" s="3124"/>
      <c r="Z1204" s="3124"/>
      <c r="AA1204" s="3124"/>
      <c r="AC1204" s="3124"/>
    </row>
    <row r="1205" spans="1:29">
      <c r="A1205" s="3124">
        <v>1204</v>
      </c>
      <c r="B1205" s="3124"/>
      <c r="C1205" s="3124"/>
      <c r="D1205" s="3124"/>
      <c r="F1205" s="3234"/>
      <c r="G1205" s="3124"/>
      <c r="H1205" s="3124"/>
      <c r="I1205" s="3124"/>
      <c r="J1205" s="3124"/>
      <c r="K1205" s="3124"/>
      <c r="L1205" s="3124"/>
      <c r="M1205" s="3124"/>
      <c r="N1205" s="3192"/>
      <c r="O1205" s="3192"/>
      <c r="P1205" s="3192"/>
      <c r="Q1205" s="3192"/>
      <c r="R1205" s="3124" t="s">
        <v>2573</v>
      </c>
      <c r="S1205" s="3124" t="s">
        <v>2574</v>
      </c>
      <c r="T1205" s="3124"/>
      <c r="V1205" s="3124"/>
      <c r="W1205" s="3193"/>
      <c r="X1205" s="3124">
        <v>0</v>
      </c>
      <c r="Y1205" s="3124"/>
      <c r="Z1205" s="3124"/>
      <c r="AA1205" s="3124"/>
      <c r="AC1205" s="3124"/>
    </row>
    <row r="1206" spans="1:29">
      <c r="A1206" s="3124">
        <v>1205</v>
      </c>
      <c r="B1206" s="3124"/>
      <c r="C1206" s="3124"/>
      <c r="D1206" s="3124"/>
      <c r="F1206" s="3234"/>
      <c r="G1206" s="3124"/>
      <c r="H1206" s="3124"/>
      <c r="I1206" s="3124"/>
      <c r="J1206" s="3124"/>
      <c r="K1206" s="3124"/>
      <c r="L1206" s="3124"/>
      <c r="M1206" s="3124"/>
      <c r="N1206" s="3192"/>
      <c r="O1206" s="3192"/>
      <c r="P1206" s="3192"/>
      <c r="Q1206" s="3192"/>
      <c r="R1206" s="3124" t="s">
        <v>2573</v>
      </c>
      <c r="S1206" s="3124" t="s">
        <v>2574</v>
      </c>
      <c r="T1206" s="3124"/>
      <c r="V1206" s="3124"/>
      <c r="W1206" s="3193"/>
      <c r="X1206" s="3124">
        <v>0</v>
      </c>
      <c r="Y1206" s="3124"/>
      <c r="Z1206" s="3124"/>
      <c r="AA1206" s="3124"/>
      <c r="AC1206" s="3124"/>
    </row>
    <row r="1207" spans="1:29">
      <c r="A1207" s="3124">
        <v>1206</v>
      </c>
      <c r="B1207" s="3124"/>
      <c r="C1207" s="3124"/>
      <c r="D1207" s="3124"/>
      <c r="F1207" s="3234"/>
      <c r="G1207" s="3124"/>
      <c r="H1207" s="3124"/>
      <c r="I1207" s="3124"/>
      <c r="J1207" s="3124"/>
      <c r="K1207" s="3124"/>
      <c r="L1207" s="3124"/>
      <c r="M1207" s="3124"/>
      <c r="N1207" s="3192"/>
      <c r="O1207" s="3192"/>
      <c r="P1207" s="3192"/>
      <c r="Q1207" s="3192"/>
      <c r="R1207" s="3124" t="s">
        <v>2573</v>
      </c>
      <c r="S1207" s="3124" t="s">
        <v>2574</v>
      </c>
      <c r="T1207" s="3124"/>
      <c r="V1207" s="3124"/>
      <c r="W1207" s="3193"/>
      <c r="X1207" s="3124">
        <v>0</v>
      </c>
      <c r="Y1207" s="3124"/>
      <c r="Z1207" s="3124"/>
      <c r="AA1207" s="3124"/>
      <c r="AC1207" s="3124"/>
    </row>
    <row r="1208" spans="1:29">
      <c r="A1208" s="3124">
        <v>1207</v>
      </c>
      <c r="B1208" s="3124"/>
      <c r="C1208" s="3124"/>
      <c r="D1208" s="3124"/>
      <c r="F1208" s="3234"/>
      <c r="G1208" s="3124"/>
      <c r="H1208" s="3124"/>
      <c r="I1208" s="3124"/>
      <c r="J1208" s="3124"/>
      <c r="K1208" s="3124"/>
      <c r="L1208" s="3124"/>
      <c r="M1208" s="3124"/>
      <c r="N1208" s="3192"/>
      <c r="O1208" s="3192"/>
      <c r="P1208" s="3192"/>
      <c r="Q1208" s="3192"/>
      <c r="R1208" s="3124" t="s">
        <v>2573</v>
      </c>
      <c r="S1208" s="3124" t="s">
        <v>2574</v>
      </c>
      <c r="T1208" s="3124"/>
      <c r="V1208" s="3124"/>
      <c r="W1208" s="3193"/>
      <c r="X1208" s="3124">
        <v>0</v>
      </c>
      <c r="Y1208" s="3124"/>
      <c r="Z1208" s="3124"/>
      <c r="AA1208" s="3124"/>
      <c r="AC1208" s="3124"/>
    </row>
    <row r="1209" spans="1:29">
      <c r="A1209" s="3124">
        <v>1208</v>
      </c>
      <c r="B1209" s="3124"/>
      <c r="C1209" s="3124"/>
      <c r="D1209" s="3124"/>
      <c r="F1209" s="3234"/>
      <c r="G1209" s="3124"/>
      <c r="H1209" s="3124"/>
      <c r="I1209" s="3124"/>
      <c r="J1209" s="3124"/>
      <c r="K1209" s="3124"/>
      <c r="L1209" s="3124"/>
      <c r="M1209" s="3124"/>
      <c r="N1209" s="3192"/>
      <c r="O1209" s="3192"/>
      <c r="P1209" s="3192"/>
      <c r="Q1209" s="3192"/>
      <c r="R1209" s="3124" t="s">
        <v>2573</v>
      </c>
      <c r="S1209" s="3124" t="s">
        <v>2574</v>
      </c>
      <c r="T1209" s="3124"/>
      <c r="V1209" s="3124"/>
      <c r="W1209" s="3193"/>
      <c r="X1209" s="3124">
        <v>0</v>
      </c>
      <c r="Y1209" s="3124"/>
      <c r="Z1209" s="3124"/>
      <c r="AA1209" s="3124"/>
      <c r="AC1209" s="3124"/>
    </row>
    <row r="1210" spans="1:29">
      <c r="A1210" s="3124">
        <v>1209</v>
      </c>
      <c r="B1210" s="3124"/>
      <c r="C1210" s="3124"/>
      <c r="D1210" s="3124"/>
      <c r="F1210" s="3234"/>
      <c r="G1210" s="3124"/>
      <c r="H1210" s="3124"/>
      <c r="I1210" s="3124"/>
      <c r="J1210" s="3124"/>
      <c r="K1210" s="3124"/>
      <c r="L1210" s="3124"/>
      <c r="M1210" s="3124"/>
      <c r="N1210" s="3192"/>
      <c r="O1210" s="3192"/>
      <c r="P1210" s="3192"/>
      <c r="Q1210" s="3192"/>
      <c r="R1210" s="3124" t="s">
        <v>2573</v>
      </c>
      <c r="S1210" s="3124" t="s">
        <v>2574</v>
      </c>
      <c r="T1210" s="3124"/>
      <c r="V1210" s="3124"/>
      <c r="W1210" s="3193"/>
      <c r="X1210" s="3124">
        <v>0</v>
      </c>
      <c r="Y1210" s="3124"/>
      <c r="Z1210" s="3124"/>
      <c r="AA1210" s="3124"/>
      <c r="AC1210" s="3124"/>
    </row>
    <row r="1211" spans="1:29">
      <c r="A1211" s="3124">
        <v>1210</v>
      </c>
      <c r="B1211" s="3124"/>
      <c r="C1211" s="3124"/>
      <c r="D1211" s="3124"/>
      <c r="F1211" s="3234"/>
      <c r="G1211" s="3124"/>
      <c r="H1211" s="3124"/>
      <c r="I1211" s="3124"/>
      <c r="J1211" s="3124"/>
      <c r="K1211" s="3124"/>
      <c r="L1211" s="3124"/>
      <c r="M1211" s="3124"/>
      <c r="N1211" s="3192"/>
      <c r="O1211" s="3192"/>
      <c r="P1211" s="3192"/>
      <c r="Q1211" s="3192"/>
      <c r="R1211" s="3124" t="s">
        <v>2573</v>
      </c>
      <c r="S1211" s="3124" t="s">
        <v>2574</v>
      </c>
      <c r="T1211" s="3124"/>
      <c r="V1211" s="3124"/>
      <c r="W1211" s="3193"/>
      <c r="X1211" s="3124">
        <v>0</v>
      </c>
      <c r="Y1211" s="3124"/>
      <c r="Z1211" s="3124"/>
      <c r="AA1211" s="3124"/>
      <c r="AC1211" s="3124"/>
    </row>
    <row r="1212" spans="1:29">
      <c r="A1212" s="3124">
        <v>1211</v>
      </c>
      <c r="B1212" s="3124"/>
      <c r="C1212" s="3124"/>
      <c r="D1212" s="3124"/>
      <c r="F1212" s="3234"/>
      <c r="G1212" s="3124"/>
      <c r="H1212" s="3124"/>
      <c r="I1212" s="3124"/>
      <c r="J1212" s="3124"/>
      <c r="K1212" s="3124"/>
      <c r="L1212" s="3124"/>
      <c r="M1212" s="3124"/>
      <c r="N1212" s="3192"/>
      <c r="O1212" s="3192"/>
      <c r="P1212" s="3192"/>
      <c r="Q1212" s="3192"/>
      <c r="R1212" s="3124" t="s">
        <v>2573</v>
      </c>
      <c r="S1212" s="3124" t="s">
        <v>2574</v>
      </c>
      <c r="T1212" s="3124"/>
      <c r="V1212" s="3124"/>
      <c r="W1212" s="3193"/>
      <c r="X1212" s="3124">
        <v>0</v>
      </c>
      <c r="Y1212" s="3124"/>
      <c r="Z1212" s="3124"/>
      <c r="AA1212" s="3124"/>
      <c r="AC1212" s="3124"/>
    </row>
    <row r="1213" spans="1:29">
      <c r="A1213" s="3124">
        <v>1212</v>
      </c>
      <c r="B1213" s="3124"/>
      <c r="C1213" s="3124"/>
      <c r="D1213" s="3124"/>
      <c r="F1213" s="3234"/>
      <c r="G1213" s="3124"/>
      <c r="H1213" s="3124"/>
      <c r="I1213" s="3124"/>
      <c r="J1213" s="3124"/>
      <c r="K1213" s="3124"/>
      <c r="L1213" s="3124"/>
      <c r="M1213" s="3124"/>
      <c r="N1213" s="3192"/>
      <c r="O1213" s="3192"/>
      <c r="P1213" s="3192"/>
      <c r="Q1213" s="3192"/>
      <c r="R1213" s="3124" t="s">
        <v>2573</v>
      </c>
      <c r="S1213" s="3124" t="s">
        <v>2574</v>
      </c>
      <c r="T1213" s="3124"/>
      <c r="V1213" s="3124"/>
      <c r="W1213" s="3193"/>
      <c r="X1213" s="3124">
        <v>0</v>
      </c>
      <c r="Y1213" s="3124"/>
      <c r="Z1213" s="3124"/>
      <c r="AA1213" s="3124"/>
      <c r="AC1213" s="3124"/>
    </row>
    <row r="1214" spans="1:29">
      <c r="A1214" s="3124">
        <v>1213</v>
      </c>
      <c r="B1214" s="3124"/>
      <c r="C1214" s="3124"/>
      <c r="D1214" s="3124"/>
      <c r="F1214" s="3234"/>
      <c r="G1214" s="3124"/>
      <c r="H1214" s="3124"/>
      <c r="I1214" s="3124"/>
      <c r="J1214" s="3124"/>
      <c r="K1214" s="3124"/>
      <c r="L1214" s="3124"/>
      <c r="M1214" s="3124"/>
      <c r="N1214" s="3192"/>
      <c r="O1214" s="3192"/>
      <c r="P1214" s="3192"/>
      <c r="Q1214" s="3192"/>
      <c r="R1214" s="3124" t="s">
        <v>2573</v>
      </c>
      <c r="S1214" s="3124" t="s">
        <v>2574</v>
      </c>
      <c r="T1214" s="3124"/>
      <c r="V1214" s="3124"/>
      <c r="W1214" s="3193"/>
      <c r="X1214" s="3124">
        <v>0</v>
      </c>
      <c r="Y1214" s="3124"/>
      <c r="Z1214" s="3124"/>
      <c r="AA1214" s="3124"/>
      <c r="AC1214" s="3124"/>
    </row>
    <row r="1215" spans="1:29">
      <c r="A1215" s="3124">
        <v>1214</v>
      </c>
      <c r="B1215" s="3124"/>
      <c r="C1215" s="3124"/>
      <c r="D1215" s="3124"/>
      <c r="F1215" s="3234"/>
      <c r="G1215" s="3124"/>
      <c r="H1215" s="3124"/>
      <c r="I1215" s="3124"/>
      <c r="J1215" s="3124"/>
      <c r="K1215" s="3124"/>
      <c r="L1215" s="3124"/>
      <c r="M1215" s="3124"/>
      <c r="N1215" s="3192"/>
      <c r="O1215" s="3192"/>
      <c r="P1215" s="3192"/>
      <c r="Q1215" s="3192"/>
      <c r="R1215" s="3124" t="s">
        <v>2573</v>
      </c>
      <c r="S1215" s="3124" t="s">
        <v>2574</v>
      </c>
      <c r="T1215" s="3124"/>
      <c r="V1215" s="3124"/>
      <c r="W1215" s="3193"/>
      <c r="X1215" s="3124">
        <v>0</v>
      </c>
      <c r="Y1215" s="3124"/>
      <c r="Z1215" s="3124"/>
      <c r="AA1215" s="3124"/>
      <c r="AC1215" s="3124"/>
    </row>
    <row r="1216" spans="1:29">
      <c r="A1216" s="3124">
        <v>1215</v>
      </c>
      <c r="B1216" s="3124"/>
      <c r="C1216" s="3124"/>
      <c r="D1216" s="3124"/>
      <c r="F1216" s="3234"/>
      <c r="G1216" s="3124"/>
      <c r="H1216" s="3124"/>
      <c r="I1216" s="3124"/>
      <c r="J1216" s="3124"/>
      <c r="K1216" s="3124"/>
      <c r="L1216" s="3124"/>
      <c r="M1216" s="3124"/>
      <c r="N1216" s="3192"/>
      <c r="O1216" s="3192"/>
      <c r="P1216" s="3192"/>
      <c r="Q1216" s="3192"/>
      <c r="R1216" s="3124" t="s">
        <v>2573</v>
      </c>
      <c r="S1216" s="3124" t="s">
        <v>2574</v>
      </c>
      <c r="T1216" s="3124"/>
      <c r="V1216" s="3124"/>
      <c r="W1216" s="3193"/>
      <c r="X1216" s="3124">
        <v>0</v>
      </c>
      <c r="Y1216" s="3124"/>
      <c r="Z1216" s="3124"/>
      <c r="AA1216" s="3124"/>
      <c r="AC1216" s="3124"/>
    </row>
    <row r="1217" spans="1:29">
      <c r="A1217" s="3124">
        <v>1216</v>
      </c>
      <c r="B1217" s="3124"/>
      <c r="C1217" s="3124"/>
      <c r="D1217" s="3124"/>
      <c r="F1217" s="3234"/>
      <c r="G1217" s="3124"/>
      <c r="H1217" s="3124"/>
      <c r="I1217" s="3124"/>
      <c r="J1217" s="3124"/>
      <c r="K1217" s="3124"/>
      <c r="L1217" s="3124"/>
      <c r="M1217" s="3124"/>
      <c r="N1217" s="3192"/>
      <c r="O1217" s="3192"/>
      <c r="P1217" s="3192"/>
      <c r="Q1217" s="3192"/>
      <c r="R1217" s="3124" t="s">
        <v>2573</v>
      </c>
      <c r="S1217" s="3124" t="s">
        <v>2574</v>
      </c>
      <c r="T1217" s="3124"/>
      <c r="V1217" s="3124"/>
      <c r="W1217" s="3193"/>
      <c r="X1217" s="3124">
        <v>0</v>
      </c>
      <c r="Y1217" s="3124"/>
      <c r="Z1217" s="3124"/>
      <c r="AA1217" s="3124"/>
      <c r="AC1217" s="3124"/>
    </row>
    <row r="1218" spans="1:29">
      <c r="A1218" s="3124">
        <v>1217</v>
      </c>
      <c r="B1218" s="3124"/>
      <c r="C1218" s="3124"/>
      <c r="D1218" s="3124"/>
      <c r="F1218" s="3234"/>
      <c r="G1218" s="3124"/>
      <c r="H1218" s="3124"/>
      <c r="I1218" s="3124"/>
      <c r="J1218" s="3124"/>
      <c r="K1218" s="3124"/>
      <c r="L1218" s="3124"/>
      <c r="M1218" s="3124"/>
      <c r="N1218" s="3192"/>
      <c r="O1218" s="3192"/>
      <c r="P1218" s="3192"/>
      <c r="Q1218" s="3192"/>
      <c r="R1218" s="3124" t="s">
        <v>2573</v>
      </c>
      <c r="S1218" s="3124" t="s">
        <v>2574</v>
      </c>
      <c r="T1218" s="3124"/>
      <c r="V1218" s="3124"/>
      <c r="W1218" s="3193"/>
      <c r="X1218" s="3124">
        <v>0</v>
      </c>
      <c r="Y1218" s="3124"/>
      <c r="Z1218" s="3124"/>
      <c r="AA1218" s="3124"/>
      <c r="AC1218" s="3124"/>
    </row>
    <row r="1219" spans="1:29">
      <c r="A1219" s="3124">
        <v>1218</v>
      </c>
      <c r="B1219" s="3124"/>
      <c r="C1219" s="3124"/>
      <c r="D1219" s="3124"/>
      <c r="F1219" s="3234"/>
      <c r="G1219" s="3124"/>
      <c r="H1219" s="3124"/>
      <c r="I1219" s="3124"/>
      <c r="J1219" s="3124"/>
      <c r="K1219" s="3124"/>
      <c r="L1219" s="3124"/>
      <c r="M1219" s="3124"/>
      <c r="N1219" s="3192"/>
      <c r="O1219" s="3192"/>
      <c r="P1219" s="3192"/>
      <c r="Q1219" s="3192"/>
      <c r="R1219" s="3124" t="s">
        <v>2573</v>
      </c>
      <c r="S1219" s="3124" t="s">
        <v>2574</v>
      </c>
      <c r="T1219" s="3124"/>
      <c r="V1219" s="3124"/>
      <c r="W1219" s="3193"/>
      <c r="X1219" s="3124">
        <v>0</v>
      </c>
      <c r="Y1219" s="3124"/>
      <c r="Z1219" s="3124"/>
      <c r="AA1219" s="3124"/>
      <c r="AC1219" s="3124"/>
    </row>
    <row r="1220" spans="1:29">
      <c r="A1220" s="3124">
        <v>1219</v>
      </c>
      <c r="B1220" s="3124"/>
      <c r="C1220" s="3124"/>
      <c r="D1220" s="3124"/>
      <c r="F1220" s="3234"/>
      <c r="G1220" s="3124"/>
      <c r="H1220" s="3124"/>
      <c r="I1220" s="3124"/>
      <c r="J1220" s="3124"/>
      <c r="K1220" s="3124"/>
      <c r="L1220" s="3124"/>
      <c r="M1220" s="3124"/>
      <c r="N1220" s="3192"/>
      <c r="O1220" s="3192"/>
      <c r="P1220" s="3192"/>
      <c r="Q1220" s="3192"/>
      <c r="R1220" s="3124" t="s">
        <v>2573</v>
      </c>
      <c r="S1220" s="3124" t="s">
        <v>2574</v>
      </c>
      <c r="T1220" s="3124"/>
      <c r="V1220" s="3124"/>
      <c r="W1220" s="3193"/>
      <c r="X1220" s="3124">
        <v>0</v>
      </c>
      <c r="Y1220" s="3124"/>
      <c r="Z1220" s="3124"/>
      <c r="AA1220" s="3124"/>
      <c r="AC1220" s="3124"/>
    </row>
    <row r="1221" spans="1:29">
      <c r="A1221" s="3124">
        <v>1220</v>
      </c>
      <c r="B1221" s="3124"/>
      <c r="C1221" s="3124"/>
      <c r="D1221" s="3124"/>
      <c r="F1221" s="3234"/>
      <c r="G1221" s="3124"/>
      <c r="H1221" s="3124"/>
      <c r="I1221" s="3124"/>
      <c r="J1221" s="3124"/>
      <c r="K1221" s="3124"/>
      <c r="L1221" s="3124"/>
      <c r="M1221" s="3124"/>
      <c r="N1221" s="3192"/>
      <c r="O1221" s="3192"/>
      <c r="P1221" s="3192"/>
      <c r="Q1221" s="3192"/>
      <c r="R1221" s="3124" t="s">
        <v>2573</v>
      </c>
      <c r="S1221" s="3124" t="s">
        <v>2574</v>
      </c>
      <c r="T1221" s="3124"/>
      <c r="V1221" s="3124"/>
      <c r="W1221" s="3193"/>
      <c r="X1221" s="3124">
        <v>0</v>
      </c>
      <c r="Y1221" s="3124"/>
      <c r="Z1221" s="3124"/>
      <c r="AA1221" s="3124"/>
      <c r="AC1221" s="3124"/>
    </row>
    <row r="1222" spans="1:29">
      <c r="A1222" s="3124">
        <v>1221</v>
      </c>
      <c r="B1222" s="3124"/>
      <c r="C1222" s="3124"/>
      <c r="D1222" s="3124"/>
      <c r="F1222" s="3234"/>
      <c r="G1222" s="3124"/>
      <c r="H1222" s="3124"/>
      <c r="I1222" s="3124"/>
      <c r="J1222" s="3124"/>
      <c r="K1222" s="3124"/>
      <c r="L1222" s="3124"/>
      <c r="M1222" s="3124"/>
      <c r="N1222" s="3192"/>
      <c r="O1222" s="3192"/>
      <c r="P1222" s="3192"/>
      <c r="Q1222" s="3192"/>
      <c r="R1222" s="3124" t="s">
        <v>2573</v>
      </c>
      <c r="S1222" s="3124" t="s">
        <v>2574</v>
      </c>
      <c r="T1222" s="3124"/>
      <c r="V1222" s="3124"/>
      <c r="W1222" s="3193"/>
      <c r="X1222" s="3124">
        <v>0</v>
      </c>
      <c r="Y1222" s="3124"/>
      <c r="Z1222" s="3124"/>
      <c r="AA1222" s="3124"/>
      <c r="AC1222" s="3124"/>
    </row>
    <row r="1223" spans="1:29">
      <c r="A1223" s="3124">
        <v>1222</v>
      </c>
      <c r="B1223" s="3124"/>
      <c r="C1223" s="3124"/>
      <c r="D1223" s="3124"/>
      <c r="F1223" s="3234"/>
      <c r="G1223" s="3124"/>
      <c r="H1223" s="3124"/>
      <c r="I1223" s="3124"/>
      <c r="J1223" s="3124"/>
      <c r="K1223" s="3124"/>
      <c r="L1223" s="3124"/>
      <c r="M1223" s="3124"/>
      <c r="N1223" s="3192"/>
      <c r="O1223" s="3192"/>
      <c r="P1223" s="3192"/>
      <c r="Q1223" s="3192"/>
      <c r="R1223" s="3124" t="s">
        <v>2573</v>
      </c>
      <c r="S1223" s="3124" t="s">
        <v>2574</v>
      </c>
      <c r="T1223" s="3124"/>
      <c r="V1223" s="3124"/>
      <c r="W1223" s="3193"/>
      <c r="X1223" s="3124">
        <v>0</v>
      </c>
      <c r="Y1223" s="3124"/>
      <c r="Z1223" s="3124"/>
      <c r="AA1223" s="3124"/>
      <c r="AC1223" s="3124"/>
    </row>
    <row r="1224" spans="1:29">
      <c r="A1224" s="3124">
        <v>1223</v>
      </c>
      <c r="B1224" s="3124"/>
      <c r="C1224" s="3124"/>
      <c r="D1224" s="3124"/>
      <c r="F1224" s="3234"/>
      <c r="G1224" s="3124"/>
      <c r="H1224" s="3124"/>
      <c r="I1224" s="3124"/>
      <c r="J1224" s="3124"/>
      <c r="K1224" s="3124"/>
      <c r="L1224" s="3124"/>
      <c r="M1224" s="3124"/>
      <c r="N1224" s="3192"/>
      <c r="O1224" s="3192"/>
      <c r="P1224" s="3192"/>
      <c r="Q1224" s="3192"/>
      <c r="R1224" s="3124" t="s">
        <v>2573</v>
      </c>
      <c r="S1224" s="3124" t="s">
        <v>2574</v>
      </c>
      <c r="T1224" s="3124"/>
      <c r="V1224" s="3124"/>
      <c r="W1224" s="3193"/>
      <c r="X1224" s="3124">
        <v>0</v>
      </c>
      <c r="Y1224" s="3124"/>
      <c r="Z1224" s="3124"/>
      <c r="AA1224" s="3124"/>
      <c r="AC1224" s="3124"/>
    </row>
    <row r="1225" spans="1:29">
      <c r="A1225" s="3124">
        <v>1224</v>
      </c>
      <c r="B1225" s="3124"/>
      <c r="C1225" s="3124"/>
      <c r="D1225" s="3124"/>
      <c r="F1225" s="3234"/>
      <c r="G1225" s="3124"/>
      <c r="H1225" s="3124"/>
      <c r="I1225" s="3124"/>
      <c r="J1225" s="3124"/>
      <c r="K1225" s="3124"/>
      <c r="L1225" s="3124"/>
      <c r="M1225" s="3124"/>
      <c r="N1225" s="3192"/>
      <c r="O1225" s="3192"/>
      <c r="P1225" s="3192"/>
      <c r="Q1225" s="3192"/>
      <c r="R1225" s="3124" t="s">
        <v>2573</v>
      </c>
      <c r="S1225" s="3124" t="s">
        <v>2574</v>
      </c>
      <c r="T1225" s="3124"/>
      <c r="V1225" s="3124"/>
      <c r="W1225" s="3193"/>
      <c r="X1225" s="3124">
        <v>0</v>
      </c>
      <c r="Y1225" s="3124"/>
      <c r="Z1225" s="3124"/>
      <c r="AA1225" s="3124"/>
      <c r="AC1225" s="3124"/>
    </row>
    <row r="1226" spans="1:29">
      <c r="A1226" s="3124">
        <v>1225</v>
      </c>
      <c r="B1226" s="3124"/>
      <c r="C1226" s="3124"/>
      <c r="D1226" s="3124"/>
      <c r="F1226" s="3234"/>
      <c r="G1226" s="3124"/>
      <c r="H1226" s="3124"/>
      <c r="I1226" s="3124"/>
      <c r="J1226" s="3124"/>
      <c r="K1226" s="3124"/>
      <c r="L1226" s="3124"/>
      <c r="M1226" s="3124"/>
      <c r="N1226" s="3192"/>
      <c r="O1226" s="3192"/>
      <c r="P1226" s="3192"/>
      <c r="Q1226" s="3192"/>
      <c r="R1226" s="3124" t="s">
        <v>2573</v>
      </c>
      <c r="S1226" s="3124" t="s">
        <v>2574</v>
      </c>
      <c r="T1226" s="3124"/>
      <c r="V1226" s="3124"/>
      <c r="W1226" s="3193"/>
      <c r="X1226" s="3124">
        <v>0</v>
      </c>
      <c r="Y1226" s="3124"/>
      <c r="Z1226" s="3124"/>
      <c r="AA1226" s="3124"/>
      <c r="AC1226" s="3124"/>
    </row>
    <row r="1227" spans="1:29">
      <c r="A1227" s="3124">
        <v>1226</v>
      </c>
      <c r="B1227" s="3124"/>
      <c r="C1227" s="3124"/>
      <c r="D1227" s="3124"/>
      <c r="F1227" s="3234"/>
      <c r="G1227" s="3124"/>
      <c r="H1227" s="3124"/>
      <c r="I1227" s="3124"/>
      <c r="J1227" s="3124"/>
      <c r="K1227" s="3124"/>
      <c r="L1227" s="3124"/>
      <c r="M1227" s="3124"/>
      <c r="N1227" s="3192"/>
      <c r="O1227" s="3192"/>
      <c r="P1227" s="3192"/>
      <c r="Q1227" s="3192"/>
      <c r="R1227" s="3124" t="s">
        <v>2573</v>
      </c>
      <c r="S1227" s="3124" t="s">
        <v>2574</v>
      </c>
      <c r="T1227" s="3124"/>
      <c r="V1227" s="3124"/>
      <c r="W1227" s="3193"/>
      <c r="X1227" s="3124">
        <v>0</v>
      </c>
      <c r="Y1227" s="3124"/>
      <c r="Z1227" s="3124"/>
      <c r="AA1227" s="3124"/>
      <c r="AC1227" s="3124"/>
    </row>
    <row r="1228" spans="1:29">
      <c r="A1228" s="3124">
        <v>1227</v>
      </c>
      <c r="B1228" s="3124"/>
      <c r="C1228" s="3124"/>
      <c r="D1228" s="3124"/>
      <c r="F1228" s="3234"/>
      <c r="G1228" s="3124"/>
      <c r="H1228" s="3124"/>
      <c r="I1228" s="3124"/>
      <c r="J1228" s="3124"/>
      <c r="K1228" s="3124"/>
      <c r="L1228" s="3124"/>
      <c r="M1228" s="3124"/>
      <c r="N1228" s="3192"/>
      <c r="O1228" s="3192"/>
      <c r="P1228" s="3192"/>
      <c r="Q1228" s="3192"/>
      <c r="R1228" s="3124" t="s">
        <v>2573</v>
      </c>
      <c r="S1228" s="3124" t="s">
        <v>2574</v>
      </c>
      <c r="T1228" s="3124"/>
      <c r="V1228" s="3124"/>
      <c r="W1228" s="3193"/>
      <c r="X1228" s="3124">
        <v>0</v>
      </c>
      <c r="Y1228" s="3124"/>
      <c r="Z1228" s="3124"/>
      <c r="AA1228" s="3124"/>
      <c r="AC1228" s="3124"/>
    </row>
    <row r="1229" spans="1:29">
      <c r="A1229" s="3124">
        <v>1228</v>
      </c>
      <c r="B1229" s="3124"/>
      <c r="C1229" s="3124"/>
      <c r="D1229" s="3124"/>
      <c r="F1229" s="3234"/>
      <c r="G1229" s="3124"/>
      <c r="H1229" s="3124"/>
      <c r="I1229" s="3124"/>
      <c r="J1229" s="3124"/>
      <c r="K1229" s="3124"/>
      <c r="L1229" s="3124"/>
      <c r="M1229" s="3124"/>
      <c r="N1229" s="3192"/>
      <c r="O1229" s="3192"/>
      <c r="P1229" s="3192"/>
      <c r="Q1229" s="3192"/>
      <c r="R1229" s="3124" t="s">
        <v>2573</v>
      </c>
      <c r="S1229" s="3124" t="s">
        <v>2574</v>
      </c>
      <c r="T1229" s="3124"/>
      <c r="V1229" s="3124"/>
      <c r="W1229" s="3193"/>
      <c r="X1229" s="3124">
        <v>0</v>
      </c>
      <c r="Y1229" s="3124"/>
      <c r="Z1229" s="3124"/>
      <c r="AA1229" s="3124"/>
      <c r="AC1229" s="3124"/>
    </row>
    <row r="1230" spans="1:29">
      <c r="A1230" s="3124">
        <v>1229</v>
      </c>
      <c r="B1230" s="3124"/>
      <c r="C1230" s="3124"/>
      <c r="D1230" s="3124"/>
      <c r="F1230" s="3234"/>
      <c r="G1230" s="3124"/>
      <c r="H1230" s="3124"/>
      <c r="I1230" s="3124"/>
      <c r="J1230" s="3124"/>
      <c r="K1230" s="3124"/>
      <c r="L1230" s="3124"/>
      <c r="M1230" s="3124"/>
      <c r="N1230" s="3192"/>
      <c r="O1230" s="3192"/>
      <c r="P1230" s="3192"/>
      <c r="Q1230" s="3192"/>
      <c r="R1230" s="3124" t="s">
        <v>2573</v>
      </c>
      <c r="S1230" s="3124" t="s">
        <v>2574</v>
      </c>
      <c r="T1230" s="3124"/>
      <c r="V1230" s="3124"/>
      <c r="W1230" s="3193"/>
      <c r="X1230" s="3124">
        <v>0</v>
      </c>
      <c r="Y1230" s="3124"/>
      <c r="Z1230" s="3124"/>
      <c r="AA1230" s="3124"/>
      <c r="AC1230" s="3124"/>
    </row>
    <row r="1231" spans="1:29">
      <c r="A1231" s="3124">
        <v>1230</v>
      </c>
      <c r="B1231" s="3124"/>
      <c r="C1231" s="3124"/>
      <c r="D1231" s="3124"/>
      <c r="F1231" s="3234"/>
      <c r="G1231" s="3124"/>
      <c r="H1231" s="3124"/>
      <c r="I1231" s="3124"/>
      <c r="J1231" s="3124"/>
      <c r="K1231" s="3124"/>
      <c r="L1231" s="3124"/>
      <c r="M1231" s="3124"/>
      <c r="N1231" s="3192"/>
      <c r="O1231" s="3192"/>
      <c r="P1231" s="3192"/>
      <c r="Q1231" s="3192"/>
      <c r="R1231" s="3124" t="s">
        <v>2573</v>
      </c>
      <c r="S1231" s="3124" t="s">
        <v>2574</v>
      </c>
      <c r="T1231" s="3124"/>
      <c r="V1231" s="3124"/>
      <c r="W1231" s="3193"/>
      <c r="X1231" s="3124">
        <v>0</v>
      </c>
      <c r="Y1231" s="3124"/>
      <c r="Z1231" s="3124"/>
      <c r="AA1231" s="3124"/>
      <c r="AC1231" s="3124"/>
    </row>
    <row r="1232" spans="1:29">
      <c r="A1232" s="3124">
        <v>1231</v>
      </c>
      <c r="B1232" s="3124"/>
      <c r="C1232" s="3124"/>
      <c r="D1232" s="3124"/>
      <c r="F1232" s="3234"/>
      <c r="G1232" s="3124"/>
      <c r="H1232" s="3124"/>
      <c r="I1232" s="3124"/>
      <c r="J1232" s="3124"/>
      <c r="K1232" s="3124"/>
      <c r="L1232" s="3124"/>
      <c r="M1232" s="3124"/>
      <c r="N1232" s="3192"/>
      <c r="O1232" s="3192"/>
      <c r="P1232" s="3192"/>
      <c r="Q1232" s="3192"/>
      <c r="R1232" s="3124" t="s">
        <v>2573</v>
      </c>
      <c r="S1232" s="3124" t="s">
        <v>2574</v>
      </c>
      <c r="T1232" s="3124"/>
      <c r="V1232" s="3124"/>
      <c r="W1232" s="3193"/>
      <c r="X1232" s="3124">
        <v>0</v>
      </c>
      <c r="Y1232" s="3124"/>
      <c r="Z1232" s="3124"/>
      <c r="AA1232" s="3124"/>
      <c r="AC1232" s="3124"/>
    </row>
    <row r="1233" spans="1:29">
      <c r="A1233" s="3124">
        <v>1232</v>
      </c>
      <c r="B1233" s="3124"/>
      <c r="C1233" s="3124"/>
      <c r="D1233" s="3124"/>
      <c r="F1233" s="3234"/>
      <c r="G1233" s="3124"/>
      <c r="H1233" s="3124"/>
      <c r="I1233" s="3124"/>
      <c r="J1233" s="3124"/>
      <c r="K1233" s="3124"/>
      <c r="L1233" s="3124"/>
      <c r="M1233" s="3124"/>
      <c r="N1233" s="3192"/>
      <c r="O1233" s="3192"/>
      <c r="P1233" s="3192"/>
      <c r="Q1233" s="3192"/>
      <c r="R1233" s="3124" t="s">
        <v>2573</v>
      </c>
      <c r="S1233" s="3124" t="s">
        <v>2574</v>
      </c>
      <c r="T1233" s="3124"/>
      <c r="V1233" s="3124"/>
      <c r="W1233" s="3193"/>
      <c r="X1233" s="3124">
        <v>0</v>
      </c>
      <c r="Y1233" s="3124"/>
      <c r="Z1233" s="3124"/>
      <c r="AA1233" s="3124"/>
      <c r="AC1233" s="3124"/>
    </row>
    <row r="1234" spans="1:29">
      <c r="C1234" s="186"/>
      <c r="E1234" s="1875"/>
    </row>
    <row r="1239" spans="1:29">
      <c r="A1239" s="1799"/>
      <c r="B1239" s="1799"/>
      <c r="C1239" s="1799"/>
      <c r="D1239" s="1799"/>
      <c r="E1239" s="1799"/>
      <c r="F1239" s="3800"/>
      <c r="G1239" s="1799"/>
      <c r="H1239" s="1799"/>
      <c r="I1239" s="1799"/>
      <c r="J1239" s="1799"/>
      <c r="K1239" s="1799"/>
      <c r="L1239" s="1799"/>
      <c r="M1239" s="1799"/>
    </row>
  </sheetData>
  <phoneticPr fontId="328" type="noConversion"/>
  <conditionalFormatting sqref="A2:A1233">
    <cfRule type="duplicateValues" dxfId="355" priority="547"/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1C0B0-068D-438B-8B7B-D63BCD261F61}">
  <sheetPr codeName="Hoja18"/>
  <dimension ref="A1:BK64"/>
  <sheetViews>
    <sheetView workbookViewId="0">
      <selection activeCell="A3" sqref="A3:T16"/>
    </sheetView>
  </sheetViews>
  <sheetFormatPr baseColWidth="10" defaultColWidth="11.42578125" defaultRowHeight="15"/>
  <cols>
    <col min="1" max="4" width="11.42578125" style="1544"/>
    <col min="5" max="5" width="19" style="1544" customWidth="1"/>
    <col min="6" max="6" width="11.42578125" style="1544"/>
    <col min="7" max="7" width="33.28515625" style="1544" bestFit="1" customWidth="1"/>
    <col min="8" max="16384" width="11.42578125" style="1544"/>
  </cols>
  <sheetData>
    <row r="1" spans="1:63" ht="15.75">
      <c r="G1" s="1545" t="s">
        <v>1658</v>
      </c>
    </row>
    <row r="2" spans="1:63" ht="15.75" thickBot="1"/>
    <row r="3" spans="1:63" ht="15.75" customHeight="1" thickBot="1">
      <c r="A3" s="1546"/>
      <c r="B3" s="4083" t="s">
        <v>5</v>
      </c>
      <c r="C3" s="1548" t="s">
        <v>1630</v>
      </c>
      <c r="D3" s="4085" t="s">
        <v>3866</v>
      </c>
      <c r="E3" s="4085" t="s">
        <v>6</v>
      </c>
      <c r="F3" s="4085" t="s">
        <v>7</v>
      </c>
      <c r="G3" s="4098" t="s">
        <v>8</v>
      </c>
      <c r="H3" s="4099" t="s">
        <v>9</v>
      </c>
      <c r="I3" s="4086" t="s">
        <v>10</v>
      </c>
      <c r="J3" s="4087"/>
      <c r="K3" s="4087"/>
      <c r="L3" s="4069"/>
      <c r="M3" s="1549"/>
      <c r="N3" s="4081" t="s">
        <v>2575</v>
      </c>
      <c r="O3" s="4075"/>
      <c r="P3" s="4075"/>
      <c r="Q3" s="4075"/>
      <c r="R3" s="4075"/>
      <c r="S3" s="4075"/>
      <c r="T3" s="4075"/>
      <c r="U3" s="4082" t="s">
        <v>2576</v>
      </c>
      <c r="V3" s="4075"/>
      <c r="W3" s="4075"/>
      <c r="X3" s="4075"/>
      <c r="Y3" s="4075"/>
      <c r="Z3" s="4075"/>
      <c r="AA3" s="4076" t="s">
        <v>2577</v>
      </c>
      <c r="AB3" s="4075"/>
      <c r="AC3" s="4075"/>
      <c r="AD3" s="4075"/>
      <c r="AE3" s="4075"/>
      <c r="AF3" s="4075"/>
      <c r="AG3" s="4077" t="s">
        <v>234</v>
      </c>
      <c r="AH3" s="4075"/>
      <c r="AI3" s="4075"/>
      <c r="AJ3" s="4075"/>
      <c r="AK3" s="4075"/>
      <c r="AL3" s="4075"/>
      <c r="AM3" s="4079" t="s">
        <v>15</v>
      </c>
      <c r="AN3" s="4075"/>
      <c r="AO3" s="4075"/>
      <c r="AP3" s="4075"/>
      <c r="AQ3" s="4075"/>
      <c r="AR3" s="4075"/>
      <c r="AS3" s="4080" t="s">
        <v>16</v>
      </c>
      <c r="AT3" s="4075"/>
      <c r="AU3" s="4075"/>
      <c r="AV3" s="4075"/>
      <c r="AW3" s="4075"/>
      <c r="AX3" s="4075"/>
      <c r="AY3" s="4078" t="s">
        <v>17</v>
      </c>
      <c r="AZ3" s="4075"/>
      <c r="BA3" s="4075"/>
      <c r="BB3" s="4075"/>
      <c r="BC3" s="4075"/>
      <c r="BD3" s="4075"/>
      <c r="BE3" s="4074" t="s">
        <v>18</v>
      </c>
      <c r="BF3" s="4075"/>
      <c r="BG3" s="4075"/>
      <c r="BH3" s="4075"/>
      <c r="BI3" s="4075"/>
      <c r="BJ3" s="4075"/>
      <c r="BK3" s="1551" t="s">
        <v>235</v>
      </c>
    </row>
    <row r="4" spans="1:63" ht="53.65" customHeight="1" thickBot="1">
      <c r="A4" s="1546"/>
      <c r="B4" s="4075"/>
      <c r="C4" s="1548" t="s">
        <v>1843</v>
      </c>
      <c r="D4" s="4075"/>
      <c r="E4" s="4075"/>
      <c r="F4" s="4075"/>
      <c r="G4" s="4075"/>
      <c r="H4" s="4075"/>
      <c r="I4" s="4087"/>
      <c r="J4" s="4088"/>
      <c r="K4" s="4087"/>
      <c r="L4" s="4070"/>
      <c r="M4" s="1552" t="s">
        <v>1149</v>
      </c>
      <c r="N4" s="1553"/>
      <c r="O4" s="1554"/>
      <c r="P4" s="1554"/>
      <c r="Q4" s="1554"/>
      <c r="R4" s="1554"/>
      <c r="S4" s="1554"/>
      <c r="T4" s="1554"/>
      <c r="U4" s="1553"/>
      <c r="V4" s="1554"/>
      <c r="W4" s="1554"/>
      <c r="X4" s="1554"/>
      <c r="Y4" s="1554"/>
      <c r="Z4" s="1554"/>
      <c r="AA4" s="1555"/>
      <c r="AB4" s="1554"/>
      <c r="AC4" s="1554"/>
      <c r="AD4" s="1554"/>
      <c r="AE4" s="1554"/>
      <c r="AF4" s="1554"/>
      <c r="AG4" s="1555"/>
      <c r="AH4" s="1554"/>
      <c r="AI4" s="1554"/>
      <c r="AJ4" s="1554"/>
      <c r="AK4" s="1554"/>
      <c r="AL4" s="1554"/>
      <c r="AM4" s="1556"/>
      <c r="AN4" s="1557"/>
      <c r="AO4" s="1558"/>
      <c r="AP4" s="1558"/>
      <c r="AQ4" s="1558"/>
      <c r="AR4" s="1558"/>
      <c r="AS4" s="1558"/>
      <c r="AT4" s="1558"/>
      <c r="AU4" s="1558"/>
      <c r="AV4" s="1558"/>
      <c r="AW4" s="1558"/>
      <c r="AX4" s="1558"/>
      <c r="AY4" s="1558"/>
      <c r="AZ4" s="1558"/>
      <c r="BA4" s="1558"/>
      <c r="BB4" s="1558"/>
      <c r="BC4" s="1558"/>
      <c r="BD4" s="1558"/>
      <c r="BE4" s="1558"/>
      <c r="BF4" s="1558"/>
      <c r="BG4" s="1558"/>
      <c r="BH4" s="1559"/>
      <c r="BI4" s="1559"/>
      <c r="BJ4" s="1560"/>
      <c r="BK4" s="1561"/>
    </row>
    <row r="5" spans="1:63" ht="23.25" thickBot="1">
      <c r="A5" s="1562" t="s">
        <v>27</v>
      </c>
      <c r="B5" s="4075"/>
      <c r="C5" s="1547"/>
      <c r="D5" s="4075"/>
      <c r="E5" s="4075"/>
      <c r="F5" s="4075"/>
      <c r="G5" s="4075"/>
      <c r="H5" s="4075"/>
      <c r="I5" s="4087"/>
      <c r="J5" s="4087"/>
      <c r="K5" s="4087"/>
      <c r="L5" s="1550"/>
      <c r="M5" s="1552" t="s">
        <v>1728</v>
      </c>
      <c r="N5" s="1563" t="s">
        <v>3879</v>
      </c>
      <c r="O5" s="1563" t="s">
        <v>3880</v>
      </c>
      <c r="P5" s="1563" t="s">
        <v>3881</v>
      </c>
      <c r="Q5" s="1563" t="s">
        <v>32</v>
      </c>
      <c r="R5" s="1563" t="s">
        <v>33</v>
      </c>
      <c r="S5" s="1563" t="s">
        <v>34</v>
      </c>
      <c r="T5" s="1563" t="s">
        <v>56</v>
      </c>
      <c r="U5" s="1563" t="s">
        <v>35</v>
      </c>
      <c r="V5" s="1563" t="s">
        <v>36</v>
      </c>
      <c r="W5" s="1563" t="s">
        <v>39</v>
      </c>
      <c r="X5" s="1563" t="s">
        <v>38</v>
      </c>
      <c r="Y5" s="1563" t="s">
        <v>40</v>
      </c>
      <c r="Z5" s="1563" t="s">
        <v>75</v>
      </c>
      <c r="AA5" s="1563" t="s">
        <v>37</v>
      </c>
      <c r="AB5" s="1563" t="s">
        <v>41</v>
      </c>
      <c r="AC5" s="1563" t="s">
        <v>42</v>
      </c>
      <c r="AD5" s="1563" t="s">
        <v>43</v>
      </c>
      <c r="AE5" s="1563" t="s">
        <v>44</v>
      </c>
      <c r="AF5" s="1563" t="s">
        <v>45</v>
      </c>
      <c r="AG5" s="1563" t="s">
        <v>47</v>
      </c>
      <c r="AH5" s="1563" t="s">
        <v>48</v>
      </c>
      <c r="AI5" s="1563" t="s">
        <v>49</v>
      </c>
      <c r="AJ5" s="1563" t="s">
        <v>51</v>
      </c>
      <c r="AK5" s="1563" t="s">
        <v>50</v>
      </c>
      <c r="AL5" s="1563" t="s">
        <v>52</v>
      </c>
      <c r="AM5" s="1563" t="s">
        <v>53</v>
      </c>
      <c r="AN5" s="1563" t="s">
        <v>173</v>
      </c>
      <c r="AO5" s="1563" t="s">
        <v>55</v>
      </c>
      <c r="AP5" s="1563" t="s">
        <v>56</v>
      </c>
      <c r="AQ5" s="1563" t="s">
        <v>62</v>
      </c>
      <c r="AR5" s="1563" t="s">
        <v>58</v>
      </c>
      <c r="AS5" s="1563" t="s">
        <v>59</v>
      </c>
      <c r="AT5" s="1563" t="s">
        <v>260</v>
      </c>
      <c r="AU5" s="1563" t="s">
        <v>60</v>
      </c>
      <c r="AV5" s="1563" t="s">
        <v>260</v>
      </c>
      <c r="AW5" s="1563" t="s">
        <v>63</v>
      </c>
      <c r="AX5" s="1563" t="s">
        <v>64</v>
      </c>
      <c r="AY5" s="1563" t="s">
        <v>65</v>
      </c>
      <c r="AZ5" s="1563" t="s">
        <v>66</v>
      </c>
      <c r="BA5" s="1563" t="s">
        <v>67</v>
      </c>
      <c r="BB5" s="1563" t="s">
        <v>68</v>
      </c>
      <c r="BC5" s="1563" t="s">
        <v>69</v>
      </c>
      <c r="BD5" s="1563" t="s">
        <v>261</v>
      </c>
      <c r="BE5" s="1563" t="s">
        <v>70</v>
      </c>
      <c r="BF5" s="1563" t="s">
        <v>71</v>
      </c>
      <c r="BG5" s="1563" t="s">
        <v>72</v>
      </c>
      <c r="BH5" s="1563" t="s">
        <v>73</v>
      </c>
      <c r="BI5" s="1563" t="s">
        <v>74</v>
      </c>
      <c r="BJ5" s="1549"/>
      <c r="BK5" s="1563" t="s">
        <v>76</v>
      </c>
    </row>
    <row r="6" spans="1:63" ht="34.5" thickBot="1">
      <c r="A6" s="1548" t="s">
        <v>1630</v>
      </c>
      <c r="B6" s="4084"/>
      <c r="C6" s="1564" t="s">
        <v>3882</v>
      </c>
      <c r="D6" s="4084"/>
      <c r="E6" s="4084"/>
      <c r="F6" s="4084"/>
      <c r="G6" s="1565" t="s">
        <v>78</v>
      </c>
      <c r="H6" s="4084"/>
      <c r="I6" s="1566" t="s">
        <v>79</v>
      </c>
      <c r="J6" s="1566" t="s">
        <v>80</v>
      </c>
      <c r="K6" s="1566" t="s">
        <v>81</v>
      </c>
      <c r="L6" s="1567" t="s">
        <v>1759</v>
      </c>
      <c r="M6" s="1568" t="s">
        <v>27</v>
      </c>
      <c r="N6" s="1569"/>
      <c r="O6" s="1569"/>
      <c r="P6" s="1569"/>
      <c r="Q6" s="1569"/>
      <c r="R6" s="1569"/>
      <c r="S6" s="1569"/>
      <c r="T6" s="1570"/>
      <c r="U6" s="1569"/>
      <c r="V6" s="1569"/>
      <c r="W6" s="1570"/>
      <c r="X6" s="1569"/>
      <c r="Y6" s="1570"/>
      <c r="Z6" s="1569"/>
      <c r="AA6" s="1569"/>
      <c r="AB6" s="1571"/>
      <c r="AC6" s="1571"/>
      <c r="AD6" s="1569"/>
      <c r="AE6" s="1569"/>
      <c r="AF6" s="1569"/>
      <c r="AG6" s="1570"/>
      <c r="AH6" s="1571"/>
      <c r="AI6" s="1571"/>
      <c r="AJ6" s="1572"/>
      <c r="AK6" s="1571"/>
      <c r="AL6" s="1571"/>
      <c r="AM6" s="1569"/>
      <c r="AN6" s="1569"/>
      <c r="AO6" s="1569"/>
      <c r="AP6" s="1569"/>
      <c r="AQ6" s="1569"/>
      <c r="AR6" s="1569"/>
      <c r="AS6" s="1569"/>
      <c r="AT6" s="1569"/>
      <c r="AU6" s="1569"/>
      <c r="AV6" s="1569"/>
      <c r="AW6" s="1569"/>
      <c r="AX6" s="1569"/>
      <c r="AY6" s="1569"/>
      <c r="AZ6" s="1569"/>
      <c r="BA6" s="1569"/>
      <c r="BB6" s="1569"/>
      <c r="BC6" s="1569"/>
      <c r="BD6" s="1569"/>
      <c r="BE6" s="1569"/>
      <c r="BF6" s="1573"/>
      <c r="BG6" s="1573"/>
      <c r="BH6" s="1569"/>
      <c r="BI6" s="1573"/>
      <c r="BJ6" s="1569"/>
      <c r="BK6" s="1573"/>
    </row>
    <row r="7" spans="1:63" ht="16.5" thickBot="1">
      <c r="A7" s="1546"/>
      <c r="B7" s="1574">
        <v>1</v>
      </c>
      <c r="C7" s="1575" t="str">
        <f>_xlfn.XLOOKUP($D7, Tabla3[No.], Tabla3[FECHA DE INICIO (PRIMERA CLASE CALENDARIO)]," ")</f>
        <v xml:space="preserve"> </v>
      </c>
      <c r="D7" s="1576"/>
      <c r="E7" s="1577" t="str">
        <f>_xlfn.XLOOKUP($D7,  Tabla3[No.],  Tabla3[CURP], " ")</f>
        <v xml:space="preserve"> </v>
      </c>
      <c r="F7" s="1578" t="str">
        <f>_xlfn.XLOOKUP($D7,  Tabla3[No.],  Tabla3[Matrícula Of. SEQ], " ")</f>
        <v xml:space="preserve"> </v>
      </c>
      <c r="G7" s="1579" t="str">
        <f>IFERROR(VLOOKUP(D7,Tabla3[],5,FALSE),"")</f>
        <v/>
      </c>
      <c r="H7" s="1580" t="str">
        <f>MID($E7,11,1)</f>
        <v/>
      </c>
      <c r="I7" s="1580" t="str">
        <f>MID($E7,5,2)</f>
        <v/>
      </c>
      <c r="J7" s="1580" t="str">
        <f>MID($E7,7,2)</f>
        <v/>
      </c>
      <c r="K7" s="1580" t="str">
        <f>MID($E7,9,2)</f>
        <v/>
      </c>
      <c r="L7" s="1580" t="str">
        <f>_xlfn.XLOOKUP($D7,  Tabla3[No.],  Tabla3[ESTATUS ACADÉMICO], " ")</f>
        <v xml:space="preserve"> </v>
      </c>
      <c r="M7" s="1581" t="str">
        <f>_xlfn.XLOOKUP($D7,  Tabla3[No.],  Tabla3[Grupo de clase], " ")</f>
        <v xml:space="preserve"> </v>
      </c>
      <c r="N7" s="1582"/>
      <c r="O7" s="1583"/>
      <c r="P7" s="1583"/>
      <c r="Q7" s="1580"/>
      <c r="R7" s="1583"/>
      <c r="S7" s="1583"/>
      <c r="T7" s="1584"/>
      <c r="U7" s="1585"/>
      <c r="V7" s="1580"/>
      <c r="W7" s="1580"/>
      <c r="X7" s="1580"/>
      <c r="Y7" s="1586"/>
      <c r="Z7" s="1584"/>
      <c r="AA7" s="1587"/>
      <c r="AB7" s="1588"/>
      <c r="AC7" s="1589"/>
      <c r="AD7" s="1588"/>
      <c r="AE7" s="1588"/>
      <c r="AF7" s="1590"/>
      <c r="AG7" s="1591"/>
      <c r="AH7" s="1592"/>
      <c r="AI7" s="1593"/>
      <c r="AJ7" s="1588"/>
      <c r="AK7" s="1588"/>
      <c r="AL7" s="1594"/>
      <c r="AM7" s="1587"/>
      <c r="AN7" s="1588"/>
      <c r="AO7" s="1595"/>
      <c r="AP7" s="1588"/>
      <c r="AQ7" s="1588"/>
      <c r="AR7" s="1590"/>
      <c r="AS7" s="1587"/>
      <c r="AT7" s="1588"/>
      <c r="AU7" s="1588"/>
      <c r="AV7" s="1588"/>
      <c r="AW7" s="1588"/>
      <c r="AX7" s="1590"/>
      <c r="AY7" s="1596"/>
      <c r="AZ7" s="1580"/>
      <c r="BA7" s="1597"/>
      <c r="BB7" s="1597"/>
      <c r="BC7" s="1576"/>
      <c r="BD7" s="1590"/>
      <c r="BE7" s="1587"/>
      <c r="BF7" s="1588"/>
      <c r="BG7" s="1588"/>
      <c r="BH7" s="1588"/>
      <c r="BI7" s="1588"/>
      <c r="BJ7" s="1590"/>
      <c r="BK7" s="1598"/>
    </row>
    <row r="8" spans="1:63" ht="16.5" thickBot="1">
      <c r="A8" s="1546"/>
      <c r="B8" s="1599">
        <v>2</v>
      </c>
      <c r="C8" s="1600" t="str">
        <f>_xlfn.XLOOKUP($D8, Tabla3[No.], Tabla3[FECHA DE INICIO (PRIMERA CLASE CALENDARIO)]," ")</f>
        <v xml:space="preserve"> </v>
      </c>
      <c r="D8" s="1601"/>
      <c r="E8" s="1602" t="str">
        <f>_xlfn.XLOOKUP($D8,  Tabla3[No.],  Tabla3[CURP], " ")</f>
        <v xml:space="preserve"> </v>
      </c>
      <c r="F8" s="1603" t="str">
        <f>_xlfn.XLOOKUP($D8,  Tabla3[No.],  Tabla3[Matrícula Of. SEQ], " ")</f>
        <v xml:space="preserve"> </v>
      </c>
      <c r="G8" s="1604" t="str">
        <f>IFERROR(VLOOKUP(D8,Tabla3[],5,FALSE),"")</f>
        <v/>
      </c>
      <c r="H8" s="1605" t="str">
        <f t="shared" ref="H8:H31" si="0">MID($E8,11,1)</f>
        <v/>
      </c>
      <c r="I8" s="1605" t="str">
        <f t="shared" ref="I8:I31" si="1">MID($E8,5,2)</f>
        <v/>
      </c>
      <c r="J8" s="1605" t="str">
        <f t="shared" ref="J8:J31" si="2">MID($E8,7,2)</f>
        <v/>
      </c>
      <c r="K8" s="1605" t="str">
        <f t="shared" ref="K8:K31" si="3">MID($E8,9,2)</f>
        <v/>
      </c>
      <c r="L8" s="1580" t="str">
        <f>_xlfn.XLOOKUP($D8,  Tabla3[No.],  Tabla3[ESTATUS ACADÉMICO], " ")</f>
        <v xml:space="preserve"> </v>
      </c>
      <c r="M8" s="1606" t="str">
        <f>_xlfn.XLOOKUP($D8,  Tabla3[No.],  Tabla3[Grupo de clase], " ")</f>
        <v xml:space="preserve"> </v>
      </c>
      <c r="N8" s="1607"/>
      <c r="O8" s="1608"/>
      <c r="P8" s="1608"/>
      <c r="Q8" s="1605"/>
      <c r="R8" s="1608"/>
      <c r="S8" s="1608"/>
      <c r="T8" s="1609"/>
      <c r="U8" s="1610"/>
      <c r="V8" s="1605"/>
      <c r="W8" s="1605"/>
      <c r="X8" s="1605"/>
      <c r="Y8" s="1611"/>
      <c r="Z8" s="1609"/>
      <c r="AA8" s="1612"/>
      <c r="AB8" s="1613"/>
      <c r="AC8" s="1614"/>
      <c r="AD8" s="1613"/>
      <c r="AE8" s="1615"/>
      <c r="AF8" s="1616"/>
      <c r="AG8" s="1617"/>
      <c r="AH8" s="1618"/>
      <c r="AI8" s="1619"/>
      <c r="AJ8" s="1613"/>
      <c r="AK8" s="1613"/>
      <c r="AL8" s="1620"/>
      <c r="AM8" s="1612"/>
      <c r="AN8" s="1613"/>
      <c r="AO8" s="1621"/>
      <c r="AP8" s="1613"/>
      <c r="AQ8" s="1613"/>
      <c r="AR8" s="1616"/>
      <c r="AS8" s="1612"/>
      <c r="AT8" s="1613"/>
      <c r="AU8" s="1613"/>
      <c r="AV8" s="1613"/>
      <c r="AW8" s="1613"/>
      <c r="AX8" s="1616"/>
      <c r="AY8" s="1599"/>
      <c r="AZ8" s="1605"/>
      <c r="BA8" s="1622"/>
      <c r="BB8" s="1622"/>
      <c r="BC8" s="1601"/>
      <c r="BD8" s="1616"/>
      <c r="BE8" s="1612"/>
      <c r="BF8" s="1613"/>
      <c r="BG8" s="1619"/>
      <c r="BH8" s="1619"/>
      <c r="BI8" s="1619"/>
      <c r="BJ8" s="1616"/>
      <c r="BK8" s="1623"/>
    </row>
    <row r="9" spans="1:63" ht="16.5" thickBot="1">
      <c r="A9" s="1546"/>
      <c r="B9" s="1599">
        <v>3</v>
      </c>
      <c r="C9" s="1600" t="str">
        <f>_xlfn.XLOOKUP($D9, Tabla3[No.], Tabla3[FECHA DE INICIO (PRIMERA CLASE CALENDARIO)]," ")</f>
        <v xml:space="preserve"> </v>
      </c>
      <c r="D9" s="1601"/>
      <c r="E9" s="1602" t="str">
        <f>_xlfn.XLOOKUP($D9,  Tabla3[No.],  Tabla3[CURP], " ")</f>
        <v xml:space="preserve"> </v>
      </c>
      <c r="F9" s="1603" t="str">
        <f>_xlfn.XLOOKUP($D9,  Tabla3[No.],  Tabla3[Matrícula Of. SEQ], " ")</f>
        <v xml:space="preserve"> </v>
      </c>
      <c r="G9" s="1604" t="str">
        <f>IFERROR(VLOOKUP(D9,Tabla3[],5,FALSE),"")</f>
        <v/>
      </c>
      <c r="H9" s="1605" t="str">
        <f t="shared" si="0"/>
        <v/>
      </c>
      <c r="I9" s="1605" t="str">
        <f t="shared" si="1"/>
        <v/>
      </c>
      <c r="J9" s="1605" t="str">
        <f t="shared" si="2"/>
        <v/>
      </c>
      <c r="K9" s="1605" t="str">
        <f t="shared" si="3"/>
        <v/>
      </c>
      <c r="L9" s="1580" t="str">
        <f>_xlfn.XLOOKUP($D9,  Tabla3[No.],  Tabla3[ESTATUS ACADÉMICO], " ")</f>
        <v xml:space="preserve"> </v>
      </c>
      <c r="M9" s="1606" t="str">
        <f>_xlfn.XLOOKUP($D9,  Tabla3[No.],  Tabla3[Grupo de clase], " ")</f>
        <v xml:space="preserve"> </v>
      </c>
      <c r="N9" s="1607"/>
      <c r="O9" s="1608"/>
      <c r="P9" s="1608"/>
      <c r="Q9" s="1605"/>
      <c r="R9" s="1608"/>
      <c r="S9" s="1608"/>
      <c r="T9" s="1609"/>
      <c r="U9" s="1610"/>
      <c r="V9" s="1605"/>
      <c r="W9" s="1605"/>
      <c r="X9" s="1605"/>
      <c r="Y9" s="1611"/>
      <c r="Z9" s="1609"/>
      <c r="AA9" s="1612"/>
      <c r="AB9" s="1613"/>
      <c r="AC9" s="1624"/>
      <c r="AD9" s="1613"/>
      <c r="AE9" s="1613"/>
      <c r="AF9" s="1620"/>
      <c r="AG9" s="1617"/>
      <c r="AH9" s="1613"/>
      <c r="AI9" s="1619"/>
      <c r="AJ9" s="1613"/>
      <c r="AK9" s="1619"/>
      <c r="AL9" s="1620"/>
      <c r="AM9" s="1612"/>
      <c r="AN9" s="1613"/>
      <c r="AO9" s="1621"/>
      <c r="AP9" s="1613"/>
      <c r="AQ9" s="1625"/>
      <c r="AR9" s="1620"/>
      <c r="AS9" s="1612"/>
      <c r="AT9" s="1613"/>
      <c r="AU9" s="1613"/>
      <c r="AV9" s="1613"/>
      <c r="AW9" s="1613"/>
      <c r="AX9" s="1616"/>
      <c r="AY9" s="1626"/>
      <c r="AZ9" s="1605"/>
      <c r="BA9" s="1622"/>
      <c r="BB9" s="1622"/>
      <c r="BC9" s="1601"/>
      <c r="BD9" s="1616"/>
      <c r="BE9" s="1612"/>
      <c r="BF9" s="1613"/>
      <c r="BG9" s="1619"/>
      <c r="BH9" s="1619"/>
      <c r="BI9" s="1619"/>
      <c r="BJ9" s="1616"/>
      <c r="BK9" s="1623"/>
    </row>
    <row r="10" spans="1:63" ht="16.5" thickBot="1">
      <c r="A10" s="1546"/>
      <c r="B10" s="1599">
        <v>4</v>
      </c>
      <c r="C10" s="1600" t="str">
        <f>_xlfn.XLOOKUP($D10, Tabla3[No.], Tabla3[FECHA DE INICIO (PRIMERA CLASE CALENDARIO)]," ")</f>
        <v xml:space="preserve"> </v>
      </c>
      <c r="D10" s="1601"/>
      <c r="E10" s="1602" t="str">
        <f>_xlfn.XLOOKUP($D10,  Tabla3[No.],  Tabla3[CURP], " ")</f>
        <v xml:space="preserve"> </v>
      </c>
      <c r="F10" s="1603" t="str">
        <f>_xlfn.XLOOKUP($D10,  Tabla3[No.],  Tabla3[Matrícula Of. SEQ], " ")</f>
        <v xml:space="preserve"> </v>
      </c>
      <c r="G10" s="1604" t="str">
        <f>IFERROR(VLOOKUP(D10,Tabla3[],5,FALSE),"")</f>
        <v/>
      </c>
      <c r="H10" s="1605" t="str">
        <f t="shared" si="0"/>
        <v/>
      </c>
      <c r="I10" s="1605" t="str">
        <f t="shared" si="1"/>
        <v/>
      </c>
      <c r="J10" s="1605" t="str">
        <f t="shared" si="2"/>
        <v/>
      </c>
      <c r="K10" s="1605" t="str">
        <f t="shared" si="3"/>
        <v/>
      </c>
      <c r="L10" s="1580" t="str">
        <f>_xlfn.XLOOKUP($D10,  Tabla3[No.],  Tabla3[ESTATUS ACADÉMICO], " ")</f>
        <v xml:space="preserve"> </v>
      </c>
      <c r="M10" s="1606" t="str">
        <f>_xlfn.XLOOKUP($D10,  Tabla3[No.],  Tabla3[Grupo de clase], " ")</f>
        <v xml:space="preserve"> </v>
      </c>
      <c r="N10" s="1607"/>
      <c r="O10" s="1608"/>
      <c r="P10" s="1608"/>
      <c r="Q10" s="1605"/>
      <c r="R10" s="1608"/>
      <c r="S10" s="1608"/>
      <c r="T10" s="1609"/>
      <c r="U10" s="1610"/>
      <c r="V10" s="1605"/>
      <c r="W10" s="1605"/>
      <c r="X10" s="1605"/>
      <c r="Y10" s="1611"/>
      <c r="Z10" s="1609"/>
      <c r="AA10" s="1612"/>
      <c r="AB10" s="1613"/>
      <c r="AC10" s="1614"/>
      <c r="AD10" s="1613"/>
      <c r="AE10" s="1613"/>
      <c r="AF10" s="1620"/>
      <c r="AG10" s="1617"/>
      <c r="AH10" s="1613"/>
      <c r="AI10" s="1613"/>
      <c r="AJ10" s="1613"/>
      <c r="AK10" s="1613"/>
      <c r="AL10" s="1620"/>
      <c r="AM10" s="1612"/>
      <c r="AN10" s="1613"/>
      <c r="AO10" s="1621"/>
      <c r="AP10" s="1613"/>
      <c r="AQ10" s="1625"/>
      <c r="AR10" s="1616"/>
      <c r="AS10" s="1612"/>
      <c r="AT10" s="1613"/>
      <c r="AU10" s="1613"/>
      <c r="AV10" s="1613"/>
      <c r="AW10" s="1613"/>
      <c r="AX10" s="1616"/>
      <c r="AY10" s="1626"/>
      <c r="AZ10" s="1605"/>
      <c r="BA10" s="1622"/>
      <c r="BB10" s="1622"/>
      <c r="BC10" s="1601"/>
      <c r="BD10" s="1616"/>
      <c r="BE10" s="1612"/>
      <c r="BF10" s="1613"/>
      <c r="BG10" s="1619"/>
      <c r="BH10" s="1619"/>
      <c r="BI10" s="1613"/>
      <c r="BJ10" s="1616"/>
      <c r="BK10" s="1623"/>
    </row>
    <row r="11" spans="1:63" ht="16.5" thickBot="1">
      <c r="A11" s="1546"/>
      <c r="B11" s="1599">
        <v>5</v>
      </c>
      <c r="C11" s="1600" t="str">
        <f>_xlfn.XLOOKUP($D11, Tabla3[No.], Tabla3[FECHA DE INICIO (PRIMERA CLASE CALENDARIO)]," ")</f>
        <v xml:space="preserve"> </v>
      </c>
      <c r="D11" s="1601"/>
      <c r="E11" s="1602" t="str">
        <f>_xlfn.XLOOKUP($D11,  Tabla3[No.],  Tabla3[CURP], " ")</f>
        <v xml:space="preserve"> </v>
      </c>
      <c r="F11" s="1603" t="str">
        <f>_xlfn.XLOOKUP($D11,  Tabla3[No.],  Tabla3[Matrícula Of. SEQ], " ")</f>
        <v xml:space="preserve"> </v>
      </c>
      <c r="G11" s="1604" t="str">
        <f>IFERROR(VLOOKUP(D11,Tabla3[],5,FALSE),"")</f>
        <v/>
      </c>
      <c r="H11" s="1605" t="str">
        <f t="shared" si="0"/>
        <v/>
      </c>
      <c r="I11" s="1605" t="str">
        <f t="shared" si="1"/>
        <v/>
      </c>
      <c r="J11" s="1605" t="str">
        <f t="shared" si="2"/>
        <v/>
      </c>
      <c r="K11" s="1605" t="str">
        <f t="shared" si="3"/>
        <v/>
      </c>
      <c r="L11" s="1580" t="str">
        <f>_xlfn.XLOOKUP($D11,  Tabla3[No.],  Tabla3[ESTATUS ACADÉMICO], " ")</f>
        <v xml:space="preserve"> </v>
      </c>
      <c r="M11" s="1606" t="str">
        <f>_xlfn.XLOOKUP($D11,  Tabla3[No.],  Tabla3[Grupo de clase], " ")</f>
        <v xml:space="preserve"> </v>
      </c>
      <c r="N11" s="1607"/>
      <c r="O11" s="1608"/>
      <c r="P11" s="1608"/>
      <c r="Q11" s="1605"/>
      <c r="R11" s="1608"/>
      <c r="S11" s="1627"/>
      <c r="T11" s="1628"/>
      <c r="U11" s="1629"/>
      <c r="V11" s="1622"/>
      <c r="W11" s="1605"/>
      <c r="X11" s="1622"/>
      <c r="Y11" s="1630"/>
      <c r="Z11" s="1609"/>
      <c r="AA11" s="1612"/>
      <c r="AB11" s="1613"/>
      <c r="AC11" s="1622"/>
      <c r="AD11" s="1613"/>
      <c r="AE11" s="1613"/>
      <c r="AF11" s="1616"/>
      <c r="AG11" s="1617"/>
      <c r="AH11" s="1613"/>
      <c r="AI11" s="1619"/>
      <c r="AJ11" s="1619"/>
      <c r="AK11" s="1613"/>
      <c r="AL11" s="1620"/>
      <c r="AM11" s="1612"/>
      <c r="AN11" s="1613"/>
      <c r="AO11" s="1621"/>
      <c r="AP11" s="1613"/>
      <c r="AQ11" s="1625"/>
      <c r="AR11" s="1616"/>
      <c r="AS11" s="1612"/>
      <c r="AT11" s="1613"/>
      <c r="AU11" s="1613"/>
      <c r="AV11" s="1613"/>
      <c r="AW11" s="1613"/>
      <c r="AX11" s="1616"/>
      <c r="AY11" s="1626"/>
      <c r="AZ11" s="1605"/>
      <c r="BA11" s="1622"/>
      <c r="BB11" s="1622"/>
      <c r="BC11" s="1601"/>
      <c r="BD11" s="1631"/>
      <c r="BE11" s="1626"/>
      <c r="BF11" s="1613"/>
      <c r="BG11" s="1613"/>
      <c r="BH11" s="1613"/>
      <c r="BI11" s="1613"/>
      <c r="BJ11" s="1616"/>
      <c r="BK11" s="1623"/>
    </row>
    <row r="12" spans="1:63" ht="16.5" thickBot="1">
      <c r="A12" s="1546"/>
      <c r="B12" s="1599">
        <v>6</v>
      </c>
      <c r="C12" s="1600" t="str">
        <f>_xlfn.XLOOKUP($D12, Tabla3[No.], Tabla3[FECHA DE INICIO (PRIMERA CLASE CALENDARIO)]," ")</f>
        <v xml:space="preserve"> </v>
      </c>
      <c r="D12" s="1601"/>
      <c r="E12" s="1602" t="str">
        <f>_xlfn.XLOOKUP($D12,  Tabla3[No.],  Tabla3[CURP], " ")</f>
        <v xml:space="preserve"> </v>
      </c>
      <c r="F12" s="1603" t="str">
        <f>_xlfn.XLOOKUP($D12,  Tabla3[No.],  Tabla3[Matrícula Of. SEQ], " ")</f>
        <v xml:space="preserve"> </v>
      </c>
      <c r="G12" s="1604" t="str">
        <f>IFERROR(VLOOKUP(D12,Tabla3[],5,FALSE),"")</f>
        <v/>
      </c>
      <c r="H12" s="1605" t="str">
        <f t="shared" si="0"/>
        <v/>
      </c>
      <c r="I12" s="1605" t="str">
        <f t="shared" si="1"/>
        <v/>
      </c>
      <c r="J12" s="1605" t="str">
        <f t="shared" si="2"/>
        <v/>
      </c>
      <c r="K12" s="1605" t="str">
        <f t="shared" si="3"/>
        <v/>
      </c>
      <c r="L12" s="1580" t="str">
        <f>_xlfn.XLOOKUP($D12,  Tabla3[No.],  Tabla3[ESTATUS ACADÉMICO], " ")</f>
        <v xml:space="preserve"> </v>
      </c>
      <c r="M12" s="1606" t="str">
        <f>_xlfn.XLOOKUP($D12,  Tabla3[No.],  Tabla3[Grupo de clase], " ")</f>
        <v xml:space="preserve"> </v>
      </c>
      <c r="N12" s="1607"/>
      <c r="O12" s="1608"/>
      <c r="P12" s="1608"/>
      <c r="Q12" s="1605"/>
      <c r="R12" s="1608"/>
      <c r="S12" s="1608"/>
      <c r="T12" s="1609"/>
      <c r="U12" s="1626"/>
      <c r="V12" s="1605"/>
      <c r="W12" s="1622"/>
      <c r="X12" s="1622"/>
      <c r="Y12" s="1611"/>
      <c r="Z12" s="1609"/>
      <c r="AA12" s="1612"/>
      <c r="AB12" s="1613"/>
      <c r="AC12" s="1622"/>
      <c r="AD12" s="1613"/>
      <c r="AE12" s="1613"/>
      <c r="AF12" s="1616"/>
      <c r="AG12" s="1617"/>
      <c r="AH12" s="1613"/>
      <c r="AI12" s="1619"/>
      <c r="AJ12" s="1613"/>
      <c r="AK12" s="1613"/>
      <c r="AL12" s="1620"/>
      <c r="AM12" s="1612"/>
      <c r="AN12" s="1613"/>
      <c r="AO12" s="1621"/>
      <c r="AP12" s="1613"/>
      <c r="AQ12" s="1625"/>
      <c r="AR12" s="1616"/>
      <c r="AS12" s="1612"/>
      <c r="AT12" s="1613"/>
      <c r="AU12" s="1613"/>
      <c r="AV12" s="1613"/>
      <c r="AW12" s="1613"/>
      <c r="AX12" s="1616"/>
      <c r="AY12" s="1626"/>
      <c r="AZ12" s="1605"/>
      <c r="BA12" s="1622"/>
      <c r="BB12" s="1622"/>
      <c r="BC12" s="1601"/>
      <c r="BD12" s="1616"/>
      <c r="BE12" s="1617"/>
      <c r="BF12" s="1619"/>
      <c r="BG12" s="1613"/>
      <c r="BH12" s="1613"/>
      <c r="BI12" s="1613"/>
      <c r="BJ12" s="1616"/>
      <c r="BK12" s="1623"/>
    </row>
    <row r="13" spans="1:63" ht="16.5" thickBot="1">
      <c r="A13" s="1546"/>
      <c r="B13" s="1599">
        <v>7</v>
      </c>
      <c r="C13" s="1600" t="str">
        <f>_xlfn.XLOOKUP($D13, Tabla3[No.], Tabla3[FECHA DE INICIO (PRIMERA CLASE CALENDARIO)]," ")</f>
        <v xml:space="preserve"> </v>
      </c>
      <c r="D13" s="1601"/>
      <c r="E13" s="1602" t="str">
        <f>_xlfn.XLOOKUP($D13,  Tabla3[No.],  Tabla3[CURP], " ")</f>
        <v xml:space="preserve"> </v>
      </c>
      <c r="F13" s="1603" t="str">
        <f>_xlfn.XLOOKUP($D13,  Tabla3[No.],  Tabla3[Matrícula Of. SEQ], " ")</f>
        <v xml:space="preserve"> </v>
      </c>
      <c r="G13" s="1604" t="str">
        <f>IFERROR(VLOOKUP(D13,Tabla3[],5,FALSE),"")</f>
        <v/>
      </c>
      <c r="H13" s="1605" t="str">
        <f t="shared" si="0"/>
        <v/>
      </c>
      <c r="I13" s="1605" t="str">
        <f t="shared" si="1"/>
        <v/>
      </c>
      <c r="J13" s="1605" t="str">
        <f t="shared" si="2"/>
        <v/>
      </c>
      <c r="K13" s="1605" t="str">
        <f t="shared" si="3"/>
        <v/>
      </c>
      <c r="L13" s="1580" t="str">
        <f>_xlfn.XLOOKUP($D13,  Tabla3[No.],  Tabla3[ESTATUS ACADÉMICO], " ")</f>
        <v xml:space="preserve"> </v>
      </c>
      <c r="M13" s="1606" t="str">
        <f>_xlfn.XLOOKUP($D13,  Tabla3[No.],  Tabla3[Grupo de clase], " ")</f>
        <v xml:space="preserve"> </v>
      </c>
      <c r="N13" s="1607"/>
      <c r="O13" s="1608"/>
      <c r="P13" s="1608"/>
      <c r="Q13" s="1608"/>
      <c r="R13" s="1608"/>
      <c r="S13" s="1627"/>
      <c r="T13" s="1628"/>
      <c r="U13" s="1626"/>
      <c r="V13" s="1605"/>
      <c r="W13" s="1622"/>
      <c r="X13" s="1622"/>
      <c r="Y13" s="1611"/>
      <c r="Z13" s="1609"/>
      <c r="AA13" s="1612"/>
      <c r="AB13" s="1613"/>
      <c r="AC13" s="1622"/>
      <c r="AD13" s="1613"/>
      <c r="AE13" s="1613"/>
      <c r="AF13" s="1616"/>
      <c r="AG13" s="1617"/>
      <c r="AH13" s="1613"/>
      <c r="AI13" s="1619"/>
      <c r="AJ13" s="1613"/>
      <c r="AK13" s="1619"/>
      <c r="AL13" s="1620"/>
      <c r="AM13" s="1612"/>
      <c r="AN13" s="1613"/>
      <c r="AO13" s="1621"/>
      <c r="AP13" s="1613"/>
      <c r="AQ13" s="1625"/>
      <c r="AR13" s="1616"/>
      <c r="AS13" s="1612"/>
      <c r="AT13" s="1613"/>
      <c r="AU13" s="1613"/>
      <c r="AV13" s="1613"/>
      <c r="AW13" s="1613"/>
      <c r="AX13" s="1616"/>
      <c r="AY13" s="1626"/>
      <c r="AZ13" s="1605"/>
      <c r="BA13" s="1622"/>
      <c r="BB13" s="1622"/>
      <c r="BC13" s="1601"/>
      <c r="BD13" s="1616"/>
      <c r="BE13" s="1612"/>
      <c r="BF13" s="1613"/>
      <c r="BG13" s="1613"/>
      <c r="BH13" s="1613"/>
      <c r="BI13" s="1613"/>
      <c r="BJ13" s="1616"/>
      <c r="BK13" s="1623"/>
    </row>
    <row r="14" spans="1:63" ht="16.5" thickBot="1">
      <c r="A14" s="1546"/>
      <c r="B14" s="1599">
        <v>8</v>
      </c>
      <c r="C14" s="1600" t="str">
        <f>_xlfn.XLOOKUP($D14, Tabla3[No.], Tabla3[FECHA DE INICIO (PRIMERA CLASE CALENDARIO)]," ")</f>
        <v xml:space="preserve"> </v>
      </c>
      <c r="D14" s="1601"/>
      <c r="E14" s="1602" t="str">
        <f>_xlfn.XLOOKUP($D14,  Tabla3[No.],  Tabla3[CURP], " ")</f>
        <v xml:space="preserve"> </v>
      </c>
      <c r="F14" s="1603" t="str">
        <f>_xlfn.XLOOKUP($D14,  Tabla3[No.],  Tabla3[Matrícula Of. SEQ], " ")</f>
        <v xml:space="preserve"> </v>
      </c>
      <c r="G14" s="1604" t="str">
        <f>IFERROR(VLOOKUP(D14,Tabla3[],5,FALSE),"")</f>
        <v/>
      </c>
      <c r="H14" s="1605" t="str">
        <f t="shared" si="0"/>
        <v/>
      </c>
      <c r="I14" s="1605" t="str">
        <f t="shared" si="1"/>
        <v/>
      </c>
      <c r="J14" s="1605" t="str">
        <f t="shared" si="2"/>
        <v/>
      </c>
      <c r="K14" s="1605" t="str">
        <f t="shared" si="3"/>
        <v/>
      </c>
      <c r="L14" s="1580" t="str">
        <f>_xlfn.XLOOKUP($D14,  Tabla3[No.],  Tabla3[ESTATUS ACADÉMICO], " ")</f>
        <v xml:space="preserve"> </v>
      </c>
      <c r="M14" s="1606" t="str">
        <f>_xlfn.XLOOKUP($D14,  Tabla3[No.],  Tabla3[Grupo de clase], " ")</f>
        <v xml:space="preserve"> </v>
      </c>
      <c r="N14" s="1607"/>
      <c r="O14" s="1608"/>
      <c r="P14" s="1608"/>
      <c r="Q14" s="1608"/>
      <c r="R14" s="1608"/>
      <c r="S14" s="1608"/>
      <c r="T14" s="1632"/>
      <c r="U14" s="1626"/>
      <c r="V14" s="1622"/>
      <c r="W14" s="1605"/>
      <c r="X14" s="1605"/>
      <c r="Y14" s="1624"/>
      <c r="Z14" s="1633"/>
      <c r="AA14" s="1626"/>
      <c r="AB14" s="1605"/>
      <c r="AC14" s="1613"/>
      <c r="AD14" s="1613"/>
      <c r="AE14" s="1622"/>
      <c r="AF14" s="1634"/>
      <c r="AG14" s="1612"/>
      <c r="AH14" s="1613"/>
      <c r="AI14" s="1619"/>
      <c r="AJ14" s="1613"/>
      <c r="AK14" s="1613"/>
      <c r="AL14" s="1620"/>
      <c r="AM14" s="1612"/>
      <c r="AN14" s="1613"/>
      <c r="AO14" s="1625"/>
      <c r="AP14" s="1613"/>
      <c r="AQ14" s="1613"/>
      <c r="AR14" s="1620"/>
      <c r="AS14" s="1612"/>
      <c r="AT14" s="1613"/>
      <c r="AU14" s="1613"/>
      <c r="AV14" s="1613"/>
      <c r="AW14" s="1613"/>
      <c r="AX14" s="1616"/>
      <c r="AY14" s="1626"/>
      <c r="AZ14" s="1605"/>
      <c r="BA14" s="1605"/>
      <c r="BB14" s="1605"/>
      <c r="BC14" s="1601"/>
      <c r="BD14" s="1616"/>
      <c r="BE14" s="1612"/>
      <c r="BF14" s="1613"/>
      <c r="BG14" s="1613"/>
      <c r="BH14" s="1613"/>
      <c r="BI14" s="1613"/>
      <c r="BJ14" s="1616"/>
      <c r="BK14" s="1623"/>
    </row>
    <row r="15" spans="1:63" ht="16.5" thickBot="1">
      <c r="A15" s="1546"/>
      <c r="B15" s="1599">
        <v>9</v>
      </c>
      <c r="C15" s="1600" t="str">
        <f>_xlfn.XLOOKUP($D15, Tabla3[No.], Tabla3[FECHA DE INICIO (PRIMERA CLASE CALENDARIO)]," ")</f>
        <v xml:space="preserve"> </v>
      </c>
      <c r="D15" s="1601"/>
      <c r="E15" s="1602" t="str">
        <f>_xlfn.XLOOKUP($D15,  Tabla3[No.],  Tabla3[CURP], " ")</f>
        <v xml:space="preserve"> </v>
      </c>
      <c r="F15" s="1603" t="str">
        <f>_xlfn.XLOOKUP($D15,  Tabla3[No.],  Tabla3[Matrícula Of. SEQ], " ")</f>
        <v xml:space="preserve"> </v>
      </c>
      <c r="G15" s="1604" t="str">
        <f>IFERROR(VLOOKUP(D15,Tabla3[],5,FALSE),"")</f>
        <v/>
      </c>
      <c r="H15" s="1605" t="str">
        <f t="shared" si="0"/>
        <v/>
      </c>
      <c r="I15" s="1605" t="str">
        <f t="shared" si="1"/>
        <v/>
      </c>
      <c r="J15" s="1605" t="str">
        <f t="shared" si="2"/>
        <v/>
      </c>
      <c r="K15" s="1605" t="str">
        <f t="shared" si="3"/>
        <v/>
      </c>
      <c r="L15" s="1580" t="str">
        <f>_xlfn.XLOOKUP($D15,  Tabla3[No.],  Tabla3[ESTATUS ACADÉMICO], " ")</f>
        <v xml:space="preserve"> </v>
      </c>
      <c r="M15" s="1606" t="str">
        <f>_xlfn.XLOOKUP($D15,  Tabla3[No.],  Tabla3[Grupo de clase], " ")</f>
        <v xml:space="preserve"> </v>
      </c>
      <c r="N15" s="1607"/>
      <c r="O15" s="1608"/>
      <c r="P15" s="1608"/>
      <c r="Q15" s="1608"/>
      <c r="R15" s="1608"/>
      <c r="S15" s="1608"/>
      <c r="T15" s="1609"/>
      <c r="U15" s="1610"/>
      <c r="V15" s="1624"/>
      <c r="W15" s="1624"/>
      <c r="X15" s="1624"/>
      <c r="Y15" s="1624"/>
      <c r="Z15" s="1635"/>
      <c r="AA15" s="1612"/>
      <c r="AB15" s="1619"/>
      <c r="AC15" s="1619"/>
      <c r="AD15" s="1619"/>
      <c r="AE15" s="1613"/>
      <c r="AF15" s="1616"/>
      <c r="AG15" s="1617"/>
      <c r="AH15" s="1613"/>
      <c r="AI15" s="1619"/>
      <c r="AJ15" s="1613"/>
      <c r="AK15" s="1613"/>
      <c r="AL15" s="1620"/>
      <c r="AM15" s="1612"/>
      <c r="AN15" s="1613"/>
      <c r="AO15" s="1619"/>
      <c r="AP15" s="1613"/>
      <c r="AQ15" s="1613"/>
      <c r="AR15" s="1616"/>
      <c r="AS15" s="1612"/>
      <c r="AT15" s="1613"/>
      <c r="AU15" s="1613"/>
      <c r="AV15" s="1613"/>
      <c r="AW15" s="1613"/>
      <c r="AX15" s="1616"/>
      <c r="AY15" s="1626"/>
      <c r="AZ15" s="1605"/>
      <c r="BA15" s="1605"/>
      <c r="BB15" s="1605"/>
      <c r="BC15" s="1601"/>
      <c r="BD15" s="1616"/>
      <c r="BE15" s="1612"/>
      <c r="BF15" s="1636"/>
      <c r="BG15" s="1613"/>
      <c r="BH15" s="1613"/>
      <c r="BI15" s="1619"/>
      <c r="BJ15" s="1616"/>
      <c r="BK15" s="1623"/>
    </row>
    <row r="16" spans="1:63" ht="15.75" thickBot="1">
      <c r="A16" s="1546"/>
      <c r="B16" s="1599">
        <v>10</v>
      </c>
      <c r="C16" s="1600" t="str">
        <f>_xlfn.XLOOKUP($D16, Tabla3[No.], Tabla3[FECHA DE INICIO (PRIMERA CLASE CALENDARIO)]," ")</f>
        <v xml:space="preserve"> </v>
      </c>
      <c r="D16" s="1601"/>
      <c r="E16" s="1602" t="str">
        <f>_xlfn.XLOOKUP($D16,  Tabla3[No.],  Tabla3[CURP], " ")</f>
        <v xml:space="preserve"> </v>
      </c>
      <c r="F16" s="1603" t="str">
        <f>_xlfn.XLOOKUP($D16,  Tabla3[No.],  Tabla3[Matrícula Of. SEQ], " ")</f>
        <v xml:space="preserve"> </v>
      </c>
      <c r="G16" s="1604" t="str">
        <f>IFERROR(VLOOKUP(D16,Tabla3[],5,FALSE),"")</f>
        <v/>
      </c>
      <c r="H16" s="1605" t="str">
        <f t="shared" si="0"/>
        <v/>
      </c>
      <c r="I16" s="1605" t="str">
        <f t="shared" si="1"/>
        <v/>
      </c>
      <c r="J16" s="1605" t="str">
        <f t="shared" si="2"/>
        <v/>
      </c>
      <c r="K16" s="1605" t="str">
        <f t="shared" si="3"/>
        <v/>
      </c>
      <c r="L16" s="1580" t="str">
        <f>_xlfn.XLOOKUP($D16,  Tabla3[No.],  Tabla3[ESTATUS ACADÉMICO], " ")</f>
        <v xml:space="preserve"> </v>
      </c>
      <c r="M16" s="1606" t="str">
        <f>_xlfn.XLOOKUP($D16,  Tabla3[No.],  Tabla3[Grupo de clase], " ")</f>
        <v xml:space="preserve"> </v>
      </c>
      <c r="N16" s="1612"/>
      <c r="O16" s="1613"/>
      <c r="P16" s="1613"/>
      <c r="Q16" s="1613"/>
      <c r="R16" s="1637"/>
      <c r="S16" s="1637"/>
      <c r="T16" s="1616"/>
      <c r="U16" s="1612"/>
      <c r="V16" s="1613"/>
      <c r="W16" s="1613"/>
      <c r="X16" s="1613"/>
      <c r="Y16" s="1613"/>
      <c r="Z16" s="1638"/>
      <c r="AA16" s="1612"/>
      <c r="AB16" s="1613"/>
      <c r="AC16" s="1639"/>
      <c r="AD16" s="1639"/>
      <c r="AE16" s="1639"/>
      <c r="AF16" s="1616"/>
      <c r="AG16" s="1640"/>
      <c r="AH16" s="1637"/>
      <c r="AI16" s="1637"/>
      <c r="AJ16" s="1637"/>
      <c r="AK16" s="1637"/>
      <c r="AL16" s="1638"/>
      <c r="AM16" s="1612"/>
      <c r="AN16" s="1613"/>
      <c r="AO16" s="1619"/>
      <c r="AP16" s="1613"/>
      <c r="AQ16" s="1613"/>
      <c r="AR16" s="1616"/>
      <c r="AS16" s="1612"/>
      <c r="AT16" s="1613"/>
      <c r="AU16" s="1613"/>
      <c r="AV16" s="1613"/>
      <c r="AW16" s="1613"/>
      <c r="AX16" s="1616"/>
      <c r="AY16" s="1626"/>
      <c r="AZ16" s="1605"/>
      <c r="BA16" s="1605"/>
      <c r="BB16" s="1605"/>
      <c r="BC16" s="1601"/>
      <c r="BD16" s="1616"/>
      <c r="BE16" s="1612"/>
      <c r="BF16" s="1613"/>
      <c r="BG16" s="1613"/>
      <c r="BH16" s="1613"/>
      <c r="BI16" s="1619"/>
      <c r="BJ16" s="1616"/>
      <c r="BK16" s="1623"/>
    </row>
    <row r="17" spans="2:63" ht="15.75" thickBot="1">
      <c r="B17" s="1599">
        <v>11</v>
      </c>
      <c r="C17" s="1600" t="str">
        <f>_xlfn.XLOOKUP($D17, Tabla3[No.], Tabla3[FECHA DE INICIO (PRIMERA CLASE CALENDARIO)]," ")</f>
        <v xml:space="preserve"> </v>
      </c>
      <c r="D17" s="1601"/>
      <c r="E17" s="1602" t="str">
        <f>_xlfn.XLOOKUP($D17,  Tabla3[No.],  Tabla3[CURP], " ")</f>
        <v xml:space="preserve"> </v>
      </c>
      <c r="F17" s="1603" t="str">
        <f>_xlfn.XLOOKUP($D17,  Tabla3[No.],  Tabla3[Matrícula Of. SEQ], " ")</f>
        <v xml:space="preserve"> </v>
      </c>
      <c r="G17" s="1604" t="str">
        <f>IFERROR(VLOOKUP(D17,Tabla3[],5,FALSE),"")</f>
        <v/>
      </c>
      <c r="H17" s="1605" t="str">
        <f t="shared" si="0"/>
        <v/>
      </c>
      <c r="I17" s="1605" t="str">
        <f t="shared" si="1"/>
        <v/>
      </c>
      <c r="J17" s="1605" t="str">
        <f t="shared" si="2"/>
        <v/>
      </c>
      <c r="K17" s="1605" t="str">
        <f t="shared" si="3"/>
        <v/>
      </c>
      <c r="L17" s="1580" t="str">
        <f>_xlfn.XLOOKUP($D17,  Tabla3[No.],  Tabla3[ESTATUS ACADÉMICO], " ")</f>
        <v xml:space="preserve"> </v>
      </c>
      <c r="M17" s="1606" t="str">
        <f>_xlfn.XLOOKUP($D17,  Tabla3[No.],  Tabla3[Grupo de clase], " ")</f>
        <v xml:space="preserve"> </v>
      </c>
      <c r="N17" s="1642"/>
      <c r="O17" s="1641"/>
      <c r="P17" s="1641"/>
      <c r="Q17" s="1641"/>
      <c r="R17" s="1641"/>
      <c r="S17" s="1641"/>
      <c r="T17" s="1643"/>
      <c r="U17" s="1642"/>
      <c r="V17" s="1641"/>
      <c r="W17" s="1641"/>
      <c r="X17" s="1641"/>
      <c r="Y17" s="1641"/>
      <c r="Z17" s="1643"/>
      <c r="AA17" s="1642"/>
      <c r="AB17" s="1641"/>
      <c r="AC17" s="1641"/>
      <c r="AD17" s="1641"/>
      <c r="AE17" s="1641"/>
      <c r="AF17" s="1643"/>
      <c r="AG17" s="1642"/>
      <c r="AH17" s="1641"/>
      <c r="AI17" s="1641"/>
      <c r="AJ17" s="1641"/>
      <c r="AK17" s="1641"/>
      <c r="AL17" s="1643"/>
      <c r="AM17" s="1642"/>
      <c r="AN17" s="1641"/>
      <c r="AO17" s="1641"/>
      <c r="AP17" s="1641"/>
      <c r="AQ17" s="1641"/>
      <c r="AR17" s="1643"/>
      <c r="AS17" s="1642"/>
      <c r="AT17" s="1641"/>
      <c r="AU17" s="1641"/>
      <c r="AV17" s="1641"/>
      <c r="AW17" s="1641"/>
      <c r="AX17" s="1643"/>
      <c r="AY17" s="1642"/>
      <c r="AZ17" s="1641"/>
      <c r="BA17" s="1641"/>
      <c r="BB17" s="1641"/>
      <c r="BC17" s="1641"/>
      <c r="BD17" s="1643"/>
      <c r="BE17" s="1642"/>
      <c r="BF17" s="1641"/>
      <c r="BG17" s="1641"/>
      <c r="BH17" s="1641"/>
      <c r="BI17" s="1641"/>
      <c r="BJ17" s="1643"/>
      <c r="BK17" s="1644"/>
    </row>
    <row r="18" spans="2:63" ht="15.75" thickBot="1">
      <c r="B18" s="1599">
        <v>12</v>
      </c>
      <c r="C18" s="1600" t="str">
        <f>_xlfn.XLOOKUP($D18, Tabla3[No.], Tabla3[FECHA DE INICIO (PRIMERA CLASE CALENDARIO)]," ")</f>
        <v xml:space="preserve"> </v>
      </c>
      <c r="D18" s="1601"/>
      <c r="E18" s="1602" t="str">
        <f>_xlfn.XLOOKUP($D18,  Tabla3[No.],  Tabla3[CURP], " ")</f>
        <v xml:space="preserve"> </v>
      </c>
      <c r="F18" s="1603" t="str">
        <f>_xlfn.XLOOKUP($D18,  Tabla3[No.],  Tabla3[Matrícula Of. SEQ], " ")</f>
        <v xml:space="preserve"> </v>
      </c>
      <c r="G18" s="1604" t="str">
        <f>IFERROR(VLOOKUP(D18,Tabla3[],5,FALSE),"")</f>
        <v/>
      </c>
      <c r="H18" s="1605" t="str">
        <f t="shared" si="0"/>
        <v/>
      </c>
      <c r="I18" s="1605" t="str">
        <f t="shared" si="1"/>
        <v/>
      </c>
      <c r="J18" s="1605" t="str">
        <f t="shared" si="2"/>
        <v/>
      </c>
      <c r="K18" s="1605" t="str">
        <f t="shared" si="3"/>
        <v/>
      </c>
      <c r="L18" s="1580" t="str">
        <f>_xlfn.XLOOKUP($D18,  Tabla3[No.],  Tabla3[ESTATUS ACADÉMICO], " ")</f>
        <v xml:space="preserve"> </v>
      </c>
      <c r="M18" s="1606" t="str">
        <f>_xlfn.XLOOKUP($D18,  Tabla3[No.],  Tabla3[Grupo de clase], " ")</f>
        <v xml:space="preserve"> </v>
      </c>
      <c r="N18" s="1642"/>
      <c r="O18" s="1641"/>
      <c r="P18" s="1641"/>
      <c r="Q18" s="1641"/>
      <c r="R18" s="1641"/>
      <c r="S18" s="1641"/>
      <c r="T18" s="1643"/>
      <c r="U18" s="1642"/>
      <c r="V18" s="1641"/>
      <c r="W18" s="1641"/>
      <c r="X18" s="1641"/>
      <c r="Y18" s="1641"/>
      <c r="Z18" s="1643"/>
      <c r="AA18" s="1642"/>
      <c r="AB18" s="1641"/>
      <c r="AC18" s="1641"/>
      <c r="AD18" s="1641"/>
      <c r="AE18" s="1641"/>
      <c r="AF18" s="1643"/>
      <c r="AG18" s="1642"/>
      <c r="AH18" s="1641"/>
      <c r="AI18" s="1641"/>
      <c r="AJ18" s="1641"/>
      <c r="AK18" s="1641"/>
      <c r="AL18" s="1643"/>
      <c r="AM18" s="1642"/>
      <c r="AN18" s="1641"/>
      <c r="AO18" s="1641"/>
      <c r="AP18" s="1641"/>
      <c r="AQ18" s="1641"/>
      <c r="AR18" s="1643"/>
      <c r="AS18" s="1642"/>
      <c r="AT18" s="1641"/>
      <c r="AU18" s="1641"/>
      <c r="AV18" s="1641"/>
      <c r="AW18" s="1641"/>
      <c r="AX18" s="1643"/>
      <c r="AY18" s="1642"/>
      <c r="AZ18" s="1641"/>
      <c r="BA18" s="1641"/>
      <c r="BB18" s="1641"/>
      <c r="BC18" s="1641"/>
      <c r="BD18" s="1643"/>
      <c r="BE18" s="1642"/>
      <c r="BF18" s="1641"/>
      <c r="BG18" s="1641"/>
      <c r="BH18" s="1641"/>
      <c r="BI18" s="1641"/>
      <c r="BJ18" s="1643"/>
      <c r="BK18" s="1644"/>
    </row>
    <row r="19" spans="2:63" ht="15.75" thickBot="1">
      <c r="B19" s="1599">
        <v>13</v>
      </c>
      <c r="C19" s="1600" t="str">
        <f>_xlfn.XLOOKUP($D19, Tabla3[No.], Tabla3[FECHA DE INICIO (PRIMERA CLASE CALENDARIO)]," ")</f>
        <v xml:space="preserve"> </v>
      </c>
      <c r="D19" s="1601"/>
      <c r="E19" s="1602" t="str">
        <f>_xlfn.XLOOKUP($D19,  Tabla3[No.],  Tabla3[CURP], " ")</f>
        <v xml:space="preserve"> </v>
      </c>
      <c r="F19" s="1603" t="str">
        <f>_xlfn.XLOOKUP($D19,  Tabla3[No.],  Tabla3[Matrícula Of. SEQ], " ")</f>
        <v xml:space="preserve"> </v>
      </c>
      <c r="G19" s="1604" t="str">
        <f>IFERROR(VLOOKUP(D19,Tabla3[],5,FALSE),"")</f>
        <v/>
      </c>
      <c r="H19" s="1605" t="str">
        <f t="shared" si="0"/>
        <v/>
      </c>
      <c r="I19" s="1605" t="str">
        <f t="shared" si="1"/>
        <v/>
      </c>
      <c r="J19" s="1605" t="str">
        <f t="shared" si="2"/>
        <v/>
      </c>
      <c r="K19" s="1605" t="str">
        <f t="shared" si="3"/>
        <v/>
      </c>
      <c r="L19" s="1580" t="str">
        <f>_xlfn.XLOOKUP($D19,  Tabla3[No.],  Tabla3[ESTATUS ACADÉMICO], " ")</f>
        <v xml:space="preserve"> </v>
      </c>
      <c r="M19" s="1606" t="str">
        <f>_xlfn.XLOOKUP($D19,  Tabla3[No.],  Tabla3[Grupo de clase], " ")</f>
        <v xml:space="preserve"> </v>
      </c>
      <c r="N19" s="1642"/>
      <c r="O19" s="1641"/>
      <c r="P19" s="1641"/>
      <c r="Q19" s="1641"/>
      <c r="R19" s="1641"/>
      <c r="S19" s="1641"/>
      <c r="T19" s="1643"/>
      <c r="U19" s="1642"/>
      <c r="V19" s="1641"/>
      <c r="W19" s="1641"/>
      <c r="X19" s="1641"/>
      <c r="Y19" s="1641"/>
      <c r="Z19" s="1643"/>
      <c r="AA19" s="1642"/>
      <c r="AB19" s="1641"/>
      <c r="AC19" s="1641"/>
      <c r="AD19" s="1641"/>
      <c r="AE19" s="1641"/>
      <c r="AF19" s="1643"/>
      <c r="AG19" s="1642"/>
      <c r="AH19" s="1641"/>
      <c r="AI19" s="1641"/>
      <c r="AJ19" s="1641"/>
      <c r="AK19" s="1641"/>
      <c r="AL19" s="1643"/>
      <c r="AM19" s="1642"/>
      <c r="AN19" s="1641"/>
      <c r="AO19" s="1641"/>
      <c r="AP19" s="1641"/>
      <c r="AQ19" s="1641"/>
      <c r="AR19" s="1643"/>
      <c r="AS19" s="1642"/>
      <c r="AT19" s="1641"/>
      <c r="AU19" s="1641"/>
      <c r="AV19" s="1641"/>
      <c r="AW19" s="1641"/>
      <c r="AX19" s="1643"/>
      <c r="AY19" s="1642"/>
      <c r="AZ19" s="1641"/>
      <c r="BA19" s="1641"/>
      <c r="BB19" s="1641"/>
      <c r="BC19" s="1641"/>
      <c r="BD19" s="1643"/>
      <c r="BE19" s="1642"/>
      <c r="BF19" s="1641"/>
      <c r="BG19" s="1641"/>
      <c r="BH19" s="1641"/>
      <c r="BI19" s="1641"/>
      <c r="BJ19" s="1643"/>
      <c r="BK19" s="1644"/>
    </row>
    <row r="20" spans="2:63" ht="15.75" thickBot="1">
      <c r="B20" s="1599">
        <v>14</v>
      </c>
      <c r="C20" s="1600" t="str">
        <f>_xlfn.XLOOKUP($D20, Tabla3[No.], Tabla3[FECHA DE INICIO (PRIMERA CLASE CALENDARIO)]," ")</f>
        <v xml:space="preserve"> </v>
      </c>
      <c r="D20" s="1601"/>
      <c r="E20" s="1602" t="str">
        <f>_xlfn.XLOOKUP($D20,  Tabla3[No.],  Tabla3[CURP], " ")</f>
        <v xml:space="preserve"> </v>
      </c>
      <c r="F20" s="1603" t="str">
        <f>_xlfn.XLOOKUP($D20,  Tabla3[No.],  Tabla3[Matrícula Of. SEQ], " ")</f>
        <v xml:space="preserve"> </v>
      </c>
      <c r="G20" s="1604" t="str">
        <f>IFERROR(VLOOKUP(D20,Tabla3[],5,FALSE),"")</f>
        <v/>
      </c>
      <c r="H20" s="1605" t="str">
        <f t="shared" si="0"/>
        <v/>
      </c>
      <c r="I20" s="1605" t="str">
        <f t="shared" si="1"/>
        <v/>
      </c>
      <c r="J20" s="1605" t="str">
        <f t="shared" si="2"/>
        <v/>
      </c>
      <c r="K20" s="1605" t="str">
        <f t="shared" si="3"/>
        <v/>
      </c>
      <c r="L20" s="1580" t="str">
        <f>_xlfn.XLOOKUP($D20,  Tabla3[No.],  Tabla3[ESTATUS ACADÉMICO], " ")</f>
        <v xml:space="preserve"> </v>
      </c>
      <c r="M20" s="1606" t="str">
        <f>_xlfn.XLOOKUP($D20,  Tabla3[No.],  Tabla3[Grupo de clase], " ")</f>
        <v xml:space="preserve"> </v>
      </c>
      <c r="N20" s="1642"/>
      <c r="O20" s="1641"/>
      <c r="P20" s="1641"/>
      <c r="Q20" s="1641"/>
      <c r="R20" s="1641"/>
      <c r="S20" s="1641"/>
      <c r="T20" s="1643"/>
      <c r="U20" s="1642"/>
      <c r="V20" s="1641"/>
      <c r="W20" s="1641"/>
      <c r="X20" s="1641"/>
      <c r="Y20" s="1641"/>
      <c r="Z20" s="1643"/>
      <c r="AA20" s="1642"/>
      <c r="AB20" s="1641"/>
      <c r="AC20" s="1641"/>
      <c r="AD20" s="1641"/>
      <c r="AE20" s="1641"/>
      <c r="AF20" s="1643"/>
      <c r="AG20" s="1642"/>
      <c r="AH20" s="1641"/>
      <c r="AI20" s="1641"/>
      <c r="AJ20" s="1641"/>
      <c r="AK20" s="1641"/>
      <c r="AL20" s="1643"/>
      <c r="AM20" s="1642"/>
      <c r="AN20" s="1641"/>
      <c r="AO20" s="1641"/>
      <c r="AP20" s="1641"/>
      <c r="AQ20" s="1641"/>
      <c r="AR20" s="1643"/>
      <c r="AS20" s="1642"/>
      <c r="AT20" s="1641"/>
      <c r="AU20" s="1641"/>
      <c r="AV20" s="1641"/>
      <c r="AW20" s="1641"/>
      <c r="AX20" s="1643"/>
      <c r="AY20" s="1642"/>
      <c r="AZ20" s="1641"/>
      <c r="BA20" s="1641"/>
      <c r="BB20" s="1641"/>
      <c r="BC20" s="1641"/>
      <c r="BD20" s="1643"/>
      <c r="BE20" s="1642"/>
      <c r="BF20" s="1641"/>
      <c r="BG20" s="1641"/>
      <c r="BH20" s="1641"/>
      <c r="BI20" s="1641"/>
      <c r="BJ20" s="1643"/>
      <c r="BK20" s="1644"/>
    </row>
    <row r="21" spans="2:63" ht="15.75" thickBot="1">
      <c r="B21" s="1599">
        <v>15</v>
      </c>
      <c r="C21" s="1600" t="str">
        <f>_xlfn.XLOOKUP($D21, Tabla3[No.], Tabla3[FECHA DE INICIO (PRIMERA CLASE CALENDARIO)]," ")</f>
        <v xml:space="preserve"> </v>
      </c>
      <c r="D21" s="1601"/>
      <c r="E21" s="1602" t="str">
        <f>_xlfn.XLOOKUP($D21,  Tabla3[No.],  Tabla3[CURP], " ")</f>
        <v xml:space="preserve"> </v>
      </c>
      <c r="F21" s="1603" t="str">
        <f>_xlfn.XLOOKUP($D21,  Tabla3[No.],  Tabla3[Matrícula Of. SEQ], " ")</f>
        <v xml:space="preserve"> </v>
      </c>
      <c r="G21" s="1604" t="str">
        <f>IFERROR(VLOOKUP(D21,Tabla3[],5,FALSE),"")</f>
        <v/>
      </c>
      <c r="H21" s="1605" t="str">
        <f t="shared" si="0"/>
        <v/>
      </c>
      <c r="I21" s="1605" t="str">
        <f t="shared" si="1"/>
        <v/>
      </c>
      <c r="J21" s="1605" t="str">
        <f t="shared" si="2"/>
        <v/>
      </c>
      <c r="K21" s="1605" t="str">
        <f t="shared" si="3"/>
        <v/>
      </c>
      <c r="L21" s="1580" t="str">
        <f>_xlfn.XLOOKUP($D21,  Tabla3[No.],  Tabla3[ESTATUS ACADÉMICO], " ")</f>
        <v xml:space="preserve"> </v>
      </c>
      <c r="M21" s="1606" t="str">
        <f>_xlfn.XLOOKUP($D21,  Tabla3[No.],  Tabla3[Grupo de clase], " ")</f>
        <v xml:space="preserve"> </v>
      </c>
      <c r="N21" s="1642"/>
      <c r="O21" s="1641"/>
      <c r="P21" s="1641"/>
      <c r="Q21" s="1641"/>
      <c r="R21" s="1641"/>
      <c r="S21" s="1641"/>
      <c r="T21" s="1643"/>
      <c r="U21" s="1642"/>
      <c r="V21" s="1641"/>
      <c r="W21" s="1641"/>
      <c r="X21" s="1641"/>
      <c r="Y21" s="1641"/>
      <c r="Z21" s="1643"/>
      <c r="AA21" s="1642"/>
      <c r="AB21" s="1641"/>
      <c r="AC21" s="1641"/>
      <c r="AD21" s="1641"/>
      <c r="AE21" s="1641"/>
      <c r="AF21" s="1643"/>
      <c r="AG21" s="1642"/>
      <c r="AH21" s="1641"/>
      <c r="AI21" s="1641"/>
      <c r="AJ21" s="1641"/>
      <c r="AK21" s="1641"/>
      <c r="AL21" s="1643"/>
      <c r="AM21" s="1642"/>
      <c r="AN21" s="1641"/>
      <c r="AO21" s="1641"/>
      <c r="AP21" s="1641"/>
      <c r="AQ21" s="1641"/>
      <c r="AR21" s="1643"/>
      <c r="AS21" s="1642"/>
      <c r="AT21" s="1641"/>
      <c r="AU21" s="1641"/>
      <c r="AV21" s="1641"/>
      <c r="AW21" s="1641"/>
      <c r="AX21" s="1643"/>
      <c r="AY21" s="1642"/>
      <c r="AZ21" s="1641"/>
      <c r="BA21" s="1641"/>
      <c r="BB21" s="1641"/>
      <c r="BC21" s="1641"/>
      <c r="BD21" s="1643"/>
      <c r="BE21" s="1642"/>
      <c r="BF21" s="1641"/>
      <c r="BG21" s="1641"/>
      <c r="BH21" s="1641"/>
      <c r="BI21" s="1641"/>
      <c r="BJ21" s="1643"/>
      <c r="BK21" s="1644"/>
    </row>
    <row r="22" spans="2:63" ht="15.75" thickBot="1">
      <c r="B22" s="1599">
        <v>16</v>
      </c>
      <c r="C22" s="1600" t="str">
        <f>_xlfn.XLOOKUP($D22, Tabla3[No.], Tabla3[FECHA DE INICIO (PRIMERA CLASE CALENDARIO)]," ")</f>
        <v xml:space="preserve"> </v>
      </c>
      <c r="D22" s="1601"/>
      <c r="E22" s="1602" t="str">
        <f>_xlfn.XLOOKUP($D22,  Tabla3[No.],  Tabla3[CURP], " ")</f>
        <v xml:space="preserve"> </v>
      </c>
      <c r="F22" s="1603" t="str">
        <f>_xlfn.XLOOKUP($D22,  Tabla3[No.],  Tabla3[Matrícula Of. SEQ], " ")</f>
        <v xml:space="preserve"> </v>
      </c>
      <c r="G22" s="1604" t="str">
        <f>IFERROR(VLOOKUP(D22,Tabla3[],5,FALSE),"")</f>
        <v/>
      </c>
      <c r="H22" s="1605" t="str">
        <f t="shared" si="0"/>
        <v/>
      </c>
      <c r="I22" s="1605" t="str">
        <f t="shared" si="1"/>
        <v/>
      </c>
      <c r="J22" s="1605" t="str">
        <f t="shared" si="2"/>
        <v/>
      </c>
      <c r="K22" s="1605" t="str">
        <f t="shared" si="3"/>
        <v/>
      </c>
      <c r="L22" s="1580" t="str">
        <f>_xlfn.XLOOKUP($D22,  Tabla3[No.],  Tabla3[ESTATUS ACADÉMICO], " ")</f>
        <v xml:space="preserve"> </v>
      </c>
      <c r="M22" s="1606" t="str">
        <f>_xlfn.XLOOKUP($D22,  Tabla3[No.],  Tabla3[Grupo de clase], " ")</f>
        <v xml:space="preserve"> </v>
      </c>
      <c r="N22" s="1642"/>
      <c r="O22" s="1641"/>
      <c r="P22" s="1641"/>
      <c r="Q22" s="1641"/>
      <c r="R22" s="1641"/>
      <c r="S22" s="1641"/>
      <c r="T22" s="1643"/>
      <c r="U22" s="1642"/>
      <c r="V22" s="1641"/>
      <c r="W22" s="1641"/>
      <c r="X22" s="1641"/>
      <c r="Y22" s="1641"/>
      <c r="Z22" s="1643"/>
      <c r="AA22" s="1642"/>
      <c r="AB22" s="1641"/>
      <c r="AC22" s="1641"/>
      <c r="AD22" s="1641"/>
      <c r="AE22" s="1641"/>
      <c r="AF22" s="1643"/>
      <c r="AG22" s="1642"/>
      <c r="AH22" s="1641"/>
      <c r="AI22" s="1641"/>
      <c r="AJ22" s="1641"/>
      <c r="AK22" s="1641"/>
      <c r="AL22" s="1643"/>
      <c r="AM22" s="1642"/>
      <c r="AN22" s="1641"/>
      <c r="AO22" s="1641"/>
      <c r="AP22" s="1641"/>
      <c r="AQ22" s="1641"/>
      <c r="AR22" s="1643"/>
      <c r="AS22" s="1642"/>
      <c r="AT22" s="1641"/>
      <c r="AU22" s="1641"/>
      <c r="AV22" s="1641"/>
      <c r="AW22" s="1641"/>
      <c r="AX22" s="1643"/>
      <c r="AY22" s="1642"/>
      <c r="AZ22" s="1641"/>
      <c r="BA22" s="1641"/>
      <c r="BB22" s="1641"/>
      <c r="BC22" s="1641"/>
      <c r="BD22" s="1643"/>
      <c r="BE22" s="1642"/>
      <c r="BF22" s="1641"/>
      <c r="BG22" s="1641"/>
      <c r="BH22" s="1641"/>
      <c r="BI22" s="1641"/>
      <c r="BJ22" s="1643"/>
      <c r="BK22" s="1644"/>
    </row>
    <row r="23" spans="2:63" ht="15.75" thickBot="1">
      <c r="B23" s="1599">
        <v>17</v>
      </c>
      <c r="C23" s="1600" t="str">
        <f>_xlfn.XLOOKUP($D23, Tabla3[No.], Tabla3[FECHA DE INICIO (PRIMERA CLASE CALENDARIO)]," ")</f>
        <v xml:space="preserve"> </v>
      </c>
      <c r="D23" s="1601"/>
      <c r="E23" s="1602" t="str">
        <f>_xlfn.XLOOKUP($D23,  Tabla3[No.],  Tabla3[CURP], " ")</f>
        <v xml:space="preserve"> </v>
      </c>
      <c r="F23" s="1603" t="str">
        <f>_xlfn.XLOOKUP($D23,  Tabla3[No.],  Tabla3[Matrícula Of. SEQ], " ")</f>
        <v xml:space="preserve"> </v>
      </c>
      <c r="G23" s="1604" t="str">
        <f>IFERROR(VLOOKUP(D23,Tabla3[],5,FALSE),"")</f>
        <v/>
      </c>
      <c r="H23" s="1605" t="str">
        <f t="shared" si="0"/>
        <v/>
      </c>
      <c r="I23" s="1605" t="str">
        <f t="shared" si="1"/>
        <v/>
      </c>
      <c r="J23" s="1605" t="str">
        <f t="shared" si="2"/>
        <v/>
      </c>
      <c r="K23" s="1605" t="str">
        <f t="shared" si="3"/>
        <v/>
      </c>
      <c r="L23" s="1580" t="str">
        <f>_xlfn.XLOOKUP($D23,  Tabla3[No.],  Tabla3[ESTATUS ACADÉMICO], " ")</f>
        <v xml:space="preserve"> </v>
      </c>
      <c r="M23" s="1606" t="str">
        <f>_xlfn.XLOOKUP($D23,  Tabla3[No.],  Tabla3[Grupo de clase], " ")</f>
        <v xml:space="preserve"> </v>
      </c>
      <c r="N23" s="1642"/>
      <c r="O23" s="1641"/>
      <c r="P23" s="1641"/>
      <c r="Q23" s="1641"/>
      <c r="R23" s="1641"/>
      <c r="S23" s="1641"/>
      <c r="T23" s="1643"/>
      <c r="U23" s="1642"/>
      <c r="V23" s="1641"/>
      <c r="W23" s="1641"/>
      <c r="X23" s="1641"/>
      <c r="Y23" s="1641"/>
      <c r="Z23" s="1643"/>
      <c r="AA23" s="1642"/>
      <c r="AB23" s="1641"/>
      <c r="AC23" s="1641"/>
      <c r="AD23" s="1641"/>
      <c r="AE23" s="1641"/>
      <c r="AF23" s="1643"/>
      <c r="AG23" s="1642"/>
      <c r="AH23" s="1641"/>
      <c r="AI23" s="1641"/>
      <c r="AJ23" s="1641"/>
      <c r="AK23" s="1641"/>
      <c r="AL23" s="1643"/>
      <c r="AM23" s="1642"/>
      <c r="AN23" s="1641"/>
      <c r="AO23" s="1641"/>
      <c r="AP23" s="1641"/>
      <c r="AQ23" s="1641"/>
      <c r="AR23" s="1643"/>
      <c r="AS23" s="1642"/>
      <c r="AT23" s="1641"/>
      <c r="AU23" s="1641"/>
      <c r="AV23" s="1641"/>
      <c r="AW23" s="1641"/>
      <c r="AX23" s="1643"/>
      <c r="AY23" s="1642"/>
      <c r="AZ23" s="1641"/>
      <c r="BA23" s="1641"/>
      <c r="BB23" s="1641"/>
      <c r="BC23" s="1641"/>
      <c r="BD23" s="1643"/>
      <c r="BE23" s="1642"/>
      <c r="BF23" s="1641"/>
      <c r="BG23" s="1641"/>
      <c r="BH23" s="1641"/>
      <c r="BI23" s="1641"/>
      <c r="BJ23" s="1643"/>
      <c r="BK23" s="1644"/>
    </row>
    <row r="24" spans="2:63" ht="15.75" thickBot="1">
      <c r="B24" s="1599">
        <v>18</v>
      </c>
      <c r="C24" s="1600" t="str">
        <f>_xlfn.XLOOKUP($D24, Tabla3[No.], Tabla3[FECHA DE INICIO (PRIMERA CLASE CALENDARIO)]," ")</f>
        <v xml:space="preserve"> </v>
      </c>
      <c r="D24" s="1601"/>
      <c r="E24" s="1602" t="str">
        <f>_xlfn.XLOOKUP($D24,  Tabla3[No.],  Tabla3[CURP], " ")</f>
        <v xml:space="preserve"> </v>
      </c>
      <c r="F24" s="1603" t="str">
        <f>_xlfn.XLOOKUP($D24,  Tabla3[No.],  Tabla3[Matrícula Of. SEQ], " ")</f>
        <v xml:space="preserve"> </v>
      </c>
      <c r="G24" s="1604" t="str">
        <f>IFERROR(VLOOKUP(D24,Tabla3[],5,FALSE),"")</f>
        <v/>
      </c>
      <c r="H24" s="1605" t="str">
        <f t="shared" si="0"/>
        <v/>
      </c>
      <c r="I24" s="1605" t="str">
        <f t="shared" si="1"/>
        <v/>
      </c>
      <c r="J24" s="1605" t="str">
        <f t="shared" si="2"/>
        <v/>
      </c>
      <c r="K24" s="1605" t="str">
        <f t="shared" si="3"/>
        <v/>
      </c>
      <c r="L24" s="1580" t="str">
        <f>_xlfn.XLOOKUP($D24,  Tabla3[No.],  Tabla3[ESTATUS ACADÉMICO], " ")</f>
        <v xml:space="preserve"> </v>
      </c>
      <c r="M24" s="1606" t="str">
        <f>_xlfn.XLOOKUP($D24,  Tabla3[No.],  Tabla3[Grupo de clase], " ")</f>
        <v xml:space="preserve"> </v>
      </c>
      <c r="N24" s="1642"/>
      <c r="O24" s="1641"/>
      <c r="P24" s="1641"/>
      <c r="Q24" s="1641"/>
      <c r="R24" s="1641"/>
      <c r="S24" s="1641"/>
      <c r="T24" s="1643"/>
      <c r="U24" s="1642"/>
      <c r="V24" s="1641"/>
      <c r="W24" s="1641"/>
      <c r="X24" s="1641"/>
      <c r="Y24" s="1641"/>
      <c r="Z24" s="1643"/>
      <c r="AA24" s="1642"/>
      <c r="AB24" s="1641"/>
      <c r="AC24" s="1641"/>
      <c r="AD24" s="1641"/>
      <c r="AE24" s="1641"/>
      <c r="AF24" s="1643"/>
      <c r="AG24" s="1642"/>
      <c r="AH24" s="1641"/>
      <c r="AI24" s="1641"/>
      <c r="AJ24" s="1641"/>
      <c r="AK24" s="1641"/>
      <c r="AL24" s="1643"/>
      <c r="AM24" s="1642"/>
      <c r="AN24" s="1641"/>
      <c r="AO24" s="1641"/>
      <c r="AP24" s="1641"/>
      <c r="AQ24" s="1641"/>
      <c r="AR24" s="1643"/>
      <c r="AS24" s="1642"/>
      <c r="AT24" s="1641"/>
      <c r="AU24" s="1641"/>
      <c r="AV24" s="1641"/>
      <c r="AW24" s="1641"/>
      <c r="AX24" s="1643"/>
      <c r="AY24" s="1642"/>
      <c r="AZ24" s="1641"/>
      <c r="BA24" s="1641"/>
      <c r="BB24" s="1641"/>
      <c r="BC24" s="1641"/>
      <c r="BD24" s="1643"/>
      <c r="BE24" s="1642"/>
      <c r="BF24" s="1641"/>
      <c r="BG24" s="1641"/>
      <c r="BH24" s="1641"/>
      <c r="BI24" s="1641"/>
      <c r="BJ24" s="1643"/>
      <c r="BK24" s="1644"/>
    </row>
    <row r="25" spans="2:63" ht="15.75" thickBot="1">
      <c r="B25" s="1599">
        <v>19</v>
      </c>
      <c r="C25" s="1600" t="str">
        <f>_xlfn.XLOOKUP($D25, Tabla3[No.], Tabla3[FECHA DE INICIO (PRIMERA CLASE CALENDARIO)]," ")</f>
        <v xml:space="preserve"> </v>
      </c>
      <c r="D25" s="1601"/>
      <c r="E25" s="1602" t="str">
        <f>_xlfn.XLOOKUP($D25,  Tabla3[No.],  Tabla3[CURP], " ")</f>
        <v xml:space="preserve"> </v>
      </c>
      <c r="F25" s="1603" t="str">
        <f>_xlfn.XLOOKUP($D25,  Tabla3[No.],  Tabla3[Matrícula Of. SEQ], " ")</f>
        <v xml:space="preserve"> </v>
      </c>
      <c r="G25" s="1604" t="str">
        <f>IFERROR(VLOOKUP(D25,Tabla3[],5,FALSE),"")</f>
        <v/>
      </c>
      <c r="H25" s="1605" t="str">
        <f t="shared" si="0"/>
        <v/>
      </c>
      <c r="I25" s="1605" t="str">
        <f t="shared" si="1"/>
        <v/>
      </c>
      <c r="J25" s="1605" t="str">
        <f t="shared" si="2"/>
        <v/>
      </c>
      <c r="K25" s="1605" t="str">
        <f t="shared" si="3"/>
        <v/>
      </c>
      <c r="L25" s="1580" t="str">
        <f>_xlfn.XLOOKUP($D25,  Tabla3[No.],  Tabla3[ESTATUS ACADÉMICO], " ")</f>
        <v xml:space="preserve"> </v>
      </c>
      <c r="M25" s="1606" t="str">
        <f>_xlfn.XLOOKUP($D25,  Tabla3[No.],  Tabla3[Grupo de clase], " ")</f>
        <v xml:space="preserve"> </v>
      </c>
      <c r="N25" s="1642"/>
      <c r="O25" s="1641"/>
      <c r="P25" s="1641"/>
      <c r="Q25" s="1641"/>
      <c r="R25" s="1641"/>
      <c r="S25" s="1641"/>
      <c r="T25" s="1643"/>
      <c r="U25" s="1642"/>
      <c r="V25" s="1641"/>
      <c r="W25" s="1641"/>
      <c r="X25" s="1641"/>
      <c r="Y25" s="1641"/>
      <c r="Z25" s="1643"/>
      <c r="AA25" s="1642"/>
      <c r="AB25" s="1641"/>
      <c r="AC25" s="1641"/>
      <c r="AD25" s="1641"/>
      <c r="AE25" s="1641"/>
      <c r="AF25" s="1643"/>
      <c r="AG25" s="1642"/>
      <c r="AH25" s="1641"/>
      <c r="AI25" s="1641"/>
      <c r="AJ25" s="1641"/>
      <c r="AK25" s="1641"/>
      <c r="AL25" s="1643"/>
      <c r="AM25" s="1642"/>
      <c r="AN25" s="1641"/>
      <c r="AO25" s="1641"/>
      <c r="AP25" s="1641"/>
      <c r="AQ25" s="1641"/>
      <c r="AR25" s="1643"/>
      <c r="AS25" s="1642"/>
      <c r="AT25" s="1641"/>
      <c r="AU25" s="1641"/>
      <c r="AV25" s="1641"/>
      <c r="AW25" s="1641"/>
      <c r="AX25" s="1643"/>
      <c r="AY25" s="1642"/>
      <c r="AZ25" s="1641"/>
      <c r="BA25" s="1641"/>
      <c r="BB25" s="1641"/>
      <c r="BC25" s="1641"/>
      <c r="BD25" s="1643"/>
      <c r="BE25" s="1642"/>
      <c r="BF25" s="1641"/>
      <c r="BG25" s="1641"/>
      <c r="BH25" s="1641"/>
      <c r="BI25" s="1641"/>
      <c r="BJ25" s="1643"/>
      <c r="BK25" s="1644"/>
    </row>
    <row r="26" spans="2:63" ht="15.75" thickBot="1">
      <c r="B26" s="1599">
        <v>20</v>
      </c>
      <c r="C26" s="1600" t="str">
        <f>_xlfn.XLOOKUP($D26, Tabla3[No.], Tabla3[FECHA DE INICIO (PRIMERA CLASE CALENDARIO)]," ")</f>
        <v xml:space="preserve"> </v>
      </c>
      <c r="D26" s="1601"/>
      <c r="E26" s="1602" t="str">
        <f>_xlfn.XLOOKUP($D26,  Tabla3[No.],  Tabla3[CURP], " ")</f>
        <v xml:space="preserve"> </v>
      </c>
      <c r="F26" s="1603" t="str">
        <f>_xlfn.XLOOKUP($D26,  Tabla3[No.],  Tabla3[Matrícula Of. SEQ], " ")</f>
        <v xml:space="preserve"> </v>
      </c>
      <c r="G26" s="1604" t="str">
        <f>IFERROR(VLOOKUP(D26,Tabla3[],5,FALSE),"")</f>
        <v/>
      </c>
      <c r="H26" s="1605" t="str">
        <f t="shared" si="0"/>
        <v/>
      </c>
      <c r="I26" s="1605" t="str">
        <f t="shared" si="1"/>
        <v/>
      </c>
      <c r="J26" s="1605" t="str">
        <f t="shared" si="2"/>
        <v/>
      </c>
      <c r="K26" s="1605" t="str">
        <f t="shared" si="3"/>
        <v/>
      </c>
      <c r="L26" s="1580" t="str">
        <f>_xlfn.XLOOKUP($D26,  Tabla3[No.],  Tabla3[ESTATUS ACADÉMICO], " ")</f>
        <v xml:space="preserve"> </v>
      </c>
      <c r="M26" s="1606" t="str">
        <f>_xlfn.XLOOKUP($D26,  Tabla3[No.],  Tabla3[Grupo de clase], " ")</f>
        <v xml:space="preserve"> </v>
      </c>
      <c r="N26" s="1642"/>
      <c r="O26" s="1641"/>
      <c r="P26" s="1641"/>
      <c r="Q26" s="1641"/>
      <c r="R26" s="1641"/>
      <c r="S26" s="1641"/>
      <c r="T26" s="1643"/>
      <c r="U26" s="1642"/>
      <c r="V26" s="1641"/>
      <c r="W26" s="1641"/>
      <c r="X26" s="1641"/>
      <c r="Y26" s="1641"/>
      <c r="Z26" s="1643"/>
      <c r="AA26" s="1642"/>
      <c r="AB26" s="1641"/>
      <c r="AC26" s="1641"/>
      <c r="AD26" s="1641"/>
      <c r="AE26" s="1641"/>
      <c r="AF26" s="1643"/>
      <c r="AG26" s="1642"/>
      <c r="AH26" s="1641"/>
      <c r="AI26" s="1641"/>
      <c r="AJ26" s="1641"/>
      <c r="AK26" s="1641"/>
      <c r="AL26" s="1643"/>
      <c r="AM26" s="1642"/>
      <c r="AN26" s="1641"/>
      <c r="AO26" s="1641"/>
      <c r="AP26" s="1641"/>
      <c r="AQ26" s="1641"/>
      <c r="AR26" s="1643"/>
      <c r="AS26" s="1642"/>
      <c r="AT26" s="1641"/>
      <c r="AU26" s="1641"/>
      <c r="AV26" s="1641"/>
      <c r="AW26" s="1641"/>
      <c r="AX26" s="1643"/>
      <c r="AY26" s="1642"/>
      <c r="AZ26" s="1641"/>
      <c r="BA26" s="1641"/>
      <c r="BB26" s="1641"/>
      <c r="BC26" s="1641"/>
      <c r="BD26" s="1643"/>
      <c r="BE26" s="1642"/>
      <c r="BF26" s="1641"/>
      <c r="BG26" s="1641"/>
      <c r="BH26" s="1641"/>
      <c r="BI26" s="1641"/>
      <c r="BJ26" s="1643"/>
      <c r="BK26" s="1644"/>
    </row>
    <row r="27" spans="2:63" ht="15.75" thickBot="1">
      <c r="B27" s="1599">
        <v>21</v>
      </c>
      <c r="C27" s="1600" t="str">
        <f>_xlfn.XLOOKUP($D27, Tabla3[No.], Tabla3[FECHA DE INICIO (PRIMERA CLASE CALENDARIO)]," ")</f>
        <v xml:space="preserve"> </v>
      </c>
      <c r="D27" s="1601"/>
      <c r="E27" s="1602" t="str">
        <f>_xlfn.XLOOKUP($D27,  Tabla3[No.],  Tabla3[CURP], " ")</f>
        <v xml:space="preserve"> </v>
      </c>
      <c r="F27" s="1603" t="str">
        <f>_xlfn.XLOOKUP($D27,  Tabla3[No.],  Tabla3[Matrícula Of. SEQ], " ")</f>
        <v xml:space="preserve"> </v>
      </c>
      <c r="G27" s="1604" t="str">
        <f>IFERROR(VLOOKUP(D27,Tabla3[],5,FALSE),"")</f>
        <v/>
      </c>
      <c r="H27" s="1605" t="str">
        <f t="shared" si="0"/>
        <v/>
      </c>
      <c r="I27" s="1605" t="str">
        <f t="shared" si="1"/>
        <v/>
      </c>
      <c r="J27" s="1605" t="str">
        <f t="shared" si="2"/>
        <v/>
      </c>
      <c r="K27" s="1605" t="str">
        <f t="shared" si="3"/>
        <v/>
      </c>
      <c r="L27" s="1580" t="str">
        <f>_xlfn.XLOOKUP($D27,  Tabla3[No.],  Tabla3[ESTATUS ACADÉMICO], " ")</f>
        <v xml:space="preserve"> </v>
      </c>
      <c r="M27" s="1606" t="str">
        <f>_xlfn.XLOOKUP($D27,  Tabla3[No.],  Tabla3[Grupo de clase], " ")</f>
        <v xml:space="preserve"> </v>
      </c>
      <c r="N27" s="1642"/>
      <c r="O27" s="1641"/>
      <c r="P27" s="1641"/>
      <c r="Q27" s="1641"/>
      <c r="R27" s="1641"/>
      <c r="S27" s="1641"/>
      <c r="T27" s="1643"/>
      <c r="U27" s="1642"/>
      <c r="V27" s="1641"/>
      <c r="W27" s="1641"/>
      <c r="X27" s="1641"/>
      <c r="Y27" s="1641"/>
      <c r="Z27" s="1643"/>
      <c r="AA27" s="1642"/>
      <c r="AB27" s="1641"/>
      <c r="AC27" s="1641"/>
      <c r="AD27" s="1641"/>
      <c r="AE27" s="1641"/>
      <c r="AF27" s="1643"/>
      <c r="AG27" s="1642"/>
      <c r="AH27" s="1641"/>
      <c r="AI27" s="1641"/>
      <c r="AJ27" s="1641"/>
      <c r="AK27" s="1641"/>
      <c r="AL27" s="1643"/>
      <c r="AM27" s="1642"/>
      <c r="AN27" s="1641"/>
      <c r="AO27" s="1641"/>
      <c r="AP27" s="1641"/>
      <c r="AQ27" s="1641"/>
      <c r="AR27" s="1643"/>
      <c r="AS27" s="1642"/>
      <c r="AT27" s="1641"/>
      <c r="AU27" s="1641"/>
      <c r="AV27" s="1641"/>
      <c r="AW27" s="1641"/>
      <c r="AX27" s="1643"/>
      <c r="AY27" s="1642"/>
      <c r="AZ27" s="1641"/>
      <c r="BA27" s="1641"/>
      <c r="BB27" s="1641"/>
      <c r="BC27" s="1641"/>
      <c r="BD27" s="1643"/>
      <c r="BE27" s="1642"/>
      <c r="BF27" s="1641"/>
      <c r="BG27" s="1641"/>
      <c r="BH27" s="1641"/>
      <c r="BI27" s="1641"/>
      <c r="BJ27" s="1643"/>
      <c r="BK27" s="1644"/>
    </row>
    <row r="28" spans="2:63" ht="15.75" thickBot="1">
      <c r="B28" s="1599">
        <v>22</v>
      </c>
      <c r="C28" s="1600" t="str">
        <f>_xlfn.XLOOKUP($D28, Tabla3[No.], Tabla3[FECHA DE INICIO (PRIMERA CLASE CALENDARIO)]," ")</f>
        <v xml:space="preserve"> </v>
      </c>
      <c r="D28" s="1601"/>
      <c r="E28" s="1602" t="str">
        <f>_xlfn.XLOOKUP($D28,  Tabla3[No.],  Tabla3[CURP], " ")</f>
        <v xml:space="preserve"> </v>
      </c>
      <c r="F28" s="1603" t="str">
        <f>_xlfn.XLOOKUP($D28,  Tabla3[No.],  Tabla3[Matrícula Of. SEQ], " ")</f>
        <v xml:space="preserve"> </v>
      </c>
      <c r="G28" s="1604" t="str">
        <f>IFERROR(VLOOKUP(D28,Tabla3[],5,FALSE),"")</f>
        <v/>
      </c>
      <c r="H28" s="1605" t="str">
        <f t="shared" si="0"/>
        <v/>
      </c>
      <c r="I28" s="1605" t="str">
        <f t="shared" si="1"/>
        <v/>
      </c>
      <c r="J28" s="1605" t="str">
        <f t="shared" si="2"/>
        <v/>
      </c>
      <c r="K28" s="1605" t="str">
        <f t="shared" si="3"/>
        <v/>
      </c>
      <c r="L28" s="1580" t="str">
        <f>_xlfn.XLOOKUP($D28,  Tabla3[No.],  Tabla3[ESTATUS ACADÉMICO], " ")</f>
        <v xml:space="preserve"> </v>
      </c>
      <c r="M28" s="1606" t="str">
        <f>_xlfn.XLOOKUP($D28,  Tabla3[No.],  Tabla3[Grupo de clase], " ")</f>
        <v xml:space="preserve"> </v>
      </c>
      <c r="N28" s="1642"/>
      <c r="O28" s="1641"/>
      <c r="P28" s="1641"/>
      <c r="Q28" s="1641"/>
      <c r="R28" s="1641"/>
      <c r="S28" s="1641"/>
      <c r="T28" s="1643"/>
      <c r="U28" s="1642"/>
      <c r="V28" s="1641"/>
      <c r="W28" s="1641"/>
      <c r="X28" s="1641"/>
      <c r="Y28" s="1641"/>
      <c r="Z28" s="1643"/>
      <c r="AA28" s="1642"/>
      <c r="AB28" s="1641"/>
      <c r="AC28" s="1641"/>
      <c r="AD28" s="1641"/>
      <c r="AE28" s="1641"/>
      <c r="AF28" s="1643"/>
      <c r="AG28" s="1642"/>
      <c r="AH28" s="1641"/>
      <c r="AI28" s="1641"/>
      <c r="AJ28" s="1641"/>
      <c r="AK28" s="1641"/>
      <c r="AL28" s="1643"/>
      <c r="AM28" s="1642"/>
      <c r="AN28" s="1641"/>
      <c r="AO28" s="1641"/>
      <c r="AP28" s="1641"/>
      <c r="AQ28" s="1641"/>
      <c r="AR28" s="1643"/>
      <c r="AS28" s="1642"/>
      <c r="AT28" s="1641"/>
      <c r="AU28" s="1641"/>
      <c r="AV28" s="1641"/>
      <c r="AW28" s="1641"/>
      <c r="AX28" s="1643"/>
      <c r="AY28" s="1642"/>
      <c r="AZ28" s="1641"/>
      <c r="BA28" s="1641"/>
      <c r="BB28" s="1641"/>
      <c r="BC28" s="1641"/>
      <c r="BD28" s="1643"/>
      <c r="BE28" s="1642"/>
      <c r="BF28" s="1641"/>
      <c r="BG28" s="1641"/>
      <c r="BH28" s="1641"/>
      <c r="BI28" s="1641"/>
      <c r="BJ28" s="1643"/>
      <c r="BK28" s="1644"/>
    </row>
    <row r="29" spans="2:63" ht="15.75" thickBot="1">
      <c r="B29" s="1599">
        <v>23</v>
      </c>
      <c r="C29" s="1600" t="str">
        <f>_xlfn.XLOOKUP($D29, Tabla3[No.], Tabla3[FECHA DE INICIO (PRIMERA CLASE CALENDARIO)]," ")</f>
        <v xml:space="preserve"> </v>
      </c>
      <c r="D29" s="1601"/>
      <c r="E29" s="1602" t="str">
        <f>_xlfn.XLOOKUP($D29,  Tabla3[No.],  Tabla3[CURP], " ")</f>
        <v xml:space="preserve"> </v>
      </c>
      <c r="F29" s="1603" t="str">
        <f>_xlfn.XLOOKUP($D29,  Tabla3[No.],  Tabla3[Matrícula Of. SEQ], " ")</f>
        <v xml:space="preserve"> </v>
      </c>
      <c r="G29" s="1604" t="str">
        <f>IFERROR(VLOOKUP(D29,Tabla3[],5,FALSE),"")</f>
        <v/>
      </c>
      <c r="H29" s="1605" t="str">
        <f t="shared" si="0"/>
        <v/>
      </c>
      <c r="I29" s="1605" t="str">
        <f t="shared" si="1"/>
        <v/>
      </c>
      <c r="J29" s="1605" t="str">
        <f t="shared" si="2"/>
        <v/>
      </c>
      <c r="K29" s="1605" t="str">
        <f t="shared" si="3"/>
        <v/>
      </c>
      <c r="L29" s="1580" t="str">
        <f>_xlfn.XLOOKUP($D29,  Tabla3[No.],  Tabla3[ESTATUS ACADÉMICO], " ")</f>
        <v xml:space="preserve"> </v>
      </c>
      <c r="M29" s="1606" t="str">
        <f>_xlfn.XLOOKUP($D29,  Tabla3[No.],  Tabla3[Grupo de clase], " ")</f>
        <v xml:space="preserve"> </v>
      </c>
      <c r="N29" s="1642"/>
      <c r="O29" s="1641"/>
      <c r="P29" s="1641"/>
      <c r="Q29" s="1641"/>
      <c r="R29" s="1641"/>
      <c r="S29" s="1641"/>
      <c r="T29" s="1643"/>
      <c r="U29" s="1642"/>
      <c r="V29" s="1641"/>
      <c r="W29" s="1641"/>
      <c r="X29" s="1641"/>
      <c r="Y29" s="1641"/>
      <c r="Z29" s="1643"/>
      <c r="AA29" s="1642"/>
      <c r="AB29" s="1641"/>
      <c r="AC29" s="1641"/>
      <c r="AD29" s="1641"/>
      <c r="AE29" s="1641"/>
      <c r="AF29" s="1643"/>
      <c r="AG29" s="1642"/>
      <c r="AH29" s="1641"/>
      <c r="AI29" s="1641"/>
      <c r="AJ29" s="1641"/>
      <c r="AK29" s="1641"/>
      <c r="AL29" s="1643"/>
      <c r="AM29" s="1642"/>
      <c r="AN29" s="1641"/>
      <c r="AO29" s="1641"/>
      <c r="AP29" s="1641"/>
      <c r="AQ29" s="1641"/>
      <c r="AR29" s="1643"/>
      <c r="AS29" s="1642"/>
      <c r="AT29" s="1641"/>
      <c r="AU29" s="1641"/>
      <c r="AV29" s="1641"/>
      <c r="AW29" s="1641"/>
      <c r="AX29" s="1643"/>
      <c r="AY29" s="1642"/>
      <c r="AZ29" s="1641"/>
      <c r="BA29" s="1641"/>
      <c r="BB29" s="1641"/>
      <c r="BC29" s="1641"/>
      <c r="BD29" s="1643"/>
      <c r="BE29" s="1642"/>
      <c r="BF29" s="1641"/>
      <c r="BG29" s="1641"/>
      <c r="BH29" s="1641"/>
      <c r="BI29" s="1641"/>
      <c r="BJ29" s="1643"/>
      <c r="BK29" s="1644"/>
    </row>
    <row r="30" spans="2:63" ht="15.75" thickBot="1">
      <c r="B30" s="1599">
        <v>24</v>
      </c>
      <c r="C30" s="1600" t="str">
        <f>_xlfn.XLOOKUP($D30, Tabla3[No.], Tabla3[FECHA DE INICIO (PRIMERA CLASE CALENDARIO)]," ")</f>
        <v xml:space="preserve"> </v>
      </c>
      <c r="D30" s="1601"/>
      <c r="E30" s="1602" t="str">
        <f>_xlfn.XLOOKUP($D30,  Tabla3[No.],  Tabla3[CURP], " ")</f>
        <v xml:space="preserve"> </v>
      </c>
      <c r="F30" s="1603" t="str">
        <f>_xlfn.XLOOKUP($D30,  Tabla3[No.],  Tabla3[Matrícula Of. SEQ], " ")</f>
        <v xml:space="preserve"> </v>
      </c>
      <c r="G30" s="1604" t="str">
        <f>IFERROR(VLOOKUP(D30,Tabla3[],5,FALSE),"")</f>
        <v/>
      </c>
      <c r="H30" s="1605" t="str">
        <f t="shared" si="0"/>
        <v/>
      </c>
      <c r="I30" s="1605" t="str">
        <f t="shared" si="1"/>
        <v/>
      </c>
      <c r="J30" s="1605" t="str">
        <f t="shared" si="2"/>
        <v/>
      </c>
      <c r="K30" s="1605" t="str">
        <f t="shared" si="3"/>
        <v/>
      </c>
      <c r="L30" s="1580" t="str">
        <f>_xlfn.XLOOKUP($D30,  Tabla3[No.],  Tabla3[ESTATUS ACADÉMICO], " ")</f>
        <v xml:space="preserve"> </v>
      </c>
      <c r="M30" s="1606" t="str">
        <f>_xlfn.XLOOKUP($D30,  Tabla3[No.],  Tabla3[Grupo de clase], " ")</f>
        <v xml:space="preserve"> </v>
      </c>
      <c r="N30" s="1642"/>
      <c r="O30" s="1641"/>
      <c r="P30" s="1641"/>
      <c r="Q30" s="1641"/>
      <c r="R30" s="1641"/>
      <c r="S30" s="1641"/>
      <c r="T30" s="1643"/>
      <c r="U30" s="1642"/>
      <c r="V30" s="1641"/>
      <c r="W30" s="1641"/>
      <c r="X30" s="1641"/>
      <c r="Y30" s="1641"/>
      <c r="Z30" s="1643"/>
      <c r="AA30" s="1642"/>
      <c r="AB30" s="1641"/>
      <c r="AC30" s="1641"/>
      <c r="AD30" s="1641"/>
      <c r="AE30" s="1641"/>
      <c r="AF30" s="1643"/>
      <c r="AG30" s="1642"/>
      <c r="AH30" s="1641"/>
      <c r="AI30" s="1641"/>
      <c r="AJ30" s="1641"/>
      <c r="AK30" s="1641"/>
      <c r="AL30" s="1643"/>
      <c r="AM30" s="1642"/>
      <c r="AN30" s="1641"/>
      <c r="AO30" s="1641"/>
      <c r="AP30" s="1641"/>
      <c r="AQ30" s="1641"/>
      <c r="AR30" s="1643"/>
      <c r="AS30" s="1642"/>
      <c r="AT30" s="1641"/>
      <c r="AU30" s="1641"/>
      <c r="AV30" s="1641"/>
      <c r="AW30" s="1641"/>
      <c r="AX30" s="1643"/>
      <c r="AY30" s="1642"/>
      <c r="AZ30" s="1641"/>
      <c r="BA30" s="1641"/>
      <c r="BB30" s="1641"/>
      <c r="BC30" s="1641"/>
      <c r="BD30" s="1643"/>
      <c r="BE30" s="1642"/>
      <c r="BF30" s="1641"/>
      <c r="BG30" s="1641"/>
      <c r="BH30" s="1641"/>
      <c r="BI30" s="1641"/>
      <c r="BJ30" s="1643"/>
      <c r="BK30" s="1644"/>
    </row>
    <row r="31" spans="2:63" ht="15.75" thickBot="1">
      <c r="B31" s="1645">
        <v>25</v>
      </c>
      <c r="C31" s="1646" t="str">
        <f>_xlfn.XLOOKUP($D31, Tabla3[No.], Tabla3[FECHA DE INICIO (PRIMERA CLASE CALENDARIO)]," ")</f>
        <v xml:space="preserve"> </v>
      </c>
      <c r="D31" s="1647"/>
      <c r="E31" s="1648" t="str">
        <f>_xlfn.XLOOKUP($D31,  Tabla3[No.],  Tabla3[CURP], " ")</f>
        <v xml:space="preserve"> </v>
      </c>
      <c r="F31" s="1649" t="str">
        <f>_xlfn.XLOOKUP($D31,  Tabla3[No.],  Tabla3[Matrícula Of. SEQ], " ")</f>
        <v xml:space="preserve"> </v>
      </c>
      <c r="G31" s="1604" t="str">
        <f>IFERROR(VLOOKUP(D31,Tabla3[],5,FALSE),"")</f>
        <v/>
      </c>
      <c r="H31" s="1650" t="str">
        <f t="shared" si="0"/>
        <v/>
      </c>
      <c r="I31" s="1650" t="str">
        <f t="shared" si="1"/>
        <v/>
      </c>
      <c r="J31" s="1650" t="str">
        <f t="shared" si="2"/>
        <v/>
      </c>
      <c r="K31" s="1650" t="str">
        <f t="shared" si="3"/>
        <v/>
      </c>
      <c r="L31" s="1580" t="str">
        <f>_xlfn.XLOOKUP($D31,  Tabla3[No.],  Tabla3[ESTATUS ACADÉMICO], " ")</f>
        <v xml:space="preserve"> </v>
      </c>
      <c r="M31" s="1652" t="str">
        <f>_xlfn.XLOOKUP($D31,  Tabla3[No.],  Tabla3[Grupo de clase], " ")</f>
        <v xml:space="preserve"> </v>
      </c>
      <c r="N31" s="1653"/>
      <c r="O31" s="1651"/>
      <c r="P31" s="1651"/>
      <c r="Q31" s="1651"/>
      <c r="R31" s="1651"/>
      <c r="S31" s="1651"/>
      <c r="T31" s="1654"/>
      <c r="U31" s="1653"/>
      <c r="V31" s="1651"/>
      <c r="W31" s="1651"/>
      <c r="X31" s="1651"/>
      <c r="Y31" s="1651"/>
      <c r="Z31" s="1654"/>
      <c r="AA31" s="1653"/>
      <c r="AB31" s="1651"/>
      <c r="AC31" s="1651"/>
      <c r="AD31" s="1651"/>
      <c r="AE31" s="1651"/>
      <c r="AF31" s="1654"/>
      <c r="AG31" s="1653"/>
      <c r="AH31" s="1651"/>
      <c r="AI31" s="1651"/>
      <c r="AJ31" s="1651"/>
      <c r="AK31" s="1651"/>
      <c r="AL31" s="1654"/>
      <c r="AM31" s="1653"/>
      <c r="AN31" s="1651"/>
      <c r="AO31" s="1651"/>
      <c r="AP31" s="1651"/>
      <c r="AQ31" s="1651"/>
      <c r="AR31" s="1654"/>
      <c r="AS31" s="1653"/>
      <c r="AT31" s="1651"/>
      <c r="AU31" s="1651"/>
      <c r="AV31" s="1651"/>
      <c r="AW31" s="1651"/>
      <c r="AX31" s="1654"/>
      <c r="AY31" s="1653"/>
      <c r="AZ31" s="1651"/>
      <c r="BA31" s="1651"/>
      <c r="BB31" s="1651"/>
      <c r="BC31" s="1651"/>
      <c r="BD31" s="1654"/>
      <c r="BE31" s="1653"/>
      <c r="BF31" s="1651"/>
      <c r="BG31" s="1651"/>
      <c r="BH31" s="1651"/>
      <c r="BI31" s="1651"/>
      <c r="BJ31" s="1654"/>
      <c r="BK31" s="1655"/>
    </row>
    <row r="35" spans="1:20" ht="15.75" thickBot="1">
      <c r="E35" s="1544" t="s">
        <v>3867</v>
      </c>
    </row>
    <row r="36" spans="1:20" ht="15.75" customHeight="1" thickBot="1">
      <c r="A36" s="1546"/>
      <c r="B36" s="4089" t="s">
        <v>5</v>
      </c>
      <c r="C36" s="1548"/>
      <c r="D36" s="4091" t="s">
        <v>3866</v>
      </c>
      <c r="E36" s="4091" t="s">
        <v>6</v>
      </c>
      <c r="F36" s="4091" t="s">
        <v>7</v>
      </c>
      <c r="G36" s="4093" t="s">
        <v>8</v>
      </c>
      <c r="H36" s="4096" t="s">
        <v>9</v>
      </c>
      <c r="I36" s="4086" t="s">
        <v>10</v>
      </c>
      <c r="J36" s="4087"/>
      <c r="K36" s="4087"/>
      <c r="L36" s="4069"/>
      <c r="M36" s="1549"/>
      <c r="N36" s="4071" t="s">
        <v>2575</v>
      </c>
      <c r="O36" s="4072"/>
      <c r="P36" s="4072"/>
      <c r="Q36" s="4073"/>
      <c r="R36" s="1550"/>
      <c r="S36" s="1550"/>
      <c r="T36" s="1550"/>
    </row>
    <row r="37" spans="1:20" ht="60" customHeight="1" thickBot="1">
      <c r="A37" s="1546"/>
      <c r="B37" s="4090"/>
      <c r="C37" s="1548" t="s">
        <v>1843</v>
      </c>
      <c r="D37" s="4092"/>
      <c r="E37" s="4092"/>
      <c r="F37" s="4092"/>
      <c r="G37" s="4094"/>
      <c r="H37" s="4097"/>
      <c r="I37" s="4087"/>
      <c r="J37" s="4088"/>
      <c r="K37" s="4087"/>
      <c r="L37" s="4070"/>
      <c r="M37" s="1552" t="s">
        <v>1149</v>
      </c>
      <c r="N37" s="1553"/>
      <c r="O37" s="1554"/>
      <c r="P37" s="1554"/>
      <c r="Q37" s="1554"/>
      <c r="R37" s="1554"/>
      <c r="S37" s="1554"/>
      <c r="T37" s="1554"/>
    </row>
    <row r="38" spans="1:20" ht="23.25" thickBot="1">
      <c r="A38" s="1562" t="s">
        <v>27</v>
      </c>
      <c r="B38" s="4090"/>
      <c r="C38" s="1547"/>
      <c r="D38" s="4092"/>
      <c r="E38" s="4092"/>
      <c r="F38" s="4092"/>
      <c r="G38" s="4095"/>
      <c r="H38" s="4097"/>
      <c r="I38" s="4087"/>
      <c r="J38" s="4087"/>
      <c r="K38" s="4087"/>
      <c r="L38" s="1550"/>
      <c r="M38" s="1552" t="s">
        <v>1728</v>
      </c>
      <c r="N38" s="1563" t="s">
        <v>29</v>
      </c>
      <c r="O38" s="1563" t="s">
        <v>31</v>
      </c>
      <c r="P38" s="1563" t="s">
        <v>30</v>
      </c>
      <c r="Q38" s="1563" t="s">
        <v>32</v>
      </c>
      <c r="R38" s="1563" t="s">
        <v>33</v>
      </c>
      <c r="S38" s="1563" t="s">
        <v>34</v>
      </c>
      <c r="T38" s="1563" t="s">
        <v>56</v>
      </c>
    </row>
    <row r="39" spans="1:20" ht="34.5" thickBot="1">
      <c r="A39" s="1548" t="s">
        <v>3461</v>
      </c>
      <c r="B39" s="4090"/>
      <c r="C39" s="1564" t="s">
        <v>3882</v>
      </c>
      <c r="D39" s="4092"/>
      <c r="E39" s="4092"/>
      <c r="F39" s="4092"/>
      <c r="G39" s="1565" t="s">
        <v>78</v>
      </c>
      <c r="H39" s="4097"/>
      <c r="I39" s="1566" t="s">
        <v>79</v>
      </c>
      <c r="J39" s="1566" t="s">
        <v>80</v>
      </c>
      <c r="K39" s="1566" t="s">
        <v>81</v>
      </c>
      <c r="L39" s="1567" t="s">
        <v>1759</v>
      </c>
      <c r="M39" s="1568" t="s">
        <v>27</v>
      </c>
      <c r="N39" s="1569"/>
      <c r="O39" s="1569"/>
      <c r="P39" s="1569"/>
      <c r="Q39" s="1569"/>
      <c r="R39" s="1569"/>
      <c r="S39" s="1569"/>
      <c r="T39" s="1570"/>
    </row>
    <row r="40" spans="1:20" ht="15.75">
      <c r="A40" s="1546"/>
      <c r="B40" s="1656">
        <v>1</v>
      </c>
      <c r="C40" s="1575" t="str">
        <f>_xlfn.XLOOKUP($D40, Tabla3[No.], Tabla3[FECHA DE INICIO (PRIMERA CLASE CALENDARIO)]," ")</f>
        <v xml:space="preserve"> </v>
      </c>
      <c r="D40" s="1657"/>
      <c r="E40" s="1577" t="str">
        <f>_xlfn.XLOOKUP($D40,  Tabla3[No.],  Tabla3[CURP], " ")</f>
        <v xml:space="preserve"> </v>
      </c>
      <c r="F40" s="1578" t="str">
        <f>_xlfn.XLOOKUP($D40,  Tabla3[No.],  Tabla3[Matrícula Of. SEQ], " ")</f>
        <v xml:space="preserve"> </v>
      </c>
      <c r="G40" s="1579" t="str">
        <f>IFERROR(VLOOKUP(D40,Tabla3[],5,FALSE),"")</f>
        <v/>
      </c>
      <c r="H40" s="1657" t="str">
        <f t="shared" ref="H40:H64" si="4">MID($E40,11,1)</f>
        <v/>
      </c>
      <c r="I40" s="1657" t="str">
        <f t="shared" ref="I40:I64" si="5">MID($E40,5,2)</f>
        <v/>
      </c>
      <c r="J40" s="1657" t="str">
        <f t="shared" ref="J40:J64" si="6">MID($E40,7,2)</f>
        <v/>
      </c>
      <c r="K40" s="1657" t="str">
        <f t="shared" ref="K40:K64" si="7">MID($E40,9,2)</f>
        <v/>
      </c>
      <c r="L40" s="1657" t="str">
        <f>_xlfn.XLOOKUP($D40,  Tabla3[No.],  Tabla3[ESTATUS ACADÉMICO], " ")</f>
        <v xml:space="preserve"> </v>
      </c>
      <c r="M40" s="1581" t="str">
        <f>_xlfn.XLOOKUP($D40,  Tabla3[No.],  Tabla3[Grupo de clase], " ")</f>
        <v xml:space="preserve"> </v>
      </c>
      <c r="N40" s="1582"/>
      <c r="O40" s="1583"/>
      <c r="P40" s="1583"/>
      <c r="Q40" s="1658"/>
      <c r="R40" s="1582"/>
      <c r="S40" s="1583"/>
      <c r="T40" s="1584"/>
    </row>
    <row r="41" spans="1:20" ht="15.75">
      <c r="A41" s="1546"/>
      <c r="B41" s="1659">
        <v>2</v>
      </c>
      <c r="C41" s="1600" t="str">
        <f>_xlfn.XLOOKUP($D41, Tabla3[No.], Tabla3[FECHA DE INICIO (PRIMERA CLASE CALENDARIO)]," ")</f>
        <v xml:space="preserve"> </v>
      </c>
      <c r="D41" s="1660"/>
      <c r="E41" s="1602" t="str">
        <f>_xlfn.XLOOKUP($D41,  Tabla3[No.],  Tabla3[CURP], " ")</f>
        <v xml:space="preserve"> </v>
      </c>
      <c r="F41" s="1603" t="str">
        <f>_xlfn.XLOOKUP($D41,  Tabla3[No.],  Tabla3[Matrícula Of. SEQ], " ")</f>
        <v xml:space="preserve"> </v>
      </c>
      <c r="G41" s="1604" t="str">
        <f>IFERROR(VLOOKUP(D41,Tabla3[],5,FALSE),"")</f>
        <v/>
      </c>
      <c r="H41" s="1660" t="str">
        <f t="shared" si="4"/>
        <v/>
      </c>
      <c r="I41" s="1660" t="str">
        <f t="shared" si="5"/>
        <v/>
      </c>
      <c r="J41" s="1660" t="str">
        <f t="shared" si="6"/>
        <v/>
      </c>
      <c r="K41" s="1660" t="str">
        <f t="shared" si="7"/>
        <v/>
      </c>
      <c r="L41" s="1660" t="str">
        <f>_xlfn.XLOOKUP($D41,  Tabla3[No.],  Tabla3[ESTATUS ACADÉMICO], " ")</f>
        <v xml:space="preserve"> </v>
      </c>
      <c r="M41" s="1606" t="str">
        <f>_xlfn.XLOOKUP($D41,  Tabla3[No.],  Tabla3[Grupo de clase], " ")</f>
        <v xml:space="preserve"> </v>
      </c>
      <c r="N41" s="1607"/>
      <c r="O41" s="1608"/>
      <c r="P41" s="1608"/>
      <c r="Q41" s="1634"/>
      <c r="R41" s="1607"/>
      <c r="S41" s="1608"/>
      <c r="T41" s="1609"/>
    </row>
    <row r="42" spans="1:20" ht="15.75">
      <c r="A42" s="1546"/>
      <c r="B42" s="1659">
        <v>3</v>
      </c>
      <c r="C42" s="1600" t="str">
        <f>_xlfn.XLOOKUP($D42, Tabla3[No.], Tabla3[FECHA DE INICIO (PRIMERA CLASE CALENDARIO)]," ")</f>
        <v xml:space="preserve"> </v>
      </c>
      <c r="D42" s="1660"/>
      <c r="E42" s="1602" t="str">
        <f>_xlfn.XLOOKUP($D42,  Tabla3[No.],  Tabla3[CURP], " ")</f>
        <v xml:space="preserve"> </v>
      </c>
      <c r="F42" s="1603" t="str">
        <f>_xlfn.XLOOKUP($D42,  Tabla3[No.],  Tabla3[Matrícula Of. SEQ], " ")</f>
        <v xml:space="preserve"> </v>
      </c>
      <c r="G42" s="1604" t="str">
        <f>IFERROR(VLOOKUP(D42,Tabla3[],5,FALSE),"")</f>
        <v/>
      </c>
      <c r="H42" s="1660" t="str">
        <f t="shared" si="4"/>
        <v/>
      </c>
      <c r="I42" s="1660" t="str">
        <f t="shared" si="5"/>
        <v/>
      </c>
      <c r="J42" s="1660" t="str">
        <f t="shared" si="6"/>
        <v/>
      </c>
      <c r="K42" s="1660" t="str">
        <f t="shared" si="7"/>
        <v/>
      </c>
      <c r="L42" s="1660" t="str">
        <f>_xlfn.XLOOKUP($D42,  Tabla3[No.],  Tabla3[ESTATUS ACADÉMICO], " ")</f>
        <v xml:space="preserve"> </v>
      </c>
      <c r="M42" s="1606" t="str">
        <f>_xlfn.XLOOKUP($D42,  Tabla3[No.],  Tabla3[Grupo de clase], " ")</f>
        <v xml:space="preserve"> </v>
      </c>
      <c r="N42" s="1607"/>
      <c r="O42" s="1608"/>
      <c r="P42" s="1608"/>
      <c r="Q42" s="1634"/>
      <c r="R42" s="1607"/>
      <c r="S42" s="1608"/>
      <c r="T42" s="1609"/>
    </row>
    <row r="43" spans="1:20" ht="15.75">
      <c r="A43" s="1546"/>
      <c r="B43" s="1659">
        <v>4</v>
      </c>
      <c r="C43" s="1600" t="str">
        <f>_xlfn.XLOOKUP($D43, Tabla3[No.], Tabla3[FECHA DE INICIO (PRIMERA CLASE CALENDARIO)]," ")</f>
        <v xml:space="preserve"> </v>
      </c>
      <c r="D43" s="1660"/>
      <c r="E43" s="1602" t="str">
        <f>_xlfn.XLOOKUP($D43,  Tabla3[No.],  Tabla3[CURP], " ")</f>
        <v xml:space="preserve"> </v>
      </c>
      <c r="F43" s="1603" t="str">
        <f>_xlfn.XLOOKUP($D43,  Tabla3[No.],  Tabla3[Matrícula Of. SEQ], " ")</f>
        <v xml:space="preserve"> </v>
      </c>
      <c r="G43" s="1604" t="str">
        <f>IFERROR(VLOOKUP(D43,Tabla3[],5,FALSE),"")</f>
        <v/>
      </c>
      <c r="H43" s="1660" t="str">
        <f t="shared" si="4"/>
        <v/>
      </c>
      <c r="I43" s="1660" t="str">
        <f t="shared" si="5"/>
        <v/>
      </c>
      <c r="J43" s="1660" t="str">
        <f t="shared" si="6"/>
        <v/>
      </c>
      <c r="K43" s="1660" t="str">
        <f t="shared" si="7"/>
        <v/>
      </c>
      <c r="L43" s="1660" t="str">
        <f>_xlfn.XLOOKUP($D43,  Tabla3[No.],  Tabla3[ESTATUS ACADÉMICO], " ")</f>
        <v xml:space="preserve"> </v>
      </c>
      <c r="M43" s="1606" t="str">
        <f>_xlfn.XLOOKUP($D43,  Tabla3[No.],  Tabla3[Grupo de clase], " ")</f>
        <v xml:space="preserve"> </v>
      </c>
      <c r="N43" s="1607"/>
      <c r="O43" s="1608"/>
      <c r="P43" s="1608"/>
      <c r="Q43" s="1634"/>
      <c r="R43" s="1607"/>
      <c r="S43" s="1608"/>
      <c r="T43" s="1609"/>
    </row>
    <row r="44" spans="1:20" ht="15.75">
      <c r="A44" s="1546"/>
      <c r="B44" s="1659">
        <v>5</v>
      </c>
      <c r="C44" s="1600" t="str">
        <f>_xlfn.XLOOKUP($D44, Tabla3[No.], Tabla3[FECHA DE INICIO (PRIMERA CLASE CALENDARIO)]," ")</f>
        <v xml:space="preserve"> </v>
      </c>
      <c r="D44" s="1660"/>
      <c r="E44" s="1602" t="str">
        <f>_xlfn.XLOOKUP($D44,  Tabla3[No.],  Tabla3[CURP], " ")</f>
        <v xml:space="preserve"> </v>
      </c>
      <c r="F44" s="1603" t="str">
        <f>_xlfn.XLOOKUP($D44,  Tabla3[No.],  Tabla3[Matrícula Of. SEQ], " ")</f>
        <v xml:space="preserve"> </v>
      </c>
      <c r="G44" s="1604" t="str">
        <f>IFERROR(VLOOKUP(D44,Tabla3[],5,FALSE),"")</f>
        <v/>
      </c>
      <c r="H44" s="1660" t="str">
        <f t="shared" si="4"/>
        <v/>
      </c>
      <c r="I44" s="1660" t="str">
        <f t="shared" si="5"/>
        <v/>
      </c>
      <c r="J44" s="1660" t="str">
        <f t="shared" si="6"/>
        <v/>
      </c>
      <c r="K44" s="1660" t="str">
        <f t="shared" si="7"/>
        <v/>
      </c>
      <c r="L44" s="1660" t="str">
        <f>_xlfn.XLOOKUP($D44,  Tabla3[No.],  Tabla3[ESTATUS ACADÉMICO], " ")</f>
        <v xml:space="preserve"> </v>
      </c>
      <c r="M44" s="1606" t="str">
        <f>_xlfn.XLOOKUP($D44,  Tabla3[No.],  Tabla3[Grupo de clase], " ")</f>
        <v xml:space="preserve"> </v>
      </c>
      <c r="N44" s="1607"/>
      <c r="O44" s="1608"/>
      <c r="P44" s="1608"/>
      <c r="Q44" s="1634"/>
      <c r="R44" s="1607"/>
      <c r="S44" s="1627"/>
      <c r="T44" s="1628"/>
    </row>
    <row r="45" spans="1:20" ht="15.75">
      <c r="A45" s="1546"/>
      <c r="B45" s="1659">
        <v>6</v>
      </c>
      <c r="C45" s="1600" t="str">
        <f>_xlfn.XLOOKUP($D45, Tabla3[No.], Tabla3[FECHA DE INICIO (PRIMERA CLASE CALENDARIO)]," ")</f>
        <v xml:space="preserve"> </v>
      </c>
      <c r="D45" s="1660"/>
      <c r="E45" s="1602" t="str">
        <f>_xlfn.XLOOKUP($D45,  Tabla3[No.],  Tabla3[CURP], " ")</f>
        <v xml:space="preserve"> </v>
      </c>
      <c r="F45" s="1603" t="str">
        <f>_xlfn.XLOOKUP($D45,  Tabla3[No.],  Tabla3[Matrícula Of. SEQ], " ")</f>
        <v xml:space="preserve"> </v>
      </c>
      <c r="G45" s="1604" t="str">
        <f>IFERROR(VLOOKUP(D45,Tabla3[],5,FALSE),"")</f>
        <v/>
      </c>
      <c r="H45" s="1660" t="str">
        <f t="shared" si="4"/>
        <v/>
      </c>
      <c r="I45" s="1660" t="str">
        <f t="shared" si="5"/>
        <v/>
      </c>
      <c r="J45" s="1660" t="str">
        <f t="shared" si="6"/>
        <v/>
      </c>
      <c r="K45" s="1660" t="str">
        <f t="shared" si="7"/>
        <v/>
      </c>
      <c r="L45" s="1660" t="str">
        <f>_xlfn.XLOOKUP($D45,  Tabla3[No.],  Tabla3[ESTATUS ACADÉMICO], " ")</f>
        <v xml:space="preserve"> </v>
      </c>
      <c r="M45" s="1606" t="str">
        <f>_xlfn.XLOOKUP($D45,  Tabla3[No.],  Tabla3[Grupo de clase], " ")</f>
        <v xml:space="preserve"> </v>
      </c>
      <c r="N45" s="1607"/>
      <c r="O45" s="1608"/>
      <c r="P45" s="1608"/>
      <c r="Q45" s="1634"/>
      <c r="R45" s="1607"/>
      <c r="S45" s="1608"/>
      <c r="T45" s="1609"/>
    </row>
    <row r="46" spans="1:20" ht="15.75">
      <c r="A46" s="1546"/>
      <c r="B46" s="1659">
        <v>7</v>
      </c>
      <c r="C46" s="1600" t="str">
        <f>_xlfn.XLOOKUP($D46, Tabla3[No.], Tabla3[FECHA DE INICIO (PRIMERA CLASE CALENDARIO)]," ")</f>
        <v xml:space="preserve"> </v>
      </c>
      <c r="D46" s="1660"/>
      <c r="E46" s="1602" t="str">
        <f>_xlfn.XLOOKUP($D46,  Tabla3[No.],  Tabla3[CURP], " ")</f>
        <v xml:space="preserve"> </v>
      </c>
      <c r="F46" s="1603" t="str">
        <f>_xlfn.XLOOKUP($D46,  Tabla3[No.],  Tabla3[Matrícula Of. SEQ], " ")</f>
        <v xml:space="preserve"> </v>
      </c>
      <c r="G46" s="1604" t="str">
        <f>IFERROR(VLOOKUP(D46,Tabla3[],5,FALSE),"")</f>
        <v/>
      </c>
      <c r="H46" s="1660" t="str">
        <f t="shared" si="4"/>
        <v/>
      </c>
      <c r="I46" s="1660" t="str">
        <f t="shared" si="5"/>
        <v/>
      </c>
      <c r="J46" s="1660" t="str">
        <f t="shared" si="6"/>
        <v/>
      </c>
      <c r="K46" s="1660" t="str">
        <f t="shared" si="7"/>
        <v/>
      </c>
      <c r="L46" s="1660" t="str">
        <f>_xlfn.XLOOKUP($D46,  Tabla3[No.],  Tabla3[ESTATUS ACADÉMICO], " ")</f>
        <v xml:space="preserve"> </v>
      </c>
      <c r="M46" s="1606" t="str">
        <f>_xlfn.XLOOKUP($D46,  Tabla3[No.],  Tabla3[Grupo de clase], " ")</f>
        <v xml:space="preserve"> </v>
      </c>
      <c r="N46" s="1607"/>
      <c r="O46" s="1608"/>
      <c r="P46" s="1608"/>
      <c r="Q46" s="1609"/>
      <c r="R46" s="1607"/>
      <c r="S46" s="1627"/>
      <c r="T46" s="1628"/>
    </row>
    <row r="47" spans="1:20" ht="15.75">
      <c r="A47" s="1546"/>
      <c r="B47" s="1659">
        <v>8</v>
      </c>
      <c r="C47" s="1600" t="str">
        <f>_xlfn.XLOOKUP($D47, Tabla3[No.], Tabla3[FECHA DE INICIO (PRIMERA CLASE CALENDARIO)]," ")</f>
        <v xml:space="preserve"> </v>
      </c>
      <c r="D47" s="1660"/>
      <c r="E47" s="1602" t="str">
        <f>_xlfn.XLOOKUP($D47,  Tabla3[No.],  Tabla3[CURP], " ")</f>
        <v xml:space="preserve"> </v>
      </c>
      <c r="F47" s="1603" t="str">
        <f>_xlfn.XLOOKUP($D47,  Tabla3[No.],  Tabla3[Matrícula Of. SEQ], " ")</f>
        <v xml:space="preserve"> </v>
      </c>
      <c r="G47" s="1604" t="str">
        <f>IFERROR(VLOOKUP(D47,Tabla3[],5,FALSE),"")</f>
        <v/>
      </c>
      <c r="H47" s="1660" t="str">
        <f t="shared" si="4"/>
        <v/>
      </c>
      <c r="I47" s="1660" t="str">
        <f t="shared" si="5"/>
        <v/>
      </c>
      <c r="J47" s="1660" t="str">
        <f t="shared" si="6"/>
        <v/>
      </c>
      <c r="K47" s="1660" t="str">
        <f t="shared" si="7"/>
        <v/>
      </c>
      <c r="L47" s="1660" t="str">
        <f>_xlfn.XLOOKUP($D47,  Tabla3[No.],  Tabla3[ESTATUS ACADÉMICO], " ")</f>
        <v xml:space="preserve"> </v>
      </c>
      <c r="M47" s="1606" t="str">
        <f>_xlfn.XLOOKUP($D47,  Tabla3[No.],  Tabla3[Grupo de clase], " ")</f>
        <v xml:space="preserve"> </v>
      </c>
      <c r="N47" s="1607"/>
      <c r="O47" s="1608"/>
      <c r="P47" s="1608"/>
      <c r="Q47" s="1609"/>
      <c r="R47" s="1607"/>
      <c r="S47" s="1608"/>
      <c r="T47" s="1632"/>
    </row>
    <row r="48" spans="1:20" ht="15.75">
      <c r="A48" s="1546"/>
      <c r="B48" s="1659">
        <v>9</v>
      </c>
      <c r="C48" s="1600" t="str">
        <f>_xlfn.XLOOKUP($D48, Tabla3[No.], Tabla3[FECHA DE INICIO (PRIMERA CLASE CALENDARIO)]," ")</f>
        <v xml:space="preserve"> </v>
      </c>
      <c r="D48" s="1660"/>
      <c r="E48" s="1602" t="str">
        <f>_xlfn.XLOOKUP($D48,  Tabla3[No.],  Tabla3[CURP], " ")</f>
        <v xml:space="preserve"> </v>
      </c>
      <c r="F48" s="1603" t="str">
        <f>_xlfn.XLOOKUP($D48,  Tabla3[No.],  Tabla3[Matrícula Of. SEQ], " ")</f>
        <v xml:space="preserve"> </v>
      </c>
      <c r="G48" s="1604" t="str">
        <f>IFERROR(VLOOKUP(D48,Tabla3[],5,FALSE),"")</f>
        <v/>
      </c>
      <c r="H48" s="1660" t="str">
        <f t="shared" si="4"/>
        <v/>
      </c>
      <c r="I48" s="1660" t="str">
        <f t="shared" si="5"/>
        <v/>
      </c>
      <c r="J48" s="1660" t="str">
        <f t="shared" si="6"/>
        <v/>
      </c>
      <c r="K48" s="1660" t="str">
        <f t="shared" si="7"/>
        <v/>
      </c>
      <c r="L48" s="1660" t="str">
        <f>_xlfn.XLOOKUP($D48,  Tabla3[No.],  Tabla3[ESTATUS ACADÉMICO], " ")</f>
        <v xml:space="preserve"> </v>
      </c>
      <c r="M48" s="1606" t="str">
        <f>_xlfn.XLOOKUP($D48,  Tabla3[No.],  Tabla3[Grupo de clase], " ")</f>
        <v xml:space="preserve"> </v>
      </c>
      <c r="N48" s="1607"/>
      <c r="O48" s="1608"/>
      <c r="P48" s="1608"/>
      <c r="Q48" s="1609"/>
      <c r="R48" s="1607"/>
      <c r="S48" s="1608"/>
      <c r="T48" s="1609"/>
    </row>
    <row r="49" spans="1:20">
      <c r="A49" s="1546"/>
      <c r="B49" s="1659">
        <v>10</v>
      </c>
      <c r="C49" s="1600" t="str">
        <f>_xlfn.XLOOKUP($D49, Tabla3[No.], Tabla3[FECHA DE INICIO (PRIMERA CLASE CALENDARIO)]," ")</f>
        <v xml:space="preserve"> </v>
      </c>
      <c r="D49" s="1660"/>
      <c r="E49" s="1602" t="str">
        <f>_xlfn.XLOOKUP($D49,  Tabla3[No.],  Tabla3[CURP], " ")</f>
        <v xml:space="preserve"> </v>
      </c>
      <c r="F49" s="1603" t="str">
        <f>_xlfn.XLOOKUP($D49,  Tabla3[No.],  Tabla3[Matrícula Of. SEQ], " ")</f>
        <v xml:space="preserve"> </v>
      </c>
      <c r="G49" s="1604" t="str">
        <f>IFERROR(VLOOKUP(D49,Tabla3[],5,FALSE),"")</f>
        <v/>
      </c>
      <c r="H49" s="1660" t="str">
        <f t="shared" si="4"/>
        <v/>
      </c>
      <c r="I49" s="1660" t="str">
        <f t="shared" si="5"/>
        <v/>
      </c>
      <c r="J49" s="1660" t="str">
        <f t="shared" si="6"/>
        <v/>
      </c>
      <c r="K49" s="1660" t="str">
        <f t="shared" si="7"/>
        <v/>
      </c>
      <c r="L49" s="1660" t="str">
        <f>_xlfn.XLOOKUP($D49,  Tabla3[No.],  Tabla3[ESTATUS ACADÉMICO], " ")</f>
        <v xml:space="preserve"> </v>
      </c>
      <c r="M49" s="1606" t="str">
        <f>_xlfn.XLOOKUP($D49,  Tabla3[No.],  Tabla3[Grupo de clase], " ")</f>
        <v xml:space="preserve"> </v>
      </c>
      <c r="N49" s="1612"/>
      <c r="O49" s="1613"/>
      <c r="P49" s="1613"/>
      <c r="Q49" s="1616"/>
      <c r="R49" s="1640"/>
      <c r="S49" s="1637"/>
      <c r="T49" s="1616"/>
    </row>
    <row r="50" spans="1:20">
      <c r="B50" s="1659">
        <v>11</v>
      </c>
      <c r="C50" s="1600" t="str">
        <f>_xlfn.XLOOKUP($D50, Tabla3[No.], Tabla3[FECHA DE INICIO (PRIMERA CLASE CALENDARIO)]," ")</f>
        <v xml:space="preserve"> </v>
      </c>
      <c r="D50" s="1660"/>
      <c r="E50" s="1602" t="str">
        <f>_xlfn.XLOOKUP($D50,  Tabla3[No.],  Tabla3[CURP], " ")</f>
        <v xml:space="preserve"> </v>
      </c>
      <c r="F50" s="1603" t="str">
        <f>_xlfn.XLOOKUP($D50,  Tabla3[No.],  Tabla3[Matrícula Of. SEQ], " ")</f>
        <v xml:space="preserve"> </v>
      </c>
      <c r="G50" s="1604" t="str">
        <f>IFERROR(VLOOKUP(D50,Tabla3[],5,FALSE),"")</f>
        <v/>
      </c>
      <c r="H50" s="1660" t="str">
        <f t="shared" si="4"/>
        <v/>
      </c>
      <c r="I50" s="1660" t="str">
        <f t="shared" si="5"/>
        <v/>
      </c>
      <c r="J50" s="1660" t="str">
        <f t="shared" si="6"/>
        <v/>
      </c>
      <c r="K50" s="1660" t="str">
        <f t="shared" si="7"/>
        <v/>
      </c>
      <c r="L50" s="1660" t="str">
        <f>_xlfn.XLOOKUP($D50,  Tabla3[No.],  Tabla3[ESTATUS ACADÉMICO], " ")</f>
        <v xml:space="preserve"> </v>
      </c>
      <c r="M50" s="1606" t="str">
        <f>_xlfn.XLOOKUP($D50,  Tabla3[No.],  Tabla3[Grupo de clase], " ")</f>
        <v xml:space="preserve"> </v>
      </c>
      <c r="N50" s="1642"/>
      <c r="O50" s="1641"/>
      <c r="P50" s="1641"/>
      <c r="Q50" s="1643"/>
      <c r="R50" s="1642"/>
      <c r="S50" s="1641"/>
      <c r="T50" s="1643"/>
    </row>
    <row r="51" spans="1:20">
      <c r="B51" s="1659">
        <v>12</v>
      </c>
      <c r="C51" s="1600" t="str">
        <f>_xlfn.XLOOKUP($D51, Tabla3[No.], Tabla3[FECHA DE INICIO (PRIMERA CLASE CALENDARIO)]," ")</f>
        <v xml:space="preserve"> </v>
      </c>
      <c r="D51" s="1660"/>
      <c r="E51" s="1602" t="str">
        <f>_xlfn.XLOOKUP($D51,  Tabla3[No.],  Tabla3[CURP], " ")</f>
        <v xml:space="preserve"> </v>
      </c>
      <c r="F51" s="1603" t="str">
        <f>_xlfn.XLOOKUP($D51,  Tabla3[No.],  Tabla3[Matrícula Of. SEQ], " ")</f>
        <v xml:space="preserve"> </v>
      </c>
      <c r="G51" s="1604" t="str">
        <f>IFERROR(VLOOKUP(D51,Tabla3[],5,FALSE),"")</f>
        <v/>
      </c>
      <c r="H51" s="1660" t="str">
        <f t="shared" si="4"/>
        <v/>
      </c>
      <c r="I51" s="1660" t="str">
        <f t="shared" si="5"/>
        <v/>
      </c>
      <c r="J51" s="1660" t="str">
        <f t="shared" si="6"/>
        <v/>
      </c>
      <c r="K51" s="1660" t="str">
        <f t="shared" si="7"/>
        <v/>
      </c>
      <c r="L51" s="1660" t="str">
        <f>_xlfn.XLOOKUP($D51,  Tabla3[No.],  Tabla3[ESTATUS ACADÉMICO], " ")</f>
        <v xml:space="preserve"> </v>
      </c>
      <c r="M51" s="1606" t="str">
        <f>_xlfn.XLOOKUP($D51,  Tabla3[No.],  Tabla3[Grupo de clase], " ")</f>
        <v xml:space="preserve"> </v>
      </c>
      <c r="N51" s="1642"/>
      <c r="O51" s="1641"/>
      <c r="P51" s="1641"/>
      <c r="Q51" s="1643"/>
      <c r="R51" s="1642"/>
      <c r="S51" s="1641"/>
      <c r="T51" s="1643"/>
    </row>
    <row r="52" spans="1:20">
      <c r="B52" s="1659">
        <v>13</v>
      </c>
      <c r="C52" s="1600" t="str">
        <f>_xlfn.XLOOKUP($D52, Tabla3[No.], Tabla3[FECHA DE INICIO (PRIMERA CLASE CALENDARIO)]," ")</f>
        <v xml:space="preserve"> </v>
      </c>
      <c r="D52" s="1660"/>
      <c r="E52" s="1602" t="str">
        <f>_xlfn.XLOOKUP($D52,  Tabla3[No.],  Tabla3[CURP], " ")</f>
        <v xml:space="preserve"> </v>
      </c>
      <c r="F52" s="1603" t="str">
        <f>_xlfn.XLOOKUP($D52,  Tabla3[No.],  Tabla3[Matrícula Of. SEQ], " ")</f>
        <v xml:space="preserve"> </v>
      </c>
      <c r="G52" s="1604" t="str">
        <f>IFERROR(VLOOKUP(D52,Tabla3[],5,FALSE),"")</f>
        <v/>
      </c>
      <c r="H52" s="1660" t="str">
        <f t="shared" si="4"/>
        <v/>
      </c>
      <c r="I52" s="1660" t="str">
        <f t="shared" si="5"/>
        <v/>
      </c>
      <c r="J52" s="1660" t="str">
        <f t="shared" si="6"/>
        <v/>
      </c>
      <c r="K52" s="1660" t="str">
        <f t="shared" si="7"/>
        <v/>
      </c>
      <c r="L52" s="1660" t="str">
        <f>_xlfn.XLOOKUP($D52,  Tabla3[No.],  Tabla3[ESTATUS ACADÉMICO], " ")</f>
        <v xml:space="preserve"> </v>
      </c>
      <c r="M52" s="1606" t="str">
        <f>_xlfn.XLOOKUP($D52,  Tabla3[No.],  Tabla3[Grupo de clase], " ")</f>
        <v xml:space="preserve"> </v>
      </c>
      <c r="N52" s="1642"/>
      <c r="O52" s="1641"/>
      <c r="P52" s="1641"/>
      <c r="Q52" s="1643"/>
      <c r="R52" s="1642"/>
      <c r="S52" s="1641"/>
      <c r="T52" s="1643"/>
    </row>
    <row r="53" spans="1:20">
      <c r="B53" s="1659">
        <v>14</v>
      </c>
      <c r="C53" s="1600" t="str">
        <f>_xlfn.XLOOKUP($D53, Tabla3[No.], Tabla3[FECHA DE INICIO (PRIMERA CLASE CALENDARIO)]," ")</f>
        <v xml:space="preserve"> </v>
      </c>
      <c r="D53" s="1660"/>
      <c r="E53" s="1602" t="str">
        <f>_xlfn.XLOOKUP($D53,  Tabla3[No.],  Tabla3[CURP], " ")</f>
        <v xml:space="preserve"> </v>
      </c>
      <c r="F53" s="1603" t="str">
        <f>_xlfn.XLOOKUP($D53,  Tabla3[No.],  Tabla3[Matrícula Of. SEQ], " ")</f>
        <v xml:space="preserve"> </v>
      </c>
      <c r="G53" s="1604" t="str">
        <f>IFERROR(VLOOKUP(D53,Tabla3[],5,FALSE),"")</f>
        <v/>
      </c>
      <c r="H53" s="1660" t="str">
        <f t="shared" si="4"/>
        <v/>
      </c>
      <c r="I53" s="1660" t="str">
        <f t="shared" si="5"/>
        <v/>
      </c>
      <c r="J53" s="1660" t="str">
        <f t="shared" si="6"/>
        <v/>
      </c>
      <c r="K53" s="1660" t="str">
        <f t="shared" si="7"/>
        <v/>
      </c>
      <c r="L53" s="1660" t="str">
        <f>_xlfn.XLOOKUP($D53,  Tabla3[No.],  Tabla3[ESTATUS ACADÉMICO], " ")</f>
        <v xml:space="preserve"> </v>
      </c>
      <c r="M53" s="1606" t="str">
        <f>_xlfn.XLOOKUP($D53,  Tabla3[No.],  Tabla3[Grupo de clase], " ")</f>
        <v xml:space="preserve"> </v>
      </c>
      <c r="N53" s="1642"/>
      <c r="O53" s="1641"/>
      <c r="P53" s="1641"/>
      <c r="Q53" s="1643"/>
      <c r="R53" s="1642"/>
      <c r="S53" s="1641"/>
      <c r="T53" s="1643"/>
    </row>
    <row r="54" spans="1:20">
      <c r="B54" s="1659">
        <v>15</v>
      </c>
      <c r="C54" s="1600" t="str">
        <f>_xlfn.XLOOKUP($D54, Tabla3[No.], Tabla3[FECHA DE INICIO (PRIMERA CLASE CALENDARIO)]," ")</f>
        <v xml:space="preserve"> </v>
      </c>
      <c r="D54" s="1660"/>
      <c r="E54" s="1602" t="str">
        <f>_xlfn.XLOOKUP($D54,  Tabla3[No.],  Tabla3[CURP], " ")</f>
        <v xml:space="preserve"> </v>
      </c>
      <c r="F54" s="1603" t="str">
        <f>_xlfn.XLOOKUP($D54,  Tabla3[No.],  Tabla3[Matrícula Of. SEQ], " ")</f>
        <v xml:space="preserve"> </v>
      </c>
      <c r="G54" s="1604" t="str">
        <f>IFERROR(VLOOKUP(D54,Tabla3[],5,FALSE),"")</f>
        <v/>
      </c>
      <c r="H54" s="1660" t="str">
        <f t="shared" si="4"/>
        <v/>
      </c>
      <c r="I54" s="1660" t="str">
        <f t="shared" si="5"/>
        <v/>
      </c>
      <c r="J54" s="1660" t="str">
        <f t="shared" si="6"/>
        <v/>
      </c>
      <c r="K54" s="1660" t="str">
        <f t="shared" si="7"/>
        <v/>
      </c>
      <c r="L54" s="1660" t="str">
        <f>_xlfn.XLOOKUP($D54,  Tabla3[No.],  Tabla3[ESTATUS ACADÉMICO], " ")</f>
        <v xml:space="preserve"> </v>
      </c>
      <c r="M54" s="1606" t="str">
        <f>_xlfn.XLOOKUP($D54,  Tabla3[No.],  Tabla3[Grupo de clase], " ")</f>
        <v xml:space="preserve"> </v>
      </c>
      <c r="N54" s="1642"/>
      <c r="O54" s="1641"/>
      <c r="P54" s="1641"/>
      <c r="Q54" s="1643"/>
      <c r="R54" s="1642"/>
      <c r="S54" s="1641"/>
      <c r="T54" s="1643"/>
    </row>
    <row r="55" spans="1:20">
      <c r="B55" s="1659">
        <v>16</v>
      </c>
      <c r="C55" s="1600" t="str">
        <f>_xlfn.XLOOKUP($D55, Tabla3[No.], Tabla3[FECHA DE INICIO (PRIMERA CLASE CALENDARIO)]," ")</f>
        <v xml:space="preserve"> </v>
      </c>
      <c r="D55" s="1660"/>
      <c r="E55" s="1602" t="str">
        <f>_xlfn.XLOOKUP($D55,  Tabla3[No.],  Tabla3[CURP], " ")</f>
        <v xml:space="preserve"> </v>
      </c>
      <c r="F55" s="1603" t="str">
        <f>_xlfn.XLOOKUP($D55,  Tabla3[No.],  Tabla3[Matrícula Of. SEQ], " ")</f>
        <v xml:space="preserve"> </v>
      </c>
      <c r="G55" s="1604" t="str">
        <f>IFERROR(VLOOKUP(D55,Tabla3[],5,FALSE),"")</f>
        <v/>
      </c>
      <c r="H55" s="1660" t="str">
        <f t="shared" si="4"/>
        <v/>
      </c>
      <c r="I55" s="1660" t="str">
        <f t="shared" si="5"/>
        <v/>
      </c>
      <c r="J55" s="1660" t="str">
        <f t="shared" si="6"/>
        <v/>
      </c>
      <c r="K55" s="1660" t="str">
        <f t="shared" si="7"/>
        <v/>
      </c>
      <c r="L55" s="1660" t="str">
        <f>_xlfn.XLOOKUP($D55,  Tabla3[No.],  Tabla3[ESTATUS ACADÉMICO], " ")</f>
        <v xml:space="preserve"> </v>
      </c>
      <c r="M55" s="1606" t="str">
        <f>_xlfn.XLOOKUP($D55,  Tabla3[No.],  Tabla3[Grupo de clase], " ")</f>
        <v xml:space="preserve"> </v>
      </c>
      <c r="N55" s="1642"/>
      <c r="O55" s="1641"/>
      <c r="P55" s="1641"/>
      <c r="Q55" s="1643"/>
      <c r="R55" s="1642"/>
      <c r="S55" s="1641"/>
      <c r="T55" s="1643"/>
    </row>
    <row r="56" spans="1:20">
      <c r="B56" s="1659">
        <v>17</v>
      </c>
      <c r="C56" s="1600" t="str">
        <f>_xlfn.XLOOKUP($D56, Tabla3[No.], Tabla3[FECHA DE INICIO (PRIMERA CLASE CALENDARIO)]," ")</f>
        <v xml:space="preserve"> </v>
      </c>
      <c r="D56" s="1660"/>
      <c r="E56" s="1602" t="str">
        <f>_xlfn.XLOOKUP($D56,  Tabla3[No.],  Tabla3[CURP], " ")</f>
        <v xml:space="preserve"> </v>
      </c>
      <c r="F56" s="1603" t="str">
        <f>_xlfn.XLOOKUP($D56,  Tabla3[No.],  Tabla3[Matrícula Of. SEQ], " ")</f>
        <v xml:space="preserve"> </v>
      </c>
      <c r="G56" s="1604" t="str">
        <f>IFERROR(VLOOKUP(D56,Tabla3[],5,FALSE),"")</f>
        <v/>
      </c>
      <c r="H56" s="1660" t="str">
        <f t="shared" si="4"/>
        <v/>
      </c>
      <c r="I56" s="1660" t="str">
        <f t="shared" si="5"/>
        <v/>
      </c>
      <c r="J56" s="1660" t="str">
        <f t="shared" si="6"/>
        <v/>
      </c>
      <c r="K56" s="1660" t="str">
        <f t="shared" si="7"/>
        <v/>
      </c>
      <c r="L56" s="1660" t="str">
        <f>_xlfn.XLOOKUP($D56,  Tabla3[No.],  Tabla3[ESTATUS ACADÉMICO], " ")</f>
        <v xml:space="preserve"> </v>
      </c>
      <c r="M56" s="1606" t="str">
        <f>_xlfn.XLOOKUP($D56,  Tabla3[No.],  Tabla3[Grupo de clase], " ")</f>
        <v xml:space="preserve"> </v>
      </c>
      <c r="N56" s="1642"/>
      <c r="O56" s="1641"/>
      <c r="P56" s="1641"/>
      <c r="Q56" s="1643"/>
      <c r="R56" s="1642"/>
      <c r="S56" s="1641"/>
      <c r="T56" s="1643"/>
    </row>
    <row r="57" spans="1:20">
      <c r="B57" s="1659">
        <v>18</v>
      </c>
      <c r="C57" s="1600" t="str">
        <f>_xlfn.XLOOKUP($D57, Tabla3[No.], Tabla3[FECHA DE INICIO (PRIMERA CLASE CALENDARIO)]," ")</f>
        <v xml:space="preserve"> </v>
      </c>
      <c r="D57" s="1660"/>
      <c r="E57" s="1602" t="str">
        <f>_xlfn.XLOOKUP($D57,  Tabla3[No.],  Tabla3[CURP], " ")</f>
        <v xml:space="preserve"> </v>
      </c>
      <c r="F57" s="1603" t="str">
        <f>_xlfn.XLOOKUP($D57,  Tabla3[No.],  Tabla3[Matrícula Of. SEQ], " ")</f>
        <v xml:space="preserve"> </v>
      </c>
      <c r="G57" s="1604" t="str">
        <f>IFERROR(VLOOKUP(D57,Tabla3[],5,FALSE),"")</f>
        <v/>
      </c>
      <c r="H57" s="1660" t="str">
        <f t="shared" si="4"/>
        <v/>
      </c>
      <c r="I57" s="1660" t="str">
        <f t="shared" si="5"/>
        <v/>
      </c>
      <c r="J57" s="1660" t="str">
        <f t="shared" si="6"/>
        <v/>
      </c>
      <c r="K57" s="1660" t="str">
        <f t="shared" si="7"/>
        <v/>
      </c>
      <c r="L57" s="1660" t="str">
        <f>_xlfn.XLOOKUP($D57,  Tabla3[No.],  Tabla3[ESTATUS ACADÉMICO], " ")</f>
        <v xml:space="preserve"> </v>
      </c>
      <c r="M57" s="1606" t="str">
        <f>_xlfn.XLOOKUP($D57,  Tabla3[No.],  Tabla3[Grupo de clase], " ")</f>
        <v xml:space="preserve"> </v>
      </c>
      <c r="N57" s="1642"/>
      <c r="O57" s="1641"/>
      <c r="P57" s="1641"/>
      <c r="Q57" s="1643"/>
      <c r="R57" s="1642"/>
      <c r="S57" s="1641"/>
      <c r="T57" s="1643"/>
    </row>
    <row r="58" spans="1:20">
      <c r="B58" s="1659">
        <v>19</v>
      </c>
      <c r="C58" s="1600" t="str">
        <f>_xlfn.XLOOKUP($D58, Tabla3[No.], Tabla3[FECHA DE INICIO (PRIMERA CLASE CALENDARIO)]," ")</f>
        <v xml:space="preserve"> </v>
      </c>
      <c r="D58" s="1660"/>
      <c r="E58" s="1602" t="str">
        <f>_xlfn.XLOOKUP($D58,  Tabla3[No.],  Tabla3[CURP], " ")</f>
        <v xml:space="preserve"> </v>
      </c>
      <c r="F58" s="1603" t="str">
        <f>_xlfn.XLOOKUP($D58,  Tabla3[No.],  Tabla3[Matrícula Of. SEQ], " ")</f>
        <v xml:space="preserve"> </v>
      </c>
      <c r="G58" s="1604" t="str">
        <f>IFERROR(VLOOKUP(D58,Tabla3[],5,FALSE),"")</f>
        <v/>
      </c>
      <c r="H58" s="1660" t="str">
        <f t="shared" si="4"/>
        <v/>
      </c>
      <c r="I58" s="1660" t="str">
        <f t="shared" si="5"/>
        <v/>
      </c>
      <c r="J58" s="1660" t="str">
        <f t="shared" si="6"/>
        <v/>
      </c>
      <c r="K58" s="1660" t="str">
        <f t="shared" si="7"/>
        <v/>
      </c>
      <c r="L58" s="1660" t="str">
        <f>_xlfn.XLOOKUP($D58,  Tabla3[No.],  Tabla3[ESTATUS ACADÉMICO], " ")</f>
        <v xml:space="preserve"> </v>
      </c>
      <c r="M58" s="1606" t="str">
        <f>_xlfn.XLOOKUP($D58,  Tabla3[No.],  Tabla3[Grupo de clase], " ")</f>
        <v xml:space="preserve"> </v>
      </c>
      <c r="N58" s="1642"/>
      <c r="O58" s="1641"/>
      <c r="P58" s="1641"/>
      <c r="Q58" s="1643"/>
      <c r="R58" s="1642"/>
      <c r="S58" s="1641"/>
      <c r="T58" s="1643"/>
    </row>
    <row r="59" spans="1:20">
      <c r="B59" s="1659">
        <v>20</v>
      </c>
      <c r="C59" s="1600" t="str">
        <f>_xlfn.XLOOKUP($D59, Tabla3[No.], Tabla3[FECHA DE INICIO (PRIMERA CLASE CALENDARIO)]," ")</f>
        <v xml:space="preserve"> </v>
      </c>
      <c r="D59" s="1660"/>
      <c r="E59" s="1602" t="str">
        <f>_xlfn.XLOOKUP($D59,  Tabla3[No.],  Tabla3[CURP], " ")</f>
        <v xml:space="preserve"> </v>
      </c>
      <c r="F59" s="1603" t="str">
        <f>_xlfn.XLOOKUP($D59,  Tabla3[No.],  Tabla3[Matrícula Of. SEQ], " ")</f>
        <v xml:space="preserve"> </v>
      </c>
      <c r="G59" s="1604" t="str">
        <f>IFERROR(VLOOKUP(D59,Tabla3[],5,FALSE),"")</f>
        <v/>
      </c>
      <c r="H59" s="1660" t="str">
        <f t="shared" si="4"/>
        <v/>
      </c>
      <c r="I59" s="1660" t="str">
        <f t="shared" si="5"/>
        <v/>
      </c>
      <c r="J59" s="1660" t="str">
        <f t="shared" si="6"/>
        <v/>
      </c>
      <c r="K59" s="1660" t="str">
        <f t="shared" si="7"/>
        <v/>
      </c>
      <c r="L59" s="1660" t="str">
        <f>_xlfn.XLOOKUP($D59,  Tabla3[No.],  Tabla3[ESTATUS ACADÉMICO], " ")</f>
        <v xml:space="preserve"> </v>
      </c>
      <c r="M59" s="1606" t="str">
        <f>_xlfn.XLOOKUP($D59,  Tabla3[No.],  Tabla3[Grupo de clase], " ")</f>
        <v xml:space="preserve"> </v>
      </c>
      <c r="N59" s="1642"/>
      <c r="O59" s="1641"/>
      <c r="P59" s="1641"/>
      <c r="Q59" s="1643"/>
      <c r="R59" s="1642"/>
      <c r="S59" s="1641"/>
      <c r="T59" s="1643"/>
    </row>
    <row r="60" spans="1:20">
      <c r="B60" s="1659">
        <v>21</v>
      </c>
      <c r="C60" s="1600" t="str">
        <f>_xlfn.XLOOKUP($D60, Tabla3[No.], Tabla3[FECHA DE INICIO (PRIMERA CLASE CALENDARIO)]," ")</f>
        <v xml:space="preserve"> </v>
      </c>
      <c r="D60" s="1660"/>
      <c r="E60" s="1602" t="str">
        <f>_xlfn.XLOOKUP($D60,  Tabla3[No.],  Tabla3[CURP], " ")</f>
        <v xml:space="preserve"> </v>
      </c>
      <c r="F60" s="1603" t="str">
        <f>_xlfn.XLOOKUP($D60,  Tabla3[No.],  Tabla3[Matrícula Of. SEQ], " ")</f>
        <v xml:space="preserve"> </v>
      </c>
      <c r="G60" s="1604" t="str">
        <f>IFERROR(VLOOKUP(D60,Tabla3[],5,FALSE),"")</f>
        <v/>
      </c>
      <c r="H60" s="1660" t="str">
        <f t="shared" si="4"/>
        <v/>
      </c>
      <c r="I60" s="1660" t="str">
        <f t="shared" si="5"/>
        <v/>
      </c>
      <c r="J60" s="1660" t="str">
        <f t="shared" si="6"/>
        <v/>
      </c>
      <c r="K60" s="1660" t="str">
        <f t="shared" si="7"/>
        <v/>
      </c>
      <c r="L60" s="1660" t="str">
        <f>_xlfn.XLOOKUP($D60,  Tabla3[No.],  Tabla3[ESTATUS ACADÉMICO], " ")</f>
        <v xml:space="preserve"> </v>
      </c>
      <c r="M60" s="1606" t="str">
        <f>_xlfn.XLOOKUP($D60,  Tabla3[No.],  Tabla3[Grupo de clase], " ")</f>
        <v xml:space="preserve"> </v>
      </c>
      <c r="N60" s="1642"/>
      <c r="O60" s="1641"/>
      <c r="P60" s="1641"/>
      <c r="Q60" s="1643"/>
      <c r="R60" s="1642"/>
      <c r="S60" s="1641"/>
      <c r="T60" s="1643"/>
    </row>
    <row r="61" spans="1:20">
      <c r="B61" s="1659">
        <v>22</v>
      </c>
      <c r="C61" s="1600" t="str">
        <f>_xlfn.XLOOKUP($D61, Tabla3[No.], Tabla3[FECHA DE INICIO (PRIMERA CLASE CALENDARIO)]," ")</f>
        <v xml:space="preserve"> </v>
      </c>
      <c r="D61" s="1660"/>
      <c r="E61" s="1602" t="str">
        <f>_xlfn.XLOOKUP($D61,  Tabla3[No.],  Tabla3[CURP], " ")</f>
        <v xml:space="preserve"> </v>
      </c>
      <c r="F61" s="1603" t="str">
        <f>_xlfn.XLOOKUP($D61,  Tabla3[No.],  Tabla3[Matrícula Of. SEQ], " ")</f>
        <v xml:space="preserve"> </v>
      </c>
      <c r="G61" s="1604" t="str">
        <f>IFERROR(VLOOKUP(D61,Tabla3[],5,FALSE),"")</f>
        <v/>
      </c>
      <c r="H61" s="1660" t="str">
        <f t="shared" si="4"/>
        <v/>
      </c>
      <c r="I61" s="1660" t="str">
        <f t="shared" si="5"/>
        <v/>
      </c>
      <c r="J61" s="1660" t="str">
        <f t="shared" si="6"/>
        <v/>
      </c>
      <c r="K61" s="1660" t="str">
        <f t="shared" si="7"/>
        <v/>
      </c>
      <c r="L61" s="1660" t="str">
        <f>_xlfn.XLOOKUP($D61,  Tabla3[No.],  Tabla3[ESTATUS ACADÉMICO], " ")</f>
        <v xml:space="preserve"> </v>
      </c>
      <c r="M61" s="1606" t="str">
        <f>_xlfn.XLOOKUP($D61,  Tabla3[No.],  Tabla3[Grupo de clase], " ")</f>
        <v xml:space="preserve"> </v>
      </c>
      <c r="N61" s="1642"/>
      <c r="O61" s="1641"/>
      <c r="P61" s="1641"/>
      <c r="Q61" s="1643"/>
      <c r="R61" s="1642"/>
      <c r="S61" s="1641"/>
      <c r="T61" s="1643"/>
    </row>
    <row r="62" spans="1:20">
      <c r="B62" s="1659">
        <v>23</v>
      </c>
      <c r="C62" s="1600" t="str">
        <f>_xlfn.XLOOKUP($D62, Tabla3[No.], Tabla3[FECHA DE INICIO (PRIMERA CLASE CALENDARIO)]," ")</f>
        <v xml:space="preserve"> </v>
      </c>
      <c r="D62" s="1660"/>
      <c r="E62" s="1602" t="str">
        <f>_xlfn.XLOOKUP($D62,  Tabla3[No.],  Tabla3[CURP], " ")</f>
        <v xml:space="preserve"> </v>
      </c>
      <c r="F62" s="1603" t="str">
        <f>_xlfn.XLOOKUP($D62,  Tabla3[No.],  Tabla3[Matrícula Of. SEQ], " ")</f>
        <v xml:space="preserve"> </v>
      </c>
      <c r="G62" s="1604" t="str">
        <f>IFERROR(VLOOKUP(D62,Tabla3[],5,FALSE),"")</f>
        <v/>
      </c>
      <c r="H62" s="1660" t="str">
        <f t="shared" si="4"/>
        <v/>
      </c>
      <c r="I62" s="1660" t="str">
        <f t="shared" si="5"/>
        <v/>
      </c>
      <c r="J62" s="1660" t="str">
        <f t="shared" si="6"/>
        <v/>
      </c>
      <c r="K62" s="1660" t="str">
        <f t="shared" si="7"/>
        <v/>
      </c>
      <c r="L62" s="1660" t="str">
        <f>_xlfn.XLOOKUP($D62,  Tabla3[No.],  Tabla3[ESTATUS ACADÉMICO], " ")</f>
        <v xml:space="preserve"> </v>
      </c>
      <c r="M62" s="1606" t="str">
        <f>_xlfn.XLOOKUP($D62,  Tabla3[No.],  Tabla3[Grupo de clase], " ")</f>
        <v xml:space="preserve"> </v>
      </c>
      <c r="N62" s="1642"/>
      <c r="O62" s="1641"/>
      <c r="P62" s="1641"/>
      <c r="Q62" s="1643"/>
      <c r="R62" s="1642"/>
      <c r="S62" s="1641"/>
      <c r="T62" s="1643"/>
    </row>
    <row r="63" spans="1:20">
      <c r="B63" s="1659">
        <v>24</v>
      </c>
      <c r="C63" s="1600" t="str">
        <f>_xlfn.XLOOKUP($D63, Tabla3[No.], Tabla3[FECHA DE INICIO (PRIMERA CLASE CALENDARIO)]," ")</f>
        <v xml:space="preserve"> </v>
      </c>
      <c r="D63" s="1660"/>
      <c r="E63" s="1602" t="str">
        <f>_xlfn.XLOOKUP($D63,  Tabla3[No.],  Tabla3[CURP], " ")</f>
        <v xml:space="preserve"> </v>
      </c>
      <c r="F63" s="1603" t="str">
        <f>_xlfn.XLOOKUP($D63,  Tabla3[No.],  Tabla3[Matrícula Of. SEQ], " ")</f>
        <v xml:space="preserve"> </v>
      </c>
      <c r="G63" s="1604" t="str">
        <f>IFERROR(VLOOKUP(D63,Tabla3[],5,FALSE),"")</f>
        <v/>
      </c>
      <c r="H63" s="1660" t="str">
        <f t="shared" si="4"/>
        <v/>
      </c>
      <c r="I63" s="1660" t="str">
        <f t="shared" si="5"/>
        <v/>
      </c>
      <c r="J63" s="1660" t="str">
        <f t="shared" si="6"/>
        <v/>
      </c>
      <c r="K63" s="1660" t="str">
        <f t="shared" si="7"/>
        <v/>
      </c>
      <c r="L63" s="1660" t="str">
        <f>_xlfn.XLOOKUP($D63,  Tabla3[No.],  Tabla3[ESTATUS ACADÉMICO], " ")</f>
        <v xml:space="preserve"> </v>
      </c>
      <c r="M63" s="1606" t="str">
        <f>_xlfn.XLOOKUP($D63,  Tabla3[No.],  Tabla3[Grupo de clase], " ")</f>
        <v xml:space="preserve"> </v>
      </c>
      <c r="N63" s="1642"/>
      <c r="O63" s="1641"/>
      <c r="P63" s="1641"/>
      <c r="Q63" s="1643"/>
      <c r="R63" s="1642"/>
      <c r="S63" s="1641"/>
      <c r="T63" s="1643"/>
    </row>
    <row r="64" spans="1:20" ht="15.75" thickBot="1">
      <c r="B64" s="1661">
        <v>25</v>
      </c>
      <c r="C64" s="1646" t="str">
        <f>_xlfn.XLOOKUP($D64, Tabla3[No.], Tabla3[FECHA DE INICIO (PRIMERA CLASE CALENDARIO)]," ")</f>
        <v xml:space="preserve"> </v>
      </c>
      <c r="D64" s="1662"/>
      <c r="E64" s="1648" t="str">
        <f>_xlfn.XLOOKUP($D64,  Tabla3[No.],  Tabla3[CURP], " ")</f>
        <v xml:space="preserve"> </v>
      </c>
      <c r="F64" s="1649" t="str">
        <f>_xlfn.XLOOKUP($D64,  Tabla3[No.],  Tabla3[Matrícula Of. SEQ], " ")</f>
        <v xml:space="preserve"> </v>
      </c>
      <c r="G64" s="1604" t="str">
        <f>IFERROR(VLOOKUP(D64,Tabla3[],5,FALSE),"")</f>
        <v/>
      </c>
      <c r="H64" s="1662" t="str">
        <f t="shared" si="4"/>
        <v/>
      </c>
      <c r="I64" s="1662" t="str">
        <f t="shared" si="5"/>
        <v/>
      </c>
      <c r="J64" s="1662" t="str">
        <f t="shared" si="6"/>
        <v/>
      </c>
      <c r="K64" s="1662" t="str">
        <f t="shared" si="7"/>
        <v/>
      </c>
      <c r="L64" s="1662" t="str">
        <f>_xlfn.XLOOKUP($D64,  Tabla3[No.],  Tabla3[ESTATUS ACADÉMICO], " ")</f>
        <v xml:space="preserve"> </v>
      </c>
      <c r="M64" s="1652" t="str">
        <f>_xlfn.XLOOKUP($D64,  Tabla3[No.],  Tabla3[Grupo de clase], " ")</f>
        <v xml:space="preserve"> </v>
      </c>
      <c r="N64" s="1653"/>
      <c r="O64" s="1651"/>
      <c r="P64" s="1651"/>
      <c r="Q64" s="1654"/>
      <c r="R64" s="1653"/>
      <c r="S64" s="1651"/>
      <c r="T64" s="1654"/>
    </row>
  </sheetData>
  <sheetProtection algorithmName="SHA-512" hashValue="Q4xEQhH5xgqO3O/2DywbfOhF5yfJd9HsgPGRuhdPOjMlqxuH3ZgCE3JhQ+8bTHxmIEnvrcTSaeZ0fG+sMD+MSg==" saltValue="zIGi8uM2XB7FrWUZEhDBeg==" spinCount="100000" sheet="1" objects="1" scenarios="1"/>
  <mergeCells count="25">
    <mergeCell ref="B3:B6"/>
    <mergeCell ref="D3:D6"/>
    <mergeCell ref="I36:K38"/>
    <mergeCell ref="E3:E6"/>
    <mergeCell ref="F3:F6"/>
    <mergeCell ref="B36:B39"/>
    <mergeCell ref="D36:D39"/>
    <mergeCell ref="E36:E39"/>
    <mergeCell ref="F36:F39"/>
    <mergeCell ref="G36:G38"/>
    <mergeCell ref="H36:H39"/>
    <mergeCell ref="G3:G5"/>
    <mergeCell ref="H3:H6"/>
    <mergeCell ref="I3:K5"/>
    <mergeCell ref="L36:L37"/>
    <mergeCell ref="N36:Q36"/>
    <mergeCell ref="BE3:BJ3"/>
    <mergeCell ref="AA3:AF3"/>
    <mergeCell ref="AG3:AL3"/>
    <mergeCell ref="AY3:BD3"/>
    <mergeCell ref="AM3:AR3"/>
    <mergeCell ref="AS3:AX3"/>
    <mergeCell ref="L3:L4"/>
    <mergeCell ref="N3:T3"/>
    <mergeCell ref="U3:Z3"/>
  </mergeCells>
  <conditionalFormatting sqref="N7:BK16">
    <cfRule type="cellIs" dxfId="352" priority="3" operator="lessThan">
      <formula>8</formula>
    </cfRule>
    <cfRule type="cellIs" dxfId="351" priority="4" operator="lessThan">
      <formula>10</formula>
    </cfRule>
  </conditionalFormatting>
  <conditionalFormatting sqref="N40:T49">
    <cfRule type="cellIs" dxfId="350" priority="1" operator="lessThan">
      <formula>8</formula>
    </cfRule>
    <cfRule type="cellIs" dxfId="349" priority="2" operator="lessThan">
      <formula>10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BT1140"/>
  <sheetViews>
    <sheetView topLeftCell="A19" zoomScale="110" zoomScaleNormal="110" workbookViewId="0">
      <selection activeCell="U26" sqref="U26"/>
    </sheetView>
  </sheetViews>
  <sheetFormatPr baseColWidth="10" defaultColWidth="14.42578125" defaultRowHeight="15" customHeight="1"/>
  <cols>
    <col min="1" max="1" width="16.42578125" customWidth="1"/>
    <col min="2" max="2" width="8.5703125" customWidth="1"/>
    <col min="3" max="4" width="13.42578125" customWidth="1"/>
    <col min="5" max="5" width="23.42578125" customWidth="1"/>
    <col min="6" max="6" width="18.5703125" customWidth="1"/>
    <col min="7" max="7" width="40.42578125" customWidth="1"/>
    <col min="8" max="8" width="5.5703125" customWidth="1"/>
    <col min="9" max="9" width="6.28515625" customWidth="1"/>
    <col min="10" max="10" width="5.42578125" customWidth="1"/>
    <col min="11" max="11" width="4.5703125" customWidth="1"/>
    <col min="12" max="12" width="16.5703125" customWidth="1"/>
    <col min="13" max="13" width="10.42578125" customWidth="1"/>
    <col min="14" max="14" width="11.85546875" customWidth="1"/>
    <col min="15" max="15" width="12.7109375" customWidth="1"/>
    <col min="16" max="16" width="13" customWidth="1"/>
    <col min="17" max="17" width="11.5703125" customWidth="1"/>
    <col min="18" max="18" width="10.5703125" customWidth="1"/>
    <col min="19" max="19" width="12.28515625" customWidth="1"/>
    <col min="20" max="21" width="13.5703125" customWidth="1"/>
    <col min="22" max="22" width="12.85546875" customWidth="1"/>
    <col min="23" max="23" width="12.28515625" customWidth="1"/>
    <col min="24" max="27" width="10.5703125" customWidth="1"/>
    <col min="28" max="28" width="15.5703125" customWidth="1"/>
    <col min="29" max="29" width="12.7109375" customWidth="1"/>
    <col min="30" max="30" width="11.140625" customWidth="1"/>
    <col min="31" max="31" width="15.7109375" customWidth="1"/>
    <col min="32" max="32" width="10.5703125" customWidth="1"/>
    <col min="33" max="33" width="10.7109375" customWidth="1"/>
    <col min="34" max="40" width="10.5703125" customWidth="1"/>
    <col min="41" max="41" width="11.7109375" customWidth="1"/>
    <col min="42" max="43" width="10.5703125" customWidth="1"/>
    <col min="44" max="44" width="15.7109375" customWidth="1"/>
    <col min="45" max="45" width="11.5703125" customWidth="1"/>
    <col min="46" max="46" width="12.7109375" customWidth="1"/>
    <col min="47" max="47" width="12" customWidth="1"/>
    <col min="48" max="48" width="12.7109375" customWidth="1"/>
    <col min="49" max="51" width="10.5703125" customWidth="1"/>
    <col min="52" max="52" width="12.7109375" customWidth="1"/>
    <col min="53" max="53" width="10.5703125" customWidth="1"/>
    <col min="54" max="54" width="13.7109375" customWidth="1"/>
    <col min="55" max="56" width="10.5703125" customWidth="1"/>
    <col min="57" max="57" width="12" customWidth="1"/>
    <col min="58" max="58" width="11.42578125" customWidth="1"/>
    <col min="59" max="63" width="10.5703125" customWidth="1"/>
    <col min="64" max="64" width="14.140625" style="2136" customWidth="1"/>
  </cols>
  <sheetData>
    <row r="1" spans="1:26">
      <c r="A1" s="3"/>
      <c r="M1" s="2"/>
    </row>
    <row r="2" spans="1:26" ht="18.75">
      <c r="A2" s="3"/>
      <c r="B2" s="4" t="s">
        <v>0</v>
      </c>
      <c r="I2" s="3"/>
      <c r="J2" s="3"/>
      <c r="M2" s="2"/>
      <c r="R2" s="4132" t="s">
        <v>1</v>
      </c>
      <c r="S2" s="4133"/>
      <c r="T2" s="4134"/>
    </row>
    <row r="3" spans="1:26">
      <c r="A3" s="3"/>
      <c r="B3" s="5"/>
      <c r="C3" t="s">
        <v>2</v>
      </c>
      <c r="M3" s="2"/>
      <c r="Z3" s="6" t="s">
        <v>3</v>
      </c>
    </row>
    <row r="4" spans="1:26">
      <c r="A4" s="3"/>
      <c r="B4" s="7"/>
      <c r="C4" s="2" t="s">
        <v>4</v>
      </c>
      <c r="D4" s="2"/>
      <c r="M4" s="2"/>
    </row>
    <row r="5" spans="1:26">
      <c r="A5" s="3"/>
      <c r="B5" s="701"/>
      <c r="C5" s="2"/>
      <c r="D5" s="2"/>
      <c r="M5" s="2"/>
    </row>
    <row r="6" spans="1:26" ht="15" customHeight="1">
      <c r="D6" s="3040" t="s">
        <v>5015</v>
      </c>
    </row>
    <row r="7" spans="1:26" ht="18.75">
      <c r="A7" s="3"/>
      <c r="B7" s="701"/>
      <c r="C7" s="2"/>
      <c r="D7" s="2"/>
      <c r="E7" s="1688" t="s">
        <v>3993</v>
      </c>
      <c r="M7" s="2"/>
    </row>
    <row r="8" spans="1:26" ht="18.75">
      <c r="A8" s="3"/>
      <c r="B8" s="701"/>
      <c r="C8" s="2"/>
      <c r="D8" s="2"/>
      <c r="E8" s="1688"/>
      <c r="M8" s="2"/>
    </row>
    <row r="9" spans="1:26" ht="18.75">
      <c r="A9" s="3"/>
      <c r="B9" s="701"/>
      <c r="C9" s="2"/>
      <c r="D9" s="2" t="s">
        <v>3992</v>
      </c>
      <c r="E9" s="1688"/>
      <c r="M9" s="2"/>
    </row>
    <row r="10" spans="1:26" ht="18.75" customHeight="1">
      <c r="A10" s="3"/>
      <c r="B10" s="701"/>
      <c r="C10" s="2"/>
      <c r="D10" s="1821" t="s">
        <v>4300</v>
      </c>
      <c r="E10" s="1688"/>
      <c r="M10" s="2"/>
    </row>
    <row r="12" spans="1:26" ht="15" customHeight="1" thickBot="1"/>
    <row r="13" spans="1:26" ht="15.75" thickBot="1">
      <c r="A13" s="1546"/>
      <c r="B13" s="4089" t="s">
        <v>5</v>
      </c>
      <c r="C13" s="1548"/>
      <c r="D13" s="4091" t="s">
        <v>3866</v>
      </c>
      <c r="E13" s="4091" t="s">
        <v>6</v>
      </c>
      <c r="F13" s="4091" t="s">
        <v>7</v>
      </c>
      <c r="G13" s="4093" t="s">
        <v>8</v>
      </c>
      <c r="H13" s="4096" t="s">
        <v>9</v>
      </c>
      <c r="I13" s="4086" t="s">
        <v>10</v>
      </c>
      <c r="J13" s="4087"/>
      <c r="K13" s="4087"/>
      <c r="L13" s="4069"/>
      <c r="M13" s="1549"/>
      <c r="N13" s="4109" t="s">
        <v>2575</v>
      </c>
      <c r="O13" s="4110"/>
      <c r="P13" s="4110"/>
      <c r="Q13" s="4110"/>
      <c r="R13" s="4110"/>
      <c r="S13" s="4111"/>
    </row>
    <row r="14" spans="1:26" ht="23.25" customHeight="1" thickBot="1">
      <c r="A14" s="1546"/>
      <c r="B14" s="4090"/>
      <c r="C14" s="1548" t="s">
        <v>1843</v>
      </c>
      <c r="D14" s="4092"/>
      <c r="E14" s="4092"/>
      <c r="F14" s="4092"/>
      <c r="G14" s="4094"/>
      <c r="H14" s="4097"/>
      <c r="I14" s="4087"/>
      <c r="J14" s="4088"/>
      <c r="K14" s="4087"/>
      <c r="L14" s="4070"/>
      <c r="M14" s="1552" t="s">
        <v>1149</v>
      </c>
      <c r="N14" s="3216" t="s">
        <v>5448</v>
      </c>
      <c r="O14" s="3216" t="s">
        <v>5449</v>
      </c>
      <c r="P14" s="1929"/>
      <c r="Q14" s="1928"/>
      <c r="R14" s="1928"/>
      <c r="S14" s="1929"/>
    </row>
    <row r="15" spans="1:26" ht="23.25" thickBot="1">
      <c r="A15" s="1562" t="s">
        <v>27</v>
      </c>
      <c r="B15" s="4090"/>
      <c r="C15" s="1547"/>
      <c r="D15" s="4092"/>
      <c r="E15" s="4092"/>
      <c r="F15" s="4092"/>
      <c r="G15" s="4095"/>
      <c r="H15" s="4097"/>
      <c r="I15" s="4087"/>
      <c r="J15" s="4087"/>
      <c r="K15" s="4087"/>
      <c r="L15" s="1550"/>
      <c r="M15" s="1552" t="s">
        <v>1728</v>
      </c>
      <c r="N15" s="1927" t="s">
        <v>4411</v>
      </c>
      <c r="O15" s="1927" t="s">
        <v>4412</v>
      </c>
      <c r="P15" s="1927"/>
      <c r="Q15" s="1927"/>
      <c r="R15" s="1927"/>
      <c r="S15" s="3115"/>
    </row>
    <row r="16" spans="1:26" ht="53.25" customHeight="1" thickBot="1">
      <c r="A16" s="1548" t="s">
        <v>5389</v>
      </c>
      <c r="B16" s="4090"/>
      <c r="C16" s="1564" t="s">
        <v>3882</v>
      </c>
      <c r="D16" s="4092"/>
      <c r="E16" s="4092"/>
      <c r="F16" s="4092"/>
      <c r="G16" s="1565" t="s">
        <v>78</v>
      </c>
      <c r="H16" s="4097"/>
      <c r="I16" s="1566" t="s">
        <v>79</v>
      </c>
      <c r="J16" s="1566" t="s">
        <v>80</v>
      </c>
      <c r="K16" s="1566" t="s">
        <v>81</v>
      </c>
      <c r="L16" s="1567" t="s">
        <v>1759</v>
      </c>
      <c r="M16" s="1568" t="s">
        <v>27</v>
      </c>
      <c r="N16" s="2147" t="s">
        <v>5390</v>
      </c>
      <c r="O16" s="2147" t="s">
        <v>5391</v>
      </c>
      <c r="P16" s="2147" t="s">
        <v>363</v>
      </c>
      <c r="Q16" s="2147" t="s">
        <v>5459</v>
      </c>
      <c r="R16" s="2147"/>
      <c r="S16" s="2147"/>
    </row>
    <row r="17" spans="1:23" ht="15" customHeight="1">
      <c r="B17">
        <v>1</v>
      </c>
      <c r="C17" s="3215">
        <f>_xlfn.XLOOKUP($D17, Tabla3[No.], Tabla3[FECHA DE INICIO (PRIMERA CLASE CALENDARIO)]," ")</f>
        <v>45822</v>
      </c>
      <c r="D17" s="1657">
        <v>856</v>
      </c>
      <c r="E17" s="1577" t="str">
        <f>_xlfn.XLOOKUP($D17,  Tabla3[No.],  Tabla3[CURP], " ")</f>
        <v>BAHC040103MYNSRLA1</v>
      </c>
      <c r="F17" s="1578" t="str">
        <f>_xlfn.XLOOKUP($D17,  Tabla3[No.],  Tabla3[Matrícula Of. SEQ], " ")</f>
        <v>64LD06B-01</v>
      </c>
      <c r="G17" s="1579" t="str">
        <f>IFERROR(VLOOKUP(D17,Tabla3[],5,FALSE),"")</f>
        <v>BASORA HERRERA CLAUDIA TERESA</v>
      </c>
      <c r="H17" s="1657" t="str">
        <f>MID($E17,11,1)</f>
        <v>M</v>
      </c>
      <c r="I17" s="1657" t="str">
        <f>MID($E17,5,2)</f>
        <v>04</v>
      </c>
      <c r="J17" s="1657" t="str">
        <f>MID($E17,7,2)</f>
        <v>01</v>
      </c>
      <c r="K17" s="1657" t="str">
        <f>MID($E17,9,2)</f>
        <v>03</v>
      </c>
      <c r="L17" s="1657" t="str">
        <f>_xlfn.XLOOKUP($D17,  Tabla3[No.],  Tabla3[ESTATUS ACADÉMICO], " ")</f>
        <v>VIGENTE</v>
      </c>
      <c r="M17" s="1823" t="str">
        <f>_xlfn.XLOOKUP($D17,  Tabla3[No.],  Tabla3[Grupo de clase], " ")</f>
        <v>LD 06D</v>
      </c>
      <c r="N17" s="744"/>
      <c r="O17" s="744"/>
      <c r="P17" s="744"/>
      <c r="Q17" s="744"/>
      <c r="R17" s="744"/>
      <c r="S17" s="744"/>
    </row>
    <row r="18" spans="1:23" ht="15" customHeight="1">
      <c r="B18">
        <v>2</v>
      </c>
      <c r="C18" s="3215">
        <f>_xlfn.XLOOKUP($D18, Tabla3[No.], Tabla3[FECHA DE INICIO (PRIMERA CLASE CALENDARIO)]," ")</f>
        <v>45822</v>
      </c>
      <c r="D18" s="1660">
        <v>857</v>
      </c>
      <c r="E18" s="1602" t="str">
        <f>_xlfn.XLOOKUP($D18,  Tabla3[No.],  Tabla3[CURP], " ")</f>
        <v>MUVL900804MQRXDS08</v>
      </c>
      <c r="F18" s="1603" t="str">
        <f>_xlfn.XLOOKUP($D18,  Tabla3[No.],  Tabla3[Matrícula Of. SEQ], " ")</f>
        <v>64LD06B-02</v>
      </c>
      <c r="G18" s="1604" t="str">
        <f>IFERROR(VLOOKUP(D18,Tabla3[],5,FALSE),"")</f>
        <v>MUÑOZ VIDAL LESLIE ALEJANDRA</v>
      </c>
      <c r="H18" s="1660" t="str">
        <f>MID($E18,11,1)</f>
        <v>M</v>
      </c>
      <c r="I18" s="1660" t="str">
        <f>MID($E18,5,2)</f>
        <v>90</v>
      </c>
      <c r="J18" s="1660" t="str">
        <f>MID($E18,7,2)</f>
        <v>08</v>
      </c>
      <c r="K18" s="1660" t="str">
        <f>MID($E18,9,2)</f>
        <v>04</v>
      </c>
      <c r="L18" s="1660" t="str">
        <f>_xlfn.XLOOKUP($D18,  Tabla3[No.],  Tabla3[ESTATUS ACADÉMICO], " ")</f>
        <v>VIGENTE</v>
      </c>
      <c r="M18" s="1824" t="str">
        <f>_xlfn.XLOOKUP($D18,  Tabla3[No.],  Tabla3[Grupo de clase], " ")</f>
        <v>LD 06D</v>
      </c>
      <c r="N18" s="744"/>
      <c r="O18" s="744"/>
      <c r="P18" s="744"/>
      <c r="Q18" s="744"/>
      <c r="R18" s="744"/>
      <c r="S18" s="744"/>
    </row>
    <row r="19" spans="1:23" ht="15" customHeight="1">
      <c r="B19">
        <v>3</v>
      </c>
      <c r="C19" s="3215">
        <f>_xlfn.XLOOKUP($D19, Tabla3[No.], Tabla3[FECHA DE INICIO (PRIMERA CLASE CALENDARIO)]," ")</f>
        <v>45848</v>
      </c>
      <c r="D19" s="1660">
        <v>864</v>
      </c>
      <c r="E19" s="1602" t="str">
        <f>_xlfn.XLOOKUP($D19,  Tabla3[No.],  Tabla3[CURP], " ")</f>
        <v>VINA060924MQRSHNA2</v>
      </c>
      <c r="F19" s="1603" t="str">
        <f>_xlfn.XLOOKUP($D19,  Tabla3[No.],  Tabla3[Matrícula Of. SEQ], " ")</f>
        <v>64LD06C-01</v>
      </c>
      <c r="G19" s="1604" t="str">
        <f>IFERROR(VLOOKUP(D19,Tabla3[],5,FALSE),"")</f>
        <v>VISOSO NOH ANA AYLIN</v>
      </c>
      <c r="H19" s="1660" t="str">
        <f>MID($E19,11,1)</f>
        <v>M</v>
      </c>
      <c r="I19" s="1660" t="str">
        <f>MID($E19,5,2)</f>
        <v>06</v>
      </c>
      <c r="J19" s="1660" t="str">
        <f>MID($E19,7,2)</f>
        <v>09</v>
      </c>
      <c r="K19" s="1660" t="str">
        <f>MID($E19,9,2)</f>
        <v>24</v>
      </c>
      <c r="L19" s="1660" t="str">
        <f>_xlfn.XLOOKUP($D19,  Tabla3[No.],  Tabla3[ESTATUS ACADÉMICO], " ")</f>
        <v>VIGENTE</v>
      </c>
      <c r="M19" s="1824" t="str">
        <f>_xlfn.XLOOKUP($D19,  Tabla3[No.],  Tabla3[Grupo de clase], " ")</f>
        <v>LD06D</v>
      </c>
      <c r="N19" s="744">
        <v>8.5</v>
      </c>
      <c r="O19" s="1378">
        <v>8</v>
      </c>
      <c r="P19" s="1378">
        <v>9</v>
      </c>
      <c r="Q19" s="744">
        <v>10</v>
      </c>
      <c r="R19" s="744"/>
      <c r="S19" s="744"/>
    </row>
    <row r="20" spans="1:23">
      <c r="A20" s="3"/>
      <c r="B20">
        <v>4</v>
      </c>
      <c r="C20" s="3215">
        <f>_xlfn.XLOOKUP($D20, Tabla3[No.], Tabla3[FECHA DE INICIO (PRIMERA CLASE CALENDARIO)]," ")</f>
        <v>45850</v>
      </c>
      <c r="D20" s="1660">
        <v>869</v>
      </c>
      <c r="E20" s="1602" t="str">
        <f>_xlfn.XLOOKUP($D20,  Tabla3[No.],  Tabla3[CURP], " ")</f>
        <v>OOAP880124MQRCGL02</v>
      </c>
      <c r="F20" s="1603" t="str">
        <f>_xlfn.XLOOKUP($D20,  Tabla3[No.],  Tabla3[Matrícula Of. SEQ], " ")</f>
        <v>64LD06C-02</v>
      </c>
      <c r="G20" s="1604" t="str">
        <f>IFERROR(VLOOKUP(D20,Tabla3[],5,FALSE),"")</f>
        <v>OCHOA AGUILAR PAOLA NAYELI</v>
      </c>
      <c r="H20" s="1660" t="str">
        <f>MID($E20,11,1)</f>
        <v>M</v>
      </c>
      <c r="I20" s="1660" t="str">
        <f>MID($E20,5,2)</f>
        <v>88</v>
      </c>
      <c r="J20" s="1660" t="str">
        <f>MID($E20,7,2)</f>
        <v>01</v>
      </c>
      <c r="K20" s="1660" t="str">
        <f>MID($E20,9,2)</f>
        <v>24</v>
      </c>
      <c r="L20" s="1660" t="str">
        <f>_xlfn.XLOOKUP($D20,  Tabla3[No.],  Tabla3[ESTATUS ACADÉMICO], " ")</f>
        <v>BAJA TEMPORAL</v>
      </c>
      <c r="M20" s="1824" t="str">
        <f>_xlfn.XLOOKUP($D20,  Tabla3[No.],  Tabla3[Grupo de clase], " ")</f>
        <v>LD06D</v>
      </c>
      <c r="N20" s="744"/>
      <c r="O20" s="744"/>
      <c r="P20" s="744"/>
      <c r="Q20" s="744"/>
      <c r="R20" s="744"/>
      <c r="S20" s="744"/>
    </row>
    <row r="21" spans="1:23">
      <c r="A21" s="3"/>
      <c r="B21">
        <v>5</v>
      </c>
      <c r="C21" s="3215">
        <f>_xlfn.XLOOKUP($D21, Tabla3[No.], Tabla3[FECHA DE INICIO (PRIMERA CLASE CALENDARIO)]," ")</f>
        <v>45852</v>
      </c>
      <c r="D21" s="1660">
        <v>870</v>
      </c>
      <c r="E21" s="1602" t="str">
        <f>_xlfn.XLOOKUP($D21,  Tabla3[No.],  Tabla3[CURP], " ")</f>
        <v>CACD961208HMCRRM07</v>
      </c>
      <c r="F21" s="1603" t="str">
        <f>_xlfn.XLOOKUP($D21,  Tabla3[No.],  Tabla3[Matrícula Of. SEQ], " ")</f>
        <v>64LD06C-03</v>
      </c>
      <c r="G21" s="1604" t="str">
        <f>IFERROR(VLOOKUP(D21,Tabla3[],5,FALSE),"")</f>
        <v>CARRILLO CARDENAS DAMIAN</v>
      </c>
      <c r="H21" s="1660" t="str">
        <f>MID($E21,11,1)</f>
        <v>H</v>
      </c>
      <c r="I21" s="1660" t="str">
        <f>MID($E21,5,2)</f>
        <v>96</v>
      </c>
      <c r="J21" s="1660" t="str">
        <f>MID($E21,7,2)</f>
        <v>12</v>
      </c>
      <c r="K21" s="1660" t="str">
        <f>MID($E21,9,2)</f>
        <v>08</v>
      </c>
      <c r="L21" s="1660" t="str">
        <f>_xlfn.XLOOKUP($D21,  Tabla3[No.],  Tabla3[ESTATUS ACADÉMICO], " ")</f>
        <v>VIGENTE</v>
      </c>
      <c r="M21" s="1824" t="str">
        <f>_xlfn.XLOOKUP($D21,  Tabla3[No.],  Tabla3[Grupo de clase], " ")</f>
        <v>LD06D</v>
      </c>
      <c r="N21" s="744"/>
      <c r="O21" s="744"/>
      <c r="P21" s="744"/>
      <c r="Q21" s="744"/>
      <c r="R21" s="744"/>
      <c r="S21" s="744"/>
    </row>
    <row r="22" spans="1:23" ht="18.75">
      <c r="A22" s="3"/>
      <c r="B22" s="701"/>
      <c r="C22" s="2"/>
      <c r="D22" s="2"/>
      <c r="E22" s="1688"/>
      <c r="M22" s="2"/>
    </row>
    <row r="23" spans="1:23" ht="19.5" thickBot="1">
      <c r="A23" s="3"/>
      <c r="B23" s="701"/>
      <c r="C23" s="2"/>
      <c r="D23" s="2"/>
      <c r="E23" s="1688"/>
      <c r="M23" s="2"/>
    </row>
    <row r="24" spans="1:23" ht="15.75" thickBot="1">
      <c r="A24" s="1546"/>
      <c r="B24" s="4089" t="s">
        <v>5</v>
      </c>
      <c r="C24" s="1548"/>
      <c r="D24" s="4091" t="s">
        <v>3866</v>
      </c>
      <c r="E24" s="4091" t="s">
        <v>6</v>
      </c>
      <c r="F24" s="4091" t="s">
        <v>7</v>
      </c>
      <c r="G24" s="4093" t="s">
        <v>8</v>
      </c>
      <c r="H24" s="4096" t="s">
        <v>9</v>
      </c>
      <c r="I24" s="4086" t="s">
        <v>10</v>
      </c>
      <c r="J24" s="4087"/>
      <c r="K24" s="4087"/>
      <c r="L24" s="4069"/>
      <c r="M24" s="1549"/>
      <c r="N24" s="4071" t="s">
        <v>2575</v>
      </c>
      <c r="O24" s="4072"/>
      <c r="P24" s="4072"/>
      <c r="Q24" s="4073"/>
      <c r="R24" s="1550"/>
      <c r="S24" s="1550"/>
      <c r="T24" s="1550"/>
    </row>
    <row r="25" spans="1:23" ht="23.25" thickBot="1">
      <c r="A25" s="1546"/>
      <c r="B25" s="4090"/>
      <c r="C25" s="1548" t="s">
        <v>1843</v>
      </c>
      <c r="D25" s="4092"/>
      <c r="E25" s="4092"/>
      <c r="F25" s="4092"/>
      <c r="G25" s="4094"/>
      <c r="H25" s="4097"/>
      <c r="I25" s="4087"/>
      <c r="J25" s="4088"/>
      <c r="K25" s="4087"/>
      <c r="L25" s="4070"/>
      <c r="M25" s="1552" t="s">
        <v>1149</v>
      </c>
      <c r="N25" s="1928">
        <v>45597</v>
      </c>
      <c r="O25" s="1929" t="s">
        <v>4413</v>
      </c>
      <c r="P25" s="1929" t="s">
        <v>4414</v>
      </c>
      <c r="Q25" s="1928">
        <v>45713</v>
      </c>
      <c r="R25" s="1928">
        <v>45741</v>
      </c>
      <c r="S25" s="1929" t="s">
        <v>4415</v>
      </c>
      <c r="T25" s="1928">
        <v>45802</v>
      </c>
      <c r="U25" s="1928">
        <v>45833</v>
      </c>
      <c r="V25" s="1928">
        <v>45839</v>
      </c>
      <c r="W25" s="1928">
        <v>45870</v>
      </c>
    </row>
    <row r="26" spans="1:23" ht="135.75" thickBot="1">
      <c r="A26" s="1562" t="s">
        <v>27</v>
      </c>
      <c r="B26" s="4090"/>
      <c r="C26" s="1547"/>
      <c r="D26" s="4092"/>
      <c r="E26" s="4092"/>
      <c r="F26" s="4092"/>
      <c r="G26" s="4095"/>
      <c r="H26" s="4097"/>
      <c r="I26" s="4087"/>
      <c r="J26" s="4087"/>
      <c r="K26" s="4087"/>
      <c r="L26" s="1550"/>
      <c r="M26" s="1552" t="s">
        <v>1728</v>
      </c>
      <c r="N26" s="4067" t="s">
        <v>4411</v>
      </c>
      <c r="O26" s="4067" t="s">
        <v>4412</v>
      </c>
      <c r="P26" s="4067"/>
      <c r="Q26" s="4067"/>
      <c r="R26" s="4067"/>
      <c r="S26" s="4068" t="s">
        <v>5157</v>
      </c>
      <c r="T26" s="4065" t="s">
        <v>5156</v>
      </c>
      <c r="U26" s="3209" t="s">
        <v>5374</v>
      </c>
      <c r="V26" s="4066"/>
      <c r="W26" s="4066"/>
    </row>
    <row r="27" spans="1:23" ht="48.75" thickBot="1">
      <c r="A27" s="1548" t="s">
        <v>4910</v>
      </c>
      <c r="B27" s="4090"/>
      <c r="C27" s="1564" t="s">
        <v>3882</v>
      </c>
      <c r="D27" s="4092"/>
      <c r="E27" s="4092"/>
      <c r="F27" s="4092"/>
      <c r="G27" s="1565" t="s">
        <v>78</v>
      </c>
      <c r="H27" s="4097"/>
      <c r="I27" s="1566" t="s">
        <v>79</v>
      </c>
      <c r="J27" s="1566" t="s">
        <v>80</v>
      </c>
      <c r="K27" s="1566" t="s">
        <v>81</v>
      </c>
      <c r="L27" s="1567" t="s">
        <v>1759</v>
      </c>
      <c r="M27" s="1568" t="s">
        <v>27</v>
      </c>
      <c r="N27" s="2147" t="s">
        <v>127</v>
      </c>
      <c r="O27" s="2148"/>
      <c r="P27" s="2147" t="s">
        <v>4409</v>
      </c>
      <c r="Q27" s="2147" t="s">
        <v>4757</v>
      </c>
      <c r="R27" s="2147" t="s">
        <v>123</v>
      </c>
      <c r="S27" s="2147" t="s">
        <v>4758</v>
      </c>
      <c r="T27" s="2147" t="s">
        <v>4241</v>
      </c>
      <c r="U27" s="2149" t="s">
        <v>4410</v>
      </c>
      <c r="V27" s="2149" t="s">
        <v>4759</v>
      </c>
      <c r="W27" s="2149" t="s">
        <v>3541</v>
      </c>
    </row>
    <row r="28" spans="1:23">
      <c r="A28" s="1546"/>
      <c r="B28" s="1656">
        <v>1</v>
      </c>
      <c r="C28" s="1575">
        <f>_xlfn.XLOOKUP($D28, Tabla3[No.], Tabla3[FECHA DE INICIO (PRIMERA CLASE CALENDARIO)]," ")</f>
        <v>45590</v>
      </c>
      <c r="D28" s="1657">
        <v>797</v>
      </c>
      <c r="E28" s="1577" t="str">
        <f>_xlfn.XLOOKUP($D28,  Tabla3[No.],  Tabla3[CURP], " ")</f>
        <v>GAOE750502MJCRRL18</v>
      </c>
      <c r="F28" s="1578" t="str">
        <f>_xlfn.XLOOKUP($D28,  Tabla3[No.],  Tabla3[Matrícula Of. SEQ], " ")</f>
        <v>64LD04B</v>
      </c>
      <c r="G28" s="1579" t="str">
        <f>IFERROR(VLOOKUP(D28,Tabla3[],5,FALSE),"")</f>
        <v>GARDUÑO ORGANISTA ELISA DE LOS ANGELES</v>
      </c>
      <c r="H28" s="1657" t="str">
        <f>MID($E28,11,1)</f>
        <v>M</v>
      </c>
      <c r="I28" s="1657" t="str">
        <f>MID($E28,5,2)</f>
        <v>75</v>
      </c>
      <c r="J28" s="1657" t="str">
        <f>MID($E28,7,2)</f>
        <v>05</v>
      </c>
      <c r="K28" s="1657" t="str">
        <f>MID($E28,9,2)</f>
        <v>02</v>
      </c>
      <c r="L28" s="1657" t="str">
        <f>_xlfn.XLOOKUP($D28,  Tabla3[No.],  Tabla3[ESTATUS ACADÉMICO], " ")</f>
        <v>EGRESADO</v>
      </c>
      <c r="M28" s="1823" t="str">
        <f>_xlfn.XLOOKUP($D28,  Tabla3[No.],  Tabla3[Grupo de clase], " ")</f>
        <v>JTLD04C</v>
      </c>
      <c r="N28" s="743">
        <v>10</v>
      </c>
      <c r="O28" s="743"/>
      <c r="P28" s="1683">
        <v>10</v>
      </c>
      <c r="Q28" s="1379">
        <v>9.4</v>
      </c>
      <c r="R28" s="1379">
        <v>10</v>
      </c>
      <c r="S28" s="1379">
        <v>10</v>
      </c>
      <c r="T28" s="1379">
        <v>10</v>
      </c>
      <c r="U28" s="1845">
        <v>10</v>
      </c>
      <c r="V28" s="1379">
        <v>10</v>
      </c>
      <c r="W28" s="1379"/>
    </row>
    <row r="29" spans="1:23" ht="15.75">
      <c r="A29" s="1546"/>
      <c r="B29" s="1659">
        <v>2</v>
      </c>
      <c r="C29" s="1600">
        <f>_xlfn.XLOOKUP($D29, Tabla3[No.], Tabla3[FECHA DE INICIO (PRIMERA CLASE CALENDARIO)]," ")</f>
        <v>45724</v>
      </c>
      <c r="D29" s="1660">
        <v>841</v>
      </c>
      <c r="E29" s="1602" t="str">
        <f>_xlfn.XLOOKUP($D29,  Tabla3[No.],  Tabla3[CURP], " ")</f>
        <v>SUMM970220MQRLYR08</v>
      </c>
      <c r="F29" s="1603" t="str">
        <f>_xlfn.XLOOKUP($D29,  Tabla3[No.],  Tabla3[Matrícula Of. SEQ], " ")</f>
        <v>64LD06A-03</v>
      </c>
      <c r="G29" s="1604" t="str">
        <f>IFERROR(VLOOKUP(D29,Tabla3[],5,FALSE),"")</f>
        <v>SULUB MAY MIRLEY SARAHI</v>
      </c>
      <c r="H29" s="1660" t="str">
        <f>MID($E29,11,1)</f>
        <v>M</v>
      </c>
      <c r="I29" s="1660" t="str">
        <f>MID($E29,5,2)</f>
        <v>97</v>
      </c>
      <c r="J29" s="1660" t="str">
        <f>MID($E29,7,2)</f>
        <v>02</v>
      </c>
      <c r="K29" s="1660" t="str">
        <f>MID($E29,9,2)</f>
        <v>20</v>
      </c>
      <c r="L29" s="1660" t="str">
        <f>_xlfn.XLOOKUP($D29,  Tabla3[No.],  Tabla3[ESTATUS ACADÉMICO], " ")</f>
        <v>BAJA</v>
      </c>
      <c r="M29" s="1824" t="str">
        <f>_xlfn.XLOOKUP($D29,  Tabla3[No.],  Tabla3[Grupo de clase], " ")</f>
        <v>JTLD04C</v>
      </c>
      <c r="N29" s="1877" t="s">
        <v>135</v>
      </c>
      <c r="O29" s="1608"/>
      <c r="P29" s="1877" t="s">
        <v>135</v>
      </c>
      <c r="Q29" s="3087" t="s">
        <v>135</v>
      </c>
      <c r="R29" s="1608">
        <v>9.6999999999999993</v>
      </c>
      <c r="S29" s="1608">
        <v>8</v>
      </c>
      <c r="T29" s="1608">
        <v>10</v>
      </c>
      <c r="U29" s="744">
        <v>10</v>
      </c>
      <c r="V29" s="744"/>
      <c r="W29" s="744"/>
    </row>
    <row r="30" spans="1:23" ht="15.75">
      <c r="A30" s="1546"/>
      <c r="B30" s="1659">
        <v>3</v>
      </c>
      <c r="C30" s="1600">
        <f>_xlfn.XLOOKUP($D30, Tabla3[No.], Tabla3[FECHA DE INICIO (PRIMERA CLASE CALENDARIO)]," ")</f>
        <v>45773</v>
      </c>
      <c r="D30" s="1660">
        <v>846</v>
      </c>
      <c r="E30" s="1602" t="str">
        <f>_xlfn.XLOOKUP($D30,  Tabla3[No.],  Tabla3[CURP], " ")</f>
        <v>CATG781001HQRHRS04</v>
      </c>
      <c r="F30" s="1603" t="str">
        <f>_xlfn.XLOOKUP($D30,  Tabla3[No.],  Tabla3[Matrícula Of. SEQ], " ")</f>
        <v>64LD06A-01</v>
      </c>
      <c r="G30" s="1604" t="str">
        <f>IFERROR(VLOOKUP(D30,Tabla3[],5,FALSE),"")</f>
        <v>CHAN TORRES GUSTAVO</v>
      </c>
      <c r="H30" s="1660" t="str">
        <f>MID($E30,11,1)</f>
        <v>H</v>
      </c>
      <c r="I30" s="1660" t="str">
        <f>MID($E30,5,2)</f>
        <v>78</v>
      </c>
      <c r="J30" s="1660" t="str">
        <f>MID($E30,7,2)</f>
        <v>10</v>
      </c>
      <c r="K30" s="1660" t="str">
        <f>MID($E30,9,2)</f>
        <v>01</v>
      </c>
      <c r="L30" s="1660" t="str">
        <f>_xlfn.XLOOKUP($D30,  Tabla3[No.],  Tabla3[ESTATUS ACADÉMICO], " ")</f>
        <v>VIGENTE</v>
      </c>
      <c r="M30" s="1824" t="str">
        <f>_xlfn.XLOOKUP($D30,  Tabla3[No.],  Tabla3[Grupo de clase], " ")</f>
        <v>JTLD04C</v>
      </c>
      <c r="N30" s="1608"/>
      <c r="O30" s="1608"/>
      <c r="P30" s="1608"/>
      <c r="Q30" s="1605"/>
      <c r="R30" s="1608"/>
      <c r="S30" s="1608">
        <v>9</v>
      </c>
      <c r="T30" s="1608">
        <v>10</v>
      </c>
      <c r="U30" s="744">
        <v>10</v>
      </c>
      <c r="V30" s="744">
        <v>10</v>
      </c>
      <c r="W30" s="744"/>
    </row>
    <row r="31" spans="1:23" ht="16.5" thickBot="1">
      <c r="A31" s="3"/>
      <c r="B31" s="701"/>
      <c r="C31" s="1600">
        <f>_xlfn.XLOOKUP($D31, Tabla3[No.], Tabla3[FECHA DE INICIO (PRIMERA CLASE CALENDARIO)]," ")</f>
        <v>45773</v>
      </c>
      <c r="D31" s="1660">
        <v>847</v>
      </c>
      <c r="E31" s="1602" t="str">
        <f>_xlfn.XLOOKUP($D31,  Tabla3[No.],  Tabla3[CURP], " ")</f>
        <v>GUHM860812MVZTRR05</v>
      </c>
      <c r="F31" s="1603" t="str">
        <f>_xlfn.XLOOKUP($D31,  Tabla3[No.],  Tabla3[Matrícula Of. SEQ], " ")</f>
        <v>64LD06A-02</v>
      </c>
      <c r="G31" s="1604" t="str">
        <f>IFERROR(VLOOKUP(D31,Tabla3[],5,FALSE),"")</f>
        <v>GUTIERREZ HERNANDEZ MIRIAM</v>
      </c>
      <c r="H31" s="1660" t="str">
        <f>MID($E31,11,1)</f>
        <v>M</v>
      </c>
      <c r="I31" s="1660" t="str">
        <f>MID($E31,5,2)</f>
        <v>86</v>
      </c>
      <c r="J31" s="1660" t="str">
        <f>MID($E31,7,2)</f>
        <v>08</v>
      </c>
      <c r="K31" s="1660" t="str">
        <f>MID($E31,9,2)</f>
        <v>12</v>
      </c>
      <c r="L31" s="1660" t="str">
        <f>_xlfn.XLOOKUP($D31,  Tabla3[No.],  Tabla3[ESTATUS ACADÉMICO], " ")</f>
        <v>VIGENTE</v>
      </c>
      <c r="M31" s="1824" t="str">
        <f>_xlfn.XLOOKUP($D31,  Tabla3[No.],  Tabla3[Grupo de clase], " ")</f>
        <v>JTLD04C</v>
      </c>
      <c r="N31" s="1608"/>
      <c r="O31" s="1608"/>
      <c r="P31" s="1608"/>
      <c r="Q31" s="1605"/>
      <c r="R31" s="1608"/>
      <c r="S31" s="1608">
        <v>9</v>
      </c>
      <c r="T31" s="1608">
        <v>10</v>
      </c>
      <c r="U31" s="744">
        <v>9.6999999999999993</v>
      </c>
      <c r="V31" s="1608">
        <v>10</v>
      </c>
      <c r="W31" s="744"/>
    </row>
    <row r="32" spans="1:23" ht="15.75">
      <c r="A32" s="3"/>
      <c r="B32" s="701"/>
      <c r="C32" s="722">
        <v>44366</v>
      </c>
      <c r="D32" s="1802">
        <v>3</v>
      </c>
      <c r="E32" s="719" t="str">
        <f>_xlfn.XLOOKUP($D32,  Tabla3[No.],  Tabla3[CURP], " ")</f>
        <v>AUMB970810HVZQNR04</v>
      </c>
      <c r="F32" s="720" t="str">
        <f>_xlfn.XLOOKUP($E32, Tabla3[CURP], Tabla3[Matrícula Of. SEQ])</f>
        <v>64LD02B-03</v>
      </c>
      <c r="G32" s="3218" t="str">
        <f>IFERROR(VLOOKUP(D32,Tabla3[],5,FALSE),"")</f>
        <v>AQUINO MONTILLO BRIAN ELOY</v>
      </c>
      <c r="H32" s="702" t="str">
        <f>MID(E32,11,1)</f>
        <v>H</v>
      </c>
      <c r="I32" s="702" t="str">
        <f>MID(E32,5,2)</f>
        <v>97</v>
      </c>
      <c r="J32" s="703" t="str">
        <f>MID(E32,7,2)</f>
        <v>08</v>
      </c>
      <c r="K32" s="702" t="str">
        <f>MID(E32,9,2)</f>
        <v>10</v>
      </c>
      <c r="L32" s="702" t="s">
        <v>1761</v>
      </c>
      <c r="M32" s="4064" t="s">
        <v>134</v>
      </c>
      <c r="N32" s="1608"/>
      <c r="O32" s="1608"/>
      <c r="P32" s="1608"/>
      <c r="Q32" s="1605"/>
      <c r="R32" s="1608"/>
      <c r="S32" s="1608">
        <v>9.1</v>
      </c>
      <c r="T32" s="1608">
        <v>9</v>
      </c>
      <c r="U32" s="744">
        <v>9</v>
      </c>
      <c r="V32" s="1608">
        <v>10</v>
      </c>
      <c r="W32" s="744"/>
    </row>
    <row r="33" spans="1:64" ht="18.75">
      <c r="A33" s="3"/>
      <c r="B33" s="701"/>
      <c r="C33" s="2"/>
      <c r="D33" s="2"/>
      <c r="E33" s="1688"/>
      <c r="M33" s="2"/>
    </row>
    <row r="34" spans="1:64" ht="18.75">
      <c r="A34" s="3"/>
      <c r="B34" s="701"/>
      <c r="C34" s="2"/>
      <c r="D34" s="2"/>
      <c r="E34" s="1688"/>
      <c r="M34" s="2"/>
    </row>
    <row r="35" spans="1:64" ht="15.75" thickBot="1">
      <c r="A35" s="3"/>
      <c r="B35" s="701"/>
      <c r="C35" s="2"/>
      <c r="M35" s="2"/>
    </row>
    <row r="36" spans="1:64" ht="15.75" thickBot="1">
      <c r="A36" s="3"/>
      <c r="B36" s="4112" t="s">
        <v>5</v>
      </c>
      <c r="C36" s="645" t="s">
        <v>197</v>
      </c>
      <c r="D36" s="4085" t="s">
        <v>3866</v>
      </c>
      <c r="E36" s="4100" t="s">
        <v>6</v>
      </c>
      <c r="F36" s="4100" t="s">
        <v>7</v>
      </c>
      <c r="G36" s="4120" t="s">
        <v>8</v>
      </c>
      <c r="H36" s="4121" t="s">
        <v>9</v>
      </c>
      <c r="I36" s="4103" t="s">
        <v>10</v>
      </c>
      <c r="J36" s="4101"/>
      <c r="K36" s="4101"/>
      <c r="L36" s="978"/>
      <c r="M36" s="669"/>
      <c r="N36" s="4106" t="s">
        <v>11</v>
      </c>
      <c r="O36" s="4101"/>
      <c r="P36" s="4101"/>
      <c r="Q36" s="4122" t="s">
        <v>160</v>
      </c>
      <c r="R36" s="4101"/>
      <c r="S36" s="4101"/>
      <c r="T36" s="4107" t="s">
        <v>161</v>
      </c>
      <c r="U36" s="4101"/>
      <c r="V36" s="4101"/>
      <c r="W36" s="4101"/>
      <c r="X36" s="4101"/>
      <c r="Y36" s="4101"/>
      <c r="Z36" s="4108" t="s">
        <v>162</v>
      </c>
      <c r="AA36" s="4101"/>
      <c r="AB36" s="4101"/>
      <c r="AC36" s="4101"/>
      <c r="AD36" s="4101"/>
      <c r="AE36" s="4101"/>
      <c r="AF36" s="4113" t="s">
        <v>163</v>
      </c>
      <c r="AG36" s="4101"/>
      <c r="AH36" s="4101"/>
      <c r="AI36" s="4101"/>
      <c r="AJ36" s="4101"/>
      <c r="AK36" s="4101"/>
      <c r="AL36" s="4114" t="s">
        <v>164</v>
      </c>
      <c r="AM36" s="4115"/>
      <c r="AN36" s="4115"/>
      <c r="AO36" s="4115"/>
      <c r="AP36" s="4115"/>
      <c r="AQ36" s="4116"/>
      <c r="AR36" s="4117" t="s">
        <v>165</v>
      </c>
      <c r="AS36" s="4101"/>
      <c r="AT36" s="4101"/>
      <c r="AU36" s="4101"/>
      <c r="AV36" s="4101"/>
      <c r="AW36" s="4101"/>
      <c r="AX36" s="4118" t="s">
        <v>166</v>
      </c>
      <c r="AY36" s="4101"/>
      <c r="AZ36" s="4101"/>
      <c r="BA36" s="4101"/>
      <c r="BB36" s="4101"/>
      <c r="BC36" s="4101"/>
      <c r="BD36" s="4101"/>
      <c r="BE36" s="1452"/>
      <c r="BF36" s="1452"/>
      <c r="BG36" s="1453"/>
    </row>
    <row r="37" spans="1:64" ht="101.25" thickBot="1">
      <c r="A37" s="1665" t="s">
        <v>3886</v>
      </c>
      <c r="B37" s="4112"/>
      <c r="C37" s="645" t="s">
        <v>580</v>
      </c>
      <c r="D37" s="4075"/>
      <c r="E37" s="4101"/>
      <c r="F37" s="4101"/>
      <c r="G37" s="4101"/>
      <c r="H37" s="4101"/>
      <c r="I37" s="4101"/>
      <c r="J37" s="4104"/>
      <c r="K37" s="4101"/>
      <c r="L37" s="978"/>
      <c r="M37" s="4105" t="s">
        <v>1149</v>
      </c>
      <c r="N37" s="651" t="s">
        <v>168</v>
      </c>
      <c r="O37" s="670" t="s">
        <v>169</v>
      </c>
      <c r="P37" s="670" t="s">
        <v>170</v>
      </c>
      <c r="Q37" s="670" t="s">
        <v>171</v>
      </c>
      <c r="R37" s="651" t="s">
        <v>172</v>
      </c>
      <c r="S37" s="651" t="s">
        <v>173</v>
      </c>
      <c r="T37" s="670" t="s">
        <v>174</v>
      </c>
      <c r="U37" s="670" t="s">
        <v>175</v>
      </c>
      <c r="V37" s="670" t="s">
        <v>176</v>
      </c>
      <c r="W37" s="651" t="s">
        <v>177</v>
      </c>
      <c r="X37" s="651" t="s">
        <v>178</v>
      </c>
      <c r="Y37" s="651" t="s">
        <v>179</v>
      </c>
      <c r="Z37" s="670" t="s">
        <v>180</v>
      </c>
      <c r="AA37" s="651" t="s">
        <v>181</v>
      </c>
      <c r="AB37" s="651" t="s">
        <v>182</v>
      </c>
      <c r="AC37" s="651" t="s">
        <v>183</v>
      </c>
      <c r="AD37" s="651" t="s">
        <v>179</v>
      </c>
      <c r="AE37" s="651" t="s">
        <v>184</v>
      </c>
      <c r="AF37" s="651" t="s">
        <v>185</v>
      </c>
      <c r="AG37" s="651" t="s">
        <v>183</v>
      </c>
      <c r="AH37" s="651" t="s">
        <v>186</v>
      </c>
      <c r="AI37" s="651" t="s">
        <v>187</v>
      </c>
      <c r="AJ37" s="651" t="s">
        <v>188</v>
      </c>
      <c r="AK37" s="652" t="s">
        <v>189</v>
      </c>
      <c r="AL37" s="648" t="s">
        <v>190</v>
      </c>
      <c r="AM37" s="653" t="s">
        <v>191</v>
      </c>
      <c r="AN37" s="671" t="s">
        <v>192</v>
      </c>
      <c r="AO37" s="672" t="s">
        <v>193</v>
      </c>
      <c r="AP37" s="673" t="s">
        <v>194</v>
      </c>
      <c r="AQ37" s="654"/>
      <c r="AR37" s="673" t="s">
        <v>3761</v>
      </c>
      <c r="AS37" s="673" t="s">
        <v>3762</v>
      </c>
      <c r="AT37" s="673" t="s">
        <v>3763</v>
      </c>
      <c r="AU37" s="1454" t="s">
        <v>3764</v>
      </c>
      <c r="AV37" s="673" t="s">
        <v>3765</v>
      </c>
      <c r="AW37" s="673" t="s">
        <v>3766</v>
      </c>
      <c r="AX37" s="1455" t="s">
        <v>3767</v>
      </c>
      <c r="AY37" s="670" t="s">
        <v>3768</v>
      </c>
      <c r="AZ37" s="626" t="s">
        <v>3769</v>
      </c>
      <c r="BA37" s="626" t="s">
        <v>3770</v>
      </c>
      <c r="BB37" s="670" t="s">
        <v>3771</v>
      </c>
      <c r="BC37" s="1322"/>
      <c r="BD37" s="626" t="s">
        <v>3772</v>
      </c>
      <c r="BE37" s="638" t="s">
        <v>3773</v>
      </c>
      <c r="BF37" s="638" t="s">
        <v>3773</v>
      </c>
      <c r="BG37" s="1456" t="s">
        <v>3773</v>
      </c>
    </row>
    <row r="38" spans="1:64" ht="15.75" thickBot="1">
      <c r="B38" s="4112"/>
      <c r="C38" s="663" t="s">
        <v>28</v>
      </c>
      <c r="D38" s="4075"/>
      <c r="E38" s="4101"/>
      <c r="F38" s="4101"/>
      <c r="G38" s="4101"/>
      <c r="H38" s="4101"/>
      <c r="I38" s="4101"/>
      <c r="J38" s="4101"/>
      <c r="K38" s="4101"/>
      <c r="L38" s="978"/>
      <c r="M38" s="4105"/>
      <c r="N38" s="661" t="s">
        <v>29</v>
      </c>
      <c r="O38" s="661" t="s">
        <v>30</v>
      </c>
      <c r="P38" s="661" t="s">
        <v>31</v>
      </c>
      <c r="Q38" s="661" t="s">
        <v>32</v>
      </c>
      <c r="R38" s="661" t="s">
        <v>33</v>
      </c>
      <c r="S38" s="661" t="s">
        <v>34</v>
      </c>
      <c r="T38" s="661" t="s">
        <v>35</v>
      </c>
      <c r="U38" s="661" t="s">
        <v>36</v>
      </c>
      <c r="V38" s="661" t="s">
        <v>37</v>
      </c>
      <c r="W38" s="661" t="s">
        <v>38</v>
      </c>
      <c r="X38" s="661" t="s">
        <v>39</v>
      </c>
      <c r="Y38" s="661" t="s">
        <v>40</v>
      </c>
      <c r="Z38" s="661" t="s">
        <v>41</v>
      </c>
      <c r="AA38" s="661" t="s">
        <v>42</v>
      </c>
      <c r="AB38" s="661" t="s">
        <v>43</v>
      </c>
      <c r="AC38" s="661" t="s">
        <v>44</v>
      </c>
      <c r="AD38" s="661" t="s">
        <v>45</v>
      </c>
      <c r="AE38" s="661" t="s">
        <v>46</v>
      </c>
      <c r="AF38" s="662" t="s">
        <v>47</v>
      </c>
      <c r="AG38" s="662" t="s">
        <v>48</v>
      </c>
      <c r="AH38" s="662" t="s">
        <v>49</v>
      </c>
      <c r="AI38" s="662" t="s">
        <v>50</v>
      </c>
      <c r="AJ38" s="662" t="s">
        <v>51</v>
      </c>
      <c r="AK38" s="662" t="s">
        <v>52</v>
      </c>
      <c r="AL38" s="662" t="s">
        <v>53</v>
      </c>
      <c r="AM38" s="662" t="s">
        <v>54</v>
      </c>
      <c r="AN38" s="662" t="s">
        <v>55</v>
      </c>
      <c r="AO38" s="662" t="s">
        <v>56</v>
      </c>
      <c r="AP38" s="662" t="s">
        <v>57</v>
      </c>
      <c r="AQ38" s="662" t="s">
        <v>58</v>
      </c>
      <c r="AR38" s="662" t="s">
        <v>59</v>
      </c>
      <c r="AS38" s="662" t="s">
        <v>60</v>
      </c>
      <c r="AT38" s="662" t="s">
        <v>61</v>
      </c>
      <c r="AU38" s="662" t="s">
        <v>62</v>
      </c>
      <c r="AV38" s="662" t="s">
        <v>63</v>
      </c>
      <c r="AW38" s="662" t="s">
        <v>64</v>
      </c>
      <c r="AX38" s="662" t="s">
        <v>65</v>
      </c>
      <c r="AY38" s="662" t="s">
        <v>66</v>
      </c>
      <c r="AZ38" s="662" t="s">
        <v>67</v>
      </c>
      <c r="BA38" s="662" t="s">
        <v>68</v>
      </c>
      <c r="BB38" s="662" t="s">
        <v>69</v>
      </c>
      <c r="BC38" s="662" t="s">
        <v>70</v>
      </c>
      <c r="BD38" s="662" t="s">
        <v>71</v>
      </c>
      <c r="BE38" s="744"/>
      <c r="BF38" s="744"/>
      <c r="BG38" s="1228"/>
    </row>
    <row r="39" spans="1:64" ht="60.75" thickBot="1">
      <c r="A39" s="654" t="s">
        <v>27</v>
      </c>
      <c r="B39" s="4119"/>
      <c r="C39" s="729" t="s">
        <v>198</v>
      </c>
      <c r="D39" s="4084"/>
      <c r="E39" s="4102"/>
      <c r="F39" s="4102"/>
      <c r="G39" s="730" t="s">
        <v>78</v>
      </c>
      <c r="H39" s="4102"/>
      <c r="I39" s="731" t="s">
        <v>79</v>
      </c>
      <c r="J39" s="731" t="s">
        <v>80</v>
      </c>
      <c r="K39" s="731" t="s">
        <v>81</v>
      </c>
      <c r="L39" s="1064" t="s">
        <v>1759</v>
      </c>
      <c r="M39" s="732" t="s">
        <v>27</v>
      </c>
      <c r="N39" s="733" t="s">
        <v>82</v>
      </c>
      <c r="O39" s="733" t="s">
        <v>83</v>
      </c>
      <c r="P39" s="733" t="s">
        <v>84</v>
      </c>
      <c r="Q39" s="733" t="s">
        <v>85</v>
      </c>
      <c r="R39" s="733" t="s">
        <v>86</v>
      </c>
      <c r="S39" s="733" t="s">
        <v>87</v>
      </c>
      <c r="T39" s="733" t="s">
        <v>88</v>
      </c>
      <c r="U39" s="733" t="s">
        <v>89</v>
      </c>
      <c r="V39" s="733" t="s">
        <v>90</v>
      </c>
      <c r="W39" s="733" t="s">
        <v>91</v>
      </c>
      <c r="X39" s="733" t="s">
        <v>92</v>
      </c>
      <c r="Y39" s="733" t="s">
        <v>93</v>
      </c>
      <c r="Z39" s="733" t="s">
        <v>94</v>
      </c>
      <c r="AA39" s="733" t="s">
        <v>95</v>
      </c>
      <c r="AB39" s="733" t="s">
        <v>96</v>
      </c>
      <c r="AC39" s="733" t="s">
        <v>97</v>
      </c>
      <c r="AD39" s="733" t="s">
        <v>98</v>
      </c>
      <c r="AE39" s="733" t="s">
        <v>99</v>
      </c>
      <c r="AF39" s="733" t="s">
        <v>100</v>
      </c>
      <c r="AG39" s="733" t="s">
        <v>101</v>
      </c>
      <c r="AH39" s="733" t="s">
        <v>102</v>
      </c>
      <c r="AI39" s="733" t="s">
        <v>103</v>
      </c>
      <c r="AJ39" s="733" t="s">
        <v>104</v>
      </c>
      <c r="AK39" s="733" t="s">
        <v>105</v>
      </c>
      <c r="AL39" s="733" t="s">
        <v>106</v>
      </c>
      <c r="AM39" s="733" t="s">
        <v>107</v>
      </c>
      <c r="AN39" s="733" t="s">
        <v>108</v>
      </c>
      <c r="AO39" s="733" t="s">
        <v>109</v>
      </c>
      <c r="AP39" s="733" t="s">
        <v>110</v>
      </c>
      <c r="AQ39" s="733" t="s">
        <v>111</v>
      </c>
      <c r="AR39" s="666" t="s">
        <v>112</v>
      </c>
      <c r="AS39" s="733" t="s">
        <v>375</v>
      </c>
      <c r="AT39" s="733" t="s">
        <v>114</v>
      </c>
      <c r="AU39" s="733" t="s">
        <v>115</v>
      </c>
      <c r="AV39" s="733" t="s">
        <v>116</v>
      </c>
      <c r="AW39" s="733" t="s">
        <v>117</v>
      </c>
      <c r="AX39" s="733" t="s">
        <v>118</v>
      </c>
      <c r="AY39" s="733" t="s">
        <v>119</v>
      </c>
      <c r="AZ39" s="733" t="s">
        <v>120</v>
      </c>
      <c r="BA39" s="733" t="s">
        <v>122</v>
      </c>
      <c r="BB39" s="733" t="s">
        <v>3774</v>
      </c>
      <c r="BC39" s="733" t="s">
        <v>4317</v>
      </c>
      <c r="BD39" s="733" t="s">
        <v>125</v>
      </c>
      <c r="BE39" s="1808" t="s">
        <v>3485</v>
      </c>
      <c r="BF39" s="1808" t="s">
        <v>3486</v>
      </c>
      <c r="BG39" s="1457" t="s">
        <v>776</v>
      </c>
    </row>
    <row r="40" spans="1:64" ht="15.75" thickBot="1">
      <c r="A40" s="668" t="s">
        <v>197</v>
      </c>
      <c r="B40" s="718">
        <v>1</v>
      </c>
      <c r="C40" s="1458">
        <v>44459</v>
      </c>
      <c r="D40" s="1576">
        <v>216</v>
      </c>
      <c r="E40" s="762" t="str">
        <f>_xlfn.XLOOKUP($D40,  Tabla3[No.],  Tabla3[CURP], " ")</f>
        <v>PABC921206HYNLNR06</v>
      </c>
      <c r="F40" s="717" t="str">
        <f>_xlfn.XLOOKUP($D40,  Tabla3[No.],  Tabla3[Matrícula Of. SEQ], " ")</f>
        <v>64LD03C-08</v>
      </c>
      <c r="G40" s="717" t="str">
        <f>IFERROR(VLOOKUP(D40,Tabla3[],5,FALSE),"")</f>
        <v>PALOMO BONILLA CARLOS EDUARDO</v>
      </c>
      <c r="H40" s="764" t="str">
        <f>MID($E40,11,1)</f>
        <v>H</v>
      </c>
      <c r="I40" s="764" t="str">
        <f>MID($E40,5,2)</f>
        <v>92</v>
      </c>
      <c r="J40" s="764" t="str">
        <f>MID($E40,7,2)</f>
        <v>12</v>
      </c>
      <c r="K40" s="764" t="str">
        <f>MID($E40,9,2)</f>
        <v>06</v>
      </c>
      <c r="L40" s="1229" t="str">
        <f>_xlfn.XLOOKUP($D40,  Tabla3[No.],  Tabla3[ESTATUS ACADÉMICO], " ")</f>
        <v>EGRESADO</v>
      </c>
      <c r="M40" s="765" t="str">
        <f>_xlfn.XLOOKUP($D40,  Tabla3[No.],  Tabla3[Grupo de clase], " ")</f>
        <v>LD03C</v>
      </c>
      <c r="N40" s="764">
        <v>10</v>
      </c>
      <c r="O40" s="764">
        <v>10</v>
      </c>
      <c r="P40" s="764">
        <v>10</v>
      </c>
      <c r="Q40" s="764">
        <v>8</v>
      </c>
      <c r="R40" s="764">
        <v>9</v>
      </c>
      <c r="S40" s="764">
        <v>8</v>
      </c>
      <c r="T40" s="764">
        <v>9.6999999999999993</v>
      </c>
      <c r="U40" s="764">
        <v>8.5</v>
      </c>
      <c r="V40" s="764">
        <v>8.5</v>
      </c>
      <c r="W40" s="764">
        <v>7.6</v>
      </c>
      <c r="X40" s="764">
        <v>8.4</v>
      </c>
      <c r="Y40" s="764">
        <v>9.3000000000000007</v>
      </c>
      <c r="Z40" s="766">
        <v>8.6999999999999993</v>
      </c>
      <c r="AA40" s="766">
        <v>9</v>
      </c>
      <c r="AB40" s="766">
        <v>9.6999999999999993</v>
      </c>
      <c r="AC40" s="764">
        <v>8.5</v>
      </c>
      <c r="AD40" s="764">
        <v>9</v>
      </c>
      <c r="AE40" s="767">
        <v>10</v>
      </c>
      <c r="AF40" s="1459">
        <v>10</v>
      </c>
      <c r="AG40" s="1459">
        <v>10</v>
      </c>
      <c r="AH40" s="1459">
        <v>8</v>
      </c>
      <c r="AI40" s="1459">
        <v>8</v>
      </c>
      <c r="AJ40" s="1459">
        <v>8</v>
      </c>
      <c r="AK40" s="1459">
        <v>9</v>
      </c>
      <c r="AL40" s="1460" t="s">
        <v>135</v>
      </c>
      <c r="AM40" s="1460" t="s">
        <v>135</v>
      </c>
      <c r="AN40" s="1460" t="s">
        <v>135</v>
      </c>
      <c r="AO40" s="1460" t="s">
        <v>135</v>
      </c>
      <c r="AP40" s="1460" t="s">
        <v>135</v>
      </c>
      <c r="AQ40" s="1460" t="s">
        <v>135</v>
      </c>
      <c r="AR40" s="634">
        <v>10</v>
      </c>
      <c r="AS40" s="768">
        <v>9.76</v>
      </c>
      <c r="AT40" s="768">
        <v>9</v>
      </c>
      <c r="AU40" s="768">
        <v>8</v>
      </c>
      <c r="AV40" s="768">
        <v>10</v>
      </c>
      <c r="AW40" s="768">
        <v>10</v>
      </c>
      <c r="AX40" s="768">
        <v>8</v>
      </c>
      <c r="AY40" s="768">
        <v>8</v>
      </c>
      <c r="AZ40" s="768">
        <v>8.3000000000000007</v>
      </c>
      <c r="BA40" s="768">
        <v>10</v>
      </c>
      <c r="BB40" s="768">
        <v>9.5</v>
      </c>
      <c r="BC40" s="768"/>
      <c r="BD40" s="770">
        <v>8.6</v>
      </c>
      <c r="BE40" s="744"/>
      <c r="BF40" s="744"/>
      <c r="BG40" s="1378">
        <f t="shared" ref="BG40:BG50" si="0">AVERAGE(N40:BF40)</f>
        <v>9.0016666666666669</v>
      </c>
    </row>
    <row r="41" spans="1:64" ht="15.75" thickBot="1">
      <c r="A41" s="36" t="s">
        <v>202</v>
      </c>
      <c r="B41" s="721">
        <v>2</v>
      </c>
      <c r="C41" s="1458">
        <v>44248</v>
      </c>
      <c r="D41" s="1576">
        <v>268</v>
      </c>
      <c r="E41" s="737" t="str">
        <f>_xlfn.XLOOKUP($D41,  Tabla3[No.],  Tabla3[CURP], " ")</f>
        <v>CAGM010321MVZHNRA6</v>
      </c>
      <c r="F41" s="717" t="str">
        <f>_xlfn.XLOOKUP($D41,  Tabla3[No.],  Tabla3[Matrícula Of. SEQ], " ")</f>
        <v>64LD03C-03</v>
      </c>
      <c r="G41" s="717" t="str">
        <f>IFERROR(VLOOKUP(D41,Tabla3[],5,FALSE),"")</f>
        <v>CHAIN GONZALEZ MARIA</v>
      </c>
      <c r="H41" s="739" t="str">
        <f t="shared" ref="H41:H52" si="1">MID($E41,11,1)</f>
        <v>M</v>
      </c>
      <c r="I41" s="739" t="str">
        <f t="shared" ref="I41:I52" si="2">MID($E41,5,2)</f>
        <v>01</v>
      </c>
      <c r="J41" s="739" t="str">
        <f t="shared" ref="J41:J52" si="3">MID($E41,7,2)</f>
        <v>03</v>
      </c>
      <c r="K41" s="739" t="str">
        <f t="shared" ref="K41:K52" si="4">MID($E41,9,2)</f>
        <v>21</v>
      </c>
      <c r="L41" s="1229" t="str">
        <f>_xlfn.XLOOKUP($D41,  Tabla3[No.],  Tabla3[ESTATUS ACADÉMICO], " ")</f>
        <v>EGRESADO</v>
      </c>
      <c r="M41" s="642" t="str">
        <f>_xlfn.XLOOKUP($D41,  Tabla3[No.],  Tabla3[Grupo de clase], " ")</f>
        <v>LD03C</v>
      </c>
      <c r="N41" s="739">
        <v>10</v>
      </c>
      <c r="O41" s="745">
        <v>4</v>
      </c>
      <c r="P41" s="745">
        <v>8</v>
      </c>
      <c r="Q41" s="745" t="s">
        <v>135</v>
      </c>
      <c r="R41" s="745" t="s">
        <v>135</v>
      </c>
      <c r="S41" s="745">
        <v>10</v>
      </c>
      <c r="T41" s="745" t="s">
        <v>135</v>
      </c>
      <c r="U41" s="745" t="s">
        <v>135</v>
      </c>
      <c r="V41" s="745" t="s">
        <v>135</v>
      </c>
      <c r="W41" s="739">
        <v>7.6</v>
      </c>
      <c r="X41" s="739">
        <v>8.6999999999999993</v>
      </c>
      <c r="Y41" s="739">
        <v>8.1</v>
      </c>
      <c r="Z41" s="740">
        <v>8</v>
      </c>
      <c r="AA41" s="740">
        <v>8</v>
      </c>
      <c r="AB41" s="740">
        <v>8</v>
      </c>
      <c r="AC41" s="739">
        <v>8.5</v>
      </c>
      <c r="AD41" s="739">
        <v>7</v>
      </c>
      <c r="AE41" s="741">
        <v>10</v>
      </c>
      <c r="AF41" s="630">
        <v>9</v>
      </c>
      <c r="AG41" s="1461" t="s">
        <v>208</v>
      </c>
      <c r="AH41" s="630">
        <v>9</v>
      </c>
      <c r="AI41" s="630">
        <v>10</v>
      </c>
      <c r="AJ41" s="630">
        <v>7</v>
      </c>
      <c r="AK41" s="630">
        <v>7.4</v>
      </c>
      <c r="AL41" s="1462">
        <v>6.3</v>
      </c>
      <c r="AM41" s="630">
        <v>6.3</v>
      </c>
      <c r="AN41" s="630">
        <v>7.4</v>
      </c>
      <c r="AO41" s="630">
        <v>6.5</v>
      </c>
      <c r="AP41" s="748">
        <v>6</v>
      </c>
      <c r="AQ41" s="630">
        <v>9</v>
      </c>
      <c r="AR41" s="630">
        <v>8</v>
      </c>
      <c r="AS41" s="630">
        <v>8</v>
      </c>
      <c r="AT41" s="630">
        <v>8</v>
      </c>
      <c r="AU41" s="630">
        <v>8</v>
      </c>
      <c r="AV41" s="630">
        <v>10</v>
      </c>
      <c r="AW41" s="630">
        <v>10</v>
      </c>
      <c r="AX41" s="630">
        <v>10</v>
      </c>
      <c r="AY41" s="630">
        <v>10</v>
      </c>
      <c r="AZ41" s="630">
        <v>8</v>
      </c>
      <c r="BA41" s="630">
        <v>8</v>
      </c>
      <c r="BB41" s="1463">
        <v>8</v>
      </c>
      <c r="BC41" s="1463"/>
      <c r="BD41" s="630">
        <v>10</v>
      </c>
      <c r="BE41" s="744"/>
      <c r="BF41" s="744"/>
      <c r="BG41" s="1378">
        <f t="shared" si="0"/>
        <v>8.2166666666666686</v>
      </c>
    </row>
    <row r="42" spans="1:64" ht="15.75" thickBot="1">
      <c r="B42" s="721">
        <v>3</v>
      </c>
      <c r="C42" s="1458">
        <v>44248</v>
      </c>
      <c r="D42" s="1576">
        <v>213</v>
      </c>
      <c r="E42" s="737" t="str">
        <f>_xlfn.XLOOKUP($D42,  Tabla3[No.],  Tabla3[CURP], " ")</f>
        <v>LISA921027HSPRLR02</v>
      </c>
      <c r="F42" s="717" t="str">
        <f>_xlfn.XLOOKUP($D42,  Tabla3[No.],  Tabla3[Matrícula Of. SEQ], " ")</f>
        <v>64LD03C-08</v>
      </c>
      <c r="G42" s="717" t="str">
        <f>IFERROR(VLOOKUP(D42,Tabla3[],5,FALSE),"")</f>
        <v>LIRA SOLIS ARMANDO</v>
      </c>
      <c r="H42" s="739" t="str">
        <f t="shared" si="1"/>
        <v>H</v>
      </c>
      <c r="I42" s="739" t="str">
        <f t="shared" si="2"/>
        <v>92</v>
      </c>
      <c r="J42" s="739" t="str">
        <f t="shared" si="3"/>
        <v>10</v>
      </c>
      <c r="K42" s="739" t="str">
        <f t="shared" si="4"/>
        <v>27</v>
      </c>
      <c r="L42" s="1229" t="str">
        <f>_xlfn.XLOOKUP($D42,  Tabla3[No.],  Tabla3[ESTATUS ACADÉMICO], " ")</f>
        <v>EGRESADO</v>
      </c>
      <c r="M42" s="642" t="str">
        <f>_xlfn.XLOOKUP($D42,  Tabla3[No.],  Tabla3[Grupo de clase], " ")</f>
        <v>LD03C</v>
      </c>
      <c r="N42" s="739">
        <v>10</v>
      </c>
      <c r="O42" s="739">
        <v>10</v>
      </c>
      <c r="P42" s="745">
        <v>10</v>
      </c>
      <c r="Q42" s="745">
        <v>10</v>
      </c>
      <c r="R42" s="745">
        <v>10</v>
      </c>
      <c r="S42" s="745">
        <v>10</v>
      </c>
      <c r="T42" s="745">
        <v>10</v>
      </c>
      <c r="U42" s="745">
        <v>10</v>
      </c>
      <c r="V42" s="745">
        <v>10</v>
      </c>
      <c r="W42" s="739">
        <v>8.8000000000000007</v>
      </c>
      <c r="X42" s="739">
        <v>8.6999999999999993</v>
      </c>
      <c r="Y42" s="739">
        <v>9.9</v>
      </c>
      <c r="Z42" s="740">
        <v>9.3000000000000007</v>
      </c>
      <c r="AA42" s="750">
        <v>9</v>
      </c>
      <c r="AB42" s="740">
        <v>9.6999999999999993</v>
      </c>
      <c r="AC42" s="739">
        <v>9.6999999999999993</v>
      </c>
      <c r="AD42" s="739">
        <v>10</v>
      </c>
      <c r="AE42" s="741">
        <v>10</v>
      </c>
      <c r="AF42" s="630">
        <v>9</v>
      </c>
      <c r="AG42" s="748">
        <v>8</v>
      </c>
      <c r="AH42" s="748">
        <v>9.6</v>
      </c>
      <c r="AI42" s="630">
        <v>10</v>
      </c>
      <c r="AJ42" s="630">
        <v>9</v>
      </c>
      <c r="AK42" s="630">
        <v>8</v>
      </c>
      <c r="AL42" s="742">
        <v>10</v>
      </c>
      <c r="AM42" s="630">
        <v>7.3</v>
      </c>
      <c r="AN42" s="630">
        <v>7.3</v>
      </c>
      <c r="AO42" s="630">
        <v>10</v>
      </c>
      <c r="AP42" s="630">
        <v>10</v>
      </c>
      <c r="AQ42" s="630">
        <v>9</v>
      </c>
      <c r="AR42" s="630">
        <v>9</v>
      </c>
      <c r="AS42" s="630">
        <v>9.06</v>
      </c>
      <c r="AT42" s="630">
        <v>9.6</v>
      </c>
      <c r="AU42" s="630">
        <v>9.6999999999999993</v>
      </c>
      <c r="AV42" s="630">
        <v>10</v>
      </c>
      <c r="AW42" s="630">
        <v>10</v>
      </c>
      <c r="AX42" s="630">
        <v>9.3000000000000007</v>
      </c>
      <c r="AY42" s="630">
        <v>9.9</v>
      </c>
      <c r="AZ42" s="630">
        <v>10</v>
      </c>
      <c r="BA42" s="630">
        <v>10</v>
      </c>
      <c r="BB42" s="630">
        <v>9.5</v>
      </c>
      <c r="BC42" s="630"/>
      <c r="BD42" s="630">
        <v>10</v>
      </c>
      <c r="BE42" s="744"/>
      <c r="BF42" s="744"/>
      <c r="BG42" s="1378">
        <f t="shared" si="0"/>
        <v>9.4847619047619034</v>
      </c>
    </row>
    <row r="43" spans="1:64" ht="15.75" thickBot="1">
      <c r="B43" s="721">
        <f>B42+1</f>
        <v>4</v>
      </c>
      <c r="C43" s="1458">
        <v>44094</v>
      </c>
      <c r="D43" s="1576">
        <v>217</v>
      </c>
      <c r="E43" s="737" t="str">
        <f>_xlfn.XLOOKUP($D43,  Tabla3[No.],  Tabla3[CURP], " ")</f>
        <v>TERI990829MDFHYT00</v>
      </c>
      <c r="F43" s="717" t="str">
        <f>_xlfn.XLOOKUP($D43,  Tabla3[No.],  Tabla3[Matrícula Of. SEQ], " ")</f>
        <v>64LD03C-13</v>
      </c>
      <c r="G43" s="717" t="str">
        <f>IFERROR(VLOOKUP(D43,Tabla3[],5,FALSE),"")</f>
        <v>TEHUTLE RAYA ITZHEL</v>
      </c>
      <c r="H43" s="739" t="str">
        <f t="shared" si="1"/>
        <v>M</v>
      </c>
      <c r="I43" s="739" t="str">
        <f t="shared" si="2"/>
        <v>99</v>
      </c>
      <c r="J43" s="739" t="str">
        <f t="shared" si="3"/>
        <v>08</v>
      </c>
      <c r="K43" s="739" t="str">
        <f t="shared" si="4"/>
        <v>29</v>
      </c>
      <c r="L43" s="1229" t="str">
        <f>_xlfn.XLOOKUP($D43,  Tabla3[No.],  Tabla3[ESTATUS ACADÉMICO], " ")</f>
        <v>EGRESADO</v>
      </c>
      <c r="M43" s="642" t="str">
        <f>_xlfn.XLOOKUP($D43,  Tabla3[No.],  Tabla3[Grupo de clase], " ")</f>
        <v>LD03C</v>
      </c>
      <c r="N43" s="739">
        <v>10</v>
      </c>
      <c r="O43" s="739">
        <v>10</v>
      </c>
      <c r="P43" s="739">
        <v>10</v>
      </c>
      <c r="Q43" s="739">
        <v>9</v>
      </c>
      <c r="R43" s="739">
        <v>9</v>
      </c>
      <c r="S43" s="739">
        <v>8</v>
      </c>
      <c r="T43" s="739">
        <v>9.6999999999999993</v>
      </c>
      <c r="U43" s="739">
        <v>10</v>
      </c>
      <c r="V43" s="739">
        <v>10</v>
      </c>
      <c r="W43" s="739">
        <v>9</v>
      </c>
      <c r="X43" s="739">
        <v>9.6999999999999993</v>
      </c>
      <c r="Y43" s="739">
        <v>9.6</v>
      </c>
      <c r="Z43" s="740">
        <v>9</v>
      </c>
      <c r="AA43" s="740">
        <v>9.4</v>
      </c>
      <c r="AB43" s="740">
        <v>9</v>
      </c>
      <c r="AC43" s="739">
        <v>10</v>
      </c>
      <c r="AD43" s="739">
        <v>9</v>
      </c>
      <c r="AE43" s="741">
        <v>10</v>
      </c>
      <c r="AF43" s="630">
        <v>9</v>
      </c>
      <c r="AG43" s="748">
        <v>9</v>
      </c>
      <c r="AH43" s="630">
        <v>9.8000000000000007</v>
      </c>
      <c r="AI43" s="630">
        <v>9.1999999999999993</v>
      </c>
      <c r="AJ43" s="630">
        <v>8.5</v>
      </c>
      <c r="AK43" s="630">
        <v>9.4</v>
      </c>
      <c r="AL43" s="742">
        <v>10</v>
      </c>
      <c r="AM43" s="630">
        <v>8.9</v>
      </c>
      <c r="AN43" s="630">
        <v>9.6999999999999993</v>
      </c>
      <c r="AO43" s="630">
        <v>7</v>
      </c>
      <c r="AP43" s="630">
        <v>10</v>
      </c>
      <c r="AQ43" s="630">
        <v>10</v>
      </c>
      <c r="AR43" s="630">
        <v>9</v>
      </c>
      <c r="AS43" s="630">
        <v>9.4600000000000009</v>
      </c>
      <c r="AT43" s="630">
        <v>9.6</v>
      </c>
      <c r="AU43" s="630">
        <v>8</v>
      </c>
      <c r="AV43" s="630">
        <v>10</v>
      </c>
      <c r="AW43" s="630">
        <v>10</v>
      </c>
      <c r="AX43" s="630">
        <v>8.6</v>
      </c>
      <c r="AY43" s="630">
        <v>8.8000000000000007</v>
      </c>
      <c r="AZ43" s="630">
        <v>9.6</v>
      </c>
      <c r="BA43" s="630">
        <v>10</v>
      </c>
      <c r="BB43" s="630">
        <v>9</v>
      </c>
      <c r="BC43" s="630"/>
      <c r="BD43" s="630">
        <v>9.6</v>
      </c>
      <c r="BE43" s="744"/>
      <c r="BF43" s="744"/>
      <c r="BG43" s="1378">
        <f t="shared" si="0"/>
        <v>9.3466666666666676</v>
      </c>
    </row>
    <row r="44" spans="1:64" ht="19.5" thickBot="1">
      <c r="B44" s="718">
        <v>5</v>
      </c>
      <c r="C44" s="1458">
        <v>44276</v>
      </c>
      <c r="D44" s="1576">
        <v>218</v>
      </c>
      <c r="E44" s="737" t="str">
        <f>_xlfn.XLOOKUP($D44,  Tabla3[No.],  Tabla3[CURP], " ")</f>
        <v>ZEIV030316HQRLBRA4</v>
      </c>
      <c r="F44" s="717" t="str">
        <f>_xlfn.XLOOKUP($D44,  Tabla3[No.],  Tabla3[Matrícula Of. SEQ], " ")</f>
        <v>64LD03C-15</v>
      </c>
      <c r="G44" s="717" t="str">
        <f>IFERROR(VLOOKUP(D44,Tabla3[],5,FALSE),"")</f>
        <v>ZELAYA IBARRA JOSE VIRGILIO</v>
      </c>
      <c r="H44" s="739" t="str">
        <f t="shared" si="1"/>
        <v>H</v>
      </c>
      <c r="I44" s="739" t="str">
        <f t="shared" si="2"/>
        <v>03</v>
      </c>
      <c r="J44" s="739" t="str">
        <f t="shared" si="3"/>
        <v>03</v>
      </c>
      <c r="K44" s="739" t="str">
        <f t="shared" si="4"/>
        <v>16</v>
      </c>
      <c r="L44" s="1229" t="str">
        <f>_xlfn.XLOOKUP($D44,  Tabla3[No.],  Tabla3[ESTATUS ACADÉMICO], " ")</f>
        <v>EGRESADO</v>
      </c>
      <c r="M44" s="642" t="str">
        <f>_xlfn.XLOOKUP($D44,  Tabla3[No.],  Tabla3[Grupo de clase], " ")</f>
        <v>LD03C</v>
      </c>
      <c r="N44" s="739">
        <v>10</v>
      </c>
      <c r="O44" s="745">
        <v>4</v>
      </c>
      <c r="P44" s="745" t="s">
        <v>135</v>
      </c>
      <c r="Q44" s="745" t="s">
        <v>135</v>
      </c>
      <c r="R44" s="745" t="s">
        <v>135</v>
      </c>
      <c r="S44" s="1464">
        <v>8</v>
      </c>
      <c r="T44" s="745" t="s">
        <v>135</v>
      </c>
      <c r="U44" s="745" t="s">
        <v>135</v>
      </c>
      <c r="V44" s="745" t="s">
        <v>135</v>
      </c>
      <c r="W44" s="745" t="s">
        <v>135</v>
      </c>
      <c r="X44" s="745" t="s">
        <v>135</v>
      </c>
      <c r="Y44" s="751">
        <v>7</v>
      </c>
      <c r="Z44" s="740">
        <v>8</v>
      </c>
      <c r="AA44" s="754">
        <v>8</v>
      </c>
      <c r="AB44" s="740">
        <v>9.3000000000000007</v>
      </c>
      <c r="AC44" s="739">
        <v>9.3000000000000007</v>
      </c>
      <c r="AD44" s="755">
        <v>9</v>
      </c>
      <c r="AE44" s="741">
        <v>10</v>
      </c>
      <c r="AF44" s="630">
        <v>9</v>
      </c>
      <c r="AG44" s="748">
        <v>9</v>
      </c>
      <c r="AH44" s="747">
        <v>4.5</v>
      </c>
      <c r="AI44" s="630">
        <v>2.8</v>
      </c>
      <c r="AJ44" s="630">
        <v>6.5</v>
      </c>
      <c r="AK44" s="630">
        <v>4.9000000000000004</v>
      </c>
      <c r="AL44" s="742">
        <v>9.4</v>
      </c>
      <c r="AM44" s="630">
        <v>4.4000000000000004</v>
      </c>
      <c r="AN44" s="630">
        <v>9.8000000000000007</v>
      </c>
      <c r="AO44" s="630">
        <v>9</v>
      </c>
      <c r="AP44" s="749">
        <v>0</v>
      </c>
      <c r="AQ44" s="630">
        <v>9</v>
      </c>
      <c r="AR44" s="630">
        <v>0</v>
      </c>
      <c r="AS44" s="630">
        <v>4</v>
      </c>
      <c r="AT44" s="630">
        <v>10</v>
      </c>
      <c r="AU44" s="630">
        <v>10</v>
      </c>
      <c r="AV44" s="630">
        <v>10</v>
      </c>
      <c r="AW44" s="630">
        <v>10</v>
      </c>
      <c r="AX44" s="630">
        <v>7.3</v>
      </c>
      <c r="AY44" s="630">
        <v>0</v>
      </c>
      <c r="AZ44" s="630">
        <v>6</v>
      </c>
      <c r="BA44" s="630">
        <v>8</v>
      </c>
      <c r="BB44" s="630">
        <v>8</v>
      </c>
      <c r="BC44" s="630"/>
      <c r="BD44" s="630">
        <v>9.3000000000000007</v>
      </c>
      <c r="BE44" s="744"/>
      <c r="BF44" s="744"/>
      <c r="BG44" s="1378">
        <f t="shared" si="0"/>
        <v>7.1617647058823541</v>
      </c>
    </row>
    <row r="45" spans="1:64" s="1796" customFormat="1" ht="15.75" thickBot="1">
      <c r="A45" s="1798"/>
      <c r="B45" s="1906">
        <f>B44+1</f>
        <v>6</v>
      </c>
      <c r="C45" s="1907">
        <v>44248</v>
      </c>
      <c r="D45" s="1908">
        <v>200</v>
      </c>
      <c r="E45" s="1909" t="str">
        <f>_xlfn.XLOOKUP($D45,  Tabla3[No.],  Tabla3[CURP], " ")</f>
        <v>GOGF741017MVZNLR02</v>
      </c>
      <c r="F45" s="1910" t="str">
        <f>_xlfn.XLOOKUP($D45,  Tabla3[No.],  Tabla3[Matrícula Of. SEQ], " ")</f>
        <v>64LD04AB-03</v>
      </c>
      <c r="G45" s="1910" t="str">
        <f>IFERROR(VLOOKUP(D45,Tabla3[],5,FALSE),"")</f>
        <v xml:space="preserve">GONZALEZ GLENNIE MARIA FERNANDA </v>
      </c>
      <c r="H45" s="1911" t="str">
        <f t="shared" si="1"/>
        <v>M</v>
      </c>
      <c r="I45" s="1911" t="str">
        <f t="shared" si="2"/>
        <v>74</v>
      </c>
      <c r="J45" s="1911" t="str">
        <f t="shared" si="3"/>
        <v>10</v>
      </c>
      <c r="K45" s="1911" t="str">
        <f t="shared" si="4"/>
        <v>17</v>
      </c>
      <c r="L45" s="1912" t="str">
        <f>_xlfn.XLOOKUP($D45,  Tabla3[No.],  Tabla3[ESTATUS ACADÉMICO], " ")</f>
        <v>EGRESADO</v>
      </c>
      <c r="M45" s="1913" t="str">
        <f>_xlfn.XLOOKUP($D45,  Tabla3[No.],  Tabla3[Grupo de clase], " ")</f>
        <v>LD03C</v>
      </c>
      <c r="N45" s="1914">
        <v>10</v>
      </c>
      <c r="O45" s="1915">
        <v>0</v>
      </c>
      <c r="P45" s="1915">
        <v>10</v>
      </c>
      <c r="Q45" s="1915" t="s">
        <v>135</v>
      </c>
      <c r="R45" s="1915" t="s">
        <v>135</v>
      </c>
      <c r="S45" s="1915">
        <v>10</v>
      </c>
      <c r="T45" s="1915" t="s">
        <v>135</v>
      </c>
      <c r="U45" s="1915" t="s">
        <v>135</v>
      </c>
      <c r="V45" s="1915" t="s">
        <v>135</v>
      </c>
      <c r="W45" s="1911">
        <v>9.1</v>
      </c>
      <c r="X45" s="1911">
        <v>8.4</v>
      </c>
      <c r="Y45" s="1911">
        <v>9.9</v>
      </c>
      <c r="Z45" s="1916">
        <v>9.6</v>
      </c>
      <c r="AA45" s="1916">
        <v>9</v>
      </c>
      <c r="AB45" s="1916">
        <v>9.6999999999999993</v>
      </c>
      <c r="AC45" s="1917">
        <v>8.4</v>
      </c>
      <c r="AD45" s="1917">
        <v>10</v>
      </c>
      <c r="AE45" s="1918">
        <v>10</v>
      </c>
      <c r="AF45" s="1917">
        <v>10</v>
      </c>
      <c r="AG45" s="1919">
        <v>9</v>
      </c>
      <c r="AH45" s="1920">
        <v>9.8000000000000007</v>
      </c>
      <c r="AI45" s="1917">
        <v>10</v>
      </c>
      <c r="AJ45" s="1917">
        <v>10</v>
      </c>
      <c r="AK45" s="1917">
        <v>10</v>
      </c>
      <c r="AL45" s="1921">
        <v>10</v>
      </c>
      <c r="AM45" s="1917">
        <v>10</v>
      </c>
      <c r="AN45" s="1922">
        <v>10</v>
      </c>
      <c r="AO45" s="1923">
        <v>8.9</v>
      </c>
      <c r="AP45" s="1917">
        <v>10</v>
      </c>
      <c r="AQ45" s="1917">
        <v>10</v>
      </c>
      <c r="AR45" s="1917">
        <v>10</v>
      </c>
      <c r="AS45" s="1917">
        <v>9.85</v>
      </c>
      <c r="AT45" s="1917">
        <v>10</v>
      </c>
      <c r="AU45" s="1917">
        <v>10</v>
      </c>
      <c r="AV45" s="1917">
        <v>10</v>
      </c>
      <c r="AW45" s="1917">
        <v>10</v>
      </c>
      <c r="AX45" s="1917">
        <v>10</v>
      </c>
      <c r="AY45" s="1917">
        <v>8</v>
      </c>
      <c r="AZ45" s="1917">
        <v>10</v>
      </c>
      <c r="BA45" s="1917">
        <v>10</v>
      </c>
      <c r="BB45" s="1917">
        <v>10</v>
      </c>
      <c r="BC45" s="1917"/>
      <c r="BD45" s="1917">
        <v>10</v>
      </c>
      <c r="BE45" s="1924"/>
      <c r="BF45" s="1924"/>
      <c r="BG45" s="1925">
        <f t="shared" si="0"/>
        <v>9.4500000000000011</v>
      </c>
      <c r="BL45" s="2219"/>
    </row>
    <row r="46" spans="1:64" ht="15.75" thickBot="1">
      <c r="A46" s="3"/>
      <c r="B46" s="721">
        <v>7</v>
      </c>
      <c r="C46" s="1458">
        <v>44805</v>
      </c>
      <c r="D46" s="1576">
        <v>428</v>
      </c>
      <c r="E46" s="1465" t="str">
        <f>_xlfn.XLOOKUP($D46,  Tabla3[No.],  Tabla3[CURP], " ")</f>
        <v>BACJ000516MQRRRSA4</v>
      </c>
      <c r="F46" s="717" t="str">
        <f>_xlfn.XLOOKUP($D46,  Tabla3[No.],  Tabla3[Matrícula Of. SEQ], " ")</f>
        <v>64LD05A-02</v>
      </c>
      <c r="G46" s="717" t="str">
        <f>IFERROR(VLOOKUP(D46,Tabla3[],5,FALSE),"")</f>
        <v>BARROSO CARDENAS MARIA JOSE</v>
      </c>
      <c r="H46" s="739" t="str">
        <f t="shared" si="1"/>
        <v>M</v>
      </c>
      <c r="I46" s="739" t="str">
        <f t="shared" si="2"/>
        <v>00</v>
      </c>
      <c r="J46" s="739" t="str">
        <f t="shared" si="3"/>
        <v>05</v>
      </c>
      <c r="K46" s="739" t="str">
        <f t="shared" si="4"/>
        <v>16</v>
      </c>
      <c r="L46" s="1229" t="str">
        <f>_xlfn.XLOOKUP($D46,  Tabla3[No.],  Tabla3[ESTATUS ACADÉMICO], " ")</f>
        <v>EGRESADO</v>
      </c>
      <c r="M46" s="642" t="str">
        <f>_xlfn.XLOOKUP($D46,  Tabla3[No.],  Tabla3[Grupo de clase], " ")</f>
        <v>LD03C</v>
      </c>
      <c r="N46" s="745" t="s">
        <v>135</v>
      </c>
      <c r="O46" s="739">
        <v>8.98</v>
      </c>
      <c r="P46" s="745">
        <v>9.1999999999999993</v>
      </c>
      <c r="Q46" s="745" t="s">
        <v>135</v>
      </c>
      <c r="R46" s="745" t="s">
        <v>135</v>
      </c>
      <c r="S46" s="745">
        <v>9</v>
      </c>
      <c r="T46" s="745" t="s">
        <v>135</v>
      </c>
      <c r="U46" s="745" t="s">
        <v>135</v>
      </c>
      <c r="V46" s="745" t="s">
        <v>135</v>
      </c>
      <c r="W46" s="745" t="s">
        <v>135</v>
      </c>
      <c r="X46" s="745" t="s">
        <v>135</v>
      </c>
      <c r="Y46" s="745" t="s">
        <v>135</v>
      </c>
      <c r="Z46" s="745" t="s">
        <v>135</v>
      </c>
      <c r="AA46" s="745" t="s">
        <v>135</v>
      </c>
      <c r="AB46" s="745" t="s">
        <v>135</v>
      </c>
      <c r="AC46" s="745" t="s">
        <v>135</v>
      </c>
      <c r="AD46" s="745" t="s">
        <v>135</v>
      </c>
      <c r="AE46" s="745" t="s">
        <v>135</v>
      </c>
      <c r="AF46" s="745" t="s">
        <v>135</v>
      </c>
      <c r="AG46" s="745" t="s">
        <v>135</v>
      </c>
      <c r="AH46" s="745" t="s">
        <v>135</v>
      </c>
      <c r="AI46" s="745" t="s">
        <v>135</v>
      </c>
      <c r="AJ46" s="745" t="s">
        <v>135</v>
      </c>
      <c r="AK46" s="745" t="s">
        <v>135</v>
      </c>
      <c r="AL46" s="745" t="s">
        <v>135</v>
      </c>
      <c r="AM46" s="745" t="s">
        <v>135</v>
      </c>
      <c r="AN46" s="745" t="s">
        <v>135</v>
      </c>
      <c r="AO46" s="745" t="s">
        <v>135</v>
      </c>
      <c r="AP46" s="745" t="s">
        <v>135</v>
      </c>
      <c r="AQ46" s="745" t="s">
        <v>135</v>
      </c>
      <c r="AR46" s="745" t="s">
        <v>135</v>
      </c>
      <c r="AS46" s="745" t="s">
        <v>135</v>
      </c>
      <c r="AT46" s="745" t="s">
        <v>135</v>
      </c>
      <c r="AU46" s="745" t="s">
        <v>135</v>
      </c>
      <c r="AV46" s="745" t="s">
        <v>135</v>
      </c>
      <c r="AW46" s="745" t="s">
        <v>135</v>
      </c>
      <c r="AX46" s="1466">
        <v>8.3000000000000007</v>
      </c>
      <c r="AY46" s="1214">
        <v>8</v>
      </c>
      <c r="AZ46" s="1214">
        <v>8.3000000000000007</v>
      </c>
      <c r="BA46" s="1214">
        <v>8</v>
      </c>
      <c r="BB46" s="1214">
        <v>9.3000000000000007</v>
      </c>
      <c r="BC46" s="1214"/>
      <c r="BD46" s="630">
        <v>10</v>
      </c>
      <c r="BE46" s="744"/>
      <c r="BF46" s="744"/>
      <c r="BG46" s="1378">
        <f t="shared" si="0"/>
        <v>8.7866666666666671</v>
      </c>
    </row>
    <row r="47" spans="1:64" ht="15.75" thickBot="1">
      <c r="A47" s="3"/>
      <c r="B47" s="721"/>
      <c r="C47" s="1458">
        <v>45171</v>
      </c>
      <c r="D47" s="1576">
        <v>587</v>
      </c>
      <c r="E47" s="1467" t="str">
        <f>_xlfn.XLOOKUP($D47,  Tabla3[No.],  Tabla3[CURP], " ")</f>
        <v>MIMC750731MYNRRL03</v>
      </c>
      <c r="F47" s="717" t="str">
        <f>_xlfn.XLOOKUP($D47,  Tabla3[No.],  Tabla3[Matrícula Of. SEQ], " ")</f>
        <v>BAJA</v>
      </c>
      <c r="G47" s="717" t="str">
        <f>IFERROR(VLOOKUP(D47,Tabla3[],5,FALSE),"")</f>
        <v>MIRANDA MIRANDA CELIA IGNACIA</v>
      </c>
      <c r="H47" s="739" t="str">
        <f t="shared" si="1"/>
        <v>M</v>
      </c>
      <c r="I47" s="739" t="str">
        <f t="shared" si="2"/>
        <v>75</v>
      </c>
      <c r="J47" s="739" t="str">
        <f t="shared" si="3"/>
        <v>07</v>
      </c>
      <c r="K47" s="739" t="str">
        <f t="shared" si="4"/>
        <v>31</v>
      </c>
      <c r="L47" s="1229" t="str">
        <f>_xlfn.XLOOKUP($D47,  Tabla3[No.],  Tabla3[ESTATUS ACADÉMICO], " ")</f>
        <v>BAJA TEMPORAL</v>
      </c>
      <c r="M47" s="642" t="str">
        <f>_xlfn.XLOOKUP($D47,  Tabla3[No.],  Tabla3[Grupo de clase], " ")</f>
        <v>LD03C</v>
      </c>
      <c r="N47" s="745"/>
      <c r="O47" s="745">
        <v>4.49</v>
      </c>
      <c r="P47" s="745"/>
      <c r="Q47" s="745"/>
      <c r="R47" s="745"/>
      <c r="S47" s="745"/>
      <c r="T47" s="745"/>
      <c r="U47" s="745"/>
      <c r="V47" s="745"/>
      <c r="W47" s="745"/>
      <c r="X47" s="745"/>
      <c r="Y47" s="745"/>
      <c r="Z47" s="745"/>
      <c r="AA47" s="745"/>
      <c r="AB47" s="745"/>
      <c r="AC47" s="745"/>
      <c r="AD47" s="745"/>
      <c r="AE47" s="745"/>
      <c r="AF47" s="745"/>
      <c r="AG47" s="745"/>
      <c r="AH47" s="745"/>
      <c r="AI47" s="745"/>
      <c r="AJ47" s="745"/>
      <c r="AK47" s="745"/>
      <c r="AL47" s="745"/>
      <c r="AM47" s="745"/>
      <c r="AN47" s="745"/>
      <c r="AO47" s="745"/>
      <c r="AP47" s="745"/>
      <c r="AQ47" s="745"/>
      <c r="AR47" s="745"/>
      <c r="AS47" s="745"/>
      <c r="AT47" s="1468"/>
      <c r="AU47" s="1468"/>
      <c r="AV47" s="1468"/>
      <c r="AW47" s="1468"/>
      <c r="AX47" s="1469"/>
      <c r="AY47" s="1214"/>
      <c r="AZ47" s="1214"/>
      <c r="BA47" s="1214"/>
      <c r="BB47" s="1463"/>
      <c r="BC47" s="1463"/>
      <c r="BD47" s="1214"/>
      <c r="BE47" s="744"/>
      <c r="BF47" s="744"/>
      <c r="BG47" s="1378">
        <f t="shared" si="0"/>
        <v>4.49</v>
      </c>
    </row>
    <row r="48" spans="1:64" ht="15.75" thickBot="1">
      <c r="A48" s="3"/>
      <c r="B48" s="721"/>
      <c r="C48" s="1458">
        <v>45171</v>
      </c>
      <c r="D48" s="1576">
        <v>588</v>
      </c>
      <c r="E48" s="1470" t="str">
        <f>_xlfn.XLOOKUP($D48,  Tabla3[No.],  Tabla3[CURP], " ")</f>
        <v>GOCN841216MQRMRN04</v>
      </c>
      <c r="F48" s="717" t="str">
        <f>_xlfn.XLOOKUP($D48,  Tabla3[No.],  Tabla3[Matrícula Of. SEQ], " ")</f>
        <v>64LD05D-01</v>
      </c>
      <c r="G48" s="717" t="str">
        <f>IFERROR(VLOOKUP(D48,Tabla3[],5,FALSE),"")</f>
        <v>GOMEZ CARDENAS NANCY GUADALUPE DEL PILAR</v>
      </c>
      <c r="H48" s="739" t="str">
        <f t="shared" si="1"/>
        <v>M</v>
      </c>
      <c r="I48" s="739" t="str">
        <f t="shared" si="2"/>
        <v>84</v>
      </c>
      <c r="J48" s="739" t="str">
        <f t="shared" si="3"/>
        <v>12</v>
      </c>
      <c r="K48" s="739" t="str">
        <f t="shared" si="4"/>
        <v>16</v>
      </c>
      <c r="L48" s="1229" t="str">
        <f>_xlfn.XLOOKUP($D48,  Tabla3[No.],  Tabla3[ESTATUS ACADÉMICO], " ")</f>
        <v>BAJA TEMPORAL</v>
      </c>
      <c r="M48" s="642" t="str">
        <f>_xlfn.XLOOKUP($D48,  Tabla3[No.],  Tabla3[Grupo de clase], " ")</f>
        <v>LD04A</v>
      </c>
      <c r="N48" s="745"/>
      <c r="O48" s="745">
        <v>9.49</v>
      </c>
      <c r="P48" s="745"/>
      <c r="Q48" s="745"/>
      <c r="R48" s="745"/>
      <c r="S48" s="745">
        <v>9.5</v>
      </c>
      <c r="T48" s="745"/>
      <c r="U48" s="745"/>
      <c r="V48" s="745"/>
      <c r="W48" s="745"/>
      <c r="X48" s="745"/>
      <c r="Y48" s="745"/>
      <c r="Z48" s="745"/>
      <c r="AA48" s="745"/>
      <c r="AB48" s="745"/>
      <c r="AC48" s="745"/>
      <c r="AD48" s="745"/>
      <c r="AE48" s="745"/>
      <c r="AF48" s="745"/>
      <c r="AG48" s="745"/>
      <c r="AH48" s="745"/>
      <c r="AI48" s="745"/>
      <c r="AJ48" s="745"/>
      <c r="AK48" s="745"/>
      <c r="AL48" s="745"/>
      <c r="AM48" s="745"/>
      <c r="AN48" s="745"/>
      <c r="AO48" s="745"/>
      <c r="AP48" s="745"/>
      <c r="AQ48" s="745"/>
      <c r="AR48" s="745"/>
      <c r="AS48" s="745"/>
      <c r="AT48" s="1468"/>
      <c r="AU48" s="1468"/>
      <c r="AV48" s="1468"/>
      <c r="AW48" s="1468"/>
      <c r="AX48" s="1469"/>
      <c r="AY48" s="1214"/>
      <c r="AZ48" s="1214"/>
      <c r="BA48" s="1214"/>
      <c r="BB48" s="1463"/>
      <c r="BC48" s="1463"/>
      <c r="BD48" s="1214"/>
      <c r="BE48" s="744"/>
      <c r="BF48" s="744"/>
      <c r="BG48" s="1378">
        <f t="shared" si="0"/>
        <v>9.495000000000001</v>
      </c>
    </row>
    <row r="49" spans="1:59" ht="15.75" thickBot="1">
      <c r="A49" s="3"/>
      <c r="B49" s="721"/>
      <c r="C49" s="1458">
        <v>45192</v>
      </c>
      <c r="D49" s="1576">
        <v>594</v>
      </c>
      <c r="E49" s="1470" t="str">
        <f>_xlfn.XLOOKUP($D49,  Tabla3[No.],  Tabla3[CURP], " ")</f>
        <v>VACS781010MNLZHM06</v>
      </c>
      <c r="F49" s="717" t="str">
        <f>_xlfn.XLOOKUP($D49,  Tabla3[No.],  Tabla3[Matrícula Of. SEQ], " ")</f>
        <v>64LD05D-03</v>
      </c>
      <c r="G49" s="717" t="str">
        <f>IFERROR(VLOOKUP(D49,Tabla3[],5,FALSE),"")</f>
        <v>VAZQUEZ CHAN SUEMY</v>
      </c>
      <c r="H49" s="739" t="str">
        <f t="shared" si="1"/>
        <v>M</v>
      </c>
      <c r="I49" s="739" t="str">
        <f t="shared" si="2"/>
        <v>78</v>
      </c>
      <c r="J49" s="739" t="str">
        <f t="shared" si="3"/>
        <v>10</v>
      </c>
      <c r="K49" s="739" t="str">
        <f t="shared" si="4"/>
        <v>10</v>
      </c>
      <c r="L49" s="1229" t="str">
        <f>_xlfn.XLOOKUP($D49,  Tabla3[No.],  Tabla3[ESTATUS ACADÉMICO], " ")</f>
        <v>BAJA DEFINITIVA</v>
      </c>
      <c r="M49" s="642" t="str">
        <f>_xlfn.XLOOKUP($D49,  Tabla3[No.],  Tabla3[Grupo de clase], " ")</f>
        <v>LD04A</v>
      </c>
      <c r="N49" s="745"/>
      <c r="O49" s="745"/>
      <c r="P49" s="745">
        <v>8</v>
      </c>
      <c r="Q49" s="745"/>
      <c r="R49" s="745"/>
      <c r="S49" s="745">
        <v>8</v>
      </c>
      <c r="T49" s="745"/>
      <c r="U49" s="745"/>
      <c r="V49" s="745"/>
      <c r="W49" s="745"/>
      <c r="X49" s="745"/>
      <c r="Y49" s="745"/>
      <c r="Z49" s="745"/>
      <c r="AA49" s="745"/>
      <c r="AB49" s="745"/>
      <c r="AC49" s="745"/>
      <c r="AD49" s="745"/>
      <c r="AE49" s="745"/>
      <c r="AF49" s="745"/>
      <c r="AG49" s="745"/>
      <c r="AH49" s="745"/>
      <c r="AI49" s="745"/>
      <c r="AJ49" s="745"/>
      <c r="AK49" s="745"/>
      <c r="AL49" s="745"/>
      <c r="AM49" s="745"/>
      <c r="AN49" s="745"/>
      <c r="AO49" s="745"/>
      <c r="AP49" s="745"/>
      <c r="AQ49" s="745"/>
      <c r="AR49" s="745"/>
      <c r="AS49" s="745"/>
      <c r="AT49" s="1468"/>
      <c r="AU49" s="1468"/>
      <c r="AV49" s="1468"/>
      <c r="AW49" s="1468"/>
      <c r="AX49" s="1469"/>
      <c r="AY49" s="1214"/>
      <c r="AZ49" s="1214"/>
      <c r="BA49" s="1214"/>
      <c r="BB49" s="1463"/>
      <c r="BC49" s="1463"/>
      <c r="BD49" s="1214"/>
      <c r="BE49" s="744"/>
      <c r="BF49" s="744"/>
      <c r="BG49" s="1378">
        <f t="shared" si="0"/>
        <v>8</v>
      </c>
    </row>
    <row r="50" spans="1:59" ht="15.75" thickBot="1">
      <c r="A50" s="3"/>
      <c r="B50" s="721">
        <v>8</v>
      </c>
      <c r="C50" s="1458">
        <v>44682</v>
      </c>
      <c r="D50" s="1576">
        <v>382</v>
      </c>
      <c r="E50" s="776" t="str">
        <f>_xlfn.XLOOKUP($D50,  Tabla3[No.],  Tabla3[CURP], " ")</f>
        <v>NUGA631227HGTXRR09</v>
      </c>
      <c r="F50" s="717" t="str">
        <f>_xlfn.XLOOKUP($D50,  Tabla3[No.],  Tabla3[Matrícula Of. SEQ], " ")</f>
        <v>64LD03C-05</v>
      </c>
      <c r="G50" s="717" t="str">
        <f>IFERROR(VLOOKUP(D50,Tabla3[],5,FALSE),"")</f>
        <v>NUÑEZ GARCIA ARMANDO</v>
      </c>
      <c r="H50" s="775" t="str">
        <f t="shared" si="1"/>
        <v>H</v>
      </c>
      <c r="I50" s="775" t="str">
        <f t="shared" si="2"/>
        <v>63</v>
      </c>
      <c r="J50" s="775" t="str">
        <f t="shared" si="3"/>
        <v>12</v>
      </c>
      <c r="K50" s="775" t="str">
        <f t="shared" si="4"/>
        <v>27</v>
      </c>
      <c r="L50" s="1229" t="str">
        <f>_xlfn.XLOOKUP($D50,  Tabla3[No.],  Tabla3[ESTATUS ACADÉMICO], " ")</f>
        <v>EGRESADO</v>
      </c>
      <c r="M50" s="642" t="str">
        <f>_xlfn.XLOOKUP($D50,  Tabla3[No.],  Tabla3[Grupo de clase], " ")</f>
        <v>LD03C</v>
      </c>
      <c r="N50" s="745" t="s">
        <v>135</v>
      </c>
      <c r="O50" s="745" t="s">
        <v>135</v>
      </c>
      <c r="P50" s="745" t="s">
        <v>135</v>
      </c>
      <c r="Q50" s="745" t="s">
        <v>135</v>
      </c>
      <c r="R50" s="745" t="s">
        <v>135</v>
      </c>
      <c r="S50" s="745" t="s">
        <v>135</v>
      </c>
      <c r="T50" s="745" t="s">
        <v>135</v>
      </c>
      <c r="U50" s="745" t="s">
        <v>135</v>
      </c>
      <c r="V50" s="745" t="s">
        <v>135</v>
      </c>
      <c r="W50" s="745" t="s">
        <v>135</v>
      </c>
      <c r="X50" s="745" t="s">
        <v>135</v>
      </c>
      <c r="Y50" s="745" t="s">
        <v>135</v>
      </c>
      <c r="Z50" s="745" t="s">
        <v>135</v>
      </c>
      <c r="AA50" s="745" t="s">
        <v>135</v>
      </c>
      <c r="AB50" s="745" t="s">
        <v>135</v>
      </c>
      <c r="AC50" s="745" t="s">
        <v>135</v>
      </c>
      <c r="AD50" s="745" t="s">
        <v>135</v>
      </c>
      <c r="AE50" s="745" t="s">
        <v>135</v>
      </c>
      <c r="AF50" s="745" t="s">
        <v>135</v>
      </c>
      <c r="AG50" s="745" t="s">
        <v>135</v>
      </c>
      <c r="AH50" s="745" t="s">
        <v>135</v>
      </c>
      <c r="AI50" s="745" t="s">
        <v>135</v>
      </c>
      <c r="AJ50" s="745" t="s">
        <v>135</v>
      </c>
      <c r="AK50" s="745" t="s">
        <v>135</v>
      </c>
      <c r="AL50" s="745" t="s">
        <v>135</v>
      </c>
      <c r="AM50" s="745" t="s">
        <v>135</v>
      </c>
      <c r="AN50" s="745" t="s">
        <v>135</v>
      </c>
      <c r="AO50" s="745" t="s">
        <v>135</v>
      </c>
      <c r="AP50" s="745" t="s">
        <v>135</v>
      </c>
      <c r="AQ50" s="745" t="s">
        <v>135</v>
      </c>
      <c r="AR50" s="745">
        <v>10</v>
      </c>
      <c r="AS50" s="745">
        <v>10</v>
      </c>
      <c r="AT50" s="777">
        <v>10</v>
      </c>
      <c r="AU50" s="777">
        <v>10</v>
      </c>
      <c r="AV50" s="777">
        <v>10</v>
      </c>
      <c r="AW50" s="777">
        <v>10</v>
      </c>
      <c r="AX50" s="777">
        <v>9.6</v>
      </c>
      <c r="AY50" s="777">
        <v>8.5</v>
      </c>
      <c r="AZ50" s="777">
        <v>9.6</v>
      </c>
      <c r="BA50" s="777">
        <v>10</v>
      </c>
      <c r="BB50" s="1463">
        <v>10</v>
      </c>
      <c r="BC50" s="1463"/>
      <c r="BD50" s="1214">
        <v>10</v>
      </c>
      <c r="BE50" s="744"/>
      <c r="BF50" s="744"/>
      <c r="BG50" s="1378">
        <f t="shared" si="0"/>
        <v>9.8083333333333318</v>
      </c>
    </row>
    <row r="51" spans="1:59" ht="19.5" thickBot="1">
      <c r="A51" s="3"/>
      <c r="B51" s="1471">
        <v>9</v>
      </c>
      <c r="C51" s="1458">
        <v>44228</v>
      </c>
      <c r="D51" s="1576">
        <v>214</v>
      </c>
      <c r="E51" s="737" t="str">
        <f>_xlfn.XLOOKUP($D51,  Tabla3[No.],  Tabla3[CURP], " ")</f>
        <v>LOAK960213HOCPLV01</v>
      </c>
      <c r="F51" s="717" t="str">
        <f>_xlfn.XLOOKUP($D51,  Tabla3[No.],  Tabla3[Matrícula Of. SEQ], " ")</f>
        <v>64LD03C-09</v>
      </c>
      <c r="G51" s="717" t="str">
        <f>IFERROR(VLOOKUP(D51,Tabla3[],5,FALSE),"")</f>
        <v>LOPEZ ALCALA KEVIN</v>
      </c>
      <c r="H51" s="739" t="str">
        <f t="shared" si="1"/>
        <v>H</v>
      </c>
      <c r="I51" s="739" t="str">
        <f t="shared" si="2"/>
        <v>96</v>
      </c>
      <c r="J51" s="739" t="str">
        <f t="shared" si="3"/>
        <v>02</v>
      </c>
      <c r="K51" s="739" t="str">
        <f t="shared" si="4"/>
        <v>13</v>
      </c>
      <c r="L51" s="1472" t="str">
        <f>_xlfn.XLOOKUP($D51,  Tabla3[No.],  Tabla3[ESTATUS ACADÉMICO], " ")</f>
        <v>BAJA TEMPORAL</v>
      </c>
      <c r="M51" s="642" t="str">
        <f>_xlfn.XLOOKUP($D51,  Tabla3[No.],  Tabla3[Grupo de clase], " ")</f>
        <v>LD03C</v>
      </c>
      <c r="N51" s="739">
        <v>10</v>
      </c>
      <c r="O51" s="745" t="s">
        <v>135</v>
      </c>
      <c r="P51" s="745" t="s">
        <v>135</v>
      </c>
      <c r="Q51" s="745" t="s">
        <v>135</v>
      </c>
      <c r="R51" s="745" t="s">
        <v>135</v>
      </c>
      <c r="S51" s="745" t="s">
        <v>135</v>
      </c>
      <c r="T51" s="745" t="s">
        <v>135</v>
      </c>
      <c r="U51" s="745" t="s">
        <v>135</v>
      </c>
      <c r="V51" s="739">
        <v>10</v>
      </c>
      <c r="W51" s="739">
        <v>7.2</v>
      </c>
      <c r="X51" s="739">
        <v>7.2</v>
      </c>
      <c r="Y51" s="751">
        <v>7</v>
      </c>
      <c r="Z51" s="740">
        <v>7</v>
      </c>
      <c r="AA51" s="740">
        <v>7</v>
      </c>
      <c r="AB51" s="740">
        <v>7</v>
      </c>
      <c r="AC51" s="739">
        <v>8.4</v>
      </c>
      <c r="AD51" s="752">
        <v>7</v>
      </c>
      <c r="AE51" s="741">
        <v>10</v>
      </c>
      <c r="AF51" s="630">
        <v>8</v>
      </c>
      <c r="AG51" s="748">
        <v>9</v>
      </c>
      <c r="AH51" s="746">
        <v>2</v>
      </c>
      <c r="AI51" s="630">
        <v>6.2</v>
      </c>
      <c r="AJ51" s="746">
        <v>5</v>
      </c>
      <c r="AK51" s="747">
        <v>4.9000000000000004</v>
      </c>
      <c r="AL51" s="1473"/>
      <c r="AM51" s="630">
        <v>2.8</v>
      </c>
      <c r="AN51" s="630">
        <v>9.3000000000000007</v>
      </c>
      <c r="AO51" s="630">
        <v>9</v>
      </c>
      <c r="AP51" s="753">
        <v>0</v>
      </c>
      <c r="AQ51" s="630">
        <v>9</v>
      </c>
      <c r="AR51" s="630">
        <v>8</v>
      </c>
      <c r="AS51" s="630">
        <v>5</v>
      </c>
      <c r="AT51" s="630">
        <v>5</v>
      </c>
      <c r="AU51" s="630">
        <v>0</v>
      </c>
      <c r="AV51" s="630">
        <v>10</v>
      </c>
      <c r="AW51" s="630">
        <v>10</v>
      </c>
      <c r="AX51" s="1474">
        <v>0</v>
      </c>
      <c r="AY51" s="1474"/>
      <c r="AZ51" s="1474"/>
      <c r="BA51" s="1474"/>
      <c r="BB51" s="701"/>
      <c r="BC51" s="701"/>
      <c r="BD51" s="701"/>
      <c r="BE51" s="637"/>
      <c r="BF51" s="630"/>
      <c r="BG51" s="637"/>
    </row>
    <row r="52" spans="1:59">
      <c r="A52" s="3"/>
      <c r="B52" s="721">
        <v>10</v>
      </c>
      <c r="C52" s="1458">
        <v>44276</v>
      </c>
      <c r="D52" s="1576">
        <v>212</v>
      </c>
      <c r="E52" s="737" t="str">
        <f>_xlfn.XLOOKUP($D52,  Tabla3[No.],  Tabla3[CURP], " ")</f>
        <v>LADJ990603HQRRLR02</v>
      </c>
      <c r="F52" s="717" t="str">
        <f>_xlfn.XLOOKUP($D52,  Tabla3[No.],  Tabla3[Matrícula Of. SEQ], " ")</f>
        <v>64LD03C-04</v>
      </c>
      <c r="G52" s="717" t="str">
        <f>IFERROR(VLOOKUP(D52,Tabla3[],5,FALSE),"")</f>
        <v>LARA DELGADO JERRY VENTURA</v>
      </c>
      <c r="H52" s="739" t="str">
        <f t="shared" si="1"/>
        <v>H</v>
      </c>
      <c r="I52" s="739" t="str">
        <f t="shared" si="2"/>
        <v>99</v>
      </c>
      <c r="J52" s="739" t="str">
        <f t="shared" si="3"/>
        <v>06</v>
      </c>
      <c r="K52" s="739" t="str">
        <f t="shared" si="4"/>
        <v>03</v>
      </c>
      <c r="L52" s="1472" t="str">
        <f>_xlfn.XLOOKUP($D52,  Tabla3[No.],  Tabla3[ESTATUS ACADÉMICO], " ")</f>
        <v>BAJA TEMPORAL</v>
      </c>
      <c r="M52" s="642" t="str">
        <f>_xlfn.XLOOKUP($D52,  Tabla3[No.],  Tabla3[Grupo de clase], " ")</f>
        <v>LD03C</v>
      </c>
      <c r="N52" s="739">
        <v>10</v>
      </c>
      <c r="O52" s="745" t="s">
        <v>135</v>
      </c>
      <c r="P52" s="745" t="s">
        <v>135</v>
      </c>
      <c r="Q52" s="745" t="s">
        <v>135</v>
      </c>
      <c r="R52" s="745" t="s">
        <v>135</v>
      </c>
      <c r="S52" s="745" t="s">
        <v>135</v>
      </c>
      <c r="T52" s="745" t="s">
        <v>135</v>
      </c>
      <c r="U52" s="745" t="s">
        <v>135</v>
      </c>
      <c r="V52" s="745" t="s">
        <v>135</v>
      </c>
      <c r="W52" s="745">
        <v>7</v>
      </c>
      <c r="X52" s="745">
        <v>7</v>
      </c>
      <c r="Y52" s="739">
        <v>9</v>
      </c>
      <c r="Z52" s="740">
        <v>10</v>
      </c>
      <c r="AA52" s="740">
        <v>8.6999999999999993</v>
      </c>
      <c r="AB52" s="740">
        <v>10</v>
      </c>
      <c r="AC52" s="739">
        <v>10</v>
      </c>
      <c r="AD52" s="739">
        <v>9</v>
      </c>
      <c r="AE52" s="741">
        <v>10</v>
      </c>
      <c r="AF52" s="630">
        <v>9</v>
      </c>
      <c r="AG52" s="748">
        <v>9</v>
      </c>
      <c r="AH52" s="630">
        <v>9.5</v>
      </c>
      <c r="AI52" s="630">
        <v>9.6</v>
      </c>
      <c r="AJ52" s="630">
        <v>8</v>
      </c>
      <c r="AK52" s="630">
        <v>7.4</v>
      </c>
      <c r="AL52" s="742">
        <v>9.4</v>
      </c>
      <c r="AM52" s="630">
        <v>9.3000000000000007</v>
      </c>
      <c r="AN52" s="630">
        <v>9.9</v>
      </c>
      <c r="AO52" s="749">
        <v>5</v>
      </c>
      <c r="AP52" s="630">
        <v>10</v>
      </c>
      <c r="AQ52" s="630">
        <v>9</v>
      </c>
      <c r="AR52" s="630">
        <v>4</v>
      </c>
      <c r="AS52" s="630">
        <v>8.36</v>
      </c>
      <c r="AT52" s="630">
        <v>5</v>
      </c>
      <c r="AU52" s="630">
        <v>0</v>
      </c>
      <c r="AV52" s="630">
        <v>10</v>
      </c>
      <c r="AW52" s="630">
        <v>10</v>
      </c>
      <c r="AX52" s="1475" t="s">
        <v>135</v>
      </c>
      <c r="AY52" s="1475" t="s">
        <v>135</v>
      </c>
      <c r="AZ52" s="1475" t="s">
        <v>135</v>
      </c>
      <c r="BA52" s="1475" t="s">
        <v>135</v>
      </c>
      <c r="BB52" s="1475" t="s">
        <v>135</v>
      </c>
      <c r="BC52" s="1475"/>
      <c r="BD52" s="1475" t="s">
        <v>135</v>
      </c>
      <c r="BE52" s="637"/>
      <c r="BF52" s="637"/>
      <c r="BG52" s="637"/>
    </row>
    <row r="53" spans="1:59">
      <c r="A53" s="3"/>
      <c r="B53" s="701"/>
      <c r="C53" s="2"/>
      <c r="D53" s="2"/>
      <c r="M53" s="2"/>
    </row>
    <row r="54" spans="1:59" ht="15.75" thickBot="1">
      <c r="A54" s="3"/>
      <c r="B54" s="701"/>
      <c r="C54" s="2"/>
      <c r="D54" s="2"/>
      <c r="M54" s="2"/>
      <c r="N54" s="1532" t="s">
        <v>558</v>
      </c>
      <c r="O54" s="1531" t="s">
        <v>559</v>
      </c>
      <c r="P54" s="1531" t="s">
        <v>446</v>
      </c>
      <c r="T54" s="1067">
        <v>45383</v>
      </c>
      <c r="U54" s="1067">
        <v>45413</v>
      </c>
      <c r="AA54" s="1067">
        <v>45536</v>
      </c>
    </row>
    <row r="55" spans="1:59" ht="15.75" thickBot="1">
      <c r="A55" s="643"/>
      <c r="B55" s="4112" t="s">
        <v>5</v>
      </c>
      <c r="C55" s="645" t="s">
        <v>3780</v>
      </c>
      <c r="D55" s="4085" t="s">
        <v>3866</v>
      </c>
      <c r="E55" s="4100" t="s">
        <v>6</v>
      </c>
      <c r="F55" s="4100" t="s">
        <v>7</v>
      </c>
      <c r="G55" s="4120" t="s">
        <v>8</v>
      </c>
      <c r="H55" s="4121" t="s">
        <v>9</v>
      </c>
      <c r="I55" s="4124" t="s">
        <v>10</v>
      </c>
      <c r="J55" s="4125"/>
      <c r="K55" s="4125"/>
      <c r="L55" s="4127"/>
      <c r="M55" s="669"/>
      <c r="N55" s="4106" t="s">
        <v>2575</v>
      </c>
      <c r="O55" s="4101"/>
      <c r="P55" s="4101"/>
      <c r="Q55" s="4101"/>
      <c r="R55" s="4101"/>
      <c r="S55" s="4101"/>
      <c r="T55" s="4101"/>
      <c r="U55" s="4107" t="s">
        <v>2576</v>
      </c>
      <c r="V55" s="4101"/>
      <c r="W55" s="4101"/>
      <c r="X55" s="4101"/>
      <c r="Y55" s="4101"/>
      <c r="Z55" s="4101"/>
      <c r="AA55" s="4108" t="s">
        <v>2577</v>
      </c>
      <c r="AB55" s="4101"/>
      <c r="AC55" s="4101"/>
      <c r="AD55" s="4101"/>
      <c r="AE55" s="4101"/>
      <c r="AF55" s="4101"/>
    </row>
    <row r="56" spans="1:59" ht="75.75" thickBot="1">
      <c r="A56" s="4063" t="s">
        <v>3994</v>
      </c>
      <c r="B56" s="4101"/>
      <c r="C56" s="645" t="s">
        <v>1843</v>
      </c>
      <c r="D56" s="4075"/>
      <c r="E56" s="4101"/>
      <c r="F56" s="4101"/>
      <c r="G56" s="4101"/>
      <c r="H56" s="4101"/>
      <c r="I56" s="4125"/>
      <c r="J56" s="4126"/>
      <c r="K56" s="4125"/>
      <c r="L56" s="4128"/>
      <c r="M56" s="1236" t="s">
        <v>1149</v>
      </c>
      <c r="N56" s="1538" t="s">
        <v>3773</v>
      </c>
      <c r="O56" s="1322" t="s">
        <v>3773</v>
      </c>
      <c r="P56" s="1428" t="s">
        <v>3843</v>
      </c>
      <c r="Q56" s="1428" t="s">
        <v>3843</v>
      </c>
      <c r="R56" s="1428" t="s">
        <v>3843</v>
      </c>
      <c r="S56" s="1428" t="s">
        <v>3843</v>
      </c>
      <c r="T56" s="1428" t="s">
        <v>3843</v>
      </c>
      <c r="U56" s="1428" t="s">
        <v>3843</v>
      </c>
      <c r="V56" s="1428" t="s">
        <v>3843</v>
      </c>
      <c r="W56" s="1428" t="s">
        <v>3843</v>
      </c>
      <c r="X56" s="1428" t="s">
        <v>3843</v>
      </c>
      <c r="Y56" s="1428" t="s">
        <v>3843</v>
      </c>
      <c r="Z56" s="1428" t="s">
        <v>3843</v>
      </c>
      <c r="AA56" s="1428" t="s">
        <v>3843</v>
      </c>
      <c r="AB56" s="1428" t="s">
        <v>3843</v>
      </c>
      <c r="AC56" s="1428" t="s">
        <v>3843</v>
      </c>
      <c r="AD56" s="1428" t="s">
        <v>3843</v>
      </c>
      <c r="AE56" s="1428" t="s">
        <v>3843</v>
      </c>
      <c r="AF56" s="1428" t="s">
        <v>3843</v>
      </c>
      <c r="AG56" s="1428" t="s">
        <v>3843</v>
      </c>
    </row>
    <row r="57" spans="1:59" ht="23.25" thickBot="1">
      <c r="A57" s="1189" t="s">
        <v>27</v>
      </c>
      <c r="B57" s="4101"/>
      <c r="C57" s="663"/>
      <c r="D57" s="4075"/>
      <c r="E57" s="4101"/>
      <c r="F57" s="4101"/>
      <c r="G57" s="4101"/>
      <c r="H57" s="4101"/>
      <c r="I57" s="4125"/>
      <c r="J57" s="4125"/>
      <c r="K57" s="4125"/>
      <c r="L57" s="978"/>
      <c r="M57" s="1234" t="s">
        <v>1728</v>
      </c>
      <c r="N57" s="1541" t="s">
        <v>69</v>
      </c>
      <c r="O57" s="1542" t="s">
        <v>40</v>
      </c>
      <c r="P57" s="1543" t="s">
        <v>62</v>
      </c>
      <c r="Q57" s="1540"/>
      <c r="R57" s="1540"/>
      <c r="S57" s="1539"/>
      <c r="T57" s="662" t="s">
        <v>56</v>
      </c>
      <c r="U57" s="662" t="s">
        <v>35</v>
      </c>
      <c r="V57" s="1540" t="s">
        <v>36</v>
      </c>
      <c r="W57" s="662" t="s">
        <v>39</v>
      </c>
      <c r="X57" s="1540" t="s">
        <v>38</v>
      </c>
      <c r="Y57" s="662" t="s">
        <v>40</v>
      </c>
      <c r="Z57" s="662" t="s">
        <v>75</v>
      </c>
      <c r="AA57" s="662" t="s">
        <v>37</v>
      </c>
      <c r="AB57" s="662" t="s">
        <v>41</v>
      </c>
      <c r="AC57" s="662" t="s">
        <v>42</v>
      </c>
      <c r="AD57" s="662" t="s">
        <v>43</v>
      </c>
      <c r="AE57" s="662" t="s">
        <v>44</v>
      </c>
      <c r="AF57" s="662" t="s">
        <v>45</v>
      </c>
      <c r="AG57" s="2211" t="s">
        <v>47</v>
      </c>
      <c r="AH57" s="744"/>
    </row>
    <row r="58" spans="1:59" ht="78.75" thickTop="1" thickBot="1">
      <c r="A58" s="645" t="s">
        <v>3780</v>
      </c>
      <c r="B58" s="4101"/>
      <c r="C58" s="663" t="s">
        <v>263</v>
      </c>
      <c r="D58" s="4084"/>
      <c r="E58" s="4101"/>
      <c r="F58" s="4101"/>
      <c r="G58" s="699" t="s">
        <v>78</v>
      </c>
      <c r="H58" s="4101"/>
      <c r="I58" s="664" t="s">
        <v>79</v>
      </c>
      <c r="J58" s="664" t="s">
        <v>80</v>
      </c>
      <c r="K58" s="664" t="s">
        <v>81</v>
      </c>
      <c r="L58" s="1235" t="s">
        <v>1759</v>
      </c>
      <c r="M58" s="1837" t="s">
        <v>27</v>
      </c>
      <c r="N58" s="1534" t="s">
        <v>3485</v>
      </c>
      <c r="O58" s="1838" t="s">
        <v>3726</v>
      </c>
      <c r="P58" s="1777" t="s">
        <v>115</v>
      </c>
      <c r="Q58" s="1839" t="s">
        <v>114</v>
      </c>
      <c r="R58" s="1839" t="s">
        <v>116</v>
      </c>
      <c r="S58" s="1840" t="s">
        <v>118</v>
      </c>
      <c r="T58" s="1841" t="s">
        <v>117</v>
      </c>
      <c r="U58" s="1842" t="s">
        <v>3990</v>
      </c>
      <c r="V58" s="1843" t="s">
        <v>3995</v>
      </c>
      <c r="W58" s="1842" t="s">
        <v>3996</v>
      </c>
      <c r="X58" s="1844" t="s">
        <v>3997</v>
      </c>
      <c r="Y58" s="1842" t="s">
        <v>98</v>
      </c>
      <c r="Z58" s="1842" t="s">
        <v>4112</v>
      </c>
      <c r="AA58" s="1843" t="s">
        <v>4236</v>
      </c>
      <c r="AB58" s="1842" t="s">
        <v>4237</v>
      </c>
      <c r="AC58" s="1843" t="s">
        <v>127</v>
      </c>
      <c r="AD58" s="1842" t="s">
        <v>3484</v>
      </c>
      <c r="AE58" s="1843" t="s">
        <v>4240</v>
      </c>
      <c r="AF58" s="1842" t="s">
        <v>4241</v>
      </c>
      <c r="AG58" s="2212" t="s">
        <v>4318</v>
      </c>
      <c r="AH58" s="2214" t="s">
        <v>1394</v>
      </c>
    </row>
    <row r="59" spans="1:59" ht="15.75" thickBot="1">
      <c r="A59" s="3" t="s">
        <v>1839</v>
      </c>
      <c r="B59" s="701">
        <v>1</v>
      </c>
      <c r="C59" s="1757">
        <f>_xlfn.XLOOKUP($E59,Tabla3[CURP],Tabla3[FECHA DE INICIO (PRIMERA CLASE CALENDARIO)]," ")</f>
        <v>45332</v>
      </c>
      <c r="D59" s="1576">
        <v>658</v>
      </c>
      <c r="E59" s="1512" t="str">
        <f>_xlfn.XLOOKUP($D59,  Tabla3[No.],  Tabla3[CURP], " ")</f>
        <v>BAQO761129HYNSRM03</v>
      </c>
      <c r="F59" s="717" t="str">
        <f>_xlfn.XLOOKUP($D59,  Tabla3[No.],  Tabla3[Matrícula Of. SEQ], " ")</f>
        <v>64LD05F-01</v>
      </c>
      <c r="G59" s="717" t="str">
        <f>IFERROR(VLOOKUP(D59,Tabla3[],5,FALSE),"")</f>
        <v>BASORA QUERO OMAR ABRAHAM</v>
      </c>
      <c r="H59" s="739" t="str">
        <f t="shared" ref="H59:H65" si="5">MID($E59,11,1)</f>
        <v>H</v>
      </c>
      <c r="I59" s="739" t="str">
        <f t="shared" ref="I59:I65" si="6">MID($E59,5,2)</f>
        <v>76</v>
      </c>
      <c r="J59" s="739" t="str">
        <f t="shared" ref="J59:J65" si="7">MID($E59,7,2)</f>
        <v>11</v>
      </c>
      <c r="K59" s="1836" t="str">
        <f t="shared" ref="K59:K65" si="8">MID($E59,9,2)</f>
        <v>29</v>
      </c>
      <c r="L59" s="1432" t="str">
        <f>_xlfn.XLOOKUP($D59,  Tabla3[No.],  Tabla3[ESTATUS ACADÉMICO], " ")</f>
        <v>EGRESADO</v>
      </c>
      <c r="M59" s="1716" t="str">
        <f>_xlfn.XLOOKUP($D59,  Tabla3[No.],  Tabla3[Grupo de clase], " ")</f>
        <v>LD04A</v>
      </c>
      <c r="N59" s="743"/>
      <c r="O59" s="743">
        <v>9.5</v>
      </c>
      <c r="P59" s="1683">
        <v>10</v>
      </c>
      <c r="Q59" s="1379">
        <v>9</v>
      </c>
      <c r="R59" s="1379">
        <v>10</v>
      </c>
      <c r="S59" s="1379">
        <v>9</v>
      </c>
      <c r="T59" s="1379">
        <v>10</v>
      </c>
      <c r="U59" s="1845">
        <v>10</v>
      </c>
      <c r="V59" s="1379">
        <v>9</v>
      </c>
      <c r="W59" s="1379">
        <v>9</v>
      </c>
      <c r="X59" s="745" t="s">
        <v>135</v>
      </c>
      <c r="Y59" s="744">
        <v>10</v>
      </c>
      <c r="Z59" s="744">
        <v>10</v>
      </c>
      <c r="AA59" s="744"/>
      <c r="AB59" s="744"/>
      <c r="AC59" s="744"/>
      <c r="AD59" s="744"/>
      <c r="AE59" s="744"/>
      <c r="AF59" s="744"/>
      <c r="AG59" s="1117"/>
      <c r="AH59" s="744">
        <f t="shared" ref="AH59:AH64" si="9">AVERAGE(N59:AG59)</f>
        <v>9.5909090909090917</v>
      </c>
    </row>
    <row r="60" spans="1:59" ht="15.75" thickBot="1">
      <c r="A60" s="3" t="s">
        <v>1839</v>
      </c>
      <c r="B60" s="701">
        <v>2</v>
      </c>
      <c r="C60" s="1757">
        <f>_xlfn.XLOOKUP($E60,Tabla3[CURP],Tabla3[FECHA DE INICIO (PRIMERA CLASE CALENDARIO)]," ")</f>
        <v>45360</v>
      </c>
      <c r="D60" s="1576">
        <v>687</v>
      </c>
      <c r="E60" s="1522" t="str">
        <f>_xlfn.XLOOKUP($D60,  Tabla3[No.],  Tabla3[CURP], " ")</f>
        <v>MOPL000413MMCNRZA0</v>
      </c>
      <c r="F60" s="717" t="str">
        <f>_xlfn.XLOOKUP($D60,  Tabla3[No.],  Tabla3[Matrícula Of. SEQ], " ")</f>
        <v>64LD05H-03</v>
      </c>
      <c r="G60" s="717" t="str">
        <f>IFERROR(VLOOKUP(D60,Tabla3[],5,FALSE),"")</f>
        <v xml:space="preserve">MONDRAGON PEREZ LUZ AMERICA </v>
      </c>
      <c r="H60" s="739" t="str">
        <f t="shared" si="5"/>
        <v>M</v>
      </c>
      <c r="I60" s="739" t="str">
        <f t="shared" si="6"/>
        <v>00</v>
      </c>
      <c r="J60" s="739" t="str">
        <f t="shared" si="7"/>
        <v>04</v>
      </c>
      <c r="K60" s="1836" t="str">
        <f t="shared" si="8"/>
        <v>13</v>
      </c>
      <c r="L60" s="1232" t="str">
        <f>_xlfn.XLOOKUP($D60,  Tabla3[No.],  Tabla3[ESTATUS ACADÉMICO], " ")</f>
        <v>EGRESADO</v>
      </c>
      <c r="M60" s="1716" t="str">
        <f>_xlfn.XLOOKUP($D60,  Tabla3[No.],  Tabla3[Grupo de clase], " ")</f>
        <v>LD04D</v>
      </c>
      <c r="N60" s="743"/>
      <c r="O60" s="743"/>
      <c r="P60" s="3669">
        <v>10</v>
      </c>
      <c r="Q60" s="1468" t="s">
        <v>135</v>
      </c>
      <c r="R60" s="3669">
        <v>8.9</v>
      </c>
      <c r="S60" s="745" t="s">
        <v>135</v>
      </c>
      <c r="T60" s="1379">
        <v>10</v>
      </c>
      <c r="U60" s="745" t="s">
        <v>135</v>
      </c>
      <c r="V60" s="745" t="s">
        <v>135</v>
      </c>
      <c r="W60" s="744">
        <v>10</v>
      </c>
      <c r="X60" s="745" t="s">
        <v>135</v>
      </c>
      <c r="Y60" s="744">
        <v>10</v>
      </c>
      <c r="Z60" s="744">
        <v>10</v>
      </c>
      <c r="AA60" s="744">
        <v>9.4</v>
      </c>
      <c r="AB60" s="744">
        <v>10</v>
      </c>
      <c r="AC60" s="744">
        <v>10</v>
      </c>
      <c r="AD60" s="744"/>
      <c r="AE60" s="744"/>
      <c r="AF60" s="744"/>
      <c r="AG60" s="1117"/>
      <c r="AH60" s="744">
        <f t="shared" si="9"/>
        <v>9.81111111111111</v>
      </c>
    </row>
    <row r="61" spans="1:59" ht="15.75" thickBot="1">
      <c r="A61" s="3" t="s">
        <v>1839</v>
      </c>
      <c r="B61" s="701">
        <v>3</v>
      </c>
      <c r="C61" s="1521">
        <f>_xlfn.XLOOKUP($E61,Tabla3[CURP],Tabla3[FECHA DE INICIO (PRIMERA CLASE CALENDARIO)]," ")</f>
        <v>45409</v>
      </c>
      <c r="D61" s="1576">
        <v>688</v>
      </c>
      <c r="E61" s="1523" t="str">
        <f>_xlfn.XLOOKUP($D61,  Tabla3[No.],  Tabla3[CURP], " ")</f>
        <v>AANM760303MMCLXD04</v>
      </c>
      <c r="F61" s="717" t="str">
        <f>_xlfn.XLOOKUP($D61,  Tabla3[No.],  Tabla3[Matrícula Of. SEQ], " ")</f>
        <v>en espera</v>
      </c>
      <c r="G61" s="717" t="str">
        <f>IFERROR(VLOOKUP(D61,Tabla3[],5,FALSE),"")</f>
        <v>ALCANTARA NUÑEZ MADAI GABRIELA</v>
      </c>
      <c r="H61" s="739" t="str">
        <f t="shared" si="5"/>
        <v>M</v>
      </c>
      <c r="I61" s="739" t="str">
        <f t="shared" si="6"/>
        <v>76</v>
      </c>
      <c r="J61" s="739" t="str">
        <f t="shared" si="7"/>
        <v>03</v>
      </c>
      <c r="K61" s="1836" t="str">
        <f t="shared" si="8"/>
        <v>03</v>
      </c>
      <c r="L61" s="1232" t="str">
        <f>_xlfn.XLOOKUP($D61,  Tabla3[No.],  Tabla3[ESTATUS ACADÉMICO], " ")</f>
        <v>BAJA TEMPORAL</v>
      </c>
      <c r="M61" s="1716" t="str">
        <f>_xlfn.XLOOKUP($D61,  Tabla3[No.],  Tabla3[Grupo de clase], " ")</f>
        <v>LD04D</v>
      </c>
      <c r="N61" s="743"/>
      <c r="O61" s="4040"/>
      <c r="P61" s="743"/>
      <c r="Q61" s="743"/>
      <c r="R61" s="743"/>
      <c r="S61" s="1118">
        <v>0</v>
      </c>
      <c r="T61" s="1379">
        <v>10</v>
      </c>
      <c r="U61" s="1846">
        <v>9.6</v>
      </c>
      <c r="V61" s="744"/>
      <c r="W61" s="744"/>
      <c r="X61" s="744"/>
      <c r="Y61" s="744"/>
      <c r="Z61" s="744"/>
      <c r="AA61" s="744"/>
      <c r="AB61" s="744"/>
      <c r="AC61" s="744"/>
      <c r="AD61" s="744"/>
      <c r="AE61" s="744"/>
      <c r="AF61" s="744"/>
      <c r="AG61" s="1117"/>
      <c r="AH61" s="744">
        <f t="shared" si="9"/>
        <v>6.5333333333333341</v>
      </c>
    </row>
    <row r="62" spans="1:59" ht="15.75" thickBot="1">
      <c r="A62" s="3" t="s">
        <v>1839</v>
      </c>
      <c r="B62" s="701">
        <v>4</v>
      </c>
      <c r="C62" s="1521">
        <f>_xlfn.XLOOKUP($E62,Tabla3[CURP],Tabla3[FECHA DE INICIO (PRIMERA CLASE CALENDARIO)]," ")</f>
        <v>45409</v>
      </c>
      <c r="D62" s="1576">
        <v>648</v>
      </c>
      <c r="E62" s="1523" t="str">
        <f>_xlfn.XLOOKUP($D62,  Tabla3[No.],  Tabla3[CURP], " ")</f>
        <v>EIGC741007HDFLMS04</v>
      </c>
      <c r="F62" s="717" t="str">
        <f>_xlfn.XLOOKUP($D62,  Tabla3[No.],  Tabla3[Matrícula Of. SEQ], " ")</f>
        <v>64LD04F-02</v>
      </c>
      <c r="G62" s="717" t="str">
        <f>IFERROR(VLOOKUP(D62,Tabla3[],5,FALSE),"")</f>
        <v>ELIZALDE GOMEZ CESAR</v>
      </c>
      <c r="H62" s="739" t="str">
        <f t="shared" si="5"/>
        <v>H</v>
      </c>
      <c r="I62" s="739" t="str">
        <f t="shared" si="6"/>
        <v>74</v>
      </c>
      <c r="J62" s="739" t="str">
        <f t="shared" si="7"/>
        <v>10</v>
      </c>
      <c r="K62" s="1836" t="str">
        <f t="shared" si="8"/>
        <v>07</v>
      </c>
      <c r="L62" s="1232" t="str">
        <f>_xlfn.XLOOKUP($D62,  Tabla3[No.],  Tabla3[ESTATUS ACADÉMICO], " ")</f>
        <v>BAJA TEMPORAL</v>
      </c>
      <c r="M62" s="1716" t="str">
        <f>_xlfn.XLOOKUP($D62,  Tabla3[No.],  Tabla3[Grupo de clase], " ")</f>
        <v>LD06D</v>
      </c>
      <c r="N62" s="743">
        <v>9</v>
      </c>
      <c r="O62" s="4040">
        <v>9.5</v>
      </c>
      <c r="P62" s="743"/>
      <c r="Q62" s="743"/>
      <c r="R62" s="743"/>
      <c r="S62" s="1118">
        <v>0</v>
      </c>
      <c r="T62" s="1379">
        <v>10</v>
      </c>
      <c r="U62" s="1450">
        <v>0</v>
      </c>
      <c r="V62" s="744"/>
      <c r="W62" s="744"/>
      <c r="X62" s="744"/>
      <c r="Y62" s="744"/>
      <c r="Z62" s="744"/>
      <c r="AA62" s="744"/>
      <c r="AB62" s="744"/>
      <c r="AC62" s="744"/>
      <c r="AD62" s="744"/>
      <c r="AE62" s="744"/>
      <c r="AF62" s="744"/>
      <c r="AG62" s="1117"/>
      <c r="AH62" s="744">
        <f t="shared" si="9"/>
        <v>5.7</v>
      </c>
    </row>
    <row r="63" spans="1:59" ht="15.75" thickBot="1">
      <c r="A63" s="3"/>
      <c r="B63" s="701">
        <v>5</v>
      </c>
      <c r="C63" s="1757">
        <f>_xlfn.XLOOKUP($E63,Tabla3[CURP],Tabla3[FECHA DE INICIO (PRIMERA CLASE CALENDARIO)]," ")</f>
        <v>45332</v>
      </c>
      <c r="D63" s="1576">
        <v>663</v>
      </c>
      <c r="E63" s="1533" t="str">
        <f>_xlfn.XLOOKUP($D63,  Tabla3[No.],  Tabla3[CURP], " ")</f>
        <v>RECM590511MMSSVN09</v>
      </c>
      <c r="F63" s="717" t="str">
        <f>_xlfn.XLOOKUP($D63,  Tabla3[No.],  Tabla3[Matrícula Of. SEQ], " ")</f>
        <v>64LD05G-01</v>
      </c>
      <c r="G63" s="717" t="str">
        <f>IFERROR(VLOOKUP(D63,Tabla3[],5,FALSE),"")</f>
        <v>RESENDIZ CUEVAS MINERVA</v>
      </c>
      <c r="H63" s="739" t="str">
        <f t="shared" si="5"/>
        <v>M</v>
      </c>
      <c r="I63" s="739" t="str">
        <f t="shared" si="6"/>
        <v>59</v>
      </c>
      <c r="J63" s="739" t="str">
        <f t="shared" si="7"/>
        <v>05</v>
      </c>
      <c r="K63" s="1836" t="str">
        <f t="shared" si="8"/>
        <v>11</v>
      </c>
      <c r="L63" s="1232" t="str">
        <f>_xlfn.XLOOKUP($D63,  Tabla3[No.],  Tabla3[ESTATUS ACADÉMICO], " ")</f>
        <v>BAJA TEMPORAL</v>
      </c>
      <c r="M63" s="1716" t="str">
        <f>_xlfn.XLOOKUP($D63,  Tabla3[No.],  Tabla3[Grupo de clase], " ")</f>
        <v>LD04A</v>
      </c>
      <c r="N63" s="743">
        <v>9</v>
      </c>
      <c r="O63" s="743">
        <v>9</v>
      </c>
      <c r="P63" s="4041">
        <v>9.4</v>
      </c>
      <c r="Q63" s="4042">
        <v>9</v>
      </c>
      <c r="R63" s="4043">
        <v>10</v>
      </c>
      <c r="S63" s="1448">
        <v>7.1</v>
      </c>
      <c r="T63" s="743">
        <v>10</v>
      </c>
      <c r="U63" s="1846">
        <v>8.8000000000000007</v>
      </c>
      <c r="V63" s="744">
        <v>9</v>
      </c>
      <c r="W63" s="744">
        <v>9.1999999999999993</v>
      </c>
      <c r="X63" s="744">
        <v>8</v>
      </c>
      <c r="Y63" s="744">
        <v>10</v>
      </c>
      <c r="Z63" s="1864"/>
      <c r="AA63" s="744"/>
      <c r="AB63" s="744"/>
      <c r="AC63" s="744"/>
      <c r="AD63" s="744"/>
      <c r="AE63" s="744"/>
      <c r="AF63" s="744"/>
      <c r="AG63" s="1117"/>
      <c r="AH63" s="744">
        <f t="shared" si="9"/>
        <v>9.0416666666666661</v>
      </c>
    </row>
    <row r="64" spans="1:59">
      <c r="A64" s="3"/>
      <c r="B64" s="701">
        <v>6</v>
      </c>
      <c r="C64" s="1521">
        <f>_xlfn.XLOOKUP($E64,Tabla3[CURP],Tabla3[FECHA DE INICIO (PRIMERA CLASE CALENDARIO)]," ")</f>
        <v>45192</v>
      </c>
      <c r="D64" s="1853">
        <v>594</v>
      </c>
      <c r="E64" s="1854" t="str">
        <f>_xlfn.XLOOKUP($D64,  Tabla3[No.],  Tabla3[CURP], " ")</f>
        <v>VACS781010MNLZHM06</v>
      </c>
      <c r="F64" s="1855" t="str">
        <f>_xlfn.XLOOKUP($D64,  Tabla3[No.],  Tabla3[Matrícula Of. SEQ], " ")</f>
        <v>64LD05D-03</v>
      </c>
      <c r="G64" s="1855" t="str">
        <f>IFERROR(VLOOKUP(D64,Tabla3[],5,FALSE),"")</f>
        <v>VAZQUEZ CHAN SUEMY</v>
      </c>
      <c r="H64" s="1505" t="str">
        <f t="shared" si="5"/>
        <v>M</v>
      </c>
      <c r="I64" s="1505" t="str">
        <f t="shared" si="6"/>
        <v>78</v>
      </c>
      <c r="J64" s="1505" t="str">
        <f t="shared" si="7"/>
        <v>10</v>
      </c>
      <c r="K64" s="1856" t="str">
        <f t="shared" si="8"/>
        <v>10</v>
      </c>
      <c r="L64" s="1232" t="str">
        <f>_xlfn.XLOOKUP($D64,  Tabla3[No.],  Tabla3[ESTATUS ACADÉMICO], " ")</f>
        <v>BAJA DEFINITIVA</v>
      </c>
      <c r="M64" s="1716" t="str">
        <f>_xlfn.XLOOKUP($D64,  Tabla3[No.],  Tabla3[Grupo de clase], " ")</f>
        <v>LD04A</v>
      </c>
      <c r="N64" s="1717"/>
      <c r="O64" s="1717"/>
      <c r="P64" s="1717">
        <v>9.4</v>
      </c>
      <c r="Q64" s="1848">
        <v>9</v>
      </c>
      <c r="R64" s="1847">
        <v>9</v>
      </c>
      <c r="S64" s="1448">
        <v>10</v>
      </c>
      <c r="T64" s="1717">
        <v>10</v>
      </c>
      <c r="U64" s="1849">
        <v>10</v>
      </c>
      <c r="V64" s="1448">
        <v>9</v>
      </c>
      <c r="W64" s="744">
        <v>9.6999999999999993</v>
      </c>
      <c r="X64" s="1448"/>
      <c r="Y64" s="1448"/>
      <c r="Z64" s="744"/>
      <c r="AA64" s="744"/>
      <c r="AB64" s="744"/>
      <c r="AC64" s="744"/>
      <c r="AD64" s="744"/>
      <c r="AE64" s="744"/>
      <c r="AF64" s="744"/>
      <c r="AG64" s="1117"/>
      <c r="AH64" s="744">
        <f t="shared" si="9"/>
        <v>9.5125000000000011</v>
      </c>
    </row>
    <row r="65" spans="1:70">
      <c r="A65" s="3" t="s">
        <v>1839</v>
      </c>
      <c r="B65" s="701">
        <v>7</v>
      </c>
      <c r="C65" s="1521">
        <f>_xlfn.XLOOKUP($E65,Tabla3[CURP],Tabla3[FECHA DE INICIO (PRIMERA CLASE CALENDARIO)]," ")</f>
        <v>45402</v>
      </c>
      <c r="D65" s="1601">
        <v>698</v>
      </c>
      <c r="E65" s="1857" t="str">
        <f>_xlfn.XLOOKUP($D65,  Tabla3[No.],  Tabla3[CURP], " ")</f>
        <v>GOMJ970916MQRNRN01</v>
      </c>
      <c r="F65" s="717" t="str">
        <f>_xlfn.XLOOKUP($D65,  Tabla3[No.],  Tabla3[Matrícula Of. SEQ], " ")</f>
        <v>64LD05H-01</v>
      </c>
      <c r="G65" s="717" t="str">
        <f>IFERROR(VLOOKUP(D65,Tabla3[],5,FALSE),"")</f>
        <v>GONZALEZ MARTIN JOANHA</v>
      </c>
      <c r="H65" s="739" t="str">
        <f t="shared" si="5"/>
        <v>M</v>
      </c>
      <c r="I65" s="739" t="str">
        <f t="shared" si="6"/>
        <v>97</v>
      </c>
      <c r="J65" s="739" t="str">
        <f t="shared" si="7"/>
        <v>09</v>
      </c>
      <c r="K65" s="739" t="str">
        <f t="shared" si="8"/>
        <v>16</v>
      </c>
      <c r="L65" s="1232" t="str">
        <f>_xlfn.XLOOKUP($D65,  Tabla3[No.],  Tabla3[ESTATUS ACADÉMICO], " ")</f>
        <v>EGRESADO</v>
      </c>
      <c r="M65" s="1716" t="str">
        <f>_xlfn.XLOOKUP($D65,  Tabla3[No.],  Tabla3[Grupo de clase], " ")</f>
        <v>LD06D</v>
      </c>
      <c r="N65" s="1717"/>
      <c r="O65" s="1717"/>
      <c r="P65" s="1850"/>
      <c r="Q65" s="1851"/>
      <c r="R65" s="1852"/>
      <c r="S65" s="744">
        <v>10</v>
      </c>
      <c r="T65" s="1379">
        <v>10</v>
      </c>
      <c r="U65" s="1845">
        <v>9.4</v>
      </c>
      <c r="V65" s="745" t="s">
        <v>135</v>
      </c>
      <c r="W65" s="744">
        <v>9.6999999999999993</v>
      </c>
      <c r="X65" s="745" t="s">
        <v>135</v>
      </c>
      <c r="Y65" s="744">
        <v>9.6999999999999993</v>
      </c>
      <c r="Z65" s="744">
        <v>8.6999999999999993</v>
      </c>
      <c r="AA65" s="744">
        <v>10</v>
      </c>
      <c r="AB65" s="744">
        <v>10</v>
      </c>
      <c r="AC65" s="744">
        <v>10</v>
      </c>
      <c r="AD65" s="1864"/>
      <c r="AE65" s="1864"/>
      <c r="AF65" s="1864"/>
      <c r="AG65" s="2213"/>
      <c r="AH65" s="744">
        <f>AVERAGE(N65:AG65)</f>
        <v>9.7222222222222214</v>
      </c>
    </row>
    <row r="66" spans="1:70">
      <c r="A66" s="3"/>
      <c r="B66" s="701"/>
      <c r="C66" s="1521"/>
      <c r="D66" s="1858"/>
      <c r="E66" s="908"/>
      <c r="F66" s="717"/>
      <c r="G66" s="744"/>
      <c r="H66" s="739"/>
      <c r="I66" s="739"/>
      <c r="J66" s="739"/>
      <c r="K66" s="739"/>
      <c r="L66" s="1232"/>
      <c r="M66" s="1716"/>
      <c r="N66" s="743"/>
      <c r="O66" s="743"/>
      <c r="P66" s="743"/>
      <c r="Q66" s="744"/>
      <c r="R66" s="744"/>
      <c r="S66" s="744"/>
      <c r="T66" s="744"/>
      <c r="U66" s="744"/>
      <c r="V66" s="1294">
        <v>9</v>
      </c>
      <c r="W66" s="744"/>
      <c r="X66" s="745" t="s">
        <v>135</v>
      </c>
      <c r="Y66" s="744"/>
      <c r="Z66" s="744"/>
      <c r="AA66" s="744"/>
      <c r="AB66" s="744"/>
      <c r="AC66" s="744"/>
      <c r="AD66" s="744"/>
      <c r="AE66" s="744"/>
      <c r="AF66" s="744"/>
      <c r="AG66" s="1117"/>
      <c r="AH66" s="744">
        <f>AVERAGE(N66:AG66)</f>
        <v>9</v>
      </c>
    </row>
    <row r="67" spans="1:70">
      <c r="A67" s="3"/>
      <c r="B67" s="701"/>
      <c r="C67" s="1521"/>
      <c r="D67" s="1521"/>
      <c r="E67" s="634"/>
      <c r="F67" s="1537"/>
      <c r="G67" s="1537"/>
      <c r="H67" s="959"/>
      <c r="I67" s="959"/>
      <c r="J67" s="959"/>
      <c r="K67" s="959"/>
      <c r="L67" s="1361"/>
      <c r="M67" s="1524"/>
      <c r="N67" s="1535"/>
      <c r="O67" s="1535"/>
      <c r="P67" s="1535"/>
      <c r="T67" s="1973" t="s">
        <v>4438</v>
      </c>
      <c r="U67" s="1810" t="s">
        <v>4232</v>
      </c>
      <c r="W67" s="1810" t="s">
        <v>4233</v>
      </c>
      <c r="Y67" s="1810" t="s">
        <v>4234</v>
      </c>
      <c r="Z67" s="1811" t="s">
        <v>4235</v>
      </c>
      <c r="AA67" s="1810" t="s">
        <v>4238</v>
      </c>
      <c r="AB67" s="1973" t="s">
        <v>4239</v>
      </c>
      <c r="AC67" s="1973" t="s">
        <v>4242</v>
      </c>
      <c r="AD67" s="1973" t="s">
        <v>4437</v>
      </c>
      <c r="AF67" s="1810"/>
      <c r="AH67">
        <v>2024</v>
      </c>
    </row>
    <row r="68" spans="1:70">
      <c r="A68" s="3"/>
      <c r="B68" s="701"/>
      <c r="C68" s="1521"/>
      <c r="D68" s="1521"/>
      <c r="E68" s="634"/>
      <c r="F68" s="1537"/>
      <c r="G68" s="1537"/>
      <c r="H68" s="959"/>
      <c r="I68" s="959"/>
      <c r="J68" s="959"/>
      <c r="K68" s="959"/>
      <c r="L68" s="1361"/>
      <c r="M68" s="1524"/>
      <c r="N68" s="1535"/>
      <c r="O68" s="1535"/>
      <c r="P68" s="1535"/>
      <c r="T68">
        <v>1</v>
      </c>
      <c r="U68">
        <v>2</v>
      </c>
      <c r="W68" s="1888">
        <v>3</v>
      </c>
      <c r="Y68">
        <v>4</v>
      </c>
      <c r="Z68">
        <v>5</v>
      </c>
      <c r="AA68">
        <v>6</v>
      </c>
      <c r="AB68">
        <v>7</v>
      </c>
      <c r="AC68">
        <v>8</v>
      </c>
    </row>
    <row r="69" spans="1:70">
      <c r="A69" s="3"/>
      <c r="B69" s="701"/>
      <c r="C69" s="1521"/>
      <c r="D69" s="1521"/>
      <c r="E69" s="634"/>
      <c r="F69" s="1537"/>
      <c r="G69" s="1537"/>
      <c r="H69" s="959"/>
      <c r="I69" s="959"/>
      <c r="J69" s="959"/>
      <c r="K69" s="959"/>
      <c r="L69" s="1361"/>
      <c r="M69" s="1524"/>
      <c r="N69" s="1535"/>
      <c r="O69" s="1535"/>
      <c r="P69" s="1535"/>
    </row>
    <row r="70" spans="1:70">
      <c r="A70" s="3"/>
      <c r="B70" s="701"/>
      <c r="C70" s="2"/>
      <c r="D70" s="2"/>
      <c r="M70" s="2"/>
    </row>
    <row r="71" spans="1:70" ht="15.75" thickBot="1">
      <c r="A71" s="3"/>
      <c r="B71" s="701"/>
      <c r="C71" s="2"/>
      <c r="D71" s="2"/>
      <c r="M71" s="2"/>
    </row>
    <row r="72" spans="1:70" ht="15.75" thickBot="1">
      <c r="A72" s="643"/>
      <c r="B72" s="4112" t="s">
        <v>5</v>
      </c>
      <c r="C72" s="645" t="s">
        <v>134</v>
      </c>
      <c r="D72" s="4085" t="s">
        <v>3866</v>
      </c>
      <c r="E72" s="4100" t="s">
        <v>6</v>
      </c>
      <c r="F72" s="4100" t="s">
        <v>7</v>
      </c>
      <c r="G72" s="1418"/>
      <c r="H72" s="1419" t="s">
        <v>9</v>
      </c>
      <c r="I72" s="4103" t="s">
        <v>10</v>
      </c>
      <c r="J72" s="4101"/>
      <c r="K72" s="4101"/>
      <c r="L72" s="978"/>
      <c r="M72" s="4105" t="s">
        <v>1149</v>
      </c>
      <c r="N72" s="4106" t="s">
        <v>1727</v>
      </c>
      <c r="O72" s="4106"/>
      <c r="P72" s="4106"/>
      <c r="Q72" s="4106"/>
      <c r="R72" s="4106"/>
      <c r="S72" s="4106"/>
      <c r="T72" s="4107" t="s">
        <v>12</v>
      </c>
      <c r="U72" s="4101"/>
      <c r="V72" s="4101"/>
      <c r="W72" s="4101"/>
      <c r="X72" s="4101"/>
      <c r="Y72" s="4101"/>
      <c r="Z72" s="4108" t="s">
        <v>3738</v>
      </c>
      <c r="AA72" s="4101"/>
      <c r="AB72" s="4101"/>
      <c r="AC72" s="4101"/>
      <c r="AD72" s="4101"/>
      <c r="AE72" s="4101"/>
      <c r="AF72" s="4113" t="s">
        <v>3739</v>
      </c>
      <c r="AG72" s="4101"/>
      <c r="AH72" s="4101"/>
      <c r="AI72" s="4101"/>
      <c r="AJ72" s="4101"/>
      <c r="AK72" s="4101"/>
      <c r="AL72" s="4123" t="s">
        <v>3740</v>
      </c>
      <c r="AM72" s="4101"/>
      <c r="AN72" s="4101"/>
      <c r="AO72" s="4101"/>
      <c r="AP72" s="4101"/>
      <c r="AQ72" s="4101"/>
      <c r="AR72" s="4137" t="s">
        <v>3741</v>
      </c>
      <c r="AS72" s="4138"/>
      <c r="AT72" s="4138"/>
      <c r="AU72" s="4138"/>
      <c r="AV72" s="4138"/>
      <c r="AW72" s="4138"/>
      <c r="AX72" s="1720" t="s">
        <v>1239</v>
      </c>
      <c r="AY72" s="1720" t="s">
        <v>1239</v>
      </c>
      <c r="AZ72" s="1720" t="s">
        <v>1215</v>
      </c>
      <c r="BA72" s="1720" t="s">
        <v>557</v>
      </c>
      <c r="BB72" s="1720" t="s">
        <v>4045</v>
      </c>
      <c r="BC72" s="1720" t="s">
        <v>4369</v>
      </c>
      <c r="BD72" s="1792" t="s">
        <v>4369</v>
      </c>
      <c r="BE72" s="1792" t="s">
        <v>4256</v>
      </c>
      <c r="BF72" s="1792" t="s">
        <v>4256</v>
      </c>
      <c r="BG72" s="1792" t="s">
        <v>4325</v>
      </c>
      <c r="BH72" s="1792" t="s">
        <v>159</v>
      </c>
      <c r="BI72" s="1792" t="s">
        <v>4258</v>
      </c>
      <c r="BJ72" s="1891" t="s">
        <v>5012</v>
      </c>
      <c r="BK72" s="1892" t="s">
        <v>4260</v>
      </c>
      <c r="BL72" s="2220" t="s">
        <v>1238</v>
      </c>
      <c r="BM72" s="1892" t="s">
        <v>4261</v>
      </c>
    </row>
    <row r="73" spans="1:70" ht="101.25" thickBot="1">
      <c r="A73" s="643"/>
      <c r="B73" s="4101"/>
      <c r="C73" s="645"/>
      <c r="D73" s="4075"/>
      <c r="E73" s="4101"/>
      <c r="F73" s="4101"/>
      <c r="G73" s="1418"/>
      <c r="H73" s="1419" t="s">
        <v>9</v>
      </c>
      <c r="I73" s="4101"/>
      <c r="J73" s="4104"/>
      <c r="K73" s="4101"/>
      <c r="L73" s="978"/>
      <c r="M73" s="4105"/>
      <c r="N73" s="648" t="s">
        <v>20</v>
      </c>
      <c r="O73" s="648" t="s">
        <v>21</v>
      </c>
      <c r="P73" s="649" t="s">
        <v>22</v>
      </c>
      <c r="Q73" s="670" t="s">
        <v>23</v>
      </c>
      <c r="R73" s="648" t="s">
        <v>24</v>
      </c>
      <c r="S73" s="648" t="s">
        <v>25</v>
      </c>
      <c r="T73" s="626" t="s">
        <v>3742</v>
      </c>
      <c r="U73" s="670" t="s">
        <v>3743</v>
      </c>
      <c r="V73" s="648" t="s">
        <v>3744</v>
      </c>
      <c r="W73" s="648" t="s">
        <v>3745</v>
      </c>
      <c r="X73" s="648" t="s">
        <v>173</v>
      </c>
      <c r="Y73" s="670" t="s">
        <v>3746</v>
      </c>
      <c r="Z73" s="626" t="s">
        <v>3747</v>
      </c>
      <c r="AA73" s="626" t="s">
        <v>3748</v>
      </c>
      <c r="AB73" s="626" t="s">
        <v>3749</v>
      </c>
      <c r="AC73" s="626" t="s">
        <v>3750</v>
      </c>
      <c r="AD73" s="626" t="s">
        <v>3751</v>
      </c>
      <c r="AE73" s="626" t="s">
        <v>3752</v>
      </c>
      <c r="AF73" s="626" t="s">
        <v>3753</v>
      </c>
      <c r="AG73" s="670" t="s">
        <v>3754</v>
      </c>
      <c r="AH73" s="670" t="s">
        <v>3755</v>
      </c>
      <c r="AI73" s="626" t="s">
        <v>3756</v>
      </c>
      <c r="AJ73" s="651" t="s">
        <v>3757</v>
      </c>
      <c r="AK73" s="652" t="s">
        <v>3757</v>
      </c>
      <c r="AL73" s="670" t="s">
        <v>3756</v>
      </c>
      <c r="AM73" s="653" t="s">
        <v>3756</v>
      </c>
      <c r="AN73" s="651" t="s">
        <v>3756</v>
      </c>
      <c r="AO73" s="651" t="s">
        <v>3757</v>
      </c>
      <c r="AP73" s="677" t="s">
        <v>3757</v>
      </c>
      <c r="AQ73" s="677" t="s">
        <v>3757</v>
      </c>
      <c r="AR73" s="1420" t="s">
        <v>3757</v>
      </c>
      <c r="AS73" s="670" t="s">
        <v>3757</v>
      </c>
      <c r="AW73" s="1421" t="s">
        <v>3756</v>
      </c>
      <c r="AX73" s="1278" t="s">
        <v>3773</v>
      </c>
      <c r="AY73" s="626" t="s">
        <v>3773</v>
      </c>
      <c r="AZ73" s="1303" t="s">
        <v>3843</v>
      </c>
      <c r="BA73" s="1689" t="s">
        <v>3865</v>
      </c>
      <c r="BB73" s="1303" t="s">
        <v>3843</v>
      </c>
      <c r="BC73" s="1303" t="s">
        <v>3843</v>
      </c>
      <c r="BD73" s="1428" t="s">
        <v>3843</v>
      </c>
      <c r="BE73" s="1428" t="s">
        <v>3843</v>
      </c>
      <c r="BF73" s="1428" t="s">
        <v>3843</v>
      </c>
      <c r="BG73" s="1428" t="s">
        <v>3843</v>
      </c>
      <c r="BH73" s="1428" t="s">
        <v>3843</v>
      </c>
      <c r="BI73" s="1428" t="s">
        <v>3843</v>
      </c>
      <c r="BJ73" s="1428" t="s">
        <v>3843</v>
      </c>
      <c r="BK73" s="1428" t="s">
        <v>3843</v>
      </c>
      <c r="BL73" s="2221" t="s">
        <v>3843</v>
      </c>
      <c r="BM73" s="1428" t="s">
        <v>3843</v>
      </c>
    </row>
    <row r="74" spans="1:70" ht="15.75" thickBot="1">
      <c r="A74" s="654" t="s">
        <v>27</v>
      </c>
      <c r="B74" s="4101"/>
      <c r="C74" s="659" t="s">
        <v>28</v>
      </c>
      <c r="D74" s="4075"/>
      <c r="E74" s="4101"/>
      <c r="F74" s="4101"/>
      <c r="G74" s="1418" t="s">
        <v>8</v>
      </c>
      <c r="H74" s="1419" t="s">
        <v>9</v>
      </c>
      <c r="I74" s="4101"/>
      <c r="J74" s="4101"/>
      <c r="K74" s="4101"/>
      <c r="L74" s="978"/>
      <c r="M74" s="660" t="s">
        <v>1726</v>
      </c>
      <c r="N74" s="1422" t="s">
        <v>29</v>
      </c>
      <c r="O74" s="1423" t="s">
        <v>30</v>
      </c>
      <c r="P74" s="1423" t="s">
        <v>31</v>
      </c>
      <c r="Q74" s="1423" t="s">
        <v>32</v>
      </c>
      <c r="R74" s="1423" t="s">
        <v>33</v>
      </c>
      <c r="S74" s="1423" t="s">
        <v>34</v>
      </c>
      <c r="T74" s="1423" t="s">
        <v>37</v>
      </c>
      <c r="U74" s="1423" t="s">
        <v>35</v>
      </c>
      <c r="V74" s="1423" t="s">
        <v>36</v>
      </c>
      <c r="W74" s="1423" t="s">
        <v>38</v>
      </c>
      <c r="X74" s="1423" t="s">
        <v>39</v>
      </c>
      <c r="Y74" s="1423" t="s">
        <v>40</v>
      </c>
      <c r="Z74" s="1423" t="s">
        <v>41</v>
      </c>
      <c r="AA74" s="1423" t="s">
        <v>42</v>
      </c>
      <c r="AB74" s="1423" t="s">
        <v>43</v>
      </c>
      <c r="AC74" s="1423" t="s">
        <v>44</v>
      </c>
      <c r="AD74" s="1423" t="s">
        <v>45</v>
      </c>
      <c r="AE74" s="1423" t="s">
        <v>46</v>
      </c>
      <c r="AF74" s="1424" t="s">
        <v>47</v>
      </c>
      <c r="AG74" s="1424" t="s">
        <v>48</v>
      </c>
      <c r="AH74" s="1424" t="s">
        <v>49</v>
      </c>
      <c r="AI74" s="1424" t="s">
        <v>50</v>
      </c>
      <c r="AJ74" s="1424" t="s">
        <v>51</v>
      </c>
      <c r="AK74" s="1424" t="s">
        <v>52</v>
      </c>
      <c r="AL74" s="1424" t="s">
        <v>53</v>
      </c>
      <c r="AM74" s="1424" t="s">
        <v>54</v>
      </c>
      <c r="AN74" s="1424" t="s">
        <v>55</v>
      </c>
      <c r="AO74" s="1424" t="s">
        <v>56</v>
      </c>
      <c r="AP74" s="1424" t="s">
        <v>57</v>
      </c>
      <c r="AQ74" s="1424" t="s">
        <v>58</v>
      </c>
      <c r="AR74" s="1424" t="s">
        <v>59</v>
      </c>
      <c r="AS74" s="1424" t="s">
        <v>60</v>
      </c>
      <c r="AT74" t="s">
        <v>66</v>
      </c>
      <c r="AU74" t="s">
        <v>3758</v>
      </c>
      <c r="AV74" t="s">
        <v>68</v>
      </c>
      <c r="AW74" s="700" t="s">
        <v>3759</v>
      </c>
      <c r="AX74" s="700" t="s">
        <v>69</v>
      </c>
      <c r="AY74" s="700" t="s">
        <v>4042</v>
      </c>
      <c r="AZ74" s="736" t="s">
        <v>62</v>
      </c>
      <c r="BA74" s="1761" t="s">
        <v>32</v>
      </c>
      <c r="BB74" s="1296" t="s">
        <v>4040</v>
      </c>
      <c r="BC74" s="1296" t="s">
        <v>4041</v>
      </c>
      <c r="BD74" s="736" t="s">
        <v>35</v>
      </c>
      <c r="BE74" s="736" t="s">
        <v>36</v>
      </c>
      <c r="BF74" s="736" t="s">
        <v>38</v>
      </c>
      <c r="BG74" s="736" t="s">
        <v>39</v>
      </c>
      <c r="BH74" s="736" t="s">
        <v>40</v>
      </c>
      <c r="BI74" s="700"/>
      <c r="BJ74" s="700"/>
      <c r="BK74" s="700"/>
    </row>
    <row r="75" spans="1:70" ht="60.75" thickBot="1">
      <c r="A75" s="645" t="s">
        <v>3804</v>
      </c>
      <c r="B75" s="4102"/>
      <c r="C75" s="729" t="s">
        <v>77</v>
      </c>
      <c r="D75" s="4084"/>
      <c r="E75" s="4102"/>
      <c r="F75" s="4102"/>
      <c r="G75" s="1425" t="s">
        <v>78</v>
      </c>
      <c r="H75" s="1425" t="s">
        <v>9</v>
      </c>
      <c r="I75" s="1425" t="s">
        <v>79</v>
      </c>
      <c r="J75" s="1425" t="s">
        <v>80</v>
      </c>
      <c r="K75" s="1425" t="s">
        <v>81</v>
      </c>
      <c r="L75" s="1425" t="s">
        <v>1759</v>
      </c>
      <c r="M75" s="1425" t="s">
        <v>27</v>
      </c>
      <c r="N75" s="1426" t="s">
        <v>82</v>
      </c>
      <c r="O75" s="1425" t="s">
        <v>83</v>
      </c>
      <c r="P75" s="1425" t="s">
        <v>84</v>
      </c>
      <c r="Q75" s="1885" t="s">
        <v>85</v>
      </c>
      <c r="R75" s="1959" t="s">
        <v>86</v>
      </c>
      <c r="S75" s="1959" t="s">
        <v>87</v>
      </c>
      <c r="T75" s="1425" t="s">
        <v>3760</v>
      </c>
      <c r="U75" s="1425" t="s">
        <v>88</v>
      </c>
      <c r="V75" s="1425" t="s">
        <v>89</v>
      </c>
      <c r="W75" s="1425" t="s">
        <v>91</v>
      </c>
      <c r="X75" s="1425" t="s">
        <v>92</v>
      </c>
      <c r="Y75" s="1425" t="s">
        <v>93</v>
      </c>
      <c r="Z75" s="1959" t="s">
        <v>94</v>
      </c>
      <c r="AA75" s="1959" t="s">
        <v>95</v>
      </c>
      <c r="AB75" s="1959" t="s">
        <v>96</v>
      </c>
      <c r="AC75" s="1959" t="s">
        <v>97</v>
      </c>
      <c r="AD75" s="1959" t="s">
        <v>98</v>
      </c>
      <c r="AE75" s="1959" t="s">
        <v>99</v>
      </c>
      <c r="AF75" s="1959" t="s">
        <v>100</v>
      </c>
      <c r="AG75" s="1960" t="s">
        <v>101</v>
      </c>
      <c r="AH75" s="1959" t="s">
        <v>102</v>
      </c>
      <c r="AI75" s="1959" t="s">
        <v>103</v>
      </c>
      <c r="AJ75" s="1959" t="s">
        <v>3481</v>
      </c>
      <c r="AK75" s="1959" t="s">
        <v>105</v>
      </c>
      <c r="AL75" s="1959" t="s">
        <v>106</v>
      </c>
      <c r="AM75" s="1959" t="s">
        <v>107</v>
      </c>
      <c r="AN75" s="1959" t="s">
        <v>281</v>
      </c>
      <c r="AO75" s="1959" t="s">
        <v>109</v>
      </c>
      <c r="AP75" s="1959" t="s">
        <v>110</v>
      </c>
      <c r="AQ75" s="1959" t="s">
        <v>111</v>
      </c>
      <c r="AR75" s="1961" t="s">
        <v>112</v>
      </c>
      <c r="AS75" s="1963" t="s">
        <v>3482</v>
      </c>
      <c r="AT75" s="1964" t="s">
        <v>609</v>
      </c>
      <c r="AU75" s="1359" t="s">
        <v>3483</v>
      </c>
      <c r="AV75" s="1962" t="s">
        <v>3484</v>
      </c>
      <c r="AW75" s="1965" t="s">
        <v>3485</v>
      </c>
      <c r="AX75" s="1966" t="s">
        <v>114</v>
      </c>
      <c r="AY75" s="1967" t="s">
        <v>115</v>
      </c>
      <c r="AZ75" s="1968" t="s">
        <v>116</v>
      </c>
      <c r="BA75" s="1968" t="s">
        <v>118</v>
      </c>
      <c r="BB75" s="1886" t="s">
        <v>3990</v>
      </c>
      <c r="BC75" s="1969" t="s">
        <v>3995</v>
      </c>
      <c r="BD75" s="1969" t="s">
        <v>3996</v>
      </c>
      <c r="BE75" s="1886" t="s">
        <v>3997</v>
      </c>
      <c r="BF75" s="1969" t="s">
        <v>98</v>
      </c>
      <c r="BG75" s="1969" t="s">
        <v>4112</v>
      </c>
      <c r="BH75" s="1969" t="s">
        <v>4321</v>
      </c>
      <c r="BI75" s="1969" t="s">
        <v>4237</v>
      </c>
      <c r="BJ75" s="1813" t="s">
        <v>127</v>
      </c>
      <c r="BK75" s="1813" t="s">
        <v>4436</v>
      </c>
      <c r="BL75" s="2222" t="s">
        <v>125</v>
      </c>
      <c r="BM75" s="1889" t="s">
        <v>1394</v>
      </c>
      <c r="BQ75" s="1865"/>
      <c r="BR75" s="1890" t="s">
        <v>4370</v>
      </c>
    </row>
    <row r="76" spans="1:70" ht="15.75" thickBot="1">
      <c r="A76" s="3"/>
      <c r="B76" s="1429">
        <v>1</v>
      </c>
      <c r="C76" s="1738">
        <f>_xlfn.XLOOKUP($E76,Tabla3[CURP],Tabla3[FECHA DE INICIO (PRIMERA CLASE CALENDARIO)]," ")</f>
        <v>44646</v>
      </c>
      <c r="D76" s="1576">
        <v>365</v>
      </c>
      <c r="E76" s="1430" t="str">
        <f>_xlfn.XLOOKUP($D76,  Tabla3[No.],  Tabla3[CURP], " ")</f>
        <v>CAGC870715MNENRN06</v>
      </c>
      <c r="F76" s="1431" t="str">
        <f>_xlfn.XLOOKUP($D76,  Tabla3[No.],  Tabla3[Matrícula Of. SEQ], " ")</f>
        <v>64LD05F-01</v>
      </c>
      <c r="G76" s="717" t="str">
        <f>IFERROR(VLOOKUP(D76,Tabla3[],5,FALSE),"")</f>
        <v>CANTU GARZA CANTALICIA</v>
      </c>
      <c r="H76" s="1308" t="str">
        <f t="shared" ref="H76:H93" si="10">MID($E76,11,1)</f>
        <v>M</v>
      </c>
      <c r="I76" s="1308" t="str">
        <f t="shared" ref="I76:I93" si="11">MID($E76,5,2)</f>
        <v>87</v>
      </c>
      <c r="J76" s="1308" t="str">
        <f t="shared" ref="J76:J93" si="12">MID($E76,7,2)</f>
        <v>07</v>
      </c>
      <c r="K76" s="1308" t="str">
        <f t="shared" ref="K76:K93" si="13">MID($E76,9,2)</f>
        <v>15</v>
      </c>
      <c r="L76" s="1432" t="str">
        <f>_xlfn.XLOOKUP($D76,  Tabla3[No.],  Tabla3[ESTATUS ACADÉMICO], " ")</f>
        <v>EGRESADO</v>
      </c>
      <c r="M76" s="637" t="str">
        <f>_xlfn.XLOOKUP($D76,  Tabla3[No.],  Tabla3[Grupo de clase], " ")</f>
        <v>LD04A</v>
      </c>
      <c r="N76" s="1433" t="s">
        <v>135</v>
      </c>
      <c r="O76" s="1433" t="s">
        <v>135</v>
      </c>
      <c r="P76" s="1433" t="s">
        <v>136</v>
      </c>
      <c r="Q76" s="1404">
        <v>10</v>
      </c>
      <c r="R76" s="1404">
        <v>10</v>
      </c>
      <c r="S76" s="1404">
        <v>10</v>
      </c>
      <c r="T76" s="1404">
        <v>10</v>
      </c>
      <c r="U76" s="1404">
        <v>10</v>
      </c>
      <c r="V76" s="1404">
        <v>10</v>
      </c>
      <c r="W76" s="1404">
        <v>10</v>
      </c>
      <c r="X76" s="1404">
        <v>10</v>
      </c>
      <c r="Y76" s="1404">
        <v>10</v>
      </c>
      <c r="Z76" s="1404">
        <v>10</v>
      </c>
      <c r="AA76" s="1404">
        <v>10</v>
      </c>
      <c r="AB76" s="1404">
        <v>9.5</v>
      </c>
      <c r="AC76" s="1377">
        <v>9.8000000000000007</v>
      </c>
      <c r="AD76" s="744">
        <v>10</v>
      </c>
      <c r="AE76" s="744">
        <v>10</v>
      </c>
      <c r="AF76" s="744">
        <v>10</v>
      </c>
      <c r="AG76" s="744">
        <v>10</v>
      </c>
      <c r="AH76" s="744">
        <v>10</v>
      </c>
      <c r="AI76" s="744">
        <v>10</v>
      </c>
      <c r="AJ76" s="744">
        <v>10</v>
      </c>
      <c r="AK76" s="744">
        <v>9.5</v>
      </c>
      <c r="AL76" s="1132">
        <v>9.5</v>
      </c>
      <c r="AM76" s="1377">
        <v>9.8000000000000007</v>
      </c>
      <c r="AN76" s="744">
        <v>10</v>
      </c>
      <c r="AO76" s="744"/>
      <c r="AP76" s="744"/>
      <c r="AQ76" s="744">
        <v>8.6</v>
      </c>
      <c r="AR76" s="744">
        <v>10</v>
      </c>
      <c r="AS76" s="744">
        <v>8</v>
      </c>
      <c r="AT76" s="1377">
        <v>8.6999999999999993</v>
      </c>
      <c r="AU76" s="1377">
        <v>8.5</v>
      </c>
      <c r="AV76" s="1377">
        <v>10</v>
      </c>
      <c r="AW76" s="744">
        <v>9.5</v>
      </c>
      <c r="AX76" s="744">
        <v>9</v>
      </c>
      <c r="AY76" s="744">
        <v>9</v>
      </c>
      <c r="AZ76" s="744">
        <v>9.3000000000000007</v>
      </c>
      <c r="BA76" s="1301">
        <v>10</v>
      </c>
      <c r="BB76" s="1301">
        <v>9.3000000000000007</v>
      </c>
      <c r="BC76" s="1760">
        <v>9</v>
      </c>
      <c r="BD76" s="744">
        <v>9.5</v>
      </c>
      <c r="BE76" s="744">
        <v>10</v>
      </c>
      <c r="BF76" s="744">
        <v>10</v>
      </c>
      <c r="BG76" s="744">
        <v>10</v>
      </c>
      <c r="BH76" s="744">
        <v>9.4</v>
      </c>
      <c r="BI76" s="744">
        <v>10</v>
      </c>
      <c r="BJ76" s="744">
        <v>10</v>
      </c>
      <c r="BK76" s="744"/>
      <c r="BL76" s="1958"/>
      <c r="BM76" s="744"/>
    </row>
    <row r="77" spans="1:70" ht="15.75" thickBot="1">
      <c r="A77" s="3"/>
      <c r="B77" s="1429">
        <v>3</v>
      </c>
      <c r="C77" s="1521">
        <f>_xlfn.XLOOKUP($E77,Tabla3[CURP],Tabla3[FECHA DE INICIO (PRIMERA CLASE CALENDARIO)]," ")</f>
        <v>44604</v>
      </c>
      <c r="D77" s="1576">
        <v>328</v>
      </c>
      <c r="E77" s="1430" t="str">
        <f>_xlfn.XLOOKUP($D77,  Tabla3[No.],  Tabla3[CURP], " ")</f>
        <v>HESJ780125HZSRRN06</v>
      </c>
      <c r="F77" s="1431" t="str">
        <f>_xlfn.XLOOKUP($D77,  Tabla3[No.],  Tabla3[Matrícula Of. SEQ], " ")</f>
        <v>64LD05A-04</v>
      </c>
      <c r="G77" s="717" t="str">
        <f>IFERROR(VLOOKUP(D77,Tabla3[],5,FALSE),"")</f>
        <v>HERNANDEZ SORIANO JUAN DE DIOS</v>
      </c>
      <c r="H77" s="1308" t="str">
        <f t="shared" si="10"/>
        <v>H</v>
      </c>
      <c r="I77" s="1308" t="str">
        <f t="shared" si="11"/>
        <v>78</v>
      </c>
      <c r="J77" s="1308" t="str">
        <f t="shared" si="12"/>
        <v>01</v>
      </c>
      <c r="K77" s="1308" t="str">
        <f t="shared" si="13"/>
        <v>25</v>
      </c>
      <c r="L77" s="1434" t="str">
        <f>_xlfn.XLOOKUP($D77,  Tabla3[No.],  Tabla3[ESTATUS ACADÉMICO], " ")</f>
        <v>EGRESADO</v>
      </c>
      <c r="M77" s="637" t="str">
        <f>_xlfn.XLOOKUP($D77,  Tabla3[No.],  Tabla3[Grupo de clase], " ")</f>
        <v>LD04A</v>
      </c>
      <c r="N77" s="1433">
        <v>9.1999999999999993</v>
      </c>
      <c r="O77" s="1433" t="s">
        <v>135</v>
      </c>
      <c r="P77" s="1433" t="s">
        <v>135</v>
      </c>
      <c r="Q77" s="1433">
        <v>9.1999999999999993</v>
      </c>
      <c r="R77" s="1433">
        <v>9.1999999999999993</v>
      </c>
      <c r="S77" s="1433">
        <v>9.1999999999999993</v>
      </c>
      <c r="T77" s="1404">
        <v>10</v>
      </c>
      <c r="U77" s="1404">
        <v>10</v>
      </c>
      <c r="V77" s="1404">
        <v>9</v>
      </c>
      <c r="W77" s="1404">
        <v>9</v>
      </c>
      <c r="X77" s="1404">
        <v>10</v>
      </c>
      <c r="Y77" s="1404">
        <v>10</v>
      </c>
      <c r="Z77" s="1404">
        <v>8</v>
      </c>
      <c r="AA77" s="1404">
        <v>10</v>
      </c>
      <c r="AB77" s="1404">
        <v>8.8000000000000007</v>
      </c>
      <c r="AC77" s="1377">
        <v>8</v>
      </c>
      <c r="AD77" s="744">
        <v>10</v>
      </c>
      <c r="AE77" s="744">
        <v>10</v>
      </c>
      <c r="AF77" s="744">
        <v>10</v>
      </c>
      <c r="AG77" s="744">
        <v>10</v>
      </c>
      <c r="AH77" s="1435" t="s">
        <v>173</v>
      </c>
      <c r="AI77" s="1435">
        <v>8</v>
      </c>
      <c r="AJ77" s="744">
        <v>9</v>
      </c>
      <c r="AK77" s="744">
        <v>9</v>
      </c>
      <c r="AL77" s="1147">
        <v>9.42</v>
      </c>
      <c r="AM77" s="1377">
        <v>7</v>
      </c>
      <c r="AN77" s="744"/>
      <c r="AO77" s="744"/>
      <c r="AP77" s="744"/>
      <c r="AQ77" s="744"/>
      <c r="AR77" s="744"/>
      <c r="AS77" s="744"/>
      <c r="AT77" s="1377">
        <v>8</v>
      </c>
      <c r="AU77" s="1377">
        <v>7</v>
      </c>
      <c r="AV77" s="1377">
        <v>8</v>
      </c>
      <c r="AW77" s="744"/>
      <c r="AX77" s="744"/>
      <c r="AY77" s="744"/>
      <c r="AZ77" s="744"/>
      <c r="BA77" s="744"/>
      <c r="BB77" s="744"/>
      <c r="BC77" s="744"/>
      <c r="BD77" s="744"/>
      <c r="BE77" s="744"/>
      <c r="BF77" s="744"/>
      <c r="BG77" s="744"/>
      <c r="BH77" s="744"/>
      <c r="BI77" s="744"/>
      <c r="BJ77" s="744"/>
      <c r="BK77" s="744"/>
      <c r="BL77" s="1958"/>
      <c r="BM77" s="744"/>
    </row>
    <row r="78" spans="1:70" ht="15.75" thickBot="1">
      <c r="A78" s="3"/>
      <c r="B78" s="1429">
        <v>4</v>
      </c>
      <c r="C78" s="1521">
        <f>_xlfn.XLOOKUP($E78,Tabla3[CURP],Tabla3[FECHA DE INICIO (PRIMERA CLASE CALENDARIO)]," ")</f>
        <v>44576</v>
      </c>
      <c r="D78" s="1576">
        <v>318</v>
      </c>
      <c r="E78" s="1430" t="str">
        <f>_xlfn.XLOOKUP($D78,  Tabla3[No.],  Tabla3[CURP], " ")</f>
        <v>PAAM720306MYNCKR08</v>
      </c>
      <c r="F78" s="1431" t="str">
        <f>_xlfn.XLOOKUP($D78,  Tabla3[No.],  Tabla3[Matrícula Of. SEQ], " ")</f>
        <v>64LD05A-06</v>
      </c>
      <c r="G78" s="717" t="str">
        <f>IFERROR(VLOOKUP(D78,Tabla3[],5,FALSE),"")</f>
        <v>PACHECO AKE MIRELLA YNES</v>
      </c>
      <c r="H78" s="1308" t="str">
        <f t="shared" si="10"/>
        <v>M</v>
      </c>
      <c r="I78" s="1308" t="str">
        <f t="shared" si="11"/>
        <v>72</v>
      </c>
      <c r="J78" s="1308" t="str">
        <f t="shared" si="12"/>
        <v>03</v>
      </c>
      <c r="K78" s="1308" t="str">
        <f t="shared" si="13"/>
        <v>06</v>
      </c>
      <c r="L78" s="1432" t="str">
        <f>_xlfn.XLOOKUP($D78,  Tabla3[No.],  Tabla3[ESTATUS ACADÉMICO], " ")</f>
        <v>EGRESADO</v>
      </c>
      <c r="M78" s="637" t="str">
        <f>_xlfn.XLOOKUP($D78,  Tabla3[No.],  Tabla3[Grupo de clase], " ")</f>
        <v>LD04A</v>
      </c>
      <c r="N78" s="1404">
        <v>9.1</v>
      </c>
      <c r="O78" s="1404">
        <v>10</v>
      </c>
      <c r="P78" s="1404">
        <v>10</v>
      </c>
      <c r="Q78" s="1404">
        <v>10</v>
      </c>
      <c r="R78" s="1404">
        <v>10</v>
      </c>
      <c r="S78" s="1404">
        <v>9.6999999999999993</v>
      </c>
      <c r="T78" s="1404">
        <v>10</v>
      </c>
      <c r="U78" s="1404">
        <v>7</v>
      </c>
      <c r="V78" s="1404">
        <v>10</v>
      </c>
      <c r="W78" s="1302">
        <v>6</v>
      </c>
      <c r="X78" s="1302">
        <v>6</v>
      </c>
      <c r="Y78" s="1404">
        <v>10</v>
      </c>
      <c r="Z78" s="1404">
        <v>10</v>
      </c>
      <c r="AA78" s="1404">
        <v>10</v>
      </c>
      <c r="AB78" s="1404">
        <v>8.3000000000000007</v>
      </c>
      <c r="AC78" s="1377">
        <v>9.8000000000000007</v>
      </c>
      <c r="AD78" s="744">
        <v>10</v>
      </c>
      <c r="AE78" s="1376">
        <v>9</v>
      </c>
      <c r="AF78" s="744">
        <v>10</v>
      </c>
      <c r="AG78" s="744">
        <v>10</v>
      </c>
      <c r="AH78" s="1378">
        <v>8</v>
      </c>
      <c r="AI78" s="1436">
        <v>10</v>
      </c>
      <c r="AJ78" s="744">
        <v>8.6</v>
      </c>
      <c r="AK78" s="744">
        <v>10</v>
      </c>
      <c r="AL78" s="1147">
        <v>9.73</v>
      </c>
      <c r="AM78" s="1377">
        <v>10</v>
      </c>
      <c r="AN78" s="744"/>
      <c r="AO78" s="744">
        <v>10</v>
      </c>
      <c r="AP78" s="744">
        <v>10</v>
      </c>
      <c r="AQ78" s="744">
        <v>10</v>
      </c>
      <c r="AR78" s="744">
        <v>9</v>
      </c>
      <c r="AS78" s="744">
        <v>8</v>
      </c>
      <c r="AT78" s="1377">
        <v>7</v>
      </c>
      <c r="AU78" s="1377">
        <v>9.4</v>
      </c>
      <c r="AV78" s="1377">
        <v>10</v>
      </c>
      <c r="AW78" s="744">
        <v>9.5</v>
      </c>
      <c r="AX78" s="744">
        <v>9</v>
      </c>
      <c r="AY78" s="744">
        <v>8</v>
      </c>
      <c r="AZ78" s="744">
        <v>10</v>
      </c>
      <c r="BA78" s="744">
        <v>10</v>
      </c>
      <c r="BB78" s="744">
        <v>10</v>
      </c>
      <c r="BC78" s="1760">
        <v>9</v>
      </c>
      <c r="BD78" s="744">
        <v>0</v>
      </c>
      <c r="BE78" s="744"/>
      <c r="BF78" s="744"/>
      <c r="BG78" s="744"/>
      <c r="BH78" s="744"/>
      <c r="BI78" s="744"/>
      <c r="BJ78" s="744"/>
      <c r="BK78" s="744"/>
      <c r="BL78" s="1958"/>
      <c r="BM78" s="744"/>
    </row>
    <row r="79" spans="1:70" ht="15.75" thickBot="1">
      <c r="A79" s="3"/>
      <c r="B79" s="1429">
        <v>5</v>
      </c>
      <c r="C79" s="1521">
        <f>_xlfn.XLOOKUP($E79,Tabla3[CURP],Tabla3[FECHA DE INICIO (PRIMERA CLASE CALENDARIO)]," ")</f>
        <v>44975</v>
      </c>
      <c r="D79" s="1576">
        <v>469</v>
      </c>
      <c r="E79" s="1308" t="str">
        <f>_xlfn.XLOOKUP($D79,  Tabla3[No.],  Tabla3[CURP], " ")</f>
        <v>GUFP890126HDFTRB09</v>
      </c>
      <c r="F79" s="1308" t="str">
        <f>_xlfn.XLOOKUP($D79,  Tabla3[No.],  Tabla3[Matrícula Of. SEQ], " ")</f>
        <v>BAJA</v>
      </c>
      <c r="G79" s="717" t="str">
        <f>IFERROR(VLOOKUP(D79,Tabla3[],5,FALSE),"")</f>
        <v>GUTIERREZ FERNANDEZ PABLO</v>
      </c>
      <c r="H79" s="1304" t="str">
        <f t="shared" si="10"/>
        <v>H</v>
      </c>
      <c r="I79" s="1304" t="str">
        <f t="shared" si="11"/>
        <v>89</v>
      </c>
      <c r="J79" s="1304" t="str">
        <f t="shared" si="12"/>
        <v>01</v>
      </c>
      <c r="K79" s="1304" t="str">
        <f t="shared" si="13"/>
        <v>26</v>
      </c>
      <c r="L79" s="1434" t="str">
        <f>_xlfn.XLOOKUP($D79,  Tabla3[No.],  Tabla3[ESTATUS ACADÉMICO], " ")</f>
        <v>BAJA TEMPORAL</v>
      </c>
      <c r="M79" s="782" t="str">
        <f>_xlfn.XLOOKUP($D79,  Tabla3[No.],  Tabla3[Grupo de clase], " ")</f>
        <v>LD04A</v>
      </c>
      <c r="N79" s="1433" t="s">
        <v>135</v>
      </c>
      <c r="O79" s="1433" t="s">
        <v>135</v>
      </c>
      <c r="P79" s="1433" t="s">
        <v>135</v>
      </c>
      <c r="Q79" s="1433" t="s">
        <v>135</v>
      </c>
      <c r="R79" s="1433" t="s">
        <v>135</v>
      </c>
      <c r="S79" s="1433" t="s">
        <v>135</v>
      </c>
      <c r="T79" s="1433" t="s">
        <v>135</v>
      </c>
      <c r="U79" s="1433" t="s">
        <v>135</v>
      </c>
      <c r="V79" s="1433" t="s">
        <v>135</v>
      </c>
      <c r="W79" s="1433" t="s">
        <v>135</v>
      </c>
      <c r="X79" s="1433" t="s">
        <v>135</v>
      </c>
      <c r="Y79" s="1433" t="s">
        <v>135</v>
      </c>
      <c r="Z79" s="1433" t="s">
        <v>135</v>
      </c>
      <c r="AA79" s="1433" t="s">
        <v>135</v>
      </c>
      <c r="AB79" s="1433" t="s">
        <v>135</v>
      </c>
      <c r="AC79" s="1433" t="s">
        <v>135</v>
      </c>
      <c r="AD79" s="1433" t="s">
        <v>135</v>
      </c>
      <c r="AE79" s="1433" t="s">
        <v>135</v>
      </c>
      <c r="AF79" s="744">
        <v>10</v>
      </c>
      <c r="AG79" s="744">
        <v>10</v>
      </c>
      <c r="AH79" s="744">
        <v>10</v>
      </c>
      <c r="AI79" s="1437">
        <v>0</v>
      </c>
      <c r="AJ79" s="744">
        <v>9.3000000000000007</v>
      </c>
      <c r="AK79" s="1433" t="s">
        <v>135</v>
      </c>
      <c r="AL79" s="1433" t="s">
        <v>135</v>
      </c>
      <c r="AM79" s="1433" t="s">
        <v>135</v>
      </c>
      <c r="AN79" s="744"/>
      <c r="AO79" s="744"/>
      <c r="AP79" s="744"/>
      <c r="AQ79" s="744"/>
      <c r="AR79" s="744"/>
      <c r="AS79" s="744"/>
      <c r="AT79" s="1433" t="s">
        <v>135</v>
      </c>
      <c r="AU79" s="1433" t="s">
        <v>135</v>
      </c>
      <c r="AV79" s="1433" t="s">
        <v>135</v>
      </c>
      <c r="AW79" s="744"/>
      <c r="AX79" s="744"/>
      <c r="AY79" s="744"/>
      <c r="AZ79" s="744"/>
      <c r="BA79" s="744"/>
      <c r="BB79" s="744"/>
      <c r="BC79" s="744"/>
      <c r="BD79" s="744"/>
      <c r="BE79" s="744"/>
      <c r="BF79" s="744"/>
      <c r="BG79" s="744"/>
      <c r="BH79" s="744"/>
      <c r="BI79" s="744"/>
      <c r="BJ79" s="744"/>
      <c r="BK79" s="744"/>
      <c r="BL79" s="1958"/>
      <c r="BM79" s="744"/>
    </row>
    <row r="80" spans="1:70" ht="15.75" thickBot="1">
      <c r="A80" s="3"/>
      <c r="B80" s="1429">
        <v>6</v>
      </c>
      <c r="C80" s="1521">
        <f>_xlfn.XLOOKUP($E80,Tabla3[CURP],Tabla3[FECHA DE INICIO (PRIMERA CLASE CALENDARIO)]," ")</f>
        <v>44723</v>
      </c>
      <c r="D80" s="1576">
        <v>410</v>
      </c>
      <c r="E80" s="1438" t="str">
        <f>_xlfn.XLOOKUP($D80,  Tabla3[No.],  Tabla3[CURP], " ")</f>
        <v>FIRH560620HZSRJC03</v>
      </c>
      <c r="F80" s="1402" t="str">
        <f>_xlfn.XLOOKUP($D80,  Tabla3[No.],  Tabla3[Matrícula Of. SEQ], " ")</f>
        <v>64LD03C-03</v>
      </c>
      <c r="G80" s="717" t="str">
        <f>IFERROR(VLOOKUP(D80,Tabla3[],5,FALSE),"")</f>
        <v>FIERROS ROJO HECTOR MANUEL</v>
      </c>
      <c r="H80" s="1304" t="str">
        <f t="shared" si="10"/>
        <v>H</v>
      </c>
      <c r="I80" s="1304" t="str">
        <f t="shared" si="11"/>
        <v>56</v>
      </c>
      <c r="J80" s="1304" t="str">
        <f t="shared" si="12"/>
        <v>06</v>
      </c>
      <c r="K80" s="1304" t="str">
        <f t="shared" si="13"/>
        <v>20</v>
      </c>
      <c r="L80" s="1432" t="str">
        <f>_xlfn.XLOOKUP($D80,  Tabla3[No.],  Tabla3[ESTATUS ACADÉMICO], " ")</f>
        <v>EGRESADO</v>
      </c>
      <c r="M80" s="782" t="str">
        <f>_xlfn.XLOOKUP($D80,  Tabla3[No.],  Tabla3[Grupo de clase], " ")</f>
        <v>LD04AB</v>
      </c>
      <c r="N80" s="1433"/>
      <c r="O80" s="1433"/>
      <c r="P80" s="1433"/>
      <c r="Q80" s="1433"/>
      <c r="R80" s="1433"/>
      <c r="S80" s="1433"/>
      <c r="T80" s="1433"/>
      <c r="U80" s="1433"/>
      <c r="V80" s="1433"/>
      <c r="W80" s="1433"/>
      <c r="X80" s="1433"/>
      <c r="Y80" s="1433"/>
      <c r="Z80" s="1433"/>
      <c r="AA80" s="1433"/>
      <c r="AB80" s="1433"/>
      <c r="AC80" s="1433"/>
      <c r="AD80" s="1433"/>
      <c r="AE80" s="1433"/>
      <c r="AF80" s="744">
        <v>10</v>
      </c>
      <c r="AG80" s="744"/>
      <c r="AH80" s="744">
        <v>10</v>
      </c>
      <c r="AI80" s="744">
        <v>9</v>
      </c>
      <c r="AJ80" s="744">
        <v>8</v>
      </c>
      <c r="AK80" s="744">
        <v>9.5</v>
      </c>
      <c r="AL80" s="744">
        <v>9.8000000000000007</v>
      </c>
      <c r="AM80" s="744">
        <v>9.8000000000000007</v>
      </c>
      <c r="AN80" s="744">
        <v>9.8000000000000007</v>
      </c>
      <c r="AO80" s="744">
        <v>9.8000000000000007</v>
      </c>
      <c r="AP80" s="744">
        <v>9</v>
      </c>
      <c r="AQ80" s="744">
        <v>9</v>
      </c>
      <c r="AR80" s="744">
        <v>9</v>
      </c>
      <c r="AS80" s="744">
        <v>9</v>
      </c>
      <c r="AT80" s="744">
        <v>7</v>
      </c>
      <c r="AU80" s="744">
        <v>9.4</v>
      </c>
      <c r="AV80" s="1307">
        <v>10</v>
      </c>
      <c r="AW80" s="744">
        <v>9.5</v>
      </c>
      <c r="AX80" s="744"/>
      <c r="AY80" s="744"/>
      <c r="AZ80" s="744"/>
      <c r="BA80" s="744"/>
      <c r="BB80" s="744"/>
      <c r="BC80" s="744"/>
      <c r="BD80" s="744"/>
      <c r="BE80" s="744"/>
      <c r="BF80" s="744"/>
      <c r="BG80" s="744"/>
      <c r="BH80" s="744"/>
      <c r="BI80" s="744"/>
      <c r="BJ80" s="744"/>
      <c r="BK80" s="744"/>
      <c r="BL80" s="1958"/>
      <c r="BM80" s="744"/>
    </row>
    <row r="81" spans="1:65" ht="15.75" thickBot="1">
      <c r="A81" s="3"/>
      <c r="B81" s="1429">
        <v>8</v>
      </c>
      <c r="C81" s="1521">
        <f>_xlfn.XLOOKUP($E81,Tabla3[CURP],Tabla3[FECHA DE INICIO (PRIMERA CLASE CALENDARIO)]," ")</f>
        <v>44287</v>
      </c>
      <c r="D81" s="1576">
        <v>207</v>
      </c>
      <c r="E81" s="1402" t="str">
        <f>_xlfn.XLOOKUP($D81,  Tabla3[No.],  Tabla3[CURP], " ")</f>
        <v>AOZY820121MVZRXZ06</v>
      </c>
      <c r="F81" s="1308" t="str">
        <f>_xlfn.XLOOKUP($D81,  Tabla3[No.],  Tabla3[Matrícula Of. SEQ], " ")</f>
        <v>64LD05B-01</v>
      </c>
      <c r="G81" s="717" t="str">
        <f>IFERROR(VLOOKUP(D81,Tabla3[],5,FALSE),"")</f>
        <v>ARCOS ZUÑIGA YAZMIN</v>
      </c>
      <c r="H81" s="1304" t="str">
        <f t="shared" si="10"/>
        <v>M</v>
      </c>
      <c r="I81" s="1304" t="str">
        <f t="shared" si="11"/>
        <v>82</v>
      </c>
      <c r="J81" s="1304" t="str">
        <f t="shared" si="12"/>
        <v>01</v>
      </c>
      <c r="K81" s="1304" t="str">
        <f t="shared" si="13"/>
        <v>21</v>
      </c>
      <c r="L81" s="1432" t="str">
        <f>_xlfn.XLOOKUP($D81,  Tabla3[No.],  Tabla3[ESTATUS ACADÉMICO], " ")</f>
        <v>EGRESADO</v>
      </c>
      <c r="M81" s="782" t="str">
        <f>_xlfn.XLOOKUP($D81,  Tabla3[No.],  Tabla3[Grupo de clase], " ")</f>
        <v>LD04A</v>
      </c>
      <c r="N81" s="1433" t="s">
        <v>135</v>
      </c>
      <c r="O81" s="1433" t="s">
        <v>135</v>
      </c>
      <c r="P81" s="1433" t="s">
        <v>135</v>
      </c>
      <c r="Q81" s="1433" t="s">
        <v>135</v>
      </c>
      <c r="R81" s="1433" t="s">
        <v>135</v>
      </c>
      <c r="S81" s="1433" t="s">
        <v>135</v>
      </c>
      <c r="T81" s="1433" t="s">
        <v>135</v>
      </c>
      <c r="U81" s="1433" t="s">
        <v>135</v>
      </c>
      <c r="V81" s="1433" t="s">
        <v>135</v>
      </c>
      <c r="W81" s="1433" t="s">
        <v>135</v>
      </c>
      <c r="X81" s="1433" t="s">
        <v>135</v>
      </c>
      <c r="Y81" s="1433" t="s">
        <v>135</v>
      </c>
      <c r="Z81" s="1433" t="s">
        <v>135</v>
      </c>
      <c r="AA81" s="1433" t="s">
        <v>135</v>
      </c>
      <c r="AB81" s="1433" t="s">
        <v>135</v>
      </c>
      <c r="AC81" s="1433" t="s">
        <v>135</v>
      </c>
      <c r="AD81" s="1433" t="s">
        <v>135</v>
      </c>
      <c r="AE81" s="1433" t="s">
        <v>135</v>
      </c>
      <c r="AF81" s="1433" t="s">
        <v>135</v>
      </c>
      <c r="AG81" s="1433" t="s">
        <v>135</v>
      </c>
      <c r="AH81" s="1433" t="s">
        <v>135</v>
      </c>
      <c r="AI81" s="1433" t="s">
        <v>135</v>
      </c>
      <c r="AJ81" s="1433" t="s">
        <v>135</v>
      </c>
      <c r="AK81" s="744">
        <v>10</v>
      </c>
      <c r="AL81" s="744">
        <v>9.6999999999999993</v>
      </c>
      <c r="AM81" s="744">
        <v>10</v>
      </c>
      <c r="AN81" s="744">
        <v>6</v>
      </c>
      <c r="AO81" s="744">
        <v>8</v>
      </c>
      <c r="AP81" s="744">
        <v>8</v>
      </c>
      <c r="AQ81" s="744">
        <v>9</v>
      </c>
      <c r="AR81" s="744">
        <v>8</v>
      </c>
      <c r="AS81" s="744">
        <v>10</v>
      </c>
      <c r="AT81" s="744">
        <v>7</v>
      </c>
      <c r="AU81" s="744">
        <v>8.9</v>
      </c>
      <c r="AV81" s="744">
        <v>10</v>
      </c>
      <c r="AW81" s="744">
        <v>9.5</v>
      </c>
      <c r="AX81" s="744">
        <v>8</v>
      </c>
      <c r="AY81" s="744">
        <v>9</v>
      </c>
      <c r="AZ81" s="744"/>
      <c r="BA81" s="744"/>
      <c r="BB81" s="744"/>
      <c r="BC81" s="744"/>
      <c r="BD81" s="744"/>
      <c r="BE81" s="744"/>
      <c r="BF81" s="744"/>
      <c r="BG81" s="744"/>
      <c r="BH81" s="744"/>
      <c r="BI81" s="744"/>
      <c r="BJ81" s="744"/>
      <c r="BK81" s="744"/>
      <c r="BL81" s="1958"/>
      <c r="BM81" s="744"/>
    </row>
    <row r="82" spans="1:65" ht="15.75" thickBot="1">
      <c r="A82" s="3"/>
      <c r="B82" s="1429">
        <v>9</v>
      </c>
      <c r="C82" s="1738">
        <f>_xlfn.XLOOKUP($E82,Tabla3[CURP],Tabla3[FECHA DE INICIO (PRIMERA CLASE CALENDARIO)]," ")</f>
        <v>45108</v>
      </c>
      <c r="D82" s="1576">
        <v>575</v>
      </c>
      <c r="E82" s="1355" t="str">
        <f>_xlfn.XLOOKUP($D82,  Tabla3[No.],  Tabla3[CURP], " ")</f>
        <v>RILA701014MCSVPD01</v>
      </c>
      <c r="F82" s="744" t="str">
        <f>_xlfn.XLOOKUP($D82,  Tabla3[No.],  Tabla3[Matrícula Of. SEQ], " ")</f>
        <v>64LD05B-02</v>
      </c>
      <c r="G82" s="717" t="str">
        <f>IFERROR(VLOOKUP(D82,Tabla3[],5,FALSE),"")</f>
        <v>RIVIELLO LOPEZ ADRIANA</v>
      </c>
      <c r="H82" s="1304" t="str">
        <f t="shared" si="10"/>
        <v>M</v>
      </c>
      <c r="I82" s="1304" t="str">
        <f t="shared" si="11"/>
        <v>70</v>
      </c>
      <c r="J82" s="1304" t="str">
        <f t="shared" si="12"/>
        <v>10</v>
      </c>
      <c r="K82" s="1304" t="str">
        <f t="shared" si="13"/>
        <v>14</v>
      </c>
      <c r="L82" s="1432" t="str">
        <f>_xlfn.XLOOKUP($D82,  Tabla3[No.],  Tabla3[ESTATUS ACADÉMICO], " ")</f>
        <v>EGRESADO</v>
      </c>
      <c r="M82" s="782" t="str">
        <f>_xlfn.XLOOKUP($D82,  Tabla3[No.],  Tabla3[Grupo de clase], " ")</f>
        <v>LD04A</v>
      </c>
      <c r="N82" s="1433" t="s">
        <v>135</v>
      </c>
      <c r="O82" s="1433" t="s">
        <v>135</v>
      </c>
      <c r="P82" s="1433" t="s">
        <v>135</v>
      </c>
      <c r="Q82" s="1433" t="s">
        <v>135</v>
      </c>
      <c r="R82" s="1433" t="s">
        <v>135</v>
      </c>
      <c r="S82" s="1433" t="s">
        <v>135</v>
      </c>
      <c r="T82" s="1433" t="s">
        <v>135</v>
      </c>
      <c r="U82" s="1433" t="s">
        <v>135</v>
      </c>
      <c r="V82" s="1433" t="s">
        <v>135</v>
      </c>
      <c r="W82" s="1433" t="s">
        <v>135</v>
      </c>
      <c r="X82" s="1433" t="s">
        <v>135</v>
      </c>
      <c r="Y82" s="1433" t="s">
        <v>135</v>
      </c>
      <c r="Z82" s="1433" t="s">
        <v>135</v>
      </c>
      <c r="AA82" s="1433" t="s">
        <v>135</v>
      </c>
      <c r="AB82" s="1433">
        <v>10</v>
      </c>
      <c r="AC82" s="1433" t="s">
        <v>135</v>
      </c>
      <c r="AD82" s="1433" t="s">
        <v>135</v>
      </c>
      <c r="AE82" s="1433" t="s">
        <v>135</v>
      </c>
      <c r="AF82" s="1433" t="s">
        <v>135</v>
      </c>
      <c r="AG82" s="1433" t="s">
        <v>135</v>
      </c>
      <c r="AH82" s="1433" t="s">
        <v>135</v>
      </c>
      <c r="AI82" s="1433" t="s">
        <v>135</v>
      </c>
      <c r="AJ82" s="1433" t="s">
        <v>135</v>
      </c>
      <c r="AK82" s="1433" t="s">
        <v>135</v>
      </c>
      <c r="AL82" s="1719">
        <v>9.6999999999999993</v>
      </c>
      <c r="AM82" s="744">
        <v>10</v>
      </c>
      <c r="AN82" s="744">
        <v>8</v>
      </c>
      <c r="AO82" s="744">
        <v>10</v>
      </c>
      <c r="AP82" s="744">
        <v>10</v>
      </c>
      <c r="AQ82" s="744">
        <v>10</v>
      </c>
      <c r="AR82" s="744">
        <v>10</v>
      </c>
      <c r="AS82" s="744"/>
      <c r="AT82" s="1433" t="s">
        <v>135</v>
      </c>
      <c r="AU82" s="744">
        <v>10</v>
      </c>
      <c r="AV82" s="744">
        <v>10</v>
      </c>
      <c r="AW82" s="744">
        <v>9.5</v>
      </c>
      <c r="AX82" s="744">
        <v>9</v>
      </c>
      <c r="AY82" s="744">
        <v>9.8000000000000007</v>
      </c>
      <c r="AZ82" s="744">
        <v>10</v>
      </c>
      <c r="BA82" s="744">
        <v>9</v>
      </c>
      <c r="BB82" s="744">
        <v>7.4</v>
      </c>
      <c r="BC82" s="967">
        <v>9</v>
      </c>
      <c r="BD82" s="744">
        <v>10</v>
      </c>
      <c r="BE82" s="744"/>
      <c r="BF82" s="744"/>
      <c r="BG82" s="744"/>
      <c r="BH82" s="744"/>
      <c r="BI82" s="744"/>
      <c r="BJ82" s="744"/>
      <c r="BK82" s="744"/>
      <c r="BL82" s="1958"/>
      <c r="BM82" s="744"/>
    </row>
    <row r="83" spans="1:65" ht="15.75" thickBot="1">
      <c r="A83" s="227"/>
      <c r="B83" s="1431"/>
      <c r="C83" s="1521">
        <f>_xlfn.XLOOKUP($E83,Tabla3[CURP],Tabla3[FECHA DE INICIO (PRIMERA CLASE CALENDARIO)]," ")</f>
        <v>44723</v>
      </c>
      <c r="D83" s="1576">
        <v>384</v>
      </c>
      <c r="E83" s="1360" t="str">
        <f>_xlfn.XLOOKUP($D83,  Tabla3[No.],  Tabla3[CURP], " ")</f>
        <v>EOGX020830MQRSMMA1</v>
      </c>
      <c r="F83" s="1360" t="str">
        <f>_xlfn.XLOOKUP($D83,  Tabla3[No.],  Tabla3[Matrícula Of. SEQ], " ")</f>
        <v>64LD05D-03</v>
      </c>
      <c r="G83" s="717" t="str">
        <f>IFERROR(VLOOKUP(D83,Tabla3[],5,FALSE),"")</f>
        <v>ESCOBEDO GOMEZ XIMENA CAROLINA</v>
      </c>
      <c r="H83" s="1355" t="str">
        <f t="shared" si="10"/>
        <v>M</v>
      </c>
      <c r="I83" s="1355" t="str">
        <f t="shared" si="11"/>
        <v>02</v>
      </c>
      <c r="J83" s="1439" t="str">
        <f t="shared" si="12"/>
        <v>08</v>
      </c>
      <c r="K83" s="1355" t="str">
        <f t="shared" si="13"/>
        <v>30</v>
      </c>
      <c r="L83" s="1440" t="str">
        <f>_xlfn.XLOOKUP($D83,  Tabla3[No.],  Tabla3[ESTATUS ACADÉMICO], " ")</f>
        <v>EGRESADO</v>
      </c>
      <c r="M83" s="782" t="str">
        <f>_xlfn.XLOOKUP($D83,  Tabla3[No.],  Tabla3[Grupo de clase], " ")</f>
        <v>LD04A</v>
      </c>
      <c r="N83" s="1441" t="s">
        <v>135</v>
      </c>
      <c r="O83" s="1441" t="s">
        <v>135</v>
      </c>
      <c r="P83" s="1441" t="s">
        <v>135</v>
      </c>
      <c r="Q83" s="1441" t="s">
        <v>135</v>
      </c>
      <c r="R83" s="1441" t="s">
        <v>135</v>
      </c>
      <c r="S83" s="1441" t="s">
        <v>135</v>
      </c>
      <c r="T83" s="1305">
        <v>10</v>
      </c>
      <c r="U83" s="1305">
        <v>10</v>
      </c>
      <c r="V83" s="1305">
        <v>7</v>
      </c>
      <c r="W83" s="1305">
        <v>7</v>
      </c>
      <c r="X83" s="1305">
        <v>7</v>
      </c>
      <c r="Y83" s="1305">
        <v>7</v>
      </c>
      <c r="Z83" s="1305">
        <v>7</v>
      </c>
      <c r="AA83" s="1305">
        <v>7</v>
      </c>
      <c r="AB83" s="1441" t="s">
        <v>136</v>
      </c>
      <c r="AC83" s="1441" t="s">
        <v>136</v>
      </c>
      <c r="AD83" s="1441" t="s">
        <v>136</v>
      </c>
      <c r="AE83" s="1441" t="s">
        <v>135</v>
      </c>
      <c r="AF83" s="1441" t="s">
        <v>135</v>
      </c>
      <c r="AG83" s="1441" t="s">
        <v>135</v>
      </c>
      <c r="AH83" s="1441" t="s">
        <v>135</v>
      </c>
      <c r="AI83" s="1441" t="s">
        <v>135</v>
      </c>
      <c r="AJ83" s="1441" t="s">
        <v>135</v>
      </c>
      <c r="AK83" s="1441" t="s">
        <v>135</v>
      </c>
      <c r="AL83" s="1442">
        <v>9</v>
      </c>
      <c r="AM83" s="1442">
        <v>7</v>
      </c>
      <c r="AN83" s="1442"/>
      <c r="AO83" s="1442"/>
      <c r="AP83" s="1442"/>
      <c r="AQ83" s="1442"/>
      <c r="AR83" s="1442"/>
      <c r="AS83" s="1442"/>
      <c r="AT83" s="1441" t="s">
        <v>135</v>
      </c>
      <c r="AU83" s="1442">
        <v>9.4</v>
      </c>
      <c r="AV83" s="1443">
        <v>0</v>
      </c>
      <c r="AW83" s="744">
        <v>9.5</v>
      </c>
      <c r="AX83" s="744"/>
      <c r="AY83" s="744"/>
      <c r="AZ83" s="744"/>
      <c r="BA83" s="744"/>
      <c r="BB83" s="744"/>
      <c r="BC83" s="744"/>
      <c r="BD83" s="744"/>
      <c r="BE83" s="744"/>
      <c r="BF83" s="744"/>
      <c r="BG83" s="744"/>
      <c r="BH83" s="744"/>
      <c r="BI83" s="744"/>
      <c r="BJ83" s="744"/>
      <c r="BK83" s="744"/>
      <c r="BL83" s="1958"/>
      <c r="BM83" s="744"/>
    </row>
    <row r="84" spans="1:65" ht="15.75" thickBot="1">
      <c r="A84" s="3"/>
      <c r="B84" s="1429">
        <v>11</v>
      </c>
      <c r="C84" s="1521">
        <f>_xlfn.XLOOKUP($E84,Tabla3[CURP],Tabla3[FECHA DE INICIO (PRIMERA CLASE CALENDARIO)]," ")</f>
        <v>44604</v>
      </c>
      <c r="D84" s="1576">
        <v>326</v>
      </c>
      <c r="E84" s="1444" t="str">
        <f>_xlfn.XLOOKUP($D84,  Tabla3[No.],  Tabla3[CURP], " ")</f>
        <v>GOBA880316HCSNLB02</v>
      </c>
      <c r="F84" s="1444" t="str">
        <f>_xlfn.XLOOKUP($D84,  Tabla3[No.],  Tabla3[Matrícula Of. SEQ], " ")</f>
        <v>64LD05A-03</v>
      </c>
      <c r="G84" s="717" t="str">
        <f>IFERROR(VLOOKUP(D84,Tabla3[],5,FALSE),"")</f>
        <v>GONZALEZ BALBOA ABRAHAM</v>
      </c>
      <c r="H84" s="1308" t="str">
        <f t="shared" si="10"/>
        <v>H</v>
      </c>
      <c r="I84" s="1308" t="str">
        <f t="shared" si="11"/>
        <v>88</v>
      </c>
      <c r="J84" s="1308" t="str">
        <f t="shared" si="12"/>
        <v>03</v>
      </c>
      <c r="K84" s="1308" t="str">
        <f t="shared" si="13"/>
        <v>16</v>
      </c>
      <c r="L84" s="1434" t="str">
        <f>_xlfn.XLOOKUP($D84,  Tabla3[No.],  Tabla3[ESTATUS ACADÉMICO], " ")</f>
        <v>BAJA DEFINITIVA</v>
      </c>
      <c r="M84" s="782" t="str">
        <f>_xlfn.XLOOKUP($D84,  Tabla3[No.],  Tabla3[Grupo de clase], " ")</f>
        <v>LD04A</v>
      </c>
      <c r="N84" s="1404">
        <v>10</v>
      </c>
      <c r="O84" s="1404">
        <v>10</v>
      </c>
      <c r="P84" s="1404">
        <v>10</v>
      </c>
      <c r="Q84" s="1404">
        <v>9.3000000000000007</v>
      </c>
      <c r="R84" s="1404">
        <v>10</v>
      </c>
      <c r="S84" s="1404">
        <v>10</v>
      </c>
      <c r="T84" s="1404">
        <v>8</v>
      </c>
      <c r="U84" s="1404">
        <v>10</v>
      </c>
      <c r="V84" s="1404">
        <v>10</v>
      </c>
      <c r="W84" s="1404">
        <v>10</v>
      </c>
      <c r="X84" s="1404">
        <v>10</v>
      </c>
      <c r="Y84" s="1404">
        <v>10</v>
      </c>
      <c r="Z84" s="1404">
        <v>10</v>
      </c>
      <c r="AA84" s="1404">
        <v>9.4</v>
      </c>
      <c r="AB84" s="1404">
        <v>9.6999999999999993</v>
      </c>
      <c r="AC84" s="1377">
        <v>10</v>
      </c>
      <c r="AD84" s="744">
        <v>10</v>
      </c>
      <c r="AE84" s="744">
        <v>10</v>
      </c>
      <c r="AF84" s="744">
        <v>10</v>
      </c>
      <c r="AG84" s="744">
        <v>10</v>
      </c>
      <c r="AH84" s="744">
        <v>10</v>
      </c>
      <c r="AI84" s="744">
        <v>9.6999999999999993</v>
      </c>
      <c r="AJ84" s="1433" t="s">
        <v>135</v>
      </c>
      <c r="AK84" s="744"/>
      <c r="AL84" s="744"/>
      <c r="AM84" s="744"/>
      <c r="AN84" s="744"/>
      <c r="AO84" s="744"/>
      <c r="AP84" s="744"/>
      <c r="AQ84" s="744"/>
      <c r="AR84" s="744"/>
      <c r="AS84" s="744"/>
      <c r="AT84" s="744"/>
      <c r="AU84" s="744"/>
      <c r="AV84" s="744"/>
      <c r="AW84" s="744"/>
      <c r="AX84" s="744"/>
      <c r="AY84" s="744"/>
      <c r="AZ84" s="744"/>
      <c r="BA84" s="744"/>
      <c r="BB84" s="744"/>
      <c r="BC84" s="744"/>
      <c r="BD84" s="744"/>
      <c r="BE84" s="744"/>
      <c r="BF84" s="744"/>
      <c r="BG84" s="744"/>
      <c r="BH84" s="744"/>
      <c r="BI84" s="744"/>
      <c r="BJ84" s="744"/>
      <c r="BK84" s="744"/>
      <c r="BL84" s="1958"/>
      <c r="BM84" s="744"/>
    </row>
    <row r="85" spans="1:65" ht="15.75" thickBot="1">
      <c r="A85" s="3"/>
      <c r="B85" s="909">
        <v>12</v>
      </c>
      <c r="C85" s="1521">
        <f>_xlfn.XLOOKUP($E85,Tabla3[CURP],Tabla3[FECHA DE INICIO (PRIMERA CLASE CALENDARIO)]," ")</f>
        <v>44625</v>
      </c>
      <c r="D85" s="1576">
        <v>358</v>
      </c>
      <c r="E85" s="1445" t="str">
        <f>_xlfn.XLOOKUP($D85,  Tabla3[No.],  Tabla3[CURP], " ")</f>
        <v>BARA961008HQRZDN02</v>
      </c>
      <c r="F85" s="1445" t="str">
        <f>_xlfn.XLOOKUP($D85,  Tabla3[No.],  Tabla3[Matrícula Of. SEQ], " ")</f>
        <v>64LD05A-01</v>
      </c>
      <c r="G85" s="717" t="str">
        <f>IFERROR(VLOOKUP(D85,Tabla3[],5,FALSE),"")</f>
        <v>BAEZA RODRIGUEZ ANDRES</v>
      </c>
      <c r="H85" s="1355" t="str">
        <f t="shared" si="10"/>
        <v>H</v>
      </c>
      <c r="I85" s="1355" t="str">
        <f t="shared" si="11"/>
        <v>96</v>
      </c>
      <c r="J85" s="1355" t="str">
        <f t="shared" si="12"/>
        <v>10</v>
      </c>
      <c r="K85" s="1355" t="str">
        <f t="shared" si="13"/>
        <v>08</v>
      </c>
      <c r="L85" s="1434" t="str">
        <f>_xlfn.XLOOKUP($D85,  Tabla3[No.],  Tabla3[ESTATUS ACADÉMICO], " ")</f>
        <v>BAJA TEMPORAL</v>
      </c>
      <c r="M85" s="782" t="str">
        <f>_xlfn.XLOOKUP($D85,  Tabla3[No.],  Tabla3[Grupo de clase], " ")</f>
        <v>LD04A</v>
      </c>
      <c r="N85" s="1446">
        <v>8</v>
      </c>
      <c r="O85" s="1433" t="s">
        <v>135</v>
      </c>
      <c r="P85" s="1404">
        <v>10</v>
      </c>
      <c r="Q85" s="1404">
        <v>9</v>
      </c>
      <c r="R85" s="1404">
        <v>9</v>
      </c>
      <c r="S85" s="1404">
        <v>9</v>
      </c>
      <c r="T85" s="1404">
        <v>10</v>
      </c>
      <c r="U85" s="1404">
        <v>8</v>
      </c>
      <c r="V85" s="1404">
        <v>7</v>
      </c>
      <c r="W85" s="1404">
        <v>8</v>
      </c>
      <c r="X85" s="1404">
        <v>10</v>
      </c>
      <c r="Y85" s="1404">
        <v>7</v>
      </c>
      <c r="Z85" s="1447">
        <v>7</v>
      </c>
      <c r="AA85" s="1448" t="s">
        <v>135</v>
      </c>
      <c r="AB85" s="1302">
        <v>5</v>
      </c>
      <c r="AC85" s="1448" t="s">
        <v>135</v>
      </c>
      <c r="AD85" s="1448" t="s">
        <v>135</v>
      </c>
      <c r="AE85" s="1448" t="s">
        <v>135</v>
      </c>
      <c r="AF85" s="1448" t="s">
        <v>135</v>
      </c>
      <c r="AG85" s="1448" t="s">
        <v>135</v>
      </c>
      <c r="AH85" s="1448" t="s">
        <v>135</v>
      </c>
      <c r="AI85" s="1448" t="s">
        <v>135</v>
      </c>
      <c r="AJ85" s="1433" t="s">
        <v>135</v>
      </c>
      <c r="AK85" s="744"/>
      <c r="AL85" s="744"/>
      <c r="AM85" s="744"/>
      <c r="AN85" s="744"/>
      <c r="AO85" s="744"/>
      <c r="AP85" s="744"/>
      <c r="AQ85" s="744"/>
      <c r="AR85" s="744"/>
      <c r="AS85" s="744"/>
      <c r="AT85" s="744"/>
      <c r="AU85" s="744"/>
      <c r="AV85" s="744"/>
      <c r="AW85" s="744"/>
      <c r="AX85" s="744"/>
      <c r="AY85" s="744"/>
      <c r="AZ85" s="744"/>
      <c r="BA85" s="744"/>
      <c r="BB85" s="744"/>
      <c r="BC85" s="744"/>
      <c r="BD85" s="744"/>
      <c r="BE85" s="744"/>
      <c r="BF85" s="744"/>
      <c r="BG85" s="744"/>
      <c r="BH85" s="744"/>
      <c r="BI85" s="744"/>
      <c r="BJ85" s="744"/>
      <c r="BK85" s="744"/>
      <c r="BL85" s="1958"/>
      <c r="BM85" s="744"/>
    </row>
    <row r="86" spans="1:65" ht="15.75" thickBot="1">
      <c r="A86" s="3"/>
      <c r="B86" s="909">
        <v>13</v>
      </c>
      <c r="C86" s="1521">
        <f>_xlfn.XLOOKUP($E86,Tabla3[CURP],Tabla3[FECHA DE INICIO (PRIMERA CLASE CALENDARIO)]," ")</f>
        <v>44653</v>
      </c>
      <c r="D86" s="1576">
        <v>369</v>
      </c>
      <c r="E86" s="1449" t="str">
        <f>_xlfn.XLOOKUP($D86,  Tabla3[No.],  Tabla3[CURP], " ")</f>
        <v>POCL991024MQRLRN00</v>
      </c>
      <c r="F86" s="1449" t="str">
        <f>_xlfn.XLOOKUP($D86,  Tabla3[No.],  Tabla3[Matrícula Of. SEQ], " ")</f>
        <v>64LD05A-09</v>
      </c>
      <c r="G86" s="717" t="str">
        <f>IFERROR(VLOOKUP(D86,Tabla3[],5,FALSE),"")</f>
        <v>POOL CRUZ LANDY ESTHER</v>
      </c>
      <c r="H86" s="1450" t="str">
        <f t="shared" si="10"/>
        <v>M</v>
      </c>
      <c r="I86" s="1450" t="str">
        <f t="shared" si="11"/>
        <v>99</v>
      </c>
      <c r="J86" s="967" t="str">
        <f t="shared" si="12"/>
        <v>10</v>
      </c>
      <c r="K86" s="1450" t="str">
        <f t="shared" si="13"/>
        <v>24</v>
      </c>
      <c r="L86" s="1434" t="str">
        <f>_xlfn.XLOOKUP($D86,  Tabla3[No.],  Tabla3[ESTATUS ACADÉMICO], " ")</f>
        <v>BAJA TEMPORAL</v>
      </c>
      <c r="M86" s="782" t="str">
        <f>_xlfn.XLOOKUP($D86,  Tabla3[No.],  Tabla3[Grupo de clase], " ")</f>
        <v>LD03C</v>
      </c>
      <c r="N86" s="1404">
        <v>9.1</v>
      </c>
      <c r="O86" s="1404">
        <v>9.1</v>
      </c>
      <c r="P86" s="1404">
        <v>10</v>
      </c>
      <c r="Q86" s="1404">
        <v>10</v>
      </c>
      <c r="R86" s="1404">
        <v>10</v>
      </c>
      <c r="S86" s="1404">
        <v>9.6999999999999993</v>
      </c>
      <c r="T86" s="1404">
        <v>10</v>
      </c>
      <c r="U86" s="1404">
        <v>10</v>
      </c>
      <c r="V86" s="1404">
        <v>10</v>
      </c>
      <c r="W86" s="1404">
        <v>10</v>
      </c>
      <c r="X86" s="1404">
        <v>10</v>
      </c>
      <c r="Y86" s="1404">
        <v>10</v>
      </c>
      <c r="Z86" s="1404">
        <v>7</v>
      </c>
      <c r="AA86" s="1433" t="s">
        <v>136</v>
      </c>
      <c r="AB86" s="1433" t="s">
        <v>136</v>
      </c>
      <c r="AC86" s="1433" t="s">
        <v>136</v>
      </c>
      <c r="AD86" s="1433" t="s">
        <v>136</v>
      </c>
      <c r="AE86" s="1433" t="s">
        <v>136</v>
      </c>
      <c r="AF86" s="744"/>
      <c r="AG86" s="744"/>
      <c r="AH86" s="744"/>
      <c r="AI86" s="744"/>
      <c r="AJ86" s="744"/>
      <c r="AK86" s="744"/>
      <c r="AL86" s="744"/>
      <c r="AM86" s="744"/>
      <c r="AN86" s="744"/>
      <c r="AO86" s="744"/>
      <c r="AP86" s="744"/>
      <c r="AQ86" s="744"/>
      <c r="AR86" s="744"/>
      <c r="AS86" s="744"/>
      <c r="AT86" s="744"/>
      <c r="AU86" s="744"/>
      <c r="AV86" s="744"/>
      <c r="AW86" s="744"/>
      <c r="AX86" s="744"/>
      <c r="AY86" s="744"/>
      <c r="AZ86" s="744"/>
      <c r="BA86" s="744"/>
      <c r="BB86" s="744"/>
      <c r="BC86" s="744"/>
      <c r="BD86" s="744"/>
      <c r="BE86" s="744"/>
      <c r="BF86" s="744"/>
      <c r="BG86" s="744"/>
      <c r="BH86" s="744"/>
      <c r="BI86" s="744"/>
      <c r="BJ86" s="744"/>
      <c r="BK86" s="744"/>
      <c r="BL86" s="1958"/>
      <c r="BM86" s="744"/>
    </row>
    <row r="87" spans="1:65" ht="15.75" thickBot="1">
      <c r="A87" s="3"/>
      <c r="B87" s="909">
        <v>14</v>
      </c>
      <c r="C87" s="1521">
        <f>_xlfn.XLOOKUP($E87,Tabla3[CURP],Tabla3[FECHA DE INICIO (PRIMERA CLASE CALENDARIO)]," ")</f>
        <v>44625</v>
      </c>
      <c r="D87" s="1576">
        <v>359</v>
      </c>
      <c r="E87" s="1449" t="str">
        <f>_xlfn.XLOOKUP($D87,  Tabla3[No.],  Tabla3[CURP], " ")</f>
        <v>SALR971024HJCNZB04</v>
      </c>
      <c r="F87" s="1449" t="str">
        <f>_xlfn.XLOOKUP($D87,  Tabla3[No.],  Tabla3[Matrícula Of. SEQ], " ")</f>
        <v>64LD05A-07</v>
      </c>
      <c r="G87" s="717" t="str">
        <f>IFERROR(VLOOKUP(D87,Tabla3[],5,FALSE),"")</f>
        <v>SANCHEZ LOZA JOSE RUBEN</v>
      </c>
      <c r="H87" s="1450" t="str">
        <f t="shared" si="10"/>
        <v>H</v>
      </c>
      <c r="I87" s="1450" t="str">
        <f t="shared" si="11"/>
        <v>97</v>
      </c>
      <c r="J87" s="967" t="str">
        <f t="shared" si="12"/>
        <v>10</v>
      </c>
      <c r="K87" s="1450" t="str">
        <f t="shared" si="13"/>
        <v>24</v>
      </c>
      <c r="L87" s="1434" t="str">
        <f>_xlfn.XLOOKUP($D87,  Tabla3[No.],  Tabla3[ESTATUS ACADÉMICO], " ")</f>
        <v>BAJA TEMPORAL</v>
      </c>
      <c r="M87" s="782" t="str">
        <f>_xlfn.XLOOKUP($D87,  Tabla3[No.],  Tabla3[Grupo de clase], " ")</f>
        <v>LD04A</v>
      </c>
      <c r="N87" s="1433">
        <v>8.8000000000000007</v>
      </c>
      <c r="O87" s="1433">
        <v>8.8000000000000007</v>
      </c>
      <c r="P87" s="1404">
        <v>10</v>
      </c>
      <c r="Q87" s="1404">
        <v>9</v>
      </c>
      <c r="R87" s="1404">
        <v>9</v>
      </c>
      <c r="S87" s="1404">
        <v>9</v>
      </c>
      <c r="T87" s="1404">
        <v>7.4</v>
      </c>
      <c r="U87" s="1404">
        <v>8</v>
      </c>
      <c r="V87" s="1404">
        <v>9.8000000000000007</v>
      </c>
      <c r="W87" s="1404">
        <v>8.3000000000000007</v>
      </c>
      <c r="X87" s="1404">
        <v>7</v>
      </c>
      <c r="Y87" s="1404">
        <v>7</v>
      </c>
      <c r="Z87" s="1404">
        <v>6</v>
      </c>
      <c r="AA87" s="1404">
        <v>0</v>
      </c>
      <c r="AB87" s="1433" t="s">
        <v>136</v>
      </c>
      <c r="AC87" s="1433" t="s">
        <v>136</v>
      </c>
      <c r="AD87" s="1433" t="s">
        <v>136</v>
      </c>
      <c r="AE87" s="1433" t="s">
        <v>136</v>
      </c>
      <c r="AF87" s="744"/>
      <c r="AG87" s="744"/>
      <c r="AH87" s="744"/>
      <c r="AI87" s="744"/>
      <c r="AJ87" s="744"/>
      <c r="AK87" s="744"/>
      <c r="AL87" s="744"/>
      <c r="AM87" s="744"/>
      <c r="AN87" s="744"/>
      <c r="AO87" s="744"/>
      <c r="AP87" s="744"/>
      <c r="AQ87" s="744"/>
      <c r="AR87" s="744"/>
      <c r="AS87" s="744"/>
      <c r="AT87" s="744"/>
      <c r="AU87" s="744"/>
      <c r="AV87" s="744"/>
      <c r="AW87" s="744"/>
      <c r="AX87" s="744"/>
      <c r="AY87" s="744"/>
      <c r="AZ87" s="744"/>
      <c r="BA87" s="744"/>
      <c r="BB87" s="744"/>
      <c r="BC87" s="744"/>
      <c r="BD87" s="744"/>
      <c r="BE87" s="744"/>
      <c r="BF87" s="744"/>
      <c r="BG87" s="744"/>
      <c r="BH87" s="744"/>
      <c r="BI87" s="744"/>
      <c r="BJ87" s="744"/>
      <c r="BK87" s="744"/>
      <c r="BL87" s="1958"/>
      <c r="BM87" s="744"/>
    </row>
    <row r="88" spans="1:65" ht="15.75" thickBot="1">
      <c r="A88" s="3"/>
      <c r="B88" s="1451">
        <v>15</v>
      </c>
      <c r="C88" s="1521">
        <f>_xlfn.XLOOKUP($E88,Tabla3[CURP],Tabla3[FECHA DE INICIO (PRIMERA CLASE CALENDARIO)]," ")</f>
        <v>44604</v>
      </c>
      <c r="D88" s="1576">
        <v>67</v>
      </c>
      <c r="E88" s="1449" t="str">
        <f>_xlfn.XLOOKUP($D88,  Tabla3[No.],  Tabla3[CURP], " ")</f>
        <v>TEDR720718HNLRZB01</v>
      </c>
      <c r="F88" s="1449" t="str">
        <f>_xlfn.XLOOKUP($D88,  Tabla3[No.],  Tabla3[Matrícula Of. SEQ], " ")</f>
        <v>64LD05A-07</v>
      </c>
      <c r="G88" s="717" t="str">
        <f>IFERROR(VLOOKUP(D88,Tabla3[],5,FALSE),"")</f>
        <v>TREVIÑO DIAZ ROBERTO</v>
      </c>
      <c r="H88" s="1450" t="str">
        <f t="shared" si="10"/>
        <v>H</v>
      </c>
      <c r="I88" s="1450" t="str">
        <f t="shared" si="11"/>
        <v>72</v>
      </c>
      <c r="J88" s="967" t="str">
        <f t="shared" si="12"/>
        <v>07</v>
      </c>
      <c r="K88" s="1450" t="str">
        <f t="shared" si="13"/>
        <v>18</v>
      </c>
      <c r="L88" s="1434" t="str">
        <f>_xlfn.XLOOKUP($D88,  Tabla3[No.],  Tabla3[ESTATUS ACADÉMICO], " ")</f>
        <v>BAJA TEMPORAL</v>
      </c>
      <c r="M88" s="782" t="str">
        <f>_xlfn.XLOOKUP($D88,  Tabla3[No.],  Tabla3[Grupo de clase], " ")</f>
        <v>LD04A</v>
      </c>
      <c r="N88" s="1433" t="s">
        <v>135</v>
      </c>
      <c r="O88" s="1433" t="s">
        <v>135</v>
      </c>
      <c r="P88" s="1404">
        <v>10</v>
      </c>
      <c r="Q88" s="1404">
        <v>5</v>
      </c>
      <c r="R88" s="1404">
        <v>7</v>
      </c>
      <c r="S88" s="1404">
        <v>7</v>
      </c>
      <c r="T88" s="1404">
        <v>9</v>
      </c>
      <c r="U88" s="1404">
        <v>1.8</v>
      </c>
      <c r="V88" s="1404">
        <v>9.8000000000000007</v>
      </c>
      <c r="W88" s="1404">
        <v>0</v>
      </c>
      <c r="X88" s="1404">
        <v>10</v>
      </c>
      <c r="Y88" s="1433" t="s">
        <v>135</v>
      </c>
      <c r="Z88" s="1433" t="s">
        <v>135</v>
      </c>
      <c r="AA88" s="1433" t="s">
        <v>135</v>
      </c>
      <c r="AB88" s="1433" t="s">
        <v>135</v>
      </c>
      <c r="AC88" s="1433" t="s">
        <v>135</v>
      </c>
      <c r="AD88" s="1433" t="s">
        <v>136</v>
      </c>
      <c r="AE88" s="1433" t="s">
        <v>135</v>
      </c>
      <c r="AF88" s="744"/>
      <c r="AG88" s="744"/>
      <c r="AH88" s="744"/>
      <c r="AI88" s="744"/>
      <c r="AJ88" s="744"/>
      <c r="AK88" s="744"/>
      <c r="AL88" s="744"/>
      <c r="AM88" s="744"/>
      <c r="AN88" s="744"/>
      <c r="AO88" s="744"/>
      <c r="AP88" s="744"/>
      <c r="AQ88" s="744"/>
      <c r="AR88" s="744"/>
      <c r="AS88" s="744"/>
      <c r="AT88" s="744"/>
      <c r="AU88" s="744"/>
      <c r="AV88" s="744"/>
      <c r="AW88" s="744"/>
      <c r="AX88" s="744"/>
      <c r="AY88" s="744"/>
      <c r="AZ88" s="744"/>
      <c r="BA88" s="744"/>
      <c r="BB88" s="744"/>
      <c r="BC88" s="744"/>
      <c r="BD88" s="744"/>
      <c r="BE88" s="744"/>
      <c r="BF88" s="744"/>
      <c r="BG88" s="744"/>
      <c r="BH88" s="744"/>
      <c r="BI88" s="744"/>
      <c r="BJ88" s="744"/>
      <c r="BK88" s="744"/>
      <c r="BL88" s="1958"/>
      <c r="BM88" s="744"/>
    </row>
    <row r="89" spans="1:65" ht="15" customHeight="1" thickBot="1">
      <c r="A89" s="3"/>
      <c r="B89" s="1451">
        <v>16</v>
      </c>
      <c r="C89" s="1521">
        <f>_xlfn.XLOOKUP($E89,Tabla3[CURP],Tabla3[FECHA DE INICIO (PRIMERA CLASE CALENDARIO)]," ")</f>
        <v>44723</v>
      </c>
      <c r="D89" s="1576">
        <v>409</v>
      </c>
      <c r="E89" s="1449" t="str">
        <f>_xlfn.XLOOKUP($D89,  Tabla3[No.],  Tabla3[CURP], " ")</f>
        <v>GOCY740327MYNNTD01</v>
      </c>
      <c r="F89" s="1449" t="str">
        <f>_xlfn.XLOOKUP($D89,  Tabla3[No.],  Tabla3[Matrícula Of. SEQ], " ")</f>
        <v>64LD05A-04</v>
      </c>
      <c r="G89" s="717" t="str">
        <f>IFERROR(VLOOKUP(D89,Tabla3[],5,FALSE),"")</f>
        <v>GONGORA CETINA YADIRA SUSANA</v>
      </c>
      <c r="H89" s="1450" t="str">
        <f t="shared" si="10"/>
        <v>M</v>
      </c>
      <c r="I89" s="1450" t="str">
        <f t="shared" si="11"/>
        <v>74</v>
      </c>
      <c r="J89" s="967" t="str">
        <f t="shared" si="12"/>
        <v>03</v>
      </c>
      <c r="K89" s="1450" t="str">
        <f t="shared" si="13"/>
        <v>27</v>
      </c>
      <c r="L89" s="1434" t="str">
        <f>_xlfn.XLOOKUP($D89,  Tabla3[No.],  Tabla3[ESTATUS ACADÉMICO], " ")</f>
        <v>BAJA TEMPORAL</v>
      </c>
      <c r="M89" s="782" t="str">
        <f>_xlfn.XLOOKUP($D89,  Tabla3[No.],  Tabla3[Grupo de clase], " ")</f>
        <v>LD04A</v>
      </c>
      <c r="N89" s="1404">
        <v>7.9</v>
      </c>
      <c r="O89" s="1404">
        <v>7.9</v>
      </c>
      <c r="P89" s="1404">
        <v>8.5</v>
      </c>
      <c r="Q89" s="1404">
        <v>0</v>
      </c>
      <c r="R89" s="1404">
        <v>0</v>
      </c>
      <c r="S89" s="1404">
        <v>5</v>
      </c>
      <c r="T89" s="1404">
        <v>0</v>
      </c>
      <c r="U89" s="1404"/>
      <c r="V89" s="1404">
        <v>10</v>
      </c>
      <c r="W89" s="1404">
        <v>0</v>
      </c>
      <c r="X89" s="1404">
        <v>0</v>
      </c>
      <c r="Y89" s="1433" t="s">
        <v>135</v>
      </c>
      <c r="Z89" s="1433" t="s">
        <v>135</v>
      </c>
      <c r="AA89" s="1433" t="s">
        <v>135</v>
      </c>
      <c r="AB89" s="1433" t="s">
        <v>135</v>
      </c>
      <c r="AC89" s="1433" t="s">
        <v>135</v>
      </c>
      <c r="AD89" s="1433" t="s">
        <v>136</v>
      </c>
      <c r="AE89" s="1433" t="s">
        <v>135</v>
      </c>
      <c r="AF89" s="744"/>
      <c r="AG89" s="744"/>
      <c r="AH89" s="744"/>
      <c r="AI89" s="744"/>
      <c r="AJ89" s="744"/>
      <c r="AK89" s="744"/>
      <c r="AL89" s="744"/>
      <c r="AM89" s="744"/>
      <c r="AN89" s="744"/>
      <c r="AO89" s="744"/>
      <c r="AP89" s="744"/>
      <c r="AQ89" s="744"/>
      <c r="AR89" s="744"/>
      <c r="AS89" s="744"/>
      <c r="AT89" s="744"/>
      <c r="AU89" s="744"/>
      <c r="AV89" s="744"/>
      <c r="AW89" s="744"/>
      <c r="AX89" s="744"/>
      <c r="AY89" s="744"/>
      <c r="AZ89" s="744"/>
      <c r="BA89" s="744"/>
      <c r="BB89" s="744"/>
      <c r="BC89" s="744"/>
      <c r="BD89" s="744"/>
      <c r="BE89" s="744"/>
      <c r="BF89" s="744"/>
      <c r="BG89" s="744"/>
      <c r="BH89" s="744"/>
      <c r="BI89" s="744"/>
      <c r="BJ89" s="744"/>
      <c r="BK89" s="744"/>
      <c r="BL89" s="1958"/>
      <c r="BM89" s="744"/>
    </row>
    <row r="90" spans="1:65" ht="15" customHeight="1" thickBot="1">
      <c r="A90" s="3"/>
      <c r="B90" s="909">
        <v>17</v>
      </c>
      <c r="C90" s="1521">
        <f>_xlfn.XLOOKUP($E90,Tabla3[CURP],Tabla3[FECHA DE INICIO (PRIMERA CLASE CALENDARIO)]," ")</f>
        <v>44075</v>
      </c>
      <c r="D90" s="1576">
        <v>217</v>
      </c>
      <c r="E90" s="744" t="str">
        <f>_xlfn.XLOOKUP($D90,  Tabla3[No.],  Tabla3[CURP], " ")</f>
        <v>TERI990829MDFHYT00</v>
      </c>
      <c r="F90" s="744" t="str">
        <f>_xlfn.XLOOKUP($D90,  Tabla3[No.],  Tabla3[Matrícula Of. SEQ], " ")</f>
        <v>64LD03C-13</v>
      </c>
      <c r="G90" s="717" t="str">
        <f>IFERROR(VLOOKUP(D90,Tabla3[],5,FALSE),"")</f>
        <v>TEHUTLE RAYA ITZHEL</v>
      </c>
      <c r="H90" s="744" t="str">
        <f t="shared" si="10"/>
        <v>M</v>
      </c>
      <c r="I90" s="744" t="str">
        <f t="shared" si="11"/>
        <v>99</v>
      </c>
      <c r="J90" s="744" t="str">
        <f t="shared" si="12"/>
        <v>08</v>
      </c>
      <c r="K90" s="744" t="str">
        <f t="shared" si="13"/>
        <v>29</v>
      </c>
      <c r="L90" s="1432" t="str">
        <f>_xlfn.XLOOKUP($D90,  Tabla3[No.],  Tabla3[ESTATUS ACADÉMICO], " ")</f>
        <v>EGRESADO</v>
      </c>
      <c r="M90" s="782" t="str">
        <f>_xlfn.XLOOKUP($D90,  Tabla3[No.],  Tabla3[Grupo de clase], " ")</f>
        <v>LD03C</v>
      </c>
      <c r="N90" s="744"/>
      <c r="O90" s="744"/>
      <c r="P90" s="744"/>
      <c r="Q90" s="744"/>
      <c r="R90" s="744"/>
      <c r="S90" s="744"/>
      <c r="T90" s="744"/>
      <c r="U90" s="744"/>
      <c r="V90" s="744"/>
      <c r="W90" s="744"/>
      <c r="X90" s="744"/>
      <c r="Y90" s="744"/>
      <c r="Z90" s="744"/>
      <c r="AA90" s="744"/>
      <c r="AB90" s="744"/>
      <c r="AC90" s="744"/>
      <c r="AD90" s="744"/>
      <c r="AE90" s="744"/>
      <c r="AF90" s="744"/>
      <c r="AG90" s="744"/>
      <c r="AH90" s="744"/>
      <c r="AI90" s="744"/>
      <c r="AJ90" s="744"/>
      <c r="AK90" s="744"/>
      <c r="AL90" s="744"/>
      <c r="AM90" s="744"/>
      <c r="AN90" s="744"/>
      <c r="AO90" s="744"/>
      <c r="AP90" s="744"/>
      <c r="AQ90" s="744">
        <v>10</v>
      </c>
      <c r="AR90" s="744">
        <v>10</v>
      </c>
      <c r="AS90" s="744"/>
      <c r="AT90" s="744"/>
      <c r="AU90" s="744"/>
      <c r="AV90" s="744"/>
      <c r="AW90" s="744"/>
      <c r="AX90" s="744"/>
      <c r="AY90" s="744"/>
      <c r="AZ90" s="744"/>
      <c r="BA90" s="744"/>
      <c r="BB90" s="744"/>
      <c r="BC90" s="744"/>
      <c r="BD90" s="744"/>
      <c r="BE90" s="744"/>
      <c r="BF90" s="744"/>
      <c r="BG90" s="744"/>
      <c r="BH90" s="744"/>
      <c r="BI90" s="744"/>
      <c r="BJ90" s="744"/>
      <c r="BK90" s="744"/>
      <c r="BL90" s="1958"/>
      <c r="BM90" s="744"/>
    </row>
    <row r="91" spans="1:65" ht="15.75" thickBot="1">
      <c r="A91" s="3"/>
      <c r="B91" s="909">
        <v>18</v>
      </c>
      <c r="C91" s="1521">
        <f>_xlfn.XLOOKUP($E91,Tabla3[CURP],Tabla3[FECHA DE INICIO (PRIMERA CLASE CALENDARIO)]," ")</f>
        <v>44604</v>
      </c>
      <c r="D91" s="1576">
        <v>332</v>
      </c>
      <c r="E91" s="1449" t="str">
        <f>_xlfn.XLOOKUP($D91,  Tabla3[No.],  Tabla3[CURP], " ")</f>
        <v>MORF960825MDFRMR00</v>
      </c>
      <c r="F91" s="1449" t="str">
        <f>_xlfn.XLOOKUP($D91,  Tabla3[No.],  Tabla3[Matrícula Of. SEQ], " ")</f>
        <v>64LD05A-05</v>
      </c>
      <c r="G91" s="717" t="str">
        <f>IFERROR(VLOOKUP(D91,Tabla3[],5,FALSE),"")</f>
        <v>MORENO RAMIREZ FRIDA MARIA</v>
      </c>
      <c r="H91" s="1450" t="str">
        <f t="shared" si="10"/>
        <v>M</v>
      </c>
      <c r="I91" s="1450" t="str">
        <f t="shared" si="11"/>
        <v>96</v>
      </c>
      <c r="J91" s="967" t="str">
        <f t="shared" si="12"/>
        <v>08</v>
      </c>
      <c r="K91" s="1450" t="str">
        <f t="shared" si="13"/>
        <v>25</v>
      </c>
      <c r="L91" s="1434" t="str">
        <f>_xlfn.XLOOKUP($D91,  Tabla3[No.],  Tabla3[ESTATUS ACADÉMICO], " ")</f>
        <v>BAJA TEMPORAL</v>
      </c>
      <c r="M91" s="782" t="str">
        <f>_xlfn.XLOOKUP($D91,  Tabla3[No.],  Tabla3[Grupo de clase], " ")</f>
        <v>LD04A</v>
      </c>
      <c r="N91" s="1404">
        <v>8.1999999999999993</v>
      </c>
      <c r="O91" s="1404">
        <v>8.1999999999999993</v>
      </c>
      <c r="P91" s="1404">
        <v>10</v>
      </c>
      <c r="Q91" s="1404">
        <v>9.4</v>
      </c>
      <c r="R91" s="1404">
        <v>7</v>
      </c>
      <c r="S91" s="1404">
        <v>9.1</v>
      </c>
      <c r="T91" s="1404">
        <v>8.4</v>
      </c>
      <c r="U91" s="1404">
        <v>9.4</v>
      </c>
      <c r="V91" s="1404">
        <v>10</v>
      </c>
      <c r="W91" s="1404">
        <v>9</v>
      </c>
      <c r="X91" s="1404">
        <v>10</v>
      </c>
      <c r="Y91" s="1404">
        <v>0</v>
      </c>
      <c r="Z91" s="1404">
        <v>7</v>
      </c>
      <c r="AA91" s="1404">
        <v>0</v>
      </c>
      <c r="AB91" s="1433" t="s">
        <v>136</v>
      </c>
      <c r="AC91" s="1433" t="s">
        <v>136</v>
      </c>
      <c r="AD91" s="1433" t="s">
        <v>136</v>
      </c>
      <c r="AE91" s="1433" t="s">
        <v>135</v>
      </c>
      <c r="AF91" s="637"/>
      <c r="AG91" s="637"/>
      <c r="AH91" s="637"/>
      <c r="AI91" s="637"/>
      <c r="AJ91" s="637"/>
      <c r="AK91" s="637"/>
      <c r="AL91" s="637"/>
      <c r="AM91" s="637"/>
      <c r="AN91" s="637"/>
      <c r="AO91" s="637"/>
      <c r="AP91" s="637"/>
      <c r="AQ91" s="637"/>
      <c r="AR91" s="637"/>
      <c r="AS91" s="637"/>
      <c r="AT91" s="637"/>
      <c r="AU91" s="637"/>
      <c r="AV91" s="637"/>
      <c r="AW91" s="744"/>
      <c r="AX91" s="744"/>
      <c r="AY91" s="744"/>
      <c r="AZ91" s="744"/>
      <c r="BA91" s="744"/>
      <c r="BB91" s="744"/>
      <c r="BC91" s="744"/>
      <c r="BD91" s="744"/>
      <c r="BE91" s="744"/>
      <c r="BF91" s="744"/>
      <c r="BG91" s="744"/>
      <c r="BH91" s="744"/>
      <c r="BI91" s="744"/>
      <c r="BJ91" s="744"/>
      <c r="BK91" s="744"/>
      <c r="BL91" s="1958"/>
      <c r="BM91" s="744"/>
    </row>
    <row r="92" spans="1:65" ht="15.75" thickBot="1">
      <c r="A92" s="3"/>
      <c r="B92" s="744"/>
      <c r="C92" s="1521">
        <f>_xlfn.XLOOKUP($E92,Tabla3[CURP],Tabla3[FECHA DE INICIO (PRIMERA CLASE CALENDARIO)]," ")</f>
        <v>45059</v>
      </c>
      <c r="D92" s="1576">
        <v>525</v>
      </c>
      <c r="E92" s="1308" t="str">
        <f>_xlfn.XLOOKUP($D92,  Tabla3[No.],  Tabla3[CURP], " ")</f>
        <v>RAVM870202HDFMLR06</v>
      </c>
      <c r="F92" s="1416" t="str">
        <f>_xlfn.XLOOKUP($D92,  Tabla3[No.],  Tabla3[Matrícula Of. SEQ], " ")</f>
        <v>64LD06-01</v>
      </c>
      <c r="G92" s="717" t="str">
        <f>IFERROR(VLOOKUP(D92,Tabla3[],5,FALSE),"")</f>
        <v>RAMIREZ VALDEZ MARIO ALBERTO</v>
      </c>
      <c r="H92" s="1304" t="str">
        <f t="shared" si="10"/>
        <v>H</v>
      </c>
      <c r="I92" s="1304" t="str">
        <f t="shared" si="11"/>
        <v>87</v>
      </c>
      <c r="J92" s="1304" t="str">
        <f t="shared" si="12"/>
        <v>02</v>
      </c>
      <c r="K92" s="1304" t="str">
        <f t="shared" si="13"/>
        <v>02</v>
      </c>
      <c r="L92" s="1434" t="str">
        <f>_xlfn.XLOOKUP($D92,  Tabla3[No.],  Tabla3[ESTATUS ACADÉMICO], " ")</f>
        <v>BAJA TEMPORAL</v>
      </c>
      <c r="M92" s="782" t="str">
        <f>_xlfn.XLOOKUP($D92,  Tabla3[No.],  Tabla3[Grupo de clase], " ")</f>
        <v>LD04A</v>
      </c>
      <c r="N92" s="1433" t="s">
        <v>135</v>
      </c>
      <c r="O92" s="1433" t="s">
        <v>135</v>
      </c>
      <c r="P92" s="1433" t="s">
        <v>135</v>
      </c>
      <c r="Q92" s="1433" t="s">
        <v>135</v>
      </c>
      <c r="R92" s="1433" t="s">
        <v>135</v>
      </c>
      <c r="S92" s="1433" t="s">
        <v>135</v>
      </c>
      <c r="T92" s="1433" t="s">
        <v>135</v>
      </c>
      <c r="U92" s="1433" t="s">
        <v>135</v>
      </c>
      <c r="V92" s="1433" t="s">
        <v>135</v>
      </c>
      <c r="W92" s="1433" t="s">
        <v>135</v>
      </c>
      <c r="X92" s="1433" t="s">
        <v>135</v>
      </c>
      <c r="Y92" s="1433" t="s">
        <v>135</v>
      </c>
      <c r="Z92" s="1433" t="s">
        <v>135</v>
      </c>
      <c r="AA92" s="1433" t="s">
        <v>135</v>
      </c>
      <c r="AB92" s="1433" t="s">
        <v>135</v>
      </c>
      <c r="AC92" s="1433" t="s">
        <v>135</v>
      </c>
      <c r="AD92" s="1433" t="s">
        <v>135</v>
      </c>
      <c r="AE92" s="1433" t="s">
        <v>135</v>
      </c>
      <c r="AF92" s="1433" t="s">
        <v>135</v>
      </c>
      <c r="AG92" s="1433" t="s">
        <v>135</v>
      </c>
      <c r="AH92" s="1433" t="s">
        <v>135</v>
      </c>
      <c r="AI92" s="1433" t="s">
        <v>135</v>
      </c>
      <c r="AJ92" s="1433" t="s">
        <v>135</v>
      </c>
      <c r="AK92" s="744">
        <v>9.5</v>
      </c>
      <c r="AL92" s="637"/>
      <c r="AM92" s="637"/>
      <c r="AN92" s="744"/>
      <c r="AO92" s="744"/>
      <c r="AP92" s="744"/>
      <c r="AQ92" s="744"/>
      <c r="AR92" s="744"/>
      <c r="AS92" s="744"/>
      <c r="AT92" s="744"/>
      <c r="AU92" s="744"/>
      <c r="AV92" s="744"/>
      <c r="AW92" s="744"/>
      <c r="AX92" s="744"/>
      <c r="AY92" s="744"/>
      <c r="AZ92" s="744"/>
      <c r="BA92" s="744"/>
      <c r="BB92" s="744"/>
      <c r="BC92" s="744"/>
      <c r="BD92" s="744"/>
      <c r="BE92" s="744"/>
      <c r="BF92" s="744"/>
      <c r="BG92" s="744"/>
      <c r="BH92" s="744"/>
      <c r="BI92" s="744"/>
      <c r="BJ92" s="744"/>
      <c r="BK92" s="744"/>
      <c r="BL92" s="1958"/>
      <c r="BM92" s="744"/>
    </row>
    <row r="93" spans="1:65">
      <c r="A93" s="3"/>
      <c r="B93" s="1429"/>
      <c r="C93" s="1521">
        <f>_xlfn.XLOOKUP($E93,Tabla3[CURP],Tabla3[FECHA DE INICIO (PRIMERA CLASE CALENDARIO)]," ")</f>
        <v>44723</v>
      </c>
      <c r="D93" s="1576">
        <v>376</v>
      </c>
      <c r="E93" s="1430" t="str">
        <f>_xlfn.XLOOKUP($D93,  Tabla3[No.],  Tabla3[CURP], " ")</f>
        <v>GUVA820215HCCTZN03</v>
      </c>
      <c r="F93" s="1431" t="str">
        <f>_xlfn.XLOOKUP($D93,  Tabla3[No.],  Tabla3[Matrícula Of. SEQ], " ")</f>
        <v>64LD05D-04</v>
      </c>
      <c r="G93" s="717" t="str">
        <f>IFERROR(VLOOKUP(D93,Tabla3[],5,FALSE),"")</f>
        <v>GUTIERREZ VAZQUEZ ANGEL</v>
      </c>
      <c r="H93" s="1308" t="str">
        <f t="shared" si="10"/>
        <v>H</v>
      </c>
      <c r="I93" s="1308" t="str">
        <f t="shared" si="11"/>
        <v>82</v>
      </c>
      <c r="J93" s="1308" t="str">
        <f t="shared" si="12"/>
        <v>02</v>
      </c>
      <c r="K93" s="1308" t="str">
        <f t="shared" si="13"/>
        <v>15</v>
      </c>
      <c r="L93" s="1434" t="str">
        <f>_xlfn.XLOOKUP($D93,  Tabla3[No.],  Tabla3[ESTATUS ACADÉMICO], " ")</f>
        <v>EGRESADO</v>
      </c>
      <c r="M93" s="782" t="str">
        <f>_xlfn.XLOOKUP($D93,  Tabla3[No.],  Tabla3[Grupo de clase], " ")</f>
        <v>LD04A</v>
      </c>
      <c r="N93" s="1433" t="s">
        <v>135</v>
      </c>
      <c r="O93" s="1433" t="s">
        <v>135</v>
      </c>
      <c r="P93" s="1433" t="s">
        <v>135</v>
      </c>
      <c r="Q93" s="1433" t="s">
        <v>135</v>
      </c>
      <c r="R93" s="1433" t="s">
        <v>135</v>
      </c>
      <c r="S93" s="1433" t="s">
        <v>135</v>
      </c>
      <c r="T93" s="1404">
        <v>10</v>
      </c>
      <c r="U93" s="1404">
        <v>10</v>
      </c>
      <c r="V93" s="1404">
        <v>10</v>
      </c>
      <c r="W93" s="1404">
        <v>9</v>
      </c>
      <c r="X93" s="1404">
        <v>9</v>
      </c>
      <c r="Y93" s="1404">
        <v>10</v>
      </c>
      <c r="Z93" s="1404">
        <v>10</v>
      </c>
      <c r="AA93" s="1404">
        <v>10</v>
      </c>
      <c r="AB93" s="1404">
        <v>9.6999999999999993</v>
      </c>
      <c r="AC93" s="1377">
        <v>9.8000000000000007</v>
      </c>
      <c r="AD93" s="744">
        <v>10</v>
      </c>
      <c r="AE93" s="744">
        <v>10</v>
      </c>
      <c r="AF93" s="744">
        <v>10</v>
      </c>
      <c r="AG93" s="744">
        <v>10</v>
      </c>
      <c r="AH93" s="744">
        <v>10</v>
      </c>
      <c r="AI93" s="744">
        <v>10</v>
      </c>
      <c r="AJ93" s="744">
        <v>9.6999999999999993</v>
      </c>
      <c r="AK93" s="744">
        <v>9.5</v>
      </c>
      <c r="AL93" s="1147">
        <v>9.61</v>
      </c>
      <c r="AM93" s="1377">
        <v>9.6</v>
      </c>
      <c r="AN93" s="1377">
        <v>10</v>
      </c>
      <c r="AO93" s="744"/>
      <c r="AP93" s="744"/>
      <c r="AQ93" s="744"/>
      <c r="AR93" s="744"/>
      <c r="AS93" s="744"/>
      <c r="AT93" s="1377">
        <v>8</v>
      </c>
      <c r="AU93" s="1377">
        <v>10</v>
      </c>
      <c r="AV93" s="1377">
        <v>10</v>
      </c>
      <c r="AW93" s="744"/>
      <c r="AX93" s="744"/>
      <c r="AY93" s="744"/>
      <c r="AZ93" s="744"/>
      <c r="BA93" s="744"/>
      <c r="BB93" s="744"/>
      <c r="BC93" s="744"/>
      <c r="BD93" s="744"/>
      <c r="BE93" s="744"/>
      <c r="BF93" s="744"/>
      <c r="BG93" s="744"/>
      <c r="BH93" s="744"/>
      <c r="BI93" s="744"/>
      <c r="BJ93" s="744"/>
      <c r="BK93" s="744"/>
      <c r="BL93" s="1958"/>
      <c r="BM93" s="744"/>
    </row>
    <row r="94" spans="1:65" ht="15.75" thickBot="1">
      <c r="A94" s="3"/>
      <c r="B94" s="701"/>
      <c r="C94" s="2"/>
      <c r="D94" s="2"/>
      <c r="M94" s="2"/>
    </row>
    <row r="95" spans="1:65" ht="15.75" thickBot="1">
      <c r="A95" s="643"/>
      <c r="B95" s="4112" t="s">
        <v>5</v>
      </c>
      <c r="C95" s="645" t="s">
        <v>1630</v>
      </c>
      <c r="D95" s="645"/>
      <c r="E95" s="4100" t="s">
        <v>6</v>
      </c>
      <c r="F95" s="4100" t="s">
        <v>7</v>
      </c>
      <c r="G95" s="4120" t="s">
        <v>8</v>
      </c>
      <c r="H95" s="4121" t="s">
        <v>9</v>
      </c>
      <c r="I95" s="4124" t="s">
        <v>10</v>
      </c>
      <c r="J95" s="4125"/>
      <c r="K95" s="4125"/>
      <c r="L95" s="4127"/>
      <c r="M95" s="669"/>
      <c r="N95" s="4106" t="s">
        <v>2575</v>
      </c>
      <c r="O95" s="4101"/>
      <c r="P95" s="4101"/>
      <c r="Q95" s="4101"/>
      <c r="R95" s="4101"/>
      <c r="S95" s="4101"/>
      <c r="T95" s="4101"/>
      <c r="U95" s="4107" t="s">
        <v>2576</v>
      </c>
      <c r="V95" s="4101"/>
      <c r="W95" s="4101"/>
      <c r="X95" s="4101"/>
      <c r="Y95" s="4101"/>
      <c r="Z95" s="4101"/>
      <c r="AA95" s="4108" t="s">
        <v>2577</v>
      </c>
      <c r="AB95" s="4101"/>
      <c r="AC95" s="4101"/>
      <c r="AD95" s="4101"/>
      <c r="AE95" s="4101"/>
      <c r="AF95" s="4101"/>
      <c r="AG95" s="4113" t="s">
        <v>234</v>
      </c>
      <c r="AH95" s="4101"/>
      <c r="AI95" s="4101"/>
      <c r="AJ95" s="4101"/>
      <c r="AK95" s="4101"/>
      <c r="AL95" s="4101"/>
      <c r="AM95" s="4123" t="s">
        <v>15</v>
      </c>
      <c r="AN95" s="4101"/>
      <c r="AO95" s="4101"/>
      <c r="AP95" s="4101"/>
      <c r="AQ95" s="4101"/>
      <c r="AR95" s="4101"/>
      <c r="AS95" s="4117" t="s">
        <v>16</v>
      </c>
      <c r="AT95" s="4101"/>
      <c r="AU95" s="4101"/>
      <c r="AV95" s="4101"/>
      <c r="AW95" s="4101"/>
      <c r="AX95" s="4101"/>
      <c r="AY95" s="4118" t="s">
        <v>17</v>
      </c>
      <c r="AZ95" s="4101"/>
      <c r="BA95" s="4101"/>
      <c r="BB95" s="4101"/>
      <c r="BC95" s="4101"/>
      <c r="BD95" s="4101"/>
      <c r="BE95" s="4131" t="s">
        <v>18</v>
      </c>
      <c r="BF95" s="4101"/>
      <c r="BG95" s="4101"/>
      <c r="BH95" s="4101"/>
      <c r="BI95" s="4101"/>
      <c r="BJ95" s="4101"/>
      <c r="BK95" s="646" t="s">
        <v>235</v>
      </c>
    </row>
    <row r="96" spans="1:65" ht="87" thickBot="1">
      <c r="A96" s="643"/>
      <c r="B96" s="4101"/>
      <c r="C96" s="645" t="s">
        <v>1843</v>
      </c>
      <c r="D96" s="645"/>
      <c r="E96" s="4101"/>
      <c r="F96" s="4101"/>
      <c r="G96" s="4101"/>
      <c r="H96" s="4101"/>
      <c r="I96" s="4125"/>
      <c r="J96" s="4126"/>
      <c r="K96" s="4125"/>
      <c r="L96" s="4128"/>
      <c r="M96" s="1124" t="s">
        <v>1149</v>
      </c>
      <c r="N96" s="674"/>
      <c r="O96" s="654"/>
      <c r="P96" s="654"/>
      <c r="Q96" s="654"/>
      <c r="R96" s="654"/>
      <c r="S96" s="1880"/>
      <c r="T96" s="1880"/>
      <c r="U96" s="1881"/>
      <c r="V96" s="654"/>
      <c r="W96" s="654"/>
      <c r="X96" s="654"/>
      <c r="Y96" s="654"/>
      <c r="Z96" s="1880"/>
      <c r="AA96" s="1303" t="s">
        <v>3843</v>
      </c>
      <c r="AB96" s="1882" t="s">
        <v>3865</v>
      </c>
      <c r="AC96" s="677"/>
      <c r="AD96" s="1865"/>
      <c r="AE96" s="1882"/>
      <c r="AF96" s="677" t="s">
        <v>3843</v>
      </c>
      <c r="AG96" s="677" t="s">
        <v>3843</v>
      </c>
      <c r="AH96" s="1880"/>
      <c r="AI96" s="654"/>
      <c r="AJ96" s="1880"/>
      <c r="AK96" s="1882" t="s">
        <v>3843</v>
      </c>
      <c r="AL96" s="1882" t="s">
        <v>3843</v>
      </c>
      <c r="AM96" s="677" t="s">
        <v>3843</v>
      </c>
      <c r="AN96" s="677" t="s">
        <v>3843</v>
      </c>
      <c r="AO96" s="677" t="s">
        <v>3843</v>
      </c>
      <c r="AP96" s="677" t="s">
        <v>3843</v>
      </c>
      <c r="AQ96" s="677" t="s">
        <v>3843</v>
      </c>
      <c r="AR96" s="677" t="s">
        <v>3843</v>
      </c>
      <c r="AS96" s="677" t="s">
        <v>3843</v>
      </c>
      <c r="AT96" s="651"/>
      <c r="AU96" s="651"/>
      <c r="AV96" s="651"/>
      <c r="AW96" s="651"/>
      <c r="AX96" s="651"/>
      <c r="AY96" s="651"/>
      <c r="AZ96" s="651"/>
      <c r="BA96" s="651"/>
      <c r="BB96" s="651"/>
      <c r="BC96" s="651"/>
      <c r="BD96" s="651"/>
      <c r="BE96" s="651"/>
      <c r="BF96" s="651"/>
      <c r="BG96" s="651"/>
      <c r="BH96" s="653"/>
      <c r="BI96" s="653"/>
      <c r="BJ96" s="677"/>
      <c r="BK96" s="1240"/>
    </row>
    <row r="97" spans="1:64" ht="23.25" thickBot="1">
      <c r="A97" s="1189" t="s">
        <v>27</v>
      </c>
      <c r="B97" s="4101"/>
      <c r="C97" s="663"/>
      <c r="D97" s="663"/>
      <c r="E97" s="4101"/>
      <c r="F97" s="4101"/>
      <c r="G97" s="4101"/>
      <c r="H97" s="4101"/>
      <c r="I97" s="4125"/>
      <c r="J97" s="4125"/>
      <c r="K97" s="4125"/>
      <c r="L97" s="978"/>
      <c r="M97" s="1124" t="s">
        <v>1728</v>
      </c>
      <c r="N97" s="662" t="s">
        <v>75</v>
      </c>
      <c r="O97" s="662" t="s">
        <v>37</v>
      </c>
      <c r="P97" s="662" t="s">
        <v>41</v>
      </c>
      <c r="Q97" s="662" t="s">
        <v>42</v>
      </c>
      <c r="R97" s="662" t="s">
        <v>43</v>
      </c>
      <c r="S97" s="662" t="s">
        <v>44</v>
      </c>
      <c r="T97" s="662" t="s">
        <v>45</v>
      </c>
      <c r="U97" s="662" t="s">
        <v>47</v>
      </c>
      <c r="V97" s="662" t="s">
        <v>48</v>
      </c>
      <c r="W97" s="662" t="s">
        <v>49</v>
      </c>
      <c r="X97" s="662" t="s">
        <v>51</v>
      </c>
      <c r="Y97" s="662" t="s">
        <v>50</v>
      </c>
      <c r="Z97" s="662"/>
      <c r="AA97" s="736" t="s">
        <v>62</v>
      </c>
      <c r="AB97" s="736" t="s">
        <v>32</v>
      </c>
      <c r="AC97" s="736"/>
      <c r="AD97" s="700"/>
      <c r="AE97" s="736"/>
      <c r="AF97" s="736"/>
      <c r="AG97" s="662"/>
      <c r="AH97" s="662"/>
      <c r="AI97" s="662"/>
      <c r="AJ97" s="662"/>
      <c r="AK97" s="662"/>
      <c r="AL97" s="662"/>
      <c r="AM97" s="662"/>
      <c r="AN97" s="662"/>
      <c r="AO97" s="662"/>
      <c r="AP97" s="662"/>
      <c r="AQ97" s="662"/>
      <c r="AR97" s="662"/>
      <c r="AS97" s="662"/>
      <c r="AT97" s="662"/>
      <c r="AU97" s="662"/>
      <c r="AV97" s="662"/>
      <c r="AW97" s="662"/>
      <c r="AX97" s="662"/>
      <c r="AY97" s="662"/>
      <c r="AZ97" s="662"/>
      <c r="BA97" s="662"/>
      <c r="BB97" s="662"/>
      <c r="BC97" s="662"/>
      <c r="BD97" s="662"/>
      <c r="BE97" s="662"/>
      <c r="BF97" s="662"/>
      <c r="BG97" s="662"/>
      <c r="BH97" s="662"/>
      <c r="BI97" s="662"/>
      <c r="BJ97" s="669"/>
      <c r="BK97" s="662"/>
    </row>
    <row r="98" spans="1:64" ht="52.5" thickBot="1">
      <c r="A98" s="645" t="s">
        <v>3780</v>
      </c>
      <c r="B98" s="4101"/>
      <c r="C98" s="663" t="s">
        <v>3490</v>
      </c>
      <c r="D98" s="663" t="s">
        <v>3866</v>
      </c>
      <c r="E98" s="4101"/>
      <c r="F98" s="4101"/>
      <c r="G98" s="699" t="s">
        <v>78</v>
      </c>
      <c r="H98" s="4101"/>
      <c r="I98" s="664" t="s">
        <v>79</v>
      </c>
      <c r="J98" s="664" t="s">
        <v>80</v>
      </c>
      <c r="K98" s="664" t="s">
        <v>81</v>
      </c>
      <c r="L98" s="1126" t="s">
        <v>1759</v>
      </c>
      <c r="M98" s="1124" t="s">
        <v>3491</v>
      </c>
      <c r="N98" s="666" t="s">
        <v>106</v>
      </c>
      <c r="O98" s="666" t="s">
        <v>107</v>
      </c>
      <c r="P98" s="680" t="s">
        <v>281</v>
      </c>
      <c r="Q98" s="680" t="s">
        <v>109</v>
      </c>
      <c r="R98" s="666" t="s">
        <v>110</v>
      </c>
      <c r="S98" s="1816" t="s">
        <v>111</v>
      </c>
      <c r="T98" s="1816" t="s">
        <v>112</v>
      </c>
      <c r="U98" s="1878" t="s">
        <v>3482</v>
      </c>
      <c r="V98" s="680" t="s">
        <v>609</v>
      </c>
      <c r="W98" s="680" t="s">
        <v>3483</v>
      </c>
      <c r="X98" s="666" t="s">
        <v>3484</v>
      </c>
      <c r="Y98" s="680" t="s">
        <v>3485</v>
      </c>
      <c r="Z98" s="1767" t="s">
        <v>3726</v>
      </c>
      <c r="AA98" s="1768" t="s">
        <v>114</v>
      </c>
      <c r="AB98" s="1765" t="s">
        <v>115</v>
      </c>
      <c r="AC98" s="1769" t="s">
        <v>116</v>
      </c>
      <c r="AD98" s="1766" t="s">
        <v>117</v>
      </c>
      <c r="AE98" s="1770" t="s">
        <v>3990</v>
      </c>
      <c r="AF98" s="1771" t="s">
        <v>118</v>
      </c>
      <c r="AG98" s="1762" t="s">
        <v>3995</v>
      </c>
      <c r="AH98" s="1722" t="s">
        <v>3996</v>
      </c>
      <c r="AI98" s="1739" t="s">
        <v>3997</v>
      </c>
      <c r="AJ98" s="1722" t="s">
        <v>98</v>
      </c>
      <c r="AK98" s="1739" t="s">
        <v>123</v>
      </c>
      <c r="AL98" s="1722" t="s">
        <v>4236</v>
      </c>
      <c r="AM98" s="1739" t="s">
        <v>4043</v>
      </c>
      <c r="AN98" s="1722" t="s">
        <v>127</v>
      </c>
      <c r="AO98" s="1739" t="s">
        <v>4315</v>
      </c>
      <c r="AP98" s="1722" t="s">
        <v>4316</v>
      </c>
      <c r="AQ98" s="1739" t="s">
        <v>4317</v>
      </c>
      <c r="AR98" s="1722" t="s">
        <v>4318</v>
      </c>
      <c r="AS98" s="1739" t="s">
        <v>4319</v>
      </c>
      <c r="AT98" s="666"/>
      <c r="AU98" s="666"/>
      <c r="AV98" s="666"/>
      <c r="AW98" s="666"/>
      <c r="AX98" s="666"/>
      <c r="AY98" s="733"/>
      <c r="AZ98" s="733"/>
      <c r="BA98" s="733"/>
      <c r="BB98" s="733"/>
      <c r="BC98" s="733"/>
      <c r="BD98" s="733"/>
      <c r="BE98" s="666"/>
      <c r="BF98" s="682"/>
      <c r="BG98" s="682"/>
      <c r="BH98" s="666"/>
      <c r="BI98" s="682"/>
      <c r="BJ98" s="666"/>
      <c r="BK98" s="682"/>
    </row>
    <row r="99" spans="1:64" ht="16.5" thickBot="1">
      <c r="A99" s="3" t="s">
        <v>1839</v>
      </c>
      <c r="B99" s="718">
        <v>1</v>
      </c>
      <c r="C99" s="1521">
        <f>_xlfn.XLOOKUP($E99,Tabla3[CURP],Tabla3[FECHA DE INICIO (PRIMERA CLASE CALENDARIO)]," ")</f>
        <v>45241</v>
      </c>
      <c r="D99" s="1576">
        <v>364</v>
      </c>
      <c r="E99" s="1430" t="str">
        <f>_xlfn.XLOOKUP($D99,  Tabla3[No.],  Tabla3[CURP], " ")</f>
        <v>RORG691127MGRMSB01</v>
      </c>
      <c r="F99" s="1431" t="str">
        <f>_xlfn.XLOOKUP($D99,  Tabla3[No.],  Tabla3[Matrícula Of. SEQ], " ")</f>
        <v>64LD05D-02</v>
      </c>
      <c r="G99" s="1724" t="str">
        <f>IFERROR(VLOOKUP(D99,Tabla3[],5,FALSE),"")</f>
        <v>ROMERO RESENDIZ GABRIELA</v>
      </c>
      <c r="H99" s="1308" t="str">
        <f t="shared" ref="H99:H101" si="14">MID($E99,11,1)</f>
        <v>M</v>
      </c>
      <c r="I99" s="1308" t="str">
        <f t="shared" ref="I99:I101" si="15">MID($E99,5,2)</f>
        <v>69</v>
      </c>
      <c r="J99" s="1308" t="str">
        <f t="shared" ref="J99:J101" si="16">MID($E99,7,2)</f>
        <v>11</v>
      </c>
      <c r="K99" s="1308" t="str">
        <f t="shared" ref="K99:K101" si="17">MID($E99,9,2)</f>
        <v>27</v>
      </c>
      <c r="L99" s="1432" t="str">
        <f>_xlfn.XLOOKUP($D99,  Tabla3[No.],  Tabla3[ESTATUS ACADÉMICO], " ")</f>
        <v>EGRESADO</v>
      </c>
      <c r="M99" s="782" t="str">
        <f>_xlfn.XLOOKUP($E99, Tabla3[CURP], Tabla3[Grupo de clase])</f>
        <v>LD04A</v>
      </c>
      <c r="N99" s="1260" t="s">
        <v>135</v>
      </c>
      <c r="O99" s="1260" t="s">
        <v>135</v>
      </c>
      <c r="P99" s="1260" t="s">
        <v>135</v>
      </c>
      <c r="Q99" s="1260" t="s">
        <v>135</v>
      </c>
      <c r="R99" s="1260" t="s">
        <v>135</v>
      </c>
      <c r="S99" s="669">
        <v>10</v>
      </c>
      <c r="T99" s="669">
        <v>10</v>
      </c>
      <c r="U99" s="1249">
        <v>8.3000000000000007</v>
      </c>
      <c r="V99" s="669"/>
      <c r="W99" s="1249"/>
      <c r="X99" s="669"/>
      <c r="Y99" s="669">
        <v>10</v>
      </c>
      <c r="Z99" s="788">
        <v>9.5</v>
      </c>
      <c r="AA99" s="894">
        <v>9</v>
      </c>
      <c r="AB99" s="894">
        <v>10</v>
      </c>
      <c r="AC99" s="1763">
        <v>10</v>
      </c>
      <c r="AD99" s="894">
        <v>10</v>
      </c>
      <c r="AE99" s="1764">
        <v>9.6</v>
      </c>
      <c r="AF99" s="1260" t="s">
        <v>135</v>
      </c>
      <c r="AG99" s="1260" t="s">
        <v>135</v>
      </c>
      <c r="AH99" s="796">
        <v>9.9</v>
      </c>
      <c r="AI99" s="1260" t="s">
        <v>135</v>
      </c>
      <c r="AJ99" s="798">
        <v>10</v>
      </c>
      <c r="AK99" s="793">
        <v>10</v>
      </c>
      <c r="AL99" s="793">
        <v>10</v>
      </c>
      <c r="AM99" s="1260" t="s">
        <v>135</v>
      </c>
      <c r="AN99" s="1260" t="s">
        <v>135</v>
      </c>
      <c r="AO99" s="1260" t="s">
        <v>135</v>
      </c>
      <c r="AP99" s="1260" t="s">
        <v>135</v>
      </c>
      <c r="AQ99" s="1260" t="s">
        <v>135</v>
      </c>
      <c r="AR99" s="1260" t="s">
        <v>135</v>
      </c>
      <c r="AS99" s="1260" t="s">
        <v>135</v>
      </c>
      <c r="AT99" s="793"/>
      <c r="AU99" s="793"/>
      <c r="AV99" s="793"/>
      <c r="AW99" s="793"/>
      <c r="AX99" s="806"/>
      <c r="AY99" s="1121"/>
      <c r="AZ99" s="783"/>
      <c r="BA99" s="803"/>
      <c r="BB99" s="803"/>
      <c r="BC99" s="1116"/>
      <c r="BD99" s="1122"/>
      <c r="BE99" s="805"/>
      <c r="BF99" s="805"/>
      <c r="BG99" s="793"/>
      <c r="BH99" s="793"/>
      <c r="BI99" s="806"/>
      <c r="BJ99" s="795"/>
      <c r="BK99" s="807"/>
    </row>
    <row r="100" spans="1:64" ht="16.5" thickBot="1">
      <c r="A100" s="3" t="s">
        <v>1839</v>
      </c>
      <c r="B100" s="718">
        <v>2</v>
      </c>
      <c r="C100" s="1521">
        <f>_xlfn.XLOOKUP($E100,Tabla3[CURP],Tabla3[FECHA DE INICIO (PRIMERA CLASE CALENDARIO)]," ")</f>
        <v>45108</v>
      </c>
      <c r="D100" s="1576">
        <v>575</v>
      </c>
      <c r="E100" s="1430" t="str">
        <f>_xlfn.XLOOKUP($D100,  Tabla3[No.],  Tabla3[CURP], " ")</f>
        <v>RILA701014MCSVPD01</v>
      </c>
      <c r="F100" s="1431" t="str">
        <f>_xlfn.XLOOKUP($D100,  Tabla3[No.],  Tabla3[Matrícula Of. SEQ], " ")</f>
        <v>64LD05B-02</v>
      </c>
      <c r="G100" s="1724" t="str">
        <f>IFERROR(VLOOKUP(D100,Tabla3[],5,FALSE),"")</f>
        <v>RIVIELLO LOPEZ ADRIANA</v>
      </c>
      <c r="H100" s="1308" t="str">
        <f t="shared" si="14"/>
        <v>M</v>
      </c>
      <c r="I100" s="1308" t="str">
        <f t="shared" si="15"/>
        <v>70</v>
      </c>
      <c r="J100" s="1308" t="str">
        <f t="shared" si="16"/>
        <v>10</v>
      </c>
      <c r="K100" s="1308" t="str">
        <f t="shared" si="17"/>
        <v>14</v>
      </c>
      <c r="L100" s="1432" t="str">
        <f>_xlfn.XLOOKUP($D100,  Tabla3[No.],  Tabla3[ESTATUS ACADÉMICO], " ")</f>
        <v>EGRESADO</v>
      </c>
      <c r="M100" s="1698" t="str">
        <f>_xlfn.XLOOKUP($E100, Tabla3[CURP], Tabla3[Grupo de clase])</f>
        <v>LD04A</v>
      </c>
      <c r="N100" s="1699">
        <v>9.6999999999999993</v>
      </c>
      <c r="O100" s="1700">
        <v>10</v>
      </c>
      <c r="P100" s="1700">
        <v>8</v>
      </c>
      <c r="Q100" s="1701">
        <v>10</v>
      </c>
      <c r="R100" s="1700">
        <v>10</v>
      </c>
      <c r="S100" s="1700">
        <v>10</v>
      </c>
      <c r="T100" s="1700">
        <v>10</v>
      </c>
      <c r="U100" s="1702">
        <v>9</v>
      </c>
      <c r="V100" s="1700">
        <v>10</v>
      </c>
      <c r="W100" s="1702">
        <v>10</v>
      </c>
      <c r="X100" s="1700">
        <v>10</v>
      </c>
      <c r="Y100" s="1700">
        <v>10</v>
      </c>
      <c r="Z100" s="1703">
        <v>9.5</v>
      </c>
      <c r="AA100" s="262">
        <v>10</v>
      </c>
      <c r="AB100" s="262">
        <v>10</v>
      </c>
      <c r="AC100" s="1704">
        <v>9.85</v>
      </c>
      <c r="AD100" s="262">
        <v>10</v>
      </c>
      <c r="AE100" s="1758">
        <v>7.4</v>
      </c>
      <c r="AF100" s="1695">
        <v>10</v>
      </c>
      <c r="AG100" s="1705">
        <v>9</v>
      </c>
      <c r="AH100" s="1706"/>
      <c r="AI100" s="1707"/>
      <c r="AJ100" s="1708"/>
      <c r="AK100" s="262"/>
      <c r="AL100" s="1709"/>
      <c r="AM100" s="1710"/>
      <c r="AN100" s="262"/>
      <c r="AO100" s="1711"/>
      <c r="AP100" s="262"/>
      <c r="AQ100" s="262"/>
      <c r="AR100" s="1705"/>
      <c r="AS100" s="1710"/>
      <c r="AT100" s="41"/>
      <c r="AU100" s="41"/>
      <c r="AV100" s="41"/>
      <c r="AW100" s="41"/>
      <c r="AX100" s="811"/>
      <c r="AY100" s="1119"/>
      <c r="AZ100" s="38"/>
      <c r="BA100" s="52"/>
      <c r="BB100" s="52"/>
      <c r="BC100" s="814"/>
      <c r="BD100" s="1120"/>
      <c r="BE100" s="87"/>
      <c r="BF100" s="87"/>
      <c r="BG100" s="50"/>
      <c r="BH100" s="50"/>
      <c r="BI100" s="809"/>
      <c r="BJ100" s="79"/>
      <c r="BK100" s="810"/>
    </row>
    <row r="101" spans="1:64" ht="16.5" thickBot="1">
      <c r="A101" s="3" t="s">
        <v>1839</v>
      </c>
      <c r="B101" s="911">
        <v>3</v>
      </c>
      <c r="C101" s="1521">
        <f>_xlfn.XLOOKUP($E101,Tabla3[CURP],Tabla3[FECHA DE INICIO (PRIMERA CLASE CALENDARIO)]," ")</f>
        <v>45087</v>
      </c>
      <c r="D101" s="1576">
        <v>565</v>
      </c>
      <c r="E101" s="1430" t="str">
        <f>_xlfn.XLOOKUP($D101,  Tabla3[No.],  Tabla3[CURP], " ")</f>
        <v>GIMM800101MGT</v>
      </c>
      <c r="F101" s="1431" t="str">
        <f>_xlfn.XLOOKUP($D101,  Tabla3[No.],  Tabla3[Matrícula Of. SEQ], " ")</f>
        <v>64LD05C-04</v>
      </c>
      <c r="G101" s="1724" t="str">
        <f>IFERROR(VLOOKUP(D101,Tabla3[],5,FALSE),"")</f>
        <v>GIRON MOYNO MARIANA ETHELVINA</v>
      </c>
      <c r="H101" s="1308" t="str">
        <f t="shared" si="14"/>
        <v>M</v>
      </c>
      <c r="I101" s="1308" t="str">
        <f t="shared" si="15"/>
        <v>80</v>
      </c>
      <c r="J101" s="1308" t="str">
        <f t="shared" si="16"/>
        <v>01</v>
      </c>
      <c r="K101" s="1308" t="str">
        <f t="shared" si="17"/>
        <v>01</v>
      </c>
      <c r="L101" s="1697" t="str">
        <f>_xlfn.XLOOKUP($D101,  Tabla3[No.],  Tabla3[ESTATUS ACADÉMICO], " ")</f>
        <v>EGRESADO</v>
      </c>
      <c r="M101" s="1237" t="str">
        <f>_xlfn.XLOOKUP($E101, Tabla3[CURP], Tabla3[Grupo de clase])</f>
        <v>LD04A</v>
      </c>
      <c r="N101" s="743">
        <v>9.1</v>
      </c>
      <c r="O101" s="743"/>
      <c r="P101" s="1712" t="s">
        <v>3856</v>
      </c>
      <c r="Q101" s="744"/>
      <c r="R101" s="630"/>
      <c r="S101" s="630"/>
      <c r="T101" s="630"/>
      <c r="U101" s="748"/>
      <c r="V101" s="630"/>
      <c r="W101" s="748"/>
      <c r="X101" s="630"/>
      <c r="Y101" s="630"/>
      <c r="Z101" s="1231"/>
      <c r="AA101" s="630">
        <v>9.1999999999999993</v>
      </c>
      <c r="AB101" s="630">
        <v>10</v>
      </c>
      <c r="AC101" s="630"/>
      <c r="AD101" s="630">
        <v>10</v>
      </c>
      <c r="AE101" s="1173">
        <v>8.4</v>
      </c>
      <c r="AF101" s="1695">
        <v>10</v>
      </c>
      <c r="AG101" s="630">
        <v>9</v>
      </c>
      <c r="AH101" s="748"/>
      <c r="AI101" s="1714"/>
      <c r="AJ101" s="748"/>
      <c r="AK101" s="630"/>
      <c r="AL101" s="748"/>
      <c r="AM101" s="630"/>
      <c r="AN101" s="630"/>
      <c r="AO101" s="1715"/>
      <c r="AP101" s="630"/>
      <c r="AQ101" s="630"/>
      <c r="AR101" s="630"/>
      <c r="AS101" s="630"/>
      <c r="AT101" s="701"/>
      <c r="AU101" s="701"/>
      <c r="AV101" s="701"/>
      <c r="AW101" s="701"/>
      <c r="AX101" s="701"/>
      <c r="AY101" s="911"/>
      <c r="AZ101" s="959"/>
      <c r="BA101" s="1275"/>
      <c r="BB101" s="1275"/>
      <c r="BC101" s="911"/>
      <c r="BD101" s="701"/>
      <c r="BE101" s="701"/>
      <c r="BF101" s="701"/>
      <c r="BG101" s="1272"/>
      <c r="BH101" s="1272"/>
      <c r="BI101" s="1272"/>
      <c r="BJ101" s="701"/>
      <c r="BK101" s="701"/>
    </row>
    <row r="102" spans="1:64" ht="16.5" thickBot="1">
      <c r="A102" s="3"/>
      <c r="B102" s="911"/>
      <c r="C102" s="1521">
        <f>_xlfn.XLOOKUP($E102,Tabla3[CURP],Tabla3[FECHA DE INICIO (PRIMERA CLASE CALENDARIO)]," ")</f>
        <v>45430</v>
      </c>
      <c r="D102" s="1576">
        <v>729</v>
      </c>
      <c r="E102" s="1430" t="str">
        <f>_xlfn.XLOOKUP($D102,  Tabla3[No.],  Tabla3[CURP], " ")</f>
        <v>HEGI890515HCCRMS04</v>
      </c>
      <c r="F102" s="1431" t="str">
        <f>_xlfn.XLOOKUP($D102,  Tabla3[No.],  Tabla3[Matrícula Of. SEQ], " ")</f>
        <v>64LD05H-02</v>
      </c>
      <c r="G102" s="1724" t="str">
        <f>IFERROR(VLOOKUP(D102,Tabla3[],5,FALSE),"")</f>
        <v>HERNANDEZ GOMEZ ISIDRO</v>
      </c>
      <c r="H102" s="1308" t="str">
        <f t="shared" ref="H102:H103" si="18">MID($E102,11,1)</f>
        <v>H</v>
      </c>
      <c r="I102" s="1308" t="str">
        <f t="shared" ref="I102:I103" si="19">MID($E102,5,2)</f>
        <v>89</v>
      </c>
      <c r="J102" s="1308" t="str">
        <f t="shared" ref="J102:J103" si="20">MID($E102,7,2)</f>
        <v>05</v>
      </c>
      <c r="K102" s="1308" t="str">
        <f t="shared" ref="K102:K103" si="21">MID($E102,9,2)</f>
        <v>15</v>
      </c>
      <c r="L102" s="1697" t="str">
        <f>_xlfn.XLOOKUP($D102,  Tabla3[No.],  Tabla3[ESTATUS ACADÉMICO], " ")</f>
        <v>BAJA TEMPORAL</v>
      </c>
      <c r="M102" s="1237" t="str">
        <f>_xlfn.XLOOKUP($E102, Tabla3[CURP], Tabla3[Grupo de clase])</f>
        <v>LD04B</v>
      </c>
      <c r="N102" s="743"/>
      <c r="O102" s="743"/>
      <c r="P102" s="1712"/>
      <c r="Q102" s="744"/>
      <c r="R102" s="630"/>
      <c r="S102" s="630"/>
      <c r="T102" s="630"/>
      <c r="U102" s="748"/>
      <c r="V102" s="630"/>
      <c r="W102" s="748"/>
      <c r="X102" s="630"/>
      <c r="Y102" s="630"/>
      <c r="Z102" s="1231"/>
      <c r="AA102" s="630">
        <v>0</v>
      </c>
      <c r="AB102" s="630"/>
      <c r="AC102" s="630"/>
      <c r="AD102" s="630"/>
      <c r="AE102" s="1173">
        <v>0</v>
      </c>
      <c r="AF102" s="1713">
        <v>0</v>
      </c>
      <c r="AG102" s="630">
        <v>9</v>
      </c>
      <c r="AH102" s="748"/>
      <c r="AI102" s="1714"/>
      <c r="AJ102" s="748"/>
      <c r="AK102" s="630"/>
      <c r="AL102" s="748"/>
      <c r="AM102" s="630"/>
      <c r="AN102" s="630"/>
      <c r="AO102" s="1715"/>
      <c r="AP102" s="630"/>
      <c r="AQ102" s="630"/>
      <c r="AR102" s="630"/>
      <c r="AS102" s="630"/>
      <c r="AT102" s="701"/>
      <c r="AU102" s="701"/>
      <c r="AV102" s="701"/>
      <c r="AW102" s="701"/>
      <c r="AX102" s="701"/>
      <c r="AY102" s="911"/>
      <c r="AZ102" s="959"/>
      <c r="BA102" s="1275"/>
      <c r="BB102" s="1275"/>
      <c r="BC102" s="911"/>
      <c r="BD102" s="701"/>
      <c r="BE102" s="701"/>
      <c r="BF102" s="701"/>
      <c r="BG102" s="1272"/>
      <c r="BH102" s="1272"/>
      <c r="BI102" s="1272"/>
      <c r="BJ102" s="701"/>
      <c r="BK102" s="701"/>
    </row>
    <row r="103" spans="1:64" ht="15.75">
      <c r="A103" s="3"/>
      <c r="B103" s="911"/>
      <c r="C103" s="1521">
        <f>_xlfn.XLOOKUP($E103,Tabla3[CURP],Tabla3[FECHA DE INICIO (PRIMERA CLASE CALENDARIO)]," ")</f>
        <v>45192</v>
      </c>
      <c r="D103" s="1576">
        <v>594</v>
      </c>
      <c r="E103" s="634" t="str">
        <f>_xlfn.XLOOKUP($D103,  Tabla3[No.],  Tabla3[CURP], " ")</f>
        <v>VACS781010MNLZHM06</v>
      </c>
      <c r="F103" s="717" t="str">
        <f>_xlfn.XLOOKUP($D103,  Tabla3[No.],  Tabla3[Matrícula Of. SEQ], " ")</f>
        <v>64LD05D-03</v>
      </c>
      <c r="G103" s="1724" t="str">
        <f>IFERROR(VLOOKUP(D103,Tabla3[],5,FALSE),"")</f>
        <v>VAZQUEZ CHAN SUEMY</v>
      </c>
      <c r="H103" s="739" t="str">
        <f t="shared" si="18"/>
        <v>M</v>
      </c>
      <c r="I103" s="739" t="str">
        <f t="shared" si="19"/>
        <v>78</v>
      </c>
      <c r="J103" s="739" t="str">
        <f t="shared" si="20"/>
        <v>10</v>
      </c>
      <c r="K103" s="739" t="str">
        <f t="shared" si="21"/>
        <v>10</v>
      </c>
      <c r="L103" s="1696" t="str">
        <f>_xlfn.XLOOKUP($D103,  Tabla3[No.],  Tabla3[ESTATUS ACADÉMICO], " ")</f>
        <v>BAJA DEFINITIVA</v>
      </c>
      <c r="M103" s="1716" t="str">
        <f>_xlfn.XLOOKUP($D103,  Tabla3[No.],  Tabla3[Grupo de clase], " ")</f>
        <v>LD04A</v>
      </c>
      <c r="N103" s="743"/>
      <c r="O103" s="743"/>
      <c r="P103" s="1712"/>
      <c r="Q103" s="744"/>
      <c r="R103" s="630"/>
      <c r="S103" s="630"/>
      <c r="T103" s="630"/>
      <c r="U103" s="748"/>
      <c r="V103" s="630"/>
      <c r="W103" s="748"/>
      <c r="X103" s="630"/>
      <c r="Y103" s="630">
        <v>9</v>
      </c>
      <c r="Z103" s="1231">
        <v>9</v>
      </c>
      <c r="AA103" s="1759">
        <v>9</v>
      </c>
      <c r="AB103" s="1759">
        <v>9.4</v>
      </c>
      <c r="AC103" s="1300">
        <v>9</v>
      </c>
      <c r="AD103" s="630">
        <v>10</v>
      </c>
      <c r="AE103" s="1718">
        <v>10</v>
      </c>
      <c r="AF103" s="1695">
        <v>10</v>
      </c>
      <c r="AG103" s="630">
        <v>9</v>
      </c>
      <c r="AH103" s="748"/>
      <c r="AI103" s="1714"/>
      <c r="AJ103" s="748"/>
      <c r="AK103" s="630"/>
      <c r="AL103" s="748"/>
      <c r="AM103" s="630"/>
      <c r="AN103" s="630"/>
      <c r="AO103" s="1715"/>
      <c r="AP103" s="630"/>
      <c r="AQ103" s="630"/>
      <c r="AR103" s="630"/>
      <c r="AS103" s="630"/>
      <c r="AT103" s="701"/>
      <c r="AU103" s="701"/>
      <c r="AV103" s="701"/>
      <c r="AW103" s="701"/>
      <c r="AX103" s="701"/>
      <c r="AY103" s="911"/>
      <c r="AZ103" s="959"/>
      <c r="BA103" s="1275"/>
      <c r="BB103" s="1275"/>
      <c r="BC103" s="911"/>
      <c r="BD103" s="701"/>
      <c r="BE103" s="701"/>
      <c r="BF103" s="701"/>
      <c r="BG103" s="1272"/>
      <c r="BH103" s="1272"/>
      <c r="BI103" s="1272"/>
      <c r="BJ103" s="701"/>
      <c r="BK103" s="701"/>
    </row>
    <row r="104" spans="1:64" ht="15.75">
      <c r="A104" s="3"/>
      <c r="B104" s="911"/>
      <c r="C104" s="1521" t="str">
        <f>_xlfn.XLOOKUP($E104,Tabla3[CURP],Tabla3[FECHA DE INICIO (PRIMERA CLASE CALENDARIO)]," ")</f>
        <v xml:space="preserve"> </v>
      </c>
      <c r="D104" s="1521"/>
      <c r="E104" s="1692"/>
      <c r="F104" s="1537"/>
      <c r="G104" s="1693"/>
      <c r="H104" s="959"/>
      <c r="I104" s="959"/>
      <c r="J104" s="959"/>
      <c r="K104" s="959"/>
      <c r="L104" s="1361"/>
      <c r="M104" s="1716"/>
      <c r="N104" s="743"/>
      <c r="O104" s="743"/>
      <c r="P104" s="1712"/>
      <c r="Q104" s="744"/>
      <c r="R104" s="630"/>
      <c r="S104" s="630"/>
      <c r="T104" s="630"/>
      <c r="U104" s="748"/>
      <c r="V104" s="630"/>
      <c r="W104" s="748"/>
      <c r="X104" s="630"/>
      <c r="Y104" s="630"/>
      <c r="Z104" s="1231"/>
      <c r="AA104" s="630"/>
      <c r="AB104" s="630"/>
      <c r="AC104" s="630"/>
      <c r="AD104" s="630"/>
      <c r="AE104" s="1173"/>
      <c r="AF104" s="1713"/>
      <c r="AG104" s="630"/>
      <c r="AH104" s="748"/>
      <c r="AI104" s="1714"/>
      <c r="AJ104" s="748"/>
      <c r="AK104" s="630"/>
      <c r="AL104" s="748"/>
      <c r="AM104" s="630"/>
      <c r="AN104" s="630"/>
      <c r="AO104" s="1715"/>
      <c r="AP104" s="630"/>
      <c r="AQ104" s="630"/>
      <c r="AR104" s="630"/>
      <c r="AS104" s="630"/>
      <c r="AT104" s="701"/>
      <c r="AU104" s="701"/>
      <c r="AV104" s="701"/>
      <c r="AW104" s="701"/>
      <c r="AX104" s="701"/>
      <c r="AY104" s="911"/>
      <c r="AZ104" s="959"/>
      <c r="BA104" s="1275"/>
      <c r="BB104" s="1275"/>
      <c r="BC104" s="911"/>
      <c r="BD104" s="701"/>
      <c r="BE104" s="701"/>
      <c r="BF104" s="701"/>
      <c r="BG104" s="1272"/>
      <c r="BH104" s="1272"/>
      <c r="BI104" s="1272"/>
      <c r="BJ104" s="701"/>
      <c r="BK104" s="701"/>
    </row>
    <row r="105" spans="1:64" s="1747" customFormat="1">
      <c r="A105" s="1744"/>
      <c r="B105" s="1745"/>
      <c r="C105" s="1746"/>
      <c r="D105" s="1746"/>
      <c r="M105" s="1746"/>
      <c r="BL105" s="2151"/>
    </row>
    <row r="106" spans="1:64" ht="15.75" thickBot="1">
      <c r="A106" s="3"/>
      <c r="B106" s="701"/>
      <c r="C106" s="2"/>
      <c r="D106" s="2"/>
      <c r="M106" s="2"/>
    </row>
    <row r="107" spans="1:64" ht="15.75" thickBot="1">
      <c r="A107" s="643"/>
      <c r="B107" s="4112" t="s">
        <v>5</v>
      </c>
      <c r="C107" s="645" t="s">
        <v>1630</v>
      </c>
      <c r="D107" s="645"/>
      <c r="E107" s="4100" t="s">
        <v>6</v>
      </c>
      <c r="F107" s="4100" t="s">
        <v>7</v>
      </c>
      <c r="G107" s="4120" t="s">
        <v>8</v>
      </c>
      <c r="H107" s="4121" t="s">
        <v>9</v>
      </c>
      <c r="I107" s="4124" t="s">
        <v>10</v>
      </c>
      <c r="J107" s="4125"/>
      <c r="K107" s="4125"/>
      <c r="L107" s="4127"/>
      <c r="M107" s="669"/>
      <c r="N107" s="4106" t="s">
        <v>2575</v>
      </c>
      <c r="O107" s="4101"/>
      <c r="P107" s="4101"/>
      <c r="Q107" s="4101"/>
      <c r="R107" s="4101"/>
      <c r="S107" s="4101"/>
      <c r="T107" s="4101"/>
      <c r="U107" s="4107" t="s">
        <v>2576</v>
      </c>
      <c r="V107" s="4101"/>
      <c r="W107" s="4101"/>
      <c r="X107" s="4101"/>
      <c r="Y107" s="4101"/>
      <c r="Z107" s="4101"/>
      <c r="AA107" s="4108" t="s">
        <v>2577</v>
      </c>
      <c r="AB107" s="4101"/>
      <c r="AC107" s="4101"/>
      <c r="AD107" s="4101"/>
      <c r="AE107" s="4101"/>
      <c r="AF107" s="4101"/>
      <c r="AG107" s="4113" t="s">
        <v>234</v>
      </c>
      <c r="AH107" s="4101"/>
      <c r="AI107" s="4101"/>
      <c r="AJ107" s="4101"/>
      <c r="AK107" s="4101"/>
      <c r="AL107" s="4101"/>
      <c r="AM107" s="4123" t="s">
        <v>15</v>
      </c>
      <c r="AN107" s="4101"/>
      <c r="AO107" s="4101"/>
      <c r="AP107" s="4101"/>
      <c r="AQ107" s="4101"/>
      <c r="AR107" s="4101"/>
      <c r="AS107" s="4117" t="s">
        <v>16</v>
      </c>
      <c r="AT107" s="4101"/>
      <c r="AU107" s="4101"/>
      <c r="AV107" s="4101"/>
      <c r="AW107" s="4101"/>
      <c r="AX107" s="4101"/>
      <c r="AY107" s="4118" t="s">
        <v>17</v>
      </c>
      <c r="AZ107" s="4101"/>
      <c r="BA107" s="4101"/>
      <c r="BB107" s="4101"/>
      <c r="BC107" s="4101"/>
      <c r="BD107" s="4101"/>
      <c r="BE107" s="4131" t="s">
        <v>18</v>
      </c>
      <c r="BF107" s="4101"/>
      <c r="BG107" s="4101"/>
      <c r="BH107" s="4101"/>
      <c r="BI107" s="4101"/>
      <c r="BJ107" s="4101"/>
      <c r="BK107" s="646" t="s">
        <v>235</v>
      </c>
      <c r="BL107" s="2218"/>
    </row>
    <row r="108" spans="1:64" ht="23.25" thickBot="1">
      <c r="A108" s="643"/>
      <c r="B108" s="4101"/>
      <c r="C108" s="645" t="s">
        <v>1843</v>
      </c>
      <c r="D108" s="645"/>
      <c r="E108" s="4101"/>
      <c r="F108" s="4101"/>
      <c r="G108" s="4101"/>
      <c r="H108" s="4101"/>
      <c r="I108" s="4125"/>
      <c r="J108" s="4126"/>
      <c r="K108" s="4125"/>
      <c r="L108" s="4128"/>
      <c r="M108" s="1124" t="s">
        <v>1149</v>
      </c>
      <c r="N108" s="674"/>
      <c r="O108" s="654"/>
      <c r="P108" s="654"/>
      <c r="Q108" s="654"/>
      <c r="R108" s="654"/>
      <c r="S108" s="654"/>
      <c r="T108" s="654"/>
      <c r="U108" s="674"/>
      <c r="V108" s="654"/>
      <c r="W108" s="654"/>
      <c r="X108" s="654"/>
      <c r="Y108" s="654"/>
      <c r="Z108" s="654"/>
      <c r="AA108" s="675"/>
      <c r="AB108" s="654"/>
      <c r="AC108" s="654"/>
      <c r="AD108" s="654"/>
      <c r="AE108" s="654"/>
      <c r="AF108" s="654"/>
      <c r="AG108" s="675"/>
      <c r="AH108" s="654"/>
      <c r="AI108" s="654"/>
      <c r="AJ108" s="654"/>
      <c r="AK108" s="654"/>
      <c r="AL108" s="654"/>
      <c r="AM108" s="670"/>
      <c r="AN108" s="648"/>
      <c r="AO108" s="651"/>
      <c r="AP108" s="651"/>
      <c r="AQ108" s="651"/>
      <c r="AR108" s="651"/>
      <c r="AS108" s="651"/>
      <c r="AT108" s="651"/>
      <c r="AU108" s="651"/>
      <c r="AV108" s="651"/>
      <c r="AW108" s="651"/>
      <c r="AX108" s="651"/>
      <c r="AY108" s="651"/>
      <c r="AZ108" s="651"/>
      <c r="BA108" s="651"/>
      <c r="BB108" s="651"/>
      <c r="BC108" s="651"/>
      <c r="BD108" s="651"/>
      <c r="BE108" s="651"/>
      <c r="BF108" s="651"/>
      <c r="BG108" s="651"/>
      <c r="BH108" s="653"/>
      <c r="BI108" s="653"/>
      <c r="BJ108" s="677"/>
      <c r="BK108" s="1240"/>
      <c r="BL108" s="4129"/>
    </row>
    <row r="109" spans="1:64" ht="23.25" thickBot="1">
      <c r="A109" s="1189" t="s">
        <v>27</v>
      </c>
      <c r="B109" s="4101"/>
      <c r="C109" s="663"/>
      <c r="D109" s="663"/>
      <c r="E109" s="4101"/>
      <c r="F109" s="4101"/>
      <c r="G109" s="4101"/>
      <c r="H109" s="4101"/>
      <c r="I109" s="4125"/>
      <c r="J109" s="4125"/>
      <c r="K109" s="4125"/>
      <c r="L109" s="978"/>
      <c r="M109" s="1124" t="s">
        <v>1728</v>
      </c>
      <c r="N109" s="662" t="s">
        <v>36</v>
      </c>
      <c r="O109" s="662" t="s">
        <v>39</v>
      </c>
      <c r="P109" s="662" t="s">
        <v>38</v>
      </c>
      <c r="Q109" s="662" t="s">
        <v>40</v>
      </c>
      <c r="R109" s="662" t="s">
        <v>75</v>
      </c>
      <c r="S109" s="662" t="s">
        <v>37</v>
      </c>
      <c r="T109" s="662" t="s">
        <v>41</v>
      </c>
      <c r="U109" s="662" t="s">
        <v>42</v>
      </c>
      <c r="V109" s="662" t="s">
        <v>43</v>
      </c>
      <c r="W109" s="662" t="s">
        <v>44</v>
      </c>
      <c r="X109" s="662" t="s">
        <v>45</v>
      </c>
      <c r="Y109" s="662" t="s">
        <v>47</v>
      </c>
      <c r="Z109" s="662" t="s">
        <v>48</v>
      </c>
      <c r="AA109" s="662" t="s">
        <v>49</v>
      </c>
      <c r="AB109" s="662" t="s">
        <v>51</v>
      </c>
      <c r="AC109" s="662" t="s">
        <v>50</v>
      </c>
      <c r="AD109" s="662" t="s">
        <v>43</v>
      </c>
      <c r="AE109" s="1424" t="s">
        <v>52</v>
      </c>
      <c r="AF109" s="1424" t="s">
        <v>53</v>
      </c>
      <c r="AG109" s="1424" t="s">
        <v>54</v>
      </c>
      <c r="AH109" s="1424" t="s">
        <v>55</v>
      </c>
      <c r="AI109" s="1424" t="s">
        <v>56</v>
      </c>
      <c r="AJ109" s="1424" t="s">
        <v>57</v>
      </c>
      <c r="AK109" s="1424" t="s">
        <v>58</v>
      </c>
      <c r="AL109" s="1424" t="s">
        <v>59</v>
      </c>
      <c r="AM109" s="1424" t="s">
        <v>60</v>
      </c>
      <c r="AN109" s="2215" t="s">
        <v>66</v>
      </c>
      <c r="AO109" s="2215" t="s">
        <v>3758</v>
      </c>
      <c r="AP109" s="2215" t="s">
        <v>68</v>
      </c>
      <c r="AQ109" s="2216" t="s">
        <v>3759</v>
      </c>
      <c r="AR109" s="2216" t="s">
        <v>69</v>
      </c>
      <c r="AS109" s="2216" t="s">
        <v>4042</v>
      </c>
      <c r="AT109" s="662" t="s">
        <v>260</v>
      </c>
      <c r="AU109" s="662" t="s">
        <v>60</v>
      </c>
      <c r="AV109" s="662" t="s">
        <v>260</v>
      </c>
      <c r="AW109" s="662" t="s">
        <v>63</v>
      </c>
      <c r="AX109" s="662" t="s">
        <v>64</v>
      </c>
      <c r="AY109" s="662" t="s">
        <v>65</v>
      </c>
      <c r="AZ109" s="662" t="s">
        <v>66</v>
      </c>
      <c r="BA109" s="662" t="s">
        <v>67</v>
      </c>
      <c r="BB109" s="662" t="s">
        <v>68</v>
      </c>
      <c r="BC109" s="662" t="s">
        <v>69</v>
      </c>
      <c r="BD109" s="662" t="s">
        <v>261</v>
      </c>
      <c r="BE109" s="662" t="s">
        <v>70</v>
      </c>
      <c r="BF109" s="662" t="s">
        <v>71</v>
      </c>
      <c r="BG109" s="662" t="s">
        <v>72</v>
      </c>
      <c r="BH109" s="662" t="s">
        <v>73</v>
      </c>
      <c r="BI109" s="662" t="s">
        <v>74</v>
      </c>
      <c r="BJ109" s="669" t="s">
        <v>262</v>
      </c>
      <c r="BK109" s="662" t="s">
        <v>76</v>
      </c>
      <c r="BL109" s="4130"/>
    </row>
    <row r="110" spans="1:64" ht="60.75" thickBot="1">
      <c r="A110" s="645" t="s">
        <v>1839</v>
      </c>
      <c r="B110" s="4101"/>
      <c r="C110" s="663" t="s">
        <v>3480</v>
      </c>
      <c r="D110" s="663"/>
      <c r="E110" s="4101"/>
      <c r="F110" s="4101"/>
      <c r="G110" s="699" t="s">
        <v>78</v>
      </c>
      <c r="H110" s="4101"/>
      <c r="I110" s="664" t="s">
        <v>79</v>
      </c>
      <c r="J110" s="664" t="s">
        <v>80</v>
      </c>
      <c r="K110" s="664" t="s">
        <v>81</v>
      </c>
      <c r="L110" s="1126" t="s">
        <v>1759</v>
      </c>
      <c r="M110" s="1124" t="s">
        <v>3491</v>
      </c>
      <c r="N110" s="666" t="s">
        <v>102</v>
      </c>
      <c r="O110" s="679" t="s">
        <v>103</v>
      </c>
      <c r="P110" s="666" t="s">
        <v>3481</v>
      </c>
      <c r="Q110" s="679" t="s">
        <v>105</v>
      </c>
      <c r="R110" s="666" t="s">
        <v>106</v>
      </c>
      <c r="S110" s="666" t="s">
        <v>107</v>
      </c>
      <c r="T110" s="680" t="s">
        <v>281</v>
      </c>
      <c r="U110" s="680" t="s">
        <v>109</v>
      </c>
      <c r="V110" s="666" t="s">
        <v>110</v>
      </c>
      <c r="W110" s="666" t="s">
        <v>111</v>
      </c>
      <c r="X110" s="666" t="s">
        <v>112</v>
      </c>
      <c r="Y110" s="679" t="s">
        <v>3482</v>
      </c>
      <c r="Z110" s="680" t="s">
        <v>609</v>
      </c>
      <c r="AA110" s="680" t="s">
        <v>3483</v>
      </c>
      <c r="AB110" s="681" t="s">
        <v>3484</v>
      </c>
      <c r="AC110" s="680" t="s">
        <v>3485</v>
      </c>
      <c r="AD110" s="680" t="s">
        <v>3486</v>
      </c>
      <c r="AE110" s="1959" t="s">
        <v>105</v>
      </c>
      <c r="AF110" s="1959" t="s">
        <v>106</v>
      </c>
      <c r="AG110" s="1959" t="s">
        <v>107</v>
      </c>
      <c r="AH110" s="1959" t="s">
        <v>281</v>
      </c>
      <c r="AI110" s="1959" t="s">
        <v>109</v>
      </c>
      <c r="AJ110" s="1959" t="s">
        <v>110</v>
      </c>
      <c r="AK110" s="1959" t="s">
        <v>111</v>
      </c>
      <c r="AL110" s="1961" t="s">
        <v>112</v>
      </c>
      <c r="AM110" s="1963" t="s">
        <v>3482</v>
      </c>
      <c r="AN110" s="1964" t="s">
        <v>609</v>
      </c>
      <c r="AO110" s="1359" t="s">
        <v>3483</v>
      </c>
      <c r="AP110" s="1962" t="s">
        <v>3484</v>
      </c>
      <c r="AQ110" s="1965" t="s">
        <v>3485</v>
      </c>
      <c r="AR110" s="1966" t="s">
        <v>114</v>
      </c>
      <c r="AS110" s="1967" t="s">
        <v>115</v>
      </c>
      <c r="AT110" s="666"/>
      <c r="AU110" s="666"/>
      <c r="AV110" s="666"/>
      <c r="AW110" s="666"/>
      <c r="AX110" s="666"/>
      <c r="AY110" s="733"/>
      <c r="AZ110" s="733"/>
      <c r="BA110" s="733"/>
      <c r="BB110" s="733"/>
      <c r="BC110" s="733"/>
      <c r="BD110" s="733"/>
      <c r="BE110" s="666"/>
      <c r="BF110" s="682"/>
      <c r="BG110" s="682"/>
      <c r="BH110" s="666"/>
      <c r="BI110" s="682"/>
      <c r="BJ110" s="666"/>
      <c r="BK110" s="682"/>
      <c r="BL110" s="2234" t="s">
        <v>1394</v>
      </c>
    </row>
    <row r="111" spans="1:64" ht="16.5" thickBot="1">
      <c r="A111" s="3"/>
      <c r="B111" s="718">
        <v>1</v>
      </c>
      <c r="C111" s="1243">
        <f>_xlfn.XLOOKUP($E111,Tabla3[CURP],Tabla3[FECHA DE INICIO (PRIMERA CLASE CALENDARIO)]," ")</f>
        <v>44995</v>
      </c>
      <c r="D111" s="1242">
        <v>488</v>
      </c>
      <c r="E111" s="1525" t="str">
        <f>_xlfn.XLOOKUP($D111,  Tabla3[No.],  Tabla3[CURP], " ")</f>
        <v>TUMN901201MQRZDT02</v>
      </c>
      <c r="F111" s="781" t="str">
        <f>_xlfn.XLOOKUP($E111, Tabla3[CURP], Tabla3[Matrícula Of. SEQ])</f>
        <v>64LD05A-02</v>
      </c>
      <c r="G111" s="782" t="str">
        <f>IFERROR(VLOOKUP(D111,Tabla3[],5,FALSE),"")</f>
        <v>TUZ MEDINA NATALIA TRINIDAD</v>
      </c>
      <c r="H111" s="783" t="str">
        <f>MID($E111,11,1)</f>
        <v>M</v>
      </c>
      <c r="I111" s="783" t="str">
        <f>MID($E111,5,2)</f>
        <v>90</v>
      </c>
      <c r="J111" s="783" t="str">
        <f>MID($E111,7,2)</f>
        <v>12</v>
      </c>
      <c r="K111" s="784" t="str">
        <f>MID($E111,9,2)</f>
        <v>01</v>
      </c>
      <c r="L111" s="1261" t="s">
        <v>1761</v>
      </c>
      <c r="M111" s="782" t="str">
        <f>_xlfn.XLOOKUP($E111, Tabla3[CURP], Tabla3[Grupo de clase])</f>
        <v>LD04A</v>
      </c>
      <c r="N111" s="786">
        <v>10</v>
      </c>
      <c r="O111" s="787">
        <v>9.1999999999999993</v>
      </c>
      <c r="P111" s="787">
        <v>8.3000000000000007</v>
      </c>
      <c r="Q111" s="783">
        <v>7</v>
      </c>
      <c r="R111" s="787">
        <v>9</v>
      </c>
      <c r="S111" s="787">
        <v>8.4</v>
      </c>
      <c r="T111" s="788">
        <v>6</v>
      </c>
      <c r="U111" s="789">
        <v>8</v>
      </c>
      <c r="V111" s="783">
        <v>8</v>
      </c>
      <c r="W111" s="783">
        <v>8</v>
      </c>
      <c r="X111" s="783">
        <v>8</v>
      </c>
      <c r="Y111" s="790"/>
      <c r="Z111" s="788">
        <v>8.6999999999999993</v>
      </c>
      <c r="AA111" s="792">
        <v>9.1999999999999993</v>
      </c>
      <c r="AB111" s="793">
        <v>9</v>
      </c>
      <c r="AC111" s="794">
        <v>7</v>
      </c>
      <c r="AD111" s="793">
        <v>9.5</v>
      </c>
      <c r="AE111" s="793"/>
      <c r="AF111" s="795"/>
      <c r="AG111" s="796"/>
      <c r="AH111" s="797"/>
      <c r="AI111" s="798"/>
      <c r="AJ111" s="793"/>
      <c r="AK111" s="793"/>
      <c r="AL111" s="799"/>
      <c r="AM111" s="792"/>
      <c r="AN111" s="793"/>
      <c r="AO111" s="800"/>
      <c r="AP111" s="793"/>
      <c r="AQ111" s="793"/>
      <c r="AR111" s="795"/>
      <c r="AS111" s="792"/>
      <c r="AT111" s="793"/>
      <c r="AU111" s="793"/>
      <c r="AV111" s="793"/>
      <c r="AW111" s="793"/>
      <c r="AX111" s="806"/>
      <c r="AY111" s="1121"/>
      <c r="AZ111" s="783"/>
      <c r="BA111" s="803"/>
      <c r="BB111" s="803"/>
      <c r="BC111" s="1116"/>
      <c r="BD111" s="1122"/>
      <c r="BE111" s="805"/>
      <c r="BF111" s="805"/>
      <c r="BG111" s="793"/>
      <c r="BH111" s="793"/>
      <c r="BI111" s="806"/>
      <c r="BJ111" s="795"/>
      <c r="BK111" s="807"/>
      <c r="BL111" s="2223"/>
    </row>
    <row r="112" spans="1:64" ht="16.5" thickBot="1">
      <c r="A112" s="3"/>
      <c r="B112" s="718">
        <v>2</v>
      </c>
      <c r="C112" s="1243">
        <f>_xlfn.XLOOKUP($E112,Tabla3[CURP],Tabla3[FECHA DE INICIO (PRIMERA CLASE CALENDARIO)]," ")</f>
        <v>44287</v>
      </c>
      <c r="D112" s="1242">
        <v>207</v>
      </c>
      <c r="E112" s="1526" t="str">
        <f>_xlfn.XLOOKUP($D112,  Tabla3[No.],  Tabla3[CURP], " ")</f>
        <v>AOZY820121MVZRXZ06</v>
      </c>
      <c r="F112" s="781" t="str">
        <f>_xlfn.XLOOKUP($E112, Tabla3[CURP], Tabla3[Matrícula Of. SEQ])</f>
        <v>64LD05B-01</v>
      </c>
      <c r="G112" s="782" t="str">
        <f>IFERROR(VLOOKUP(D112,Tabla3[],5,FALSE),"")</f>
        <v>ARCOS ZUÑIGA YAZMIN</v>
      </c>
      <c r="H112" s="783" t="str">
        <f>MID($E112,11,1)</f>
        <v>M</v>
      </c>
      <c r="I112" s="783" t="str">
        <f>MID($E112,5,2)</f>
        <v>82</v>
      </c>
      <c r="J112" s="783" t="str">
        <f>MID($E112,7,2)</f>
        <v>01</v>
      </c>
      <c r="K112" s="784" t="str">
        <f>MID($E112,9,2)</f>
        <v>21</v>
      </c>
      <c r="L112" s="1262" t="s">
        <v>1761</v>
      </c>
      <c r="M112" s="782" t="str">
        <f>_xlfn.XLOOKUP($E112, Tabla3[CURP], Tabla3[Grupo de clase])</f>
        <v>LD04A</v>
      </c>
      <c r="N112" s="70"/>
      <c r="O112" s="71"/>
      <c r="P112" s="71"/>
      <c r="Q112" s="38">
        <v>10</v>
      </c>
      <c r="R112" s="71">
        <v>9.6999999999999993</v>
      </c>
      <c r="S112" s="71">
        <v>10</v>
      </c>
      <c r="T112" s="72">
        <v>6</v>
      </c>
      <c r="U112" s="73">
        <v>8</v>
      </c>
      <c r="V112" s="38">
        <v>8</v>
      </c>
      <c r="W112" s="38">
        <v>9</v>
      </c>
      <c r="X112" s="38">
        <v>8</v>
      </c>
      <c r="Y112" s="74">
        <v>10</v>
      </c>
      <c r="Z112" s="72">
        <v>7</v>
      </c>
      <c r="AA112" s="76">
        <v>8.9</v>
      </c>
      <c r="AB112" s="41">
        <v>10</v>
      </c>
      <c r="AC112" s="77">
        <v>0</v>
      </c>
      <c r="AD112" s="41">
        <v>9.5</v>
      </c>
      <c r="AE112" s="744">
        <v>10</v>
      </c>
      <c r="AF112" s="744">
        <v>9.6999999999999993</v>
      </c>
      <c r="AG112" s="744">
        <v>10</v>
      </c>
      <c r="AH112" s="744">
        <v>6</v>
      </c>
      <c r="AI112" s="744">
        <v>8</v>
      </c>
      <c r="AJ112" s="744">
        <v>8</v>
      </c>
      <c r="AK112" s="744">
        <v>9</v>
      </c>
      <c r="AL112" s="744">
        <v>8</v>
      </c>
      <c r="AM112" s="744">
        <v>10</v>
      </c>
      <c r="AN112" s="744">
        <v>7</v>
      </c>
      <c r="AO112" s="744">
        <v>8.9</v>
      </c>
      <c r="AP112" s="744">
        <v>10</v>
      </c>
      <c r="AQ112" s="744">
        <v>9.5</v>
      </c>
      <c r="AR112" s="744">
        <v>8</v>
      </c>
      <c r="AS112" s="744">
        <v>9</v>
      </c>
      <c r="AT112" s="41"/>
      <c r="AU112" s="41"/>
      <c r="AV112" s="41"/>
      <c r="AW112" s="41"/>
      <c r="AX112" s="811"/>
      <c r="AY112" s="1119"/>
      <c r="AZ112" s="38"/>
      <c r="BA112" s="52"/>
      <c r="BB112" s="52"/>
      <c r="BC112" s="814"/>
      <c r="BD112" s="1120"/>
      <c r="BE112" s="87"/>
      <c r="BF112" s="87"/>
      <c r="BG112" s="50"/>
      <c r="BH112" s="50"/>
      <c r="BI112" s="809"/>
      <c r="BJ112" s="79"/>
      <c r="BK112" s="810"/>
      <c r="BL112" s="2224">
        <f>AVERAGE(Q112:BK112)</f>
        <v>8.4551724137931039</v>
      </c>
    </row>
    <row r="113" spans="1:72">
      <c r="A113" s="3"/>
      <c r="B113" s="701"/>
      <c r="C113" s="2"/>
      <c r="D113" s="2"/>
      <c r="M113" s="2"/>
    </row>
    <row r="114" spans="1:72">
      <c r="A114" s="3"/>
      <c r="B114" s="701"/>
      <c r="C114" s="2"/>
      <c r="D114" s="2"/>
      <c r="M114" s="2"/>
    </row>
    <row r="115" spans="1:72" ht="15.75" thickBot="1">
      <c r="A115" s="3"/>
      <c r="B115" s="701"/>
      <c r="C115" s="2"/>
      <c r="D115" s="2"/>
      <c r="M115" s="2"/>
    </row>
    <row r="116" spans="1:72" ht="15.75" thickBot="1">
      <c r="A116" s="643"/>
      <c r="B116" s="4112" t="s">
        <v>5</v>
      </c>
      <c r="C116" s="645" t="s">
        <v>1630</v>
      </c>
      <c r="D116" s="645"/>
      <c r="E116" s="4100" t="s">
        <v>6</v>
      </c>
      <c r="F116" s="4100" t="s">
        <v>7</v>
      </c>
      <c r="G116" s="4120" t="s">
        <v>8</v>
      </c>
      <c r="H116" s="4121" t="s">
        <v>9</v>
      </c>
      <c r="I116" s="4124" t="s">
        <v>10</v>
      </c>
      <c r="J116" s="4125"/>
      <c r="K116" s="4125"/>
      <c r="L116" s="4135"/>
      <c r="M116" s="669"/>
      <c r="N116" s="4106" t="s">
        <v>2575</v>
      </c>
      <c r="O116" s="4101"/>
      <c r="P116" s="4101"/>
      <c r="Q116" s="4101"/>
      <c r="R116" s="4101"/>
      <c r="S116" s="4101"/>
      <c r="T116" s="4101"/>
      <c r="U116" s="4107" t="s">
        <v>2576</v>
      </c>
      <c r="V116" s="4101"/>
      <c r="W116" s="4101"/>
      <c r="X116" s="4101"/>
      <c r="Y116" s="4101"/>
      <c r="Z116" s="4101"/>
      <c r="AA116" s="4108" t="s">
        <v>2577</v>
      </c>
      <c r="AB116" s="4101"/>
      <c r="AC116" s="4101"/>
      <c r="AD116" s="4101"/>
      <c r="AE116" s="4101"/>
      <c r="AF116" s="4101"/>
      <c r="AG116" s="4113" t="s">
        <v>234</v>
      </c>
      <c r="AH116" s="4101"/>
      <c r="AI116" s="4101"/>
      <c r="AJ116" s="4101"/>
      <c r="AK116" s="4101"/>
      <c r="AL116" s="4101"/>
      <c r="AM116" s="4123" t="s">
        <v>15</v>
      </c>
      <c r="AN116" s="4101"/>
      <c r="AO116" s="4101"/>
      <c r="AP116" s="4101"/>
      <c r="AQ116" s="4101"/>
      <c r="AR116" s="4101"/>
      <c r="AS116" s="4117" t="s">
        <v>16</v>
      </c>
      <c r="AT116" s="4101"/>
      <c r="AU116" s="4101"/>
      <c r="AV116" s="4101"/>
      <c r="AW116" s="4101"/>
      <c r="AX116" s="4101"/>
      <c r="AY116" s="4118" t="s">
        <v>17</v>
      </c>
      <c r="AZ116" s="4101"/>
      <c r="BA116" s="4101"/>
      <c r="BB116" s="4101"/>
      <c r="BC116" s="4101"/>
      <c r="BD116" s="4101"/>
      <c r="BE116" s="1240"/>
      <c r="BF116" s="700"/>
    </row>
    <row r="117" spans="1:72" ht="23.25" thickBot="1">
      <c r="A117" s="643"/>
      <c r="B117" s="4101"/>
      <c r="C117" s="645" t="s">
        <v>1843</v>
      </c>
      <c r="D117" s="645"/>
      <c r="E117" s="4101"/>
      <c r="F117" s="4101"/>
      <c r="G117" s="4101"/>
      <c r="H117" s="4101"/>
      <c r="I117" s="4125"/>
      <c r="J117" s="4126"/>
      <c r="K117" s="4125"/>
      <c r="L117" s="4135"/>
      <c r="M117" s="1124" t="s">
        <v>1149</v>
      </c>
      <c r="N117" s="674"/>
      <c r="O117" s="654"/>
      <c r="P117" s="654"/>
      <c r="Q117" s="654"/>
      <c r="R117" s="654"/>
      <c r="S117" s="654"/>
      <c r="T117" s="654"/>
      <c r="U117" s="674"/>
      <c r="V117" s="654"/>
      <c r="W117" s="654"/>
      <c r="X117" s="654"/>
      <c r="Y117" s="654"/>
      <c r="Z117" s="654"/>
      <c r="AA117" s="675"/>
      <c r="AB117" s="654"/>
      <c r="AC117" s="654"/>
      <c r="AD117" s="654"/>
      <c r="AE117" s="654"/>
      <c r="AF117" s="654"/>
      <c r="AG117" s="675"/>
      <c r="AH117" s="654"/>
      <c r="AI117" s="654"/>
      <c r="AJ117" s="654"/>
      <c r="AK117" s="654"/>
      <c r="AL117" s="654"/>
      <c r="AM117" s="648"/>
      <c r="AN117" s="651"/>
      <c r="AO117" s="651"/>
      <c r="AP117" s="651"/>
      <c r="AQ117" s="651"/>
      <c r="AR117" s="651"/>
      <c r="AT117" s="651"/>
      <c r="AU117" s="651"/>
      <c r="AV117" s="651"/>
      <c r="AW117" s="651"/>
      <c r="AX117" s="651"/>
      <c r="AY117" s="651"/>
      <c r="AZ117" s="651"/>
      <c r="BA117" s="651"/>
      <c r="BB117" s="651"/>
      <c r="BC117" s="651"/>
      <c r="BD117" s="651"/>
      <c r="BE117" s="647"/>
      <c r="BF117" s="700"/>
    </row>
    <row r="118" spans="1:72" ht="23.25" thickBot="1">
      <c r="A118" s="1189" t="s">
        <v>27</v>
      </c>
      <c r="B118" s="4101"/>
      <c r="C118" s="663"/>
      <c r="D118" s="663"/>
      <c r="E118" s="4101"/>
      <c r="F118" s="4101"/>
      <c r="G118" s="4101"/>
      <c r="H118" s="4101"/>
      <c r="I118" s="4125"/>
      <c r="J118" s="4125"/>
      <c r="K118" s="4125"/>
      <c r="L118" s="978"/>
      <c r="M118" s="1124" t="s">
        <v>1728</v>
      </c>
      <c r="N118" s="662" t="s">
        <v>3477</v>
      </c>
      <c r="O118" s="662" t="s">
        <v>3478</v>
      </c>
      <c r="P118" s="662" t="s">
        <v>3479</v>
      </c>
      <c r="Q118" s="662" t="s">
        <v>32</v>
      </c>
      <c r="R118" s="662" t="s">
        <v>33</v>
      </c>
      <c r="S118" s="662" t="s">
        <v>34</v>
      </c>
      <c r="T118" s="662" t="s">
        <v>56</v>
      </c>
      <c r="U118" s="662" t="s">
        <v>35</v>
      </c>
      <c r="V118" s="662" t="s">
        <v>36</v>
      </c>
      <c r="W118" s="662" t="s">
        <v>39</v>
      </c>
      <c r="X118" s="662" t="s">
        <v>38</v>
      </c>
      <c r="Y118" s="662" t="s">
        <v>40</v>
      </c>
      <c r="Z118" s="662" t="s">
        <v>75</v>
      </c>
      <c r="AA118" s="662" t="s">
        <v>37</v>
      </c>
      <c r="AB118" s="662" t="s">
        <v>41</v>
      </c>
      <c r="AC118" s="662" t="s">
        <v>42</v>
      </c>
      <c r="AD118" s="662" t="s">
        <v>43</v>
      </c>
      <c r="AE118" s="662" t="s">
        <v>44</v>
      </c>
      <c r="AF118" s="662" t="s">
        <v>45</v>
      </c>
      <c r="AG118" s="662" t="s">
        <v>47</v>
      </c>
      <c r="AH118" s="662" t="s">
        <v>48</v>
      </c>
      <c r="AI118" s="662" t="s">
        <v>49</v>
      </c>
      <c r="AJ118" s="662" t="s">
        <v>51</v>
      </c>
      <c r="AK118" s="662" t="s">
        <v>50</v>
      </c>
      <c r="AL118" s="662" t="s">
        <v>52</v>
      </c>
      <c r="AM118" s="662" t="s">
        <v>173</v>
      </c>
      <c r="AN118" s="662" t="s">
        <v>55</v>
      </c>
      <c r="AO118" s="662" t="s">
        <v>56</v>
      </c>
      <c r="AP118" s="662" t="s">
        <v>62</v>
      </c>
      <c r="AQ118" s="662" t="s">
        <v>58</v>
      </c>
      <c r="AR118" s="662" t="s">
        <v>59</v>
      </c>
      <c r="AT118" s="662" t="s">
        <v>260</v>
      </c>
      <c r="AU118" s="662" t="s">
        <v>60</v>
      </c>
      <c r="AV118" s="662" t="s">
        <v>260</v>
      </c>
      <c r="AW118" s="662" t="s">
        <v>63</v>
      </c>
      <c r="AX118" s="662" t="s">
        <v>64</v>
      </c>
      <c r="AY118" s="662" t="s">
        <v>65</v>
      </c>
      <c r="AZ118" s="662" t="s">
        <v>66</v>
      </c>
      <c r="BA118" s="662" t="s">
        <v>67</v>
      </c>
      <c r="BB118" s="662" t="s">
        <v>68</v>
      </c>
      <c r="BC118" s="662" t="s">
        <v>69</v>
      </c>
      <c r="BE118" s="662"/>
      <c r="BF118" s="700"/>
    </row>
    <row r="119" spans="1:72" ht="47.25" thickBot="1">
      <c r="A119" s="645" t="s">
        <v>4322</v>
      </c>
      <c r="B119" s="4101"/>
      <c r="C119" s="663" t="s">
        <v>3480</v>
      </c>
      <c r="D119" s="663"/>
      <c r="E119" s="4101"/>
      <c r="F119" s="4101"/>
      <c r="G119" s="699" t="s">
        <v>78</v>
      </c>
      <c r="H119" s="4101"/>
      <c r="I119" s="664" t="s">
        <v>79</v>
      </c>
      <c r="J119" s="664" t="s">
        <v>80</v>
      </c>
      <c r="K119" s="664" t="s">
        <v>81</v>
      </c>
      <c r="L119" s="1126" t="s">
        <v>1759</v>
      </c>
      <c r="M119" s="1124" t="s">
        <v>27</v>
      </c>
      <c r="N119" s="666" t="s">
        <v>94</v>
      </c>
      <c r="O119" s="666" t="s">
        <v>95</v>
      </c>
      <c r="P119" s="666" t="s">
        <v>96</v>
      </c>
      <c r="Q119" s="666" t="s">
        <v>97</v>
      </c>
      <c r="R119" s="666" t="s">
        <v>98</v>
      </c>
      <c r="S119" s="666" t="s">
        <v>99</v>
      </c>
      <c r="T119" s="679" t="s">
        <v>100</v>
      </c>
      <c r="U119" s="666" t="s">
        <v>101</v>
      </c>
      <c r="V119" s="666" t="s">
        <v>102</v>
      </c>
      <c r="W119" s="679" t="s">
        <v>103</v>
      </c>
      <c r="X119" s="666" t="s">
        <v>3481</v>
      </c>
      <c r="Y119" s="679" t="s">
        <v>105</v>
      </c>
      <c r="Z119" s="666" t="s">
        <v>106</v>
      </c>
      <c r="AA119" s="666" t="s">
        <v>107</v>
      </c>
      <c r="AB119" s="680" t="s">
        <v>281</v>
      </c>
      <c r="AC119" s="680" t="s">
        <v>109</v>
      </c>
      <c r="AD119" s="666" t="s">
        <v>110</v>
      </c>
      <c r="AE119" s="666" t="s">
        <v>111</v>
      </c>
      <c r="AF119" s="666" t="s">
        <v>112</v>
      </c>
      <c r="AG119" s="679" t="s">
        <v>3482</v>
      </c>
      <c r="AH119" s="680" t="s">
        <v>609</v>
      </c>
      <c r="AI119" s="680" t="s">
        <v>3483</v>
      </c>
      <c r="AJ119" s="681" t="s">
        <v>3484</v>
      </c>
      <c r="AK119" s="680" t="s">
        <v>3485</v>
      </c>
      <c r="AL119" s="1815" t="s">
        <v>3486</v>
      </c>
      <c r="AM119" s="1814" t="s">
        <v>115</v>
      </c>
      <c r="AN119" s="1722" t="s">
        <v>116</v>
      </c>
      <c r="AO119" s="1816" t="s">
        <v>117</v>
      </c>
      <c r="AP119" s="666" t="s">
        <v>118</v>
      </c>
      <c r="AQ119" s="666" t="s">
        <v>119</v>
      </c>
      <c r="AR119" s="666" t="s">
        <v>120</v>
      </c>
      <c r="AT119" s="666" t="s">
        <v>121</v>
      </c>
      <c r="AU119" s="666" t="s">
        <v>122</v>
      </c>
      <c r="AV119" s="666" t="s">
        <v>123</v>
      </c>
      <c r="AW119" s="666" t="s">
        <v>124</v>
      </c>
      <c r="AX119" s="666" t="s">
        <v>125</v>
      </c>
      <c r="AY119" s="666" t="s">
        <v>3487</v>
      </c>
      <c r="AZ119" s="666" t="s">
        <v>127</v>
      </c>
      <c r="BA119" s="666" t="s">
        <v>3488</v>
      </c>
      <c r="BB119" s="666"/>
      <c r="BC119" s="666"/>
      <c r="BD119" s="666"/>
      <c r="BF119" s="666" t="s">
        <v>130</v>
      </c>
      <c r="BG119" s="1241" t="s">
        <v>1394</v>
      </c>
    </row>
    <row r="120" spans="1:72" ht="16.5" thickBot="1">
      <c r="A120" s="3"/>
      <c r="B120" s="1242">
        <v>1</v>
      </c>
      <c r="C120" s="1243">
        <f>_xlfn.XLOOKUP($E120,Tabla3[CURP],Tabla3[FECHA DE INICIO (PRIMERA CLASE CALENDARIO)]," ")</f>
        <v>44646</v>
      </c>
      <c r="D120" s="1242">
        <v>365</v>
      </c>
      <c r="E120" s="1527" t="str">
        <f>_xlfn.XLOOKUP($D120,  Tabla3[No.],  Tabla3[CURP], " ")</f>
        <v>CAGC870715MNENRN06</v>
      </c>
      <c r="F120" s="781" t="str">
        <f>_xlfn.XLOOKUP($E120, Tabla3[CURP], Tabla3[Matrícula Of. SEQ])</f>
        <v>64LD05F-01</v>
      </c>
      <c r="G120" s="1812" t="str">
        <f>IFERROR(VLOOKUP(D120,Tabla3[],5,FALSE),"")</f>
        <v>CANTU GARZA CANTALICIA</v>
      </c>
      <c r="H120" s="1245" t="str">
        <f>MID($E120,11,1)</f>
        <v>M</v>
      </c>
      <c r="I120" s="1245" t="str">
        <f>MID($E120,5,2)</f>
        <v>87</v>
      </c>
      <c r="J120" s="1245" t="str">
        <f>MID($E120,7,2)</f>
        <v>07</v>
      </c>
      <c r="K120" s="1245" t="str">
        <f>MID($E120,9,2)</f>
        <v>15</v>
      </c>
      <c r="L120" s="1246" t="s">
        <v>3489</v>
      </c>
      <c r="M120" s="782" t="str">
        <f>_xlfn.XLOOKUP($E120, Tabla3[CURP], Tabla3[Grupo de clase])</f>
        <v>LD04A</v>
      </c>
      <c r="N120" s="1244">
        <v>10</v>
      </c>
      <c r="O120" s="1244">
        <v>10</v>
      </c>
      <c r="P120" s="1244">
        <v>10</v>
      </c>
      <c r="Q120" s="1245">
        <v>10</v>
      </c>
      <c r="R120" s="1244">
        <v>10</v>
      </c>
      <c r="S120" s="1244">
        <v>10</v>
      </c>
      <c r="T120" s="1244">
        <v>10</v>
      </c>
      <c r="U120" s="1247">
        <v>9.6999999999999993</v>
      </c>
      <c r="V120" s="1245">
        <v>9.8000000000000007</v>
      </c>
      <c r="W120" s="1245">
        <v>10</v>
      </c>
      <c r="X120" s="1245">
        <v>10</v>
      </c>
      <c r="Y120" s="1248">
        <v>10</v>
      </c>
      <c r="Z120" s="1244">
        <v>10</v>
      </c>
      <c r="AA120" s="669">
        <v>10</v>
      </c>
      <c r="AB120" s="669">
        <v>10</v>
      </c>
      <c r="AC120" s="1247">
        <v>10</v>
      </c>
      <c r="AD120" s="669">
        <v>9.5</v>
      </c>
      <c r="AE120" s="669">
        <v>9.5</v>
      </c>
      <c r="AF120" s="669">
        <v>9.8000000000000007</v>
      </c>
      <c r="AG120" s="1249">
        <v>10</v>
      </c>
      <c r="AH120" s="1250">
        <v>8.6999999999999993</v>
      </c>
      <c r="AI120" s="1249">
        <v>8.5</v>
      </c>
      <c r="AJ120" s="669">
        <v>10</v>
      </c>
      <c r="AK120" s="669">
        <v>9.5</v>
      </c>
      <c r="AL120" s="1249">
        <v>9.5</v>
      </c>
      <c r="AM120" s="1249">
        <v>7.4</v>
      </c>
      <c r="AN120" s="1251">
        <v>9</v>
      </c>
      <c r="AO120" s="186">
        <v>10</v>
      </c>
      <c r="AP120" s="669">
        <v>10</v>
      </c>
      <c r="AQ120" s="669"/>
      <c r="AR120" s="669"/>
      <c r="AT120" s="669"/>
      <c r="AU120" s="669"/>
      <c r="AV120" s="669"/>
      <c r="AW120" s="669"/>
      <c r="AX120" s="669"/>
      <c r="AY120" s="1245"/>
      <c r="AZ120" s="1245"/>
      <c r="BA120" s="1252"/>
      <c r="BB120" s="1252"/>
      <c r="BC120" s="1252"/>
      <c r="BD120" s="1252"/>
      <c r="BE120" s="1252"/>
      <c r="BF120" s="1242"/>
      <c r="BG120" s="669">
        <f>AVERAGE(N120:BF120)</f>
        <v>9.6862068965517238</v>
      </c>
    </row>
    <row r="121" spans="1:72" ht="15.75" thickBot="1">
      <c r="A121" s="3"/>
      <c r="B121" s="1242">
        <v>2</v>
      </c>
      <c r="C121" s="1243">
        <f>_xlfn.XLOOKUP($E121,Tabla3[CURP],Tabla3[FECHA DE INICIO (PRIMERA CLASE CALENDARIO)]," ")</f>
        <v>44576</v>
      </c>
      <c r="D121" s="1242">
        <v>318</v>
      </c>
      <c r="E121" s="1528" t="str">
        <f>_xlfn.XLOOKUP($D121,  Tabla3[No.],  Tabla3[CURP], " ")</f>
        <v>PAAM720306MYNCKR08</v>
      </c>
      <c r="F121" s="781" t="str">
        <f>_xlfn.XLOOKUP($E121, Tabla3[CURP], Tabla3[Matrícula Of. SEQ])</f>
        <v>64LD05A-06</v>
      </c>
      <c r="G121" s="1812" t="str">
        <f>IFERROR(VLOOKUP(D121,Tabla3[],5,FALSE),"")</f>
        <v>PACHECO AKE MIRELLA YNES</v>
      </c>
      <c r="H121" s="1245" t="str">
        <f>MID($E121,11,1)</f>
        <v>M</v>
      </c>
      <c r="I121" s="1245" t="str">
        <f>MID($E121,5,2)</f>
        <v>72</v>
      </c>
      <c r="J121" s="1245" t="str">
        <f>MID($E121,7,2)</f>
        <v>03</v>
      </c>
      <c r="K121" s="1245" t="str">
        <f>MID($E121,9,2)</f>
        <v>06</v>
      </c>
      <c r="L121" s="1246" t="s">
        <v>3489</v>
      </c>
      <c r="M121" s="782" t="str">
        <f>_xlfn.XLOOKUP($E121, Tabla3[CURP], Tabla3[Grupo de clase])</f>
        <v>LD04A</v>
      </c>
      <c r="N121" s="1253">
        <v>7</v>
      </c>
      <c r="O121" s="1253">
        <v>10</v>
      </c>
      <c r="P121" s="1254">
        <v>6</v>
      </c>
      <c r="Q121" s="1254">
        <v>6</v>
      </c>
      <c r="R121" s="1253">
        <v>10</v>
      </c>
      <c r="S121" s="1253">
        <v>10</v>
      </c>
      <c r="T121" s="1253">
        <v>10</v>
      </c>
      <c r="U121" s="1253">
        <v>9.6999999999999993</v>
      </c>
      <c r="V121" s="1255">
        <v>9.8000000000000007</v>
      </c>
      <c r="W121" s="647">
        <v>10</v>
      </c>
      <c r="X121" s="1256">
        <v>9</v>
      </c>
      <c r="Y121" s="647">
        <v>10</v>
      </c>
      <c r="Z121" s="647">
        <v>10</v>
      </c>
      <c r="AA121" s="1257">
        <v>8</v>
      </c>
      <c r="AB121" s="1258">
        <v>10</v>
      </c>
      <c r="AC121" s="647">
        <v>8.6</v>
      </c>
      <c r="AD121" s="647">
        <v>10</v>
      </c>
      <c r="AE121" s="1259">
        <v>9.73</v>
      </c>
      <c r="AF121" s="1255">
        <v>10</v>
      </c>
      <c r="AG121" s="647">
        <v>8</v>
      </c>
      <c r="AH121" s="647"/>
      <c r="AI121" s="647"/>
      <c r="AJ121" s="647"/>
      <c r="AK121" s="647">
        <v>9.8000000000000007</v>
      </c>
      <c r="AL121" s="647">
        <v>9.5</v>
      </c>
      <c r="AM121" s="1255">
        <v>0</v>
      </c>
      <c r="AN121" s="1255">
        <v>10</v>
      </c>
      <c r="AO121" s="1691">
        <v>10</v>
      </c>
      <c r="AP121" s="647"/>
      <c r="AQ121" s="647"/>
      <c r="AR121" s="647"/>
      <c r="AT121" s="647"/>
      <c r="AU121" s="647"/>
      <c r="AV121" s="647"/>
      <c r="AW121" s="647"/>
      <c r="AX121" s="647"/>
      <c r="AY121" s="647"/>
      <c r="AZ121" s="647"/>
      <c r="BA121" s="647"/>
      <c r="BB121" s="647"/>
      <c r="BC121" s="647"/>
      <c r="BD121" s="647"/>
      <c r="BE121" s="647"/>
      <c r="BF121" s="647"/>
      <c r="BG121" s="669">
        <f>AVERAGE(N121:BF121)</f>
        <v>8.8452000000000002</v>
      </c>
    </row>
    <row r="122" spans="1:72">
      <c r="A122" s="3"/>
      <c r="B122" s="701"/>
      <c r="C122" s="2"/>
      <c r="D122" s="2"/>
      <c r="M122" s="2"/>
    </row>
    <row r="123" spans="1:72">
      <c r="A123" s="3"/>
      <c r="B123" s="701"/>
      <c r="C123" s="2"/>
      <c r="D123" s="2"/>
      <c r="G123" s="1266"/>
      <c r="M123" s="2"/>
    </row>
    <row r="124" spans="1:72" ht="15.75">
      <c r="A124" s="3"/>
      <c r="B124" s="911"/>
      <c r="C124" s="1263"/>
      <c r="D124" s="1263"/>
      <c r="E124" s="1264"/>
      <c r="F124" s="1265"/>
      <c r="H124" s="959"/>
      <c r="I124" s="959"/>
      <c r="J124" s="959"/>
      <c r="K124" s="959"/>
      <c r="L124" s="1267"/>
      <c r="M124" s="1266"/>
      <c r="N124" s="1268"/>
      <c r="O124" s="1268"/>
      <c r="P124" s="1268"/>
      <c r="Q124" s="959"/>
      <c r="R124" s="1268"/>
      <c r="S124" s="1268"/>
      <c r="T124" s="1268"/>
      <c r="U124" s="1269"/>
      <c r="V124" s="959"/>
      <c r="W124" s="959"/>
      <c r="X124" s="959"/>
      <c r="Y124" s="946"/>
      <c r="Z124" s="1268"/>
      <c r="AA124" s="701"/>
      <c r="AB124" s="701"/>
      <c r="AC124" s="1270"/>
      <c r="AD124" s="701"/>
      <c r="AE124" s="1271"/>
      <c r="AF124" s="701"/>
      <c r="AG124" s="1272"/>
      <c r="AH124" s="1273"/>
      <c r="AI124" s="1272"/>
      <c r="AJ124" s="701"/>
      <c r="AK124" s="701"/>
      <c r="AL124" s="1272"/>
      <c r="AM124" s="701"/>
      <c r="AN124" s="701"/>
      <c r="AO124" s="1274"/>
      <c r="AP124" s="701"/>
      <c r="AQ124" s="701"/>
      <c r="AR124" s="701"/>
      <c r="AS124" s="701"/>
      <c r="AT124" s="701"/>
      <c r="AU124" s="701"/>
      <c r="AV124" s="701"/>
      <c r="AW124" s="701"/>
      <c r="AX124" s="701"/>
      <c r="AY124" s="911"/>
      <c r="AZ124" s="959"/>
      <c r="BA124" s="1275"/>
      <c r="BD124" s="701"/>
      <c r="BE124" s="701"/>
      <c r="BF124" s="701"/>
      <c r="BG124" s="1272"/>
      <c r="BH124" s="1272"/>
      <c r="BI124" s="1272"/>
      <c r="BJ124" s="701"/>
      <c r="BK124" s="701"/>
    </row>
    <row r="125" spans="1:72" s="1743" customFormat="1">
      <c r="A125" s="1740"/>
      <c r="B125" s="1741"/>
      <c r="C125" s="1742"/>
      <c r="D125" s="1742"/>
      <c r="M125" s="1742"/>
      <c r="BL125" s="2225"/>
    </row>
    <row r="126" spans="1:72" ht="15" customHeight="1" thickBot="1">
      <c r="A126" s="3"/>
      <c r="E126" s="8"/>
      <c r="M126" s="2"/>
      <c r="Z126" s="3"/>
      <c r="AE126" s="3"/>
      <c r="AF126" s="3"/>
      <c r="AH126" s="3"/>
      <c r="AJ126" s="3"/>
      <c r="AK126" s="3"/>
      <c r="AL126" s="3"/>
    </row>
    <row r="127" spans="1:72" ht="15" customHeight="1" thickBot="1">
      <c r="A127" s="643"/>
      <c r="B127" s="4112" t="s">
        <v>5</v>
      </c>
      <c r="C127" s="645" t="s">
        <v>134</v>
      </c>
      <c r="D127" s="645"/>
      <c r="E127" s="4100" t="s">
        <v>6</v>
      </c>
      <c r="F127" s="4100" t="s">
        <v>7</v>
      </c>
      <c r="G127" s="4120" t="s">
        <v>8</v>
      </c>
      <c r="H127" s="4121" t="s">
        <v>9</v>
      </c>
      <c r="I127" s="4103" t="s">
        <v>10</v>
      </c>
      <c r="J127" s="4101"/>
      <c r="K127" s="4101"/>
      <c r="L127" s="978"/>
      <c r="M127" s="4105" t="s">
        <v>1149</v>
      </c>
      <c r="N127" s="4106" t="s">
        <v>1727</v>
      </c>
      <c r="O127" s="4106"/>
      <c r="P127" s="4106"/>
      <c r="Q127" s="4106"/>
      <c r="R127" s="4106"/>
      <c r="S127" s="4106"/>
      <c r="T127" s="4107" t="s">
        <v>12</v>
      </c>
      <c r="U127" s="4101"/>
      <c r="V127" s="4101"/>
      <c r="W127" s="4101"/>
      <c r="X127" s="4101"/>
      <c r="Y127" s="4101"/>
      <c r="Z127" s="4108" t="s">
        <v>13</v>
      </c>
      <c r="AA127" s="4101"/>
      <c r="AB127" s="4101"/>
      <c r="AC127" s="4101"/>
      <c r="AD127" s="4101"/>
      <c r="AE127" s="4101"/>
      <c r="AF127" s="4113" t="s">
        <v>14</v>
      </c>
      <c r="AG127" s="4101"/>
      <c r="AH127" s="4101"/>
      <c r="AI127" s="4101"/>
      <c r="AJ127" s="4101"/>
      <c r="AK127" s="4101"/>
      <c r="AL127" s="4123" t="s">
        <v>15</v>
      </c>
      <c r="AM127" s="4101"/>
      <c r="AN127" s="4101"/>
      <c r="AO127" s="4101"/>
      <c r="AP127" s="4101"/>
      <c r="AQ127" s="4101"/>
      <c r="AR127" s="4117" t="s">
        <v>16</v>
      </c>
      <c r="AS127" s="4101"/>
      <c r="AT127" s="4101"/>
      <c r="AU127" s="4101"/>
      <c r="AV127" s="4101"/>
      <c r="AW127" s="4101"/>
      <c r="AX127" s="4118" t="s">
        <v>17</v>
      </c>
      <c r="AY127" s="4101"/>
      <c r="AZ127" s="4101"/>
      <c r="BA127" s="4101"/>
      <c r="BB127" s="4101"/>
      <c r="BC127" s="4101"/>
      <c r="BD127" s="4131" t="s">
        <v>18</v>
      </c>
      <c r="BE127" s="4101"/>
      <c r="BF127" s="4101"/>
      <c r="BG127" s="4101"/>
      <c r="BH127" s="4101"/>
      <c r="BI127" s="4101"/>
      <c r="BJ127" s="646" t="s">
        <v>19</v>
      </c>
      <c r="BK127" s="3"/>
      <c r="BL127" s="2134"/>
      <c r="BM127" s="3"/>
      <c r="BN127" s="3"/>
      <c r="BO127" s="3"/>
      <c r="BP127" s="3"/>
      <c r="BQ127" s="3"/>
      <c r="BR127" s="3"/>
      <c r="BS127" s="3"/>
      <c r="BT127" s="3"/>
    </row>
    <row r="128" spans="1:72" ht="55.35" customHeight="1" thickBot="1">
      <c r="A128" s="1800" t="s">
        <v>3962</v>
      </c>
      <c r="B128" s="4101"/>
      <c r="C128" s="645"/>
      <c r="D128" s="645"/>
      <c r="E128" s="4101"/>
      <c r="F128" s="4101"/>
      <c r="G128" s="4101"/>
      <c r="H128" s="4101"/>
      <c r="I128" s="4101"/>
      <c r="J128" s="4104"/>
      <c r="K128" s="4101"/>
      <c r="L128" s="978"/>
      <c r="M128" s="4105"/>
      <c r="N128" s="648" t="s">
        <v>20</v>
      </c>
      <c r="O128" s="648" t="s">
        <v>21</v>
      </c>
      <c r="P128" s="649" t="s">
        <v>22</v>
      </c>
      <c r="Q128" s="650" t="s">
        <v>23</v>
      </c>
      <c r="R128" s="648" t="s">
        <v>24</v>
      </c>
      <c r="S128" s="670" t="s">
        <v>25</v>
      </c>
      <c r="T128" s="651"/>
      <c r="U128" s="651"/>
      <c r="V128" s="651"/>
      <c r="W128" s="651"/>
      <c r="X128" s="651"/>
      <c r="Y128" s="651"/>
      <c r="Z128" s="651"/>
      <c r="AA128" s="651"/>
      <c r="AB128" s="651"/>
      <c r="AC128" s="651"/>
      <c r="AD128" s="651"/>
      <c r="AE128" s="651"/>
      <c r="AF128" s="651"/>
      <c r="AG128" s="651"/>
      <c r="AH128" s="651"/>
      <c r="AI128" s="651"/>
      <c r="AJ128" s="651"/>
      <c r="AK128" s="652"/>
      <c r="AL128" s="651"/>
      <c r="AM128" s="653"/>
      <c r="AN128" s="651"/>
      <c r="AO128" s="651"/>
      <c r="AP128" s="654"/>
      <c r="AQ128" s="654"/>
      <c r="AR128" s="655"/>
      <c r="AS128" s="654"/>
      <c r="AT128" s="654"/>
      <c r="AU128" s="654"/>
      <c r="AV128" s="654"/>
      <c r="AW128" s="654"/>
      <c r="AX128" s="656"/>
      <c r="AY128" s="654"/>
      <c r="AZ128" s="654"/>
      <c r="BA128" s="654"/>
      <c r="BB128" s="654"/>
      <c r="BC128" s="654"/>
      <c r="BD128" s="657"/>
      <c r="BE128" s="654"/>
      <c r="BF128" s="658"/>
      <c r="BG128" s="654"/>
      <c r="BH128" s="654"/>
      <c r="BI128" s="654"/>
      <c r="BJ128" s="646"/>
      <c r="BK128" s="3"/>
      <c r="BL128" s="2134"/>
      <c r="BM128" s="3"/>
      <c r="BN128" s="3"/>
      <c r="BO128" s="3"/>
      <c r="BP128" s="3"/>
      <c r="BQ128" s="3"/>
      <c r="BR128" s="3"/>
      <c r="BS128" s="3"/>
      <c r="BT128" s="3"/>
    </row>
    <row r="129" spans="1:72" ht="15" customHeight="1" thickBot="1">
      <c r="A129" s="654" t="s">
        <v>27</v>
      </c>
      <c r="B129" s="4101"/>
      <c r="C129" s="659" t="s">
        <v>28</v>
      </c>
      <c r="D129" s="659"/>
      <c r="E129" s="4101"/>
      <c r="F129" s="4101"/>
      <c r="G129" s="4101"/>
      <c r="H129" s="4101"/>
      <c r="I129" s="4101"/>
      <c r="J129" s="4101"/>
      <c r="K129" s="4101"/>
      <c r="L129" s="978"/>
      <c r="M129" s="660" t="s">
        <v>1726</v>
      </c>
      <c r="N129" s="661" t="s">
        <v>29</v>
      </c>
      <c r="O129" s="661" t="s">
        <v>30</v>
      </c>
      <c r="P129" s="661" t="s">
        <v>31</v>
      </c>
      <c r="Q129" s="661" t="s">
        <v>32</v>
      </c>
      <c r="R129" s="661" t="s">
        <v>33</v>
      </c>
      <c r="S129" s="661" t="s">
        <v>34</v>
      </c>
      <c r="T129" s="661" t="s">
        <v>37</v>
      </c>
      <c r="U129" s="661" t="s">
        <v>35</v>
      </c>
      <c r="V129" s="661" t="s">
        <v>36</v>
      </c>
      <c r="W129" s="661" t="s">
        <v>38</v>
      </c>
      <c r="X129" s="661" t="s">
        <v>39</v>
      </c>
      <c r="Y129" s="661" t="s">
        <v>40</v>
      </c>
      <c r="Z129" s="661" t="s">
        <v>42</v>
      </c>
      <c r="AA129" s="661" t="s">
        <v>41</v>
      </c>
      <c r="AB129" s="661" t="s">
        <v>43</v>
      </c>
      <c r="AC129" s="661" t="s">
        <v>44</v>
      </c>
      <c r="AD129" s="661" t="s">
        <v>45</v>
      </c>
      <c r="AE129" s="661" t="s">
        <v>46</v>
      </c>
      <c r="AF129" s="662" t="s">
        <v>47</v>
      </c>
      <c r="AG129" s="662" t="s">
        <v>48</v>
      </c>
      <c r="AH129" s="662" t="s">
        <v>49</v>
      </c>
      <c r="AI129" s="662" t="s">
        <v>50</v>
      </c>
      <c r="AJ129" s="662" t="s">
        <v>51</v>
      </c>
      <c r="AK129" s="662" t="s">
        <v>52</v>
      </c>
      <c r="AL129" s="662" t="s">
        <v>53</v>
      </c>
      <c r="AM129" s="662" t="s">
        <v>54</v>
      </c>
      <c r="AN129" s="662" t="s">
        <v>55</v>
      </c>
      <c r="AO129" s="662" t="s">
        <v>56</v>
      </c>
      <c r="AP129" s="662" t="s">
        <v>57</v>
      </c>
      <c r="AQ129" s="662" t="s">
        <v>58</v>
      </c>
      <c r="AR129" s="662" t="s">
        <v>59</v>
      </c>
      <c r="AS129" s="662" t="s">
        <v>60</v>
      </c>
      <c r="AT129" s="662" t="s">
        <v>61</v>
      </c>
      <c r="AU129" s="662" t="s">
        <v>62</v>
      </c>
      <c r="AV129" s="662" t="s">
        <v>63</v>
      </c>
      <c r="AW129" s="662" t="s">
        <v>64</v>
      </c>
      <c r="AX129" s="662" t="s">
        <v>65</v>
      </c>
      <c r="AY129" s="662" t="s">
        <v>66</v>
      </c>
      <c r="AZ129" s="662" t="s">
        <v>67</v>
      </c>
      <c r="BA129" s="662" t="s">
        <v>48</v>
      </c>
      <c r="BB129" s="662" t="s">
        <v>68</v>
      </c>
      <c r="BC129" s="662" t="s">
        <v>69</v>
      </c>
      <c r="BD129" s="662" t="s">
        <v>70</v>
      </c>
      <c r="BE129" s="662" t="s">
        <v>71</v>
      </c>
      <c r="BF129" s="662" t="s">
        <v>72</v>
      </c>
      <c r="BG129" s="662" t="s">
        <v>73</v>
      </c>
      <c r="BH129" s="662" t="s">
        <v>74</v>
      </c>
      <c r="BI129" s="662" t="s">
        <v>75</v>
      </c>
      <c r="BJ129" s="662" t="s">
        <v>76</v>
      </c>
      <c r="BK129" s="3"/>
      <c r="BL129" s="2134"/>
      <c r="BM129" s="3"/>
      <c r="BN129" s="3"/>
      <c r="BO129" s="3"/>
      <c r="BP129" s="3"/>
      <c r="BQ129" s="3"/>
      <c r="BR129" s="3"/>
      <c r="BS129" s="3"/>
      <c r="BT129" s="3"/>
    </row>
    <row r="130" spans="1:72" ht="55.35" customHeight="1" thickBot="1">
      <c r="A130" s="645" t="s">
        <v>134</v>
      </c>
      <c r="B130" s="4101"/>
      <c r="C130" s="663" t="s">
        <v>77</v>
      </c>
      <c r="D130" s="663"/>
      <c r="E130" s="4101"/>
      <c r="F130" s="4101"/>
      <c r="G130" s="699" t="s">
        <v>78</v>
      </c>
      <c r="H130" s="4101"/>
      <c r="I130" s="664" t="s">
        <v>79</v>
      </c>
      <c r="J130" s="664" t="s">
        <v>80</v>
      </c>
      <c r="K130" s="664" t="s">
        <v>81</v>
      </c>
      <c r="L130" s="1064" t="s">
        <v>1759</v>
      </c>
      <c r="M130" s="665" t="s">
        <v>27</v>
      </c>
      <c r="N130" s="666" t="s">
        <v>82</v>
      </c>
      <c r="O130" s="666" t="s">
        <v>83</v>
      </c>
      <c r="P130" s="666" t="s">
        <v>84</v>
      </c>
      <c r="Q130" s="666" t="s">
        <v>85</v>
      </c>
      <c r="R130" s="666" t="s">
        <v>86</v>
      </c>
      <c r="S130" s="666" t="s">
        <v>87</v>
      </c>
      <c r="T130" s="666" t="s">
        <v>90</v>
      </c>
      <c r="U130" s="666" t="s">
        <v>88</v>
      </c>
      <c r="V130" s="666" t="s">
        <v>89</v>
      </c>
      <c r="W130" s="666" t="s">
        <v>91</v>
      </c>
      <c r="X130" s="666" t="s">
        <v>92</v>
      </c>
      <c r="Y130" s="666" t="s">
        <v>93</v>
      </c>
      <c r="Z130" s="666" t="s">
        <v>95</v>
      </c>
      <c r="AA130" s="666" t="s">
        <v>94</v>
      </c>
      <c r="AB130" s="666" t="s">
        <v>96</v>
      </c>
      <c r="AC130" s="666" t="s">
        <v>97</v>
      </c>
      <c r="AD130" s="666" t="s">
        <v>98</v>
      </c>
      <c r="AE130" s="666" t="s">
        <v>99</v>
      </c>
      <c r="AF130" s="666" t="s">
        <v>100</v>
      </c>
      <c r="AG130" s="666" t="s">
        <v>4307</v>
      </c>
      <c r="AH130" s="666" t="s">
        <v>102</v>
      </c>
      <c r="AI130" s="666" t="s">
        <v>103</v>
      </c>
      <c r="AJ130" s="666" t="s">
        <v>104</v>
      </c>
      <c r="AK130" s="666" t="s">
        <v>105</v>
      </c>
      <c r="AL130" s="666" t="s">
        <v>106</v>
      </c>
      <c r="AM130" s="666" t="s">
        <v>107</v>
      </c>
      <c r="AN130" s="666" t="s">
        <v>108</v>
      </c>
      <c r="AO130" s="666" t="s">
        <v>109</v>
      </c>
      <c r="AP130" s="666" t="s">
        <v>110</v>
      </c>
      <c r="AQ130" s="666" t="s">
        <v>111</v>
      </c>
      <c r="AR130" s="666" t="s">
        <v>112</v>
      </c>
      <c r="AS130" s="666" t="s">
        <v>113</v>
      </c>
      <c r="AT130" s="666" t="s">
        <v>114</v>
      </c>
      <c r="AU130" s="666" t="s">
        <v>115</v>
      </c>
      <c r="AV130" s="666" t="s">
        <v>116</v>
      </c>
      <c r="AW130" s="666" t="s">
        <v>117</v>
      </c>
      <c r="AX130" s="1722" t="s">
        <v>118</v>
      </c>
      <c r="AY130" s="666" t="s">
        <v>119</v>
      </c>
      <c r="AZ130" s="666" t="s">
        <v>120</v>
      </c>
      <c r="BA130" s="666" t="s">
        <v>121</v>
      </c>
      <c r="BB130" s="666" t="s">
        <v>122</v>
      </c>
      <c r="BC130" s="666" t="s">
        <v>123</v>
      </c>
      <c r="BD130" s="666" t="s">
        <v>124</v>
      </c>
      <c r="BE130" s="666" t="s">
        <v>125</v>
      </c>
      <c r="BF130" s="666" t="s">
        <v>126</v>
      </c>
      <c r="BG130" s="666" t="s">
        <v>127</v>
      </c>
      <c r="BH130" s="666" t="s">
        <v>128</v>
      </c>
      <c r="BI130" s="666" t="s">
        <v>129</v>
      </c>
      <c r="BJ130" s="666" t="s">
        <v>130</v>
      </c>
      <c r="BK130" s="3"/>
      <c r="BL130" s="2134"/>
      <c r="BM130" s="3"/>
      <c r="BN130" s="3"/>
      <c r="BO130" s="3"/>
      <c r="BP130" s="3"/>
      <c r="BQ130" s="3"/>
      <c r="BR130" s="3"/>
      <c r="BS130" s="3"/>
      <c r="BT130" s="3"/>
    </row>
    <row r="131" spans="1:72" ht="15" customHeight="1" thickBot="1">
      <c r="A131" s="3"/>
      <c r="B131" s="718">
        <v>1</v>
      </c>
      <c r="C131" s="884">
        <v>44625</v>
      </c>
      <c r="D131" s="1805">
        <v>358</v>
      </c>
      <c r="E131" s="719" t="str">
        <f>_xlfn.XLOOKUP($D131,  Tabla3[No.],  Tabla3[CURP], " ")</f>
        <v>BARA961008HQRZDN02</v>
      </c>
      <c r="F131" s="720" t="str">
        <f>_xlfn.XLOOKUP($E131, Tabla3[CURP], Tabla3[Matrícula Of. SEQ])</f>
        <v>64LD05A-01</v>
      </c>
      <c r="G131" s="717" t="str">
        <f>IFERROR(VLOOKUP(D131,Tabla3[],5,FALSE),"")</f>
        <v>BAEZA RODRIGUEZ ANDRES</v>
      </c>
      <c r="H131" s="702" t="str">
        <f t="shared" ref="H131:H139" si="22">MID(E131,11,1)</f>
        <v>H</v>
      </c>
      <c r="I131" s="702" t="str">
        <f t="shared" ref="I131:I139" si="23">MID(E131,5,2)</f>
        <v>96</v>
      </c>
      <c r="J131" s="703" t="str">
        <f t="shared" ref="J131:J139" si="24">MID(E131,7,2)</f>
        <v>10</v>
      </c>
      <c r="K131" s="702" t="str">
        <f t="shared" ref="K131:K139" si="25">MID(E131,9,2)</f>
        <v>08</v>
      </c>
      <c r="L131" s="702" t="s">
        <v>1761</v>
      </c>
      <c r="M131" s="702" t="s">
        <v>134</v>
      </c>
      <c r="N131" s="704" t="s">
        <v>135</v>
      </c>
      <c r="O131" s="705" t="s">
        <v>136</v>
      </c>
      <c r="P131" s="706">
        <v>10</v>
      </c>
      <c r="Q131" s="707">
        <v>0</v>
      </c>
      <c r="R131" s="708">
        <v>5.8</v>
      </c>
      <c r="S131" s="708">
        <v>5</v>
      </c>
      <c r="T131" s="706"/>
      <c r="U131" s="706"/>
      <c r="V131" s="706"/>
      <c r="W131" s="706"/>
      <c r="X131" s="706"/>
      <c r="Y131" s="706"/>
      <c r="Z131" s="706"/>
      <c r="AA131" s="706"/>
      <c r="AB131" s="706"/>
      <c r="AC131" s="706"/>
      <c r="AD131" s="706"/>
      <c r="AE131" s="706"/>
      <c r="AF131" s="706"/>
      <c r="AG131" s="706"/>
      <c r="AH131" s="706"/>
      <c r="AI131" s="706"/>
      <c r="AJ131" s="706"/>
      <c r="AK131" s="706"/>
      <c r="AL131" s="706"/>
      <c r="AM131" s="706"/>
      <c r="AN131" s="706"/>
      <c r="AO131" s="706"/>
      <c r="AP131" s="706"/>
      <c r="AQ131" s="706"/>
      <c r="AR131" s="706"/>
      <c r="AS131" s="706"/>
      <c r="AT131" s="706"/>
      <c r="AU131" s="706"/>
      <c r="AV131" s="706"/>
      <c r="AW131" s="706"/>
      <c r="AX131" s="706"/>
      <c r="AY131" s="706"/>
      <c r="AZ131" s="706"/>
      <c r="BA131" s="706"/>
      <c r="BB131" s="706"/>
      <c r="BC131" s="706"/>
      <c r="BD131" s="706"/>
      <c r="BE131" s="706"/>
      <c r="BF131" s="706"/>
      <c r="BG131" s="706"/>
      <c r="BH131" s="706"/>
      <c r="BI131" s="706"/>
      <c r="BJ131" s="709"/>
      <c r="BK131" s="3"/>
      <c r="BL131" s="2134"/>
      <c r="BM131" s="3"/>
      <c r="BN131" s="3"/>
      <c r="BO131" s="3"/>
      <c r="BP131" s="3"/>
      <c r="BQ131" s="3"/>
      <c r="BR131" s="3"/>
      <c r="BS131" s="3"/>
      <c r="BT131" s="3"/>
    </row>
    <row r="132" spans="1:72" ht="15" customHeight="1" thickBot="1">
      <c r="A132" s="3"/>
      <c r="B132" s="721">
        <v>2</v>
      </c>
      <c r="C132" s="722">
        <v>44621</v>
      </c>
      <c r="D132" s="911">
        <v>365</v>
      </c>
      <c r="E132" s="723" t="str">
        <f>_xlfn.XLOOKUP($D132,  Tabla3[No.],  Tabla3[CURP], " ")</f>
        <v>CAGC870715MNENRN06</v>
      </c>
      <c r="F132" s="724" t="str">
        <f>_xlfn.XLOOKUP($E132, Tabla3[CURP], Tabla3[Matrícula Of. SEQ])</f>
        <v>64LD05F-01</v>
      </c>
      <c r="G132" s="717" t="str">
        <f>IFERROR(VLOOKUP(D132,Tabla3[],5,FALSE),"")</f>
        <v>CANTU GARZA CANTALICIA</v>
      </c>
      <c r="H132" s="644" t="str">
        <f t="shared" si="22"/>
        <v>M</v>
      </c>
      <c r="I132" s="15" t="str">
        <f t="shared" si="23"/>
        <v>87</v>
      </c>
      <c r="J132" s="17" t="str">
        <f t="shared" si="24"/>
        <v>07</v>
      </c>
      <c r="K132" s="15" t="str">
        <f t="shared" si="25"/>
        <v>15</v>
      </c>
      <c r="L132" s="702" t="s">
        <v>1761</v>
      </c>
      <c r="M132" s="15" t="s">
        <v>134</v>
      </c>
      <c r="N132" s="23" t="s">
        <v>136</v>
      </c>
      <c r="O132" s="23" t="s">
        <v>136</v>
      </c>
      <c r="P132" s="18" t="s">
        <v>136</v>
      </c>
      <c r="Q132" s="20">
        <v>10</v>
      </c>
      <c r="R132" s="20">
        <v>10</v>
      </c>
      <c r="S132" s="24">
        <v>10</v>
      </c>
      <c r="T132" s="20">
        <v>10</v>
      </c>
      <c r="U132" s="20">
        <v>10</v>
      </c>
      <c r="V132" s="20">
        <v>10</v>
      </c>
      <c r="W132" s="20">
        <v>10</v>
      </c>
      <c r="X132" s="20">
        <v>10</v>
      </c>
      <c r="Y132" s="20">
        <v>10</v>
      </c>
      <c r="Z132" s="20">
        <v>10</v>
      </c>
      <c r="AA132" s="20">
        <v>10</v>
      </c>
      <c r="AB132" s="20">
        <v>9.6999999999999993</v>
      </c>
      <c r="AC132" s="20">
        <v>10</v>
      </c>
      <c r="AD132" s="20">
        <v>10</v>
      </c>
      <c r="AE132" s="20">
        <v>10</v>
      </c>
      <c r="AF132" s="20">
        <v>10</v>
      </c>
      <c r="AG132" s="20">
        <v>10</v>
      </c>
      <c r="AH132" s="20">
        <v>10</v>
      </c>
      <c r="AI132" s="20">
        <v>10</v>
      </c>
      <c r="AJ132" s="20">
        <v>10</v>
      </c>
      <c r="AK132" s="20">
        <v>9</v>
      </c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>
        <v>10</v>
      </c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710"/>
      <c r="BK132" s="3"/>
      <c r="BL132" s="2134"/>
      <c r="BM132" s="3"/>
      <c r="BN132" s="3"/>
      <c r="BO132" s="3"/>
      <c r="BP132" s="3"/>
      <c r="BQ132" s="3"/>
      <c r="BR132" s="3"/>
      <c r="BS132" s="3"/>
      <c r="BT132" s="3"/>
    </row>
    <row r="133" spans="1:72" ht="15" customHeight="1" thickBot="1">
      <c r="A133" s="3"/>
      <c r="B133" s="721">
        <v>3</v>
      </c>
      <c r="C133" s="722">
        <v>44604</v>
      </c>
      <c r="D133" s="911">
        <v>326</v>
      </c>
      <c r="E133" s="723" t="str">
        <f>_xlfn.XLOOKUP($D133,  Tabla3[No.],  Tabla3[CURP], " ")</f>
        <v>GOBA880316HCSNLB02</v>
      </c>
      <c r="F133" s="725" t="str">
        <f>_xlfn.XLOOKUP($E133, Tabla3[CURP], Tabla3[Matrícula Of. SEQ])</f>
        <v>64LD05A-03</v>
      </c>
      <c r="G133" s="717" t="str">
        <f>IFERROR(VLOOKUP(D133,Tabla3[],5,FALSE),"")</f>
        <v>GONZALEZ BALBOA ABRAHAM</v>
      </c>
      <c r="H133" s="15" t="str">
        <f t="shared" si="22"/>
        <v>H</v>
      </c>
      <c r="I133" s="15" t="str">
        <f t="shared" si="23"/>
        <v>88</v>
      </c>
      <c r="J133" s="17" t="str">
        <f t="shared" si="24"/>
        <v>03</v>
      </c>
      <c r="K133" s="15" t="str">
        <f t="shared" si="25"/>
        <v>16</v>
      </c>
      <c r="L133" s="702" t="s">
        <v>1761</v>
      </c>
      <c r="M133" s="15" t="s">
        <v>134</v>
      </c>
      <c r="N133" s="26">
        <v>10</v>
      </c>
      <c r="O133" s="20">
        <v>10</v>
      </c>
      <c r="P133" s="20">
        <v>10</v>
      </c>
      <c r="Q133" s="20">
        <v>9.3000000000000007</v>
      </c>
      <c r="R133" s="20">
        <v>10</v>
      </c>
      <c r="S133" s="27">
        <v>10</v>
      </c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710"/>
      <c r="BK133" s="3"/>
      <c r="BL133" s="2134"/>
      <c r="BM133" s="3"/>
      <c r="BN133" s="3"/>
      <c r="BO133" s="3"/>
      <c r="BP133" s="3"/>
      <c r="BQ133" s="3"/>
      <c r="BR133" s="3"/>
      <c r="BS133" s="3"/>
      <c r="BT133" s="3"/>
    </row>
    <row r="134" spans="1:72" ht="15" customHeight="1" thickBot="1">
      <c r="A134" s="3"/>
      <c r="B134" s="721">
        <v>4</v>
      </c>
      <c r="C134" s="722">
        <v>44604</v>
      </c>
      <c r="D134" s="911">
        <v>328</v>
      </c>
      <c r="E134" s="723" t="str">
        <f>_xlfn.XLOOKUP($D134,  Tabla3[No.],  Tabla3[CURP], " ")</f>
        <v>HESJ780125HZSRRN06</v>
      </c>
      <c r="F134" s="725" t="str">
        <f>_xlfn.XLOOKUP($E134, Tabla3[CURP], Tabla3[Matrícula Of. SEQ])</f>
        <v>64LD05A-04</v>
      </c>
      <c r="G134" s="717" t="str">
        <f>IFERROR(VLOOKUP(D134,Tabla3[],5,FALSE),"")</f>
        <v>HERNANDEZ SORIANO JUAN DE DIOS</v>
      </c>
      <c r="H134" s="15" t="str">
        <f t="shared" si="22"/>
        <v>H</v>
      </c>
      <c r="I134" s="15" t="str">
        <f t="shared" si="23"/>
        <v>78</v>
      </c>
      <c r="J134" s="17" t="str">
        <f t="shared" si="24"/>
        <v>01</v>
      </c>
      <c r="K134" s="15" t="str">
        <f t="shared" si="25"/>
        <v>25</v>
      </c>
      <c r="L134" s="702" t="s">
        <v>1761</v>
      </c>
      <c r="M134" s="15" t="s">
        <v>134</v>
      </c>
      <c r="N134" s="26">
        <v>8.1999999999999993</v>
      </c>
      <c r="O134" s="20">
        <v>8.1999999999999993</v>
      </c>
      <c r="P134" s="20">
        <v>10</v>
      </c>
      <c r="Q134" s="20">
        <v>9.4</v>
      </c>
      <c r="R134" s="21">
        <v>5.8</v>
      </c>
      <c r="S134" s="27">
        <v>9.1</v>
      </c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710"/>
      <c r="BK134" s="3"/>
      <c r="BL134" s="2134"/>
      <c r="BM134" s="3"/>
      <c r="BN134" s="3"/>
      <c r="BO134" s="3"/>
      <c r="BP134" s="3"/>
      <c r="BQ134" s="3"/>
      <c r="BR134" s="3"/>
      <c r="BS134" s="3"/>
      <c r="BT134" s="3"/>
    </row>
    <row r="135" spans="1:72" ht="15" customHeight="1" thickBot="1">
      <c r="A135" s="3"/>
      <c r="B135" s="721">
        <v>5</v>
      </c>
      <c r="C135" s="722">
        <v>44604</v>
      </c>
      <c r="D135" s="911">
        <v>332</v>
      </c>
      <c r="E135" s="723" t="str">
        <f>_xlfn.XLOOKUP($D135,  Tabla3[No.],  Tabla3[CURP], " ")</f>
        <v>MORF960825MDFRMR00</v>
      </c>
      <c r="F135" s="725" t="str">
        <f>_xlfn.XLOOKUP($E135, Tabla3[CURP], Tabla3[Matrícula Of. SEQ])</f>
        <v>64LD05A-05</v>
      </c>
      <c r="G135" s="717" t="str">
        <f>IFERROR(VLOOKUP(D135,Tabla3[],5,FALSE),"")</f>
        <v>MORENO RAMIREZ FRIDA MARIA</v>
      </c>
      <c r="H135" s="15" t="str">
        <f t="shared" si="22"/>
        <v>M</v>
      </c>
      <c r="I135" s="15" t="str">
        <f t="shared" si="23"/>
        <v>96</v>
      </c>
      <c r="J135" s="17" t="str">
        <f t="shared" si="24"/>
        <v>08</v>
      </c>
      <c r="K135" s="15" t="str">
        <f t="shared" si="25"/>
        <v>25</v>
      </c>
      <c r="L135" s="702" t="s">
        <v>1761</v>
      </c>
      <c r="M135" s="15" t="s">
        <v>134</v>
      </c>
      <c r="N135" s="26">
        <v>8.8000000000000007</v>
      </c>
      <c r="O135" s="20">
        <v>8.8000000000000007</v>
      </c>
      <c r="P135" s="20">
        <v>10</v>
      </c>
      <c r="Q135" s="28">
        <v>5</v>
      </c>
      <c r="R135" s="23" t="s">
        <v>136</v>
      </c>
      <c r="S135" s="29">
        <v>5</v>
      </c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710"/>
      <c r="BK135" s="3"/>
      <c r="BL135" s="2134"/>
      <c r="BM135" s="3"/>
      <c r="BN135" s="3"/>
      <c r="BO135" s="3"/>
      <c r="BP135" s="3"/>
      <c r="BQ135" s="3"/>
      <c r="BR135" s="3"/>
      <c r="BS135" s="3"/>
      <c r="BT135" s="3"/>
    </row>
    <row r="136" spans="1:72" ht="15" customHeight="1" thickBot="1">
      <c r="A136" s="3"/>
      <c r="B136" s="721">
        <v>6</v>
      </c>
      <c r="C136" s="722">
        <v>44604</v>
      </c>
      <c r="D136" s="911">
        <v>318</v>
      </c>
      <c r="E136" s="723" t="str">
        <f>_xlfn.XLOOKUP($D136,  Tabla3[No.],  Tabla3[CURP], " ")</f>
        <v>PAAM720306MYNCKR08</v>
      </c>
      <c r="F136" s="725" t="str">
        <f>_xlfn.XLOOKUP($E136, Tabla3[CURP], Tabla3[Matrícula Of. SEQ])</f>
        <v>64LD05A-06</v>
      </c>
      <c r="G136" s="717" t="str">
        <f>IFERROR(VLOOKUP(D136,Tabla3[],5,FALSE),"")</f>
        <v>PACHECO AKE MIRELLA YNES</v>
      </c>
      <c r="H136" s="15" t="str">
        <f t="shared" si="22"/>
        <v>M</v>
      </c>
      <c r="I136" s="15" t="str">
        <f t="shared" si="23"/>
        <v>72</v>
      </c>
      <c r="J136" s="17" t="str">
        <f t="shared" si="24"/>
        <v>03</v>
      </c>
      <c r="K136" s="15" t="str">
        <f t="shared" si="25"/>
        <v>06</v>
      </c>
      <c r="L136" s="702" t="s">
        <v>1761</v>
      </c>
      <c r="M136" s="15" t="s">
        <v>134</v>
      </c>
      <c r="N136" s="26">
        <v>9.1</v>
      </c>
      <c r="O136" s="20">
        <v>9.1</v>
      </c>
      <c r="P136" s="20">
        <v>10</v>
      </c>
      <c r="Q136" s="20">
        <v>10</v>
      </c>
      <c r="R136" s="20">
        <v>10</v>
      </c>
      <c r="S136" s="27">
        <v>9.6999999999999993</v>
      </c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710"/>
      <c r="BK136" s="3"/>
      <c r="BL136" s="2134"/>
      <c r="BM136" s="3"/>
      <c r="BN136" s="3"/>
      <c r="BO136" s="3"/>
      <c r="BP136" s="3"/>
      <c r="BQ136" s="3"/>
      <c r="BR136" s="3"/>
      <c r="BS136" s="3"/>
      <c r="BT136" s="3"/>
    </row>
    <row r="137" spans="1:72" ht="15" customHeight="1" thickBot="1">
      <c r="A137" s="3"/>
      <c r="B137" s="721">
        <v>7</v>
      </c>
      <c r="C137" s="722">
        <v>44653</v>
      </c>
      <c r="D137" s="911">
        <v>369</v>
      </c>
      <c r="E137" s="723" t="str">
        <f>_xlfn.XLOOKUP($D137,  Tabla3[No.],  Tabla3[CURP], " ")</f>
        <v>POCL991024MQRLRN00</v>
      </c>
      <c r="F137" s="725" t="str">
        <f>_xlfn.XLOOKUP($E137, Tabla3[CURP], Tabla3[Matrícula Of. SEQ])</f>
        <v>64LD05A-09</v>
      </c>
      <c r="G137" s="717" t="str">
        <f>IFERROR(VLOOKUP(D137,Tabla3[],5,FALSE),"")</f>
        <v>POOL CRUZ LANDY ESTHER</v>
      </c>
      <c r="H137" s="15" t="str">
        <f t="shared" si="22"/>
        <v>M</v>
      </c>
      <c r="I137" s="15" t="str">
        <f t="shared" si="23"/>
        <v>99</v>
      </c>
      <c r="J137" s="17" t="str">
        <f t="shared" si="24"/>
        <v>10</v>
      </c>
      <c r="K137" s="15" t="str">
        <f t="shared" si="25"/>
        <v>24</v>
      </c>
      <c r="L137" s="702" t="s">
        <v>1761</v>
      </c>
      <c r="M137" s="15" t="s">
        <v>134</v>
      </c>
      <c r="N137" s="23" t="s">
        <v>136</v>
      </c>
      <c r="O137" s="23" t="s">
        <v>136</v>
      </c>
      <c r="P137" s="18" t="s">
        <v>136</v>
      </c>
      <c r="Q137" s="31">
        <v>9</v>
      </c>
      <c r="R137" s="21">
        <v>0</v>
      </c>
      <c r="S137" s="27">
        <v>9</v>
      </c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710"/>
      <c r="BK137" s="3"/>
      <c r="BL137" s="2134"/>
      <c r="BM137" s="3"/>
      <c r="BN137" s="3"/>
      <c r="BO137" s="3"/>
      <c r="BP137" s="3"/>
      <c r="BQ137" s="3"/>
      <c r="BR137" s="3"/>
      <c r="BS137" s="3"/>
      <c r="BT137" s="3"/>
    </row>
    <row r="138" spans="1:72" ht="15" customHeight="1" thickBot="1">
      <c r="A138" s="3"/>
      <c r="B138" s="721">
        <v>8</v>
      </c>
      <c r="C138" s="722">
        <v>44625</v>
      </c>
      <c r="D138" s="911">
        <v>359</v>
      </c>
      <c r="E138" s="723" t="str">
        <f>_xlfn.XLOOKUP($D138,  Tabla3[No.],  Tabla3[CURP], " ")</f>
        <v>SALR971024HJCNZB04</v>
      </c>
      <c r="F138" s="725" t="str">
        <f>_xlfn.XLOOKUP($E138, Tabla3[CURP], Tabla3[Matrícula Of. SEQ])</f>
        <v>64LD05A-07</v>
      </c>
      <c r="G138" s="717" t="str">
        <f>IFERROR(VLOOKUP(D138,Tabla3[],5,FALSE),"")</f>
        <v>SANCHEZ LOZA JOSE RUBEN</v>
      </c>
      <c r="H138" s="15" t="str">
        <f t="shared" si="22"/>
        <v>H</v>
      </c>
      <c r="I138" s="15" t="str">
        <f t="shared" si="23"/>
        <v>97</v>
      </c>
      <c r="J138" s="17" t="str">
        <f t="shared" si="24"/>
        <v>10</v>
      </c>
      <c r="K138" s="15" t="str">
        <f t="shared" si="25"/>
        <v>24</v>
      </c>
      <c r="L138" s="702" t="s">
        <v>1761</v>
      </c>
      <c r="M138" s="15" t="s">
        <v>134</v>
      </c>
      <c r="N138" s="26" t="s">
        <v>135</v>
      </c>
      <c r="O138" s="23" t="s">
        <v>136</v>
      </c>
      <c r="P138" s="20">
        <v>10</v>
      </c>
      <c r="Q138" s="21">
        <v>5</v>
      </c>
      <c r="R138" s="21">
        <v>5.8</v>
      </c>
      <c r="S138" s="29">
        <v>5</v>
      </c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710"/>
    </row>
    <row r="139" spans="1:72" ht="15" customHeight="1" thickBot="1">
      <c r="A139" s="3"/>
      <c r="B139" s="721">
        <v>9</v>
      </c>
      <c r="C139" s="722">
        <v>44611</v>
      </c>
      <c r="D139" s="911">
        <v>67</v>
      </c>
      <c r="E139" s="723" t="str">
        <f>_xlfn.XLOOKUP($D139,  Tabla3[No.],  Tabla3[CURP], " ")</f>
        <v>TEDR720718HNLRZB01</v>
      </c>
      <c r="F139" s="725" t="str">
        <f>_xlfn.XLOOKUP($E139, Tabla3[CURP], Tabla3[Matrícula Of. SEQ])</f>
        <v>64LD05A-07</v>
      </c>
      <c r="G139" s="717" t="str">
        <f>IFERROR(VLOOKUP(D139,Tabla3[],5,FALSE),"")</f>
        <v>TREVIÑO DIAZ ROBERTO</v>
      </c>
      <c r="H139" s="15" t="str">
        <f t="shared" si="22"/>
        <v>H</v>
      </c>
      <c r="I139" s="15" t="str">
        <f t="shared" si="23"/>
        <v>72</v>
      </c>
      <c r="J139" s="17" t="str">
        <f t="shared" si="24"/>
        <v>07</v>
      </c>
      <c r="K139" s="15" t="str">
        <f t="shared" si="25"/>
        <v>18</v>
      </c>
      <c r="L139" s="702" t="s">
        <v>1762</v>
      </c>
      <c r="M139" s="15" t="s">
        <v>134</v>
      </c>
      <c r="N139" s="26">
        <v>7.9</v>
      </c>
      <c r="O139" s="20">
        <v>7.9</v>
      </c>
      <c r="P139" s="20">
        <v>8.5</v>
      </c>
      <c r="Q139" s="20">
        <v>0</v>
      </c>
      <c r="R139" s="21">
        <v>0</v>
      </c>
      <c r="S139" s="29">
        <v>5</v>
      </c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710"/>
      <c r="BK139" s="3"/>
      <c r="BL139" s="2134"/>
      <c r="BM139" s="3"/>
      <c r="BN139" s="3"/>
      <c r="BO139" s="3"/>
      <c r="BP139" s="3"/>
      <c r="BQ139" s="3"/>
      <c r="BR139" s="3"/>
      <c r="BS139" s="3"/>
      <c r="BT139" s="3"/>
    </row>
    <row r="140" spans="1:72" ht="15" customHeight="1" thickBot="1">
      <c r="A140" s="3"/>
      <c r="B140" s="726">
        <v>10</v>
      </c>
      <c r="C140" s="885">
        <v>44723</v>
      </c>
      <c r="D140" s="1801">
        <v>376</v>
      </c>
      <c r="E140" s="727" t="str">
        <f>_xlfn.XLOOKUP($D140,  Tabla3[No.],  Tabla3[CURP], " ")</f>
        <v>GUVA820215HCCTZN03</v>
      </c>
      <c r="F140" s="728" t="str">
        <f>_xlfn.XLOOKUP($E140, Tabla3[CURP], Tabla3[Matrícula Of. SEQ])</f>
        <v>64LD05D-04</v>
      </c>
      <c r="G140" s="717" t="str">
        <f>IFERROR(VLOOKUP(D140,Tabla3[],5,FALSE),"")</f>
        <v>GUTIERREZ VAZQUEZ ANGEL</v>
      </c>
      <c r="H140" s="711"/>
      <c r="I140" s="711"/>
      <c r="J140" s="712"/>
      <c r="K140" s="711"/>
      <c r="L140" s="702" t="s">
        <v>1761</v>
      </c>
      <c r="M140" s="713" t="s">
        <v>134</v>
      </c>
      <c r="N140" s="714" t="s">
        <v>136</v>
      </c>
      <c r="O140" s="714" t="s">
        <v>136</v>
      </c>
      <c r="P140" s="714" t="s">
        <v>136</v>
      </c>
      <c r="Q140" s="714" t="s">
        <v>136</v>
      </c>
      <c r="R140" s="714" t="s">
        <v>136</v>
      </c>
      <c r="S140" s="714" t="s">
        <v>136</v>
      </c>
      <c r="T140" s="715"/>
      <c r="U140" s="715"/>
      <c r="V140" s="715"/>
      <c r="W140" s="715"/>
      <c r="X140" s="715"/>
      <c r="Y140" s="715"/>
      <c r="Z140" s="715"/>
      <c r="AA140" s="715"/>
      <c r="AB140" s="715"/>
      <c r="AC140" s="715"/>
      <c r="AD140" s="715"/>
      <c r="AE140" s="715"/>
      <c r="AF140" s="715"/>
      <c r="AG140" s="715"/>
      <c r="AH140" s="715"/>
      <c r="AI140" s="715"/>
      <c r="AJ140" s="715"/>
      <c r="AK140" s="715"/>
      <c r="AL140" s="715"/>
      <c r="AM140" s="715"/>
      <c r="AN140" s="715"/>
      <c r="AO140" s="715"/>
      <c r="AP140" s="715"/>
      <c r="AQ140" s="715"/>
      <c r="AR140" s="715"/>
      <c r="AS140" s="715"/>
      <c r="AT140" s="715"/>
      <c r="AU140" s="715"/>
      <c r="AV140" s="715"/>
      <c r="AW140" s="715"/>
      <c r="AX140" s="715"/>
      <c r="AY140" s="715"/>
      <c r="AZ140" s="715"/>
      <c r="BA140" s="715"/>
      <c r="BB140" s="715"/>
      <c r="BC140" s="715"/>
      <c r="BD140" s="715"/>
      <c r="BE140" s="715"/>
      <c r="BF140" s="715"/>
      <c r="BG140" s="715"/>
      <c r="BH140" s="715"/>
      <c r="BI140" s="715"/>
      <c r="BJ140" s="716"/>
      <c r="BK140" s="3"/>
      <c r="BL140" s="2134"/>
      <c r="BM140" s="3"/>
      <c r="BN140" s="3"/>
      <c r="BO140" s="3"/>
      <c r="BP140" s="3"/>
      <c r="BQ140" s="3"/>
      <c r="BR140" s="3"/>
      <c r="BS140" s="3"/>
      <c r="BT140" s="3"/>
    </row>
    <row r="141" spans="1:72" ht="15" customHeight="1">
      <c r="A141" s="3"/>
      <c r="B141" s="700"/>
      <c r="C141" s="1112"/>
      <c r="D141" s="1112"/>
      <c r="E141" s="1113"/>
      <c r="F141" s="1114"/>
      <c r="G141" s="1115"/>
      <c r="H141" s="700"/>
      <c r="I141" s="700"/>
      <c r="J141" s="700"/>
      <c r="K141" s="700"/>
      <c r="L141" s="700"/>
      <c r="M141" s="701"/>
      <c r="N141" s="700"/>
      <c r="O141" s="700"/>
      <c r="P141" s="700"/>
      <c r="Q141" s="700"/>
      <c r="R141" s="700"/>
      <c r="S141" s="700"/>
      <c r="T141" s="700"/>
      <c r="U141" s="700"/>
      <c r="V141" s="700"/>
      <c r="W141" s="700"/>
      <c r="X141" s="700"/>
      <c r="Y141" s="700"/>
      <c r="Z141" s="700"/>
      <c r="AA141" s="643"/>
      <c r="AB141" s="700"/>
      <c r="AC141" s="700"/>
      <c r="AD141" s="700"/>
      <c r="AE141" s="700"/>
      <c r="AF141" s="643"/>
      <c r="AG141" s="643"/>
      <c r="AH141" s="700"/>
      <c r="AI141" s="643"/>
      <c r="AJ141" s="700"/>
      <c r="AK141" s="643"/>
      <c r="AL141" s="643"/>
      <c r="AM141" s="643"/>
      <c r="AN141" s="700"/>
      <c r="AO141" s="700"/>
      <c r="AP141" s="700"/>
      <c r="AQ141" s="700"/>
      <c r="AR141" s="700"/>
      <c r="AS141" s="700"/>
      <c r="AT141" s="700"/>
      <c r="AU141" s="700"/>
      <c r="AV141" s="700"/>
      <c r="AW141" s="700"/>
      <c r="AX141" s="700"/>
      <c r="AY141" s="700"/>
      <c r="AZ141" s="700"/>
      <c r="BA141" s="700"/>
      <c r="BB141" s="700"/>
      <c r="BC141" s="700"/>
      <c r="BD141" s="700"/>
      <c r="BE141" s="700"/>
      <c r="BF141" s="700"/>
      <c r="BG141" s="700"/>
      <c r="BH141" s="700"/>
      <c r="BI141" s="700"/>
      <c r="BJ141" s="700"/>
    </row>
    <row r="143" spans="1:72" ht="15" customHeight="1" thickBot="1">
      <c r="A143" s="3"/>
      <c r="E143" s="3"/>
      <c r="M143" s="2"/>
      <c r="AA143" s="3" t="s">
        <v>157</v>
      </c>
      <c r="AF143" s="3" t="s">
        <v>158</v>
      </c>
      <c r="AG143" s="3" t="s">
        <v>159</v>
      </c>
      <c r="AI143" s="3"/>
      <c r="AK143" s="3"/>
      <c r="AL143" s="3"/>
      <c r="AM143" s="3"/>
    </row>
    <row r="144" spans="1:72" ht="15.75" thickBot="1">
      <c r="A144" s="643"/>
      <c r="B144" s="4112" t="s">
        <v>5</v>
      </c>
      <c r="C144" s="645" t="s">
        <v>197</v>
      </c>
      <c r="D144" s="645"/>
      <c r="E144" s="4100" t="s">
        <v>6</v>
      </c>
      <c r="F144" s="4100" t="s">
        <v>7</v>
      </c>
      <c r="G144" s="4120" t="s">
        <v>8</v>
      </c>
      <c r="H144" s="4121" t="s">
        <v>9</v>
      </c>
      <c r="I144" s="4103" t="s">
        <v>10</v>
      </c>
      <c r="J144" s="4101"/>
      <c r="K144" s="4101"/>
      <c r="L144" s="978"/>
      <c r="M144" s="669"/>
      <c r="N144" s="4106" t="s">
        <v>11</v>
      </c>
      <c r="O144" s="4101"/>
      <c r="P144" s="4101"/>
      <c r="Q144" s="4122" t="s">
        <v>160</v>
      </c>
      <c r="R144" s="4101"/>
      <c r="S144" s="4101"/>
      <c r="T144" s="4107" t="s">
        <v>161</v>
      </c>
      <c r="U144" s="4101"/>
      <c r="V144" s="4101"/>
      <c r="W144" s="4101"/>
      <c r="X144" s="4101"/>
      <c r="Y144" s="4101"/>
      <c r="Z144" s="4108" t="s">
        <v>162</v>
      </c>
      <c r="AA144" s="4101"/>
      <c r="AB144" s="4101"/>
      <c r="AC144" s="4101"/>
      <c r="AD144" s="4101"/>
      <c r="AE144" s="4101"/>
      <c r="AF144" s="4113" t="s">
        <v>163</v>
      </c>
      <c r="AG144" s="4101"/>
      <c r="AH144" s="4101"/>
      <c r="AI144" s="4101"/>
      <c r="AJ144" s="4101"/>
      <c r="AK144" s="4101"/>
      <c r="AL144" s="4123" t="s">
        <v>164</v>
      </c>
      <c r="AM144" s="4101"/>
      <c r="AN144" s="4101"/>
      <c r="AO144" s="4101"/>
      <c r="AP144" s="4101"/>
      <c r="AQ144" s="4101"/>
      <c r="AR144" s="4117" t="s">
        <v>165</v>
      </c>
      <c r="AS144" s="4101"/>
      <c r="AT144" s="4101"/>
      <c r="AU144" s="4101"/>
      <c r="AV144" s="4101"/>
      <c r="AW144" s="4101"/>
      <c r="AX144" s="4118" t="s">
        <v>166</v>
      </c>
      <c r="AY144" s="4101"/>
      <c r="AZ144" s="4101"/>
      <c r="BA144" s="4101"/>
      <c r="BB144" s="4101"/>
      <c r="BC144" s="4101"/>
      <c r="BD144" s="4131" t="s">
        <v>167</v>
      </c>
      <c r="BE144" s="4101"/>
      <c r="BF144" s="4101"/>
      <c r="BG144" s="4101"/>
      <c r="BH144" s="4101"/>
      <c r="BI144" s="4101"/>
      <c r="BJ144" s="646" t="s">
        <v>19</v>
      </c>
      <c r="BK144" s="654"/>
      <c r="BL144" s="2217"/>
      <c r="BM144" s="646"/>
      <c r="BN144" s="646"/>
      <c r="BO144" s="646"/>
      <c r="BP144" s="646"/>
      <c r="BQ144" s="646"/>
      <c r="BR144" s="646"/>
      <c r="BS144" s="646"/>
      <c r="BT144" s="646"/>
    </row>
    <row r="145" spans="1:72" ht="55.35" customHeight="1" thickBot="1">
      <c r="A145" s="643"/>
      <c r="B145" s="4112"/>
      <c r="C145" s="645"/>
      <c r="D145" s="645"/>
      <c r="E145" s="4101"/>
      <c r="F145" s="4101"/>
      <c r="G145" s="4101"/>
      <c r="H145" s="4101"/>
      <c r="I145" s="4101"/>
      <c r="J145" s="4104"/>
      <c r="K145" s="4101"/>
      <c r="L145" s="978"/>
      <c r="M145" s="4105" t="s">
        <v>1149</v>
      </c>
      <c r="N145" s="651" t="s">
        <v>168</v>
      </c>
      <c r="O145" s="648" t="s">
        <v>169</v>
      </c>
      <c r="P145" s="670" t="s">
        <v>170</v>
      </c>
      <c r="Q145" s="651" t="s">
        <v>171</v>
      </c>
      <c r="R145" s="651" t="s">
        <v>172</v>
      </c>
      <c r="S145" s="651" t="s">
        <v>173</v>
      </c>
      <c r="T145" s="651" t="s">
        <v>174</v>
      </c>
      <c r="U145" s="651" t="s">
        <v>175</v>
      </c>
      <c r="V145" s="651" t="s">
        <v>176</v>
      </c>
      <c r="W145" s="651" t="s">
        <v>177</v>
      </c>
      <c r="X145" s="651" t="s">
        <v>178</v>
      </c>
      <c r="Y145" s="651" t="s">
        <v>179</v>
      </c>
      <c r="Z145" s="651" t="s">
        <v>180</v>
      </c>
      <c r="AA145" s="651" t="s">
        <v>181</v>
      </c>
      <c r="AB145" s="651" t="s">
        <v>182</v>
      </c>
      <c r="AC145" s="651" t="s">
        <v>183</v>
      </c>
      <c r="AD145" s="651" t="s">
        <v>179</v>
      </c>
      <c r="AE145" s="651" t="s">
        <v>184</v>
      </c>
      <c r="AF145" s="651" t="s">
        <v>185</v>
      </c>
      <c r="AG145" s="651" t="s">
        <v>183</v>
      </c>
      <c r="AH145" s="651" t="s">
        <v>186</v>
      </c>
      <c r="AI145" s="651" t="s">
        <v>187</v>
      </c>
      <c r="AJ145" s="651" t="s">
        <v>188</v>
      </c>
      <c r="AK145" s="652" t="s">
        <v>189</v>
      </c>
      <c r="AL145" s="648" t="s">
        <v>190</v>
      </c>
      <c r="AM145" s="653" t="s">
        <v>191</v>
      </c>
      <c r="AN145" s="671" t="s">
        <v>192</v>
      </c>
      <c r="AO145" s="672" t="s">
        <v>193</v>
      </c>
      <c r="AP145" s="673" t="s">
        <v>194</v>
      </c>
      <c r="AQ145" s="654"/>
      <c r="AR145" s="655"/>
      <c r="AS145" s="654"/>
      <c r="AT145" s="654"/>
      <c r="AU145" s="654"/>
      <c r="AV145" s="654"/>
      <c r="AW145" s="654"/>
      <c r="AX145" s="656"/>
      <c r="AY145" s="654"/>
      <c r="AZ145" s="654"/>
      <c r="BA145" s="654"/>
      <c r="BB145" s="654"/>
      <c r="BC145" s="654"/>
      <c r="BD145" s="657"/>
      <c r="BE145" s="654"/>
      <c r="BF145" s="658" t="s">
        <v>26</v>
      </c>
      <c r="BG145" s="654"/>
      <c r="BH145" s="654"/>
      <c r="BI145" s="654"/>
      <c r="BJ145" s="646"/>
      <c r="BK145" s="654"/>
      <c r="BL145" s="2217"/>
      <c r="BM145" s="646"/>
      <c r="BN145" s="646"/>
      <c r="BO145" s="646"/>
      <c r="BP145" s="646"/>
      <c r="BQ145" s="646"/>
      <c r="BR145" s="646"/>
      <c r="BS145" s="646"/>
      <c r="BT145" s="646"/>
    </row>
    <row r="146" spans="1:72" ht="15.75" thickBot="1">
      <c r="A146" s="654" t="s">
        <v>27</v>
      </c>
      <c r="B146" s="4112"/>
      <c r="C146" s="663" t="s">
        <v>28</v>
      </c>
      <c r="D146" s="663"/>
      <c r="E146" s="4101"/>
      <c r="F146" s="4101"/>
      <c r="G146" s="4101"/>
      <c r="H146" s="4101"/>
      <c r="I146" s="4101"/>
      <c r="J146" s="4101"/>
      <c r="K146" s="4101"/>
      <c r="L146" s="978"/>
      <c r="M146" s="4105"/>
      <c r="N146" s="661" t="s">
        <v>29</v>
      </c>
      <c r="O146" s="661" t="s">
        <v>30</v>
      </c>
      <c r="P146" s="661" t="s">
        <v>31</v>
      </c>
      <c r="Q146" s="661" t="s">
        <v>32</v>
      </c>
      <c r="R146" s="661" t="s">
        <v>33</v>
      </c>
      <c r="S146" s="661" t="s">
        <v>34</v>
      </c>
      <c r="T146" s="661" t="s">
        <v>35</v>
      </c>
      <c r="U146" s="661" t="s">
        <v>36</v>
      </c>
      <c r="V146" s="661" t="s">
        <v>37</v>
      </c>
      <c r="W146" s="661" t="s">
        <v>38</v>
      </c>
      <c r="X146" s="661" t="s">
        <v>39</v>
      </c>
      <c r="Y146" s="661" t="s">
        <v>40</v>
      </c>
      <c r="Z146" s="661" t="s">
        <v>41</v>
      </c>
      <c r="AA146" s="661" t="s">
        <v>42</v>
      </c>
      <c r="AB146" s="661" t="s">
        <v>43</v>
      </c>
      <c r="AC146" s="661" t="s">
        <v>44</v>
      </c>
      <c r="AD146" s="661" t="s">
        <v>45</v>
      </c>
      <c r="AE146" s="661" t="s">
        <v>46</v>
      </c>
      <c r="AF146" s="662" t="s">
        <v>47</v>
      </c>
      <c r="AG146" s="662" t="s">
        <v>48</v>
      </c>
      <c r="AH146" s="662" t="s">
        <v>49</v>
      </c>
      <c r="AI146" s="662" t="s">
        <v>50</v>
      </c>
      <c r="AJ146" s="662" t="s">
        <v>51</v>
      </c>
      <c r="AK146" s="662" t="s">
        <v>52</v>
      </c>
      <c r="AL146" s="662" t="s">
        <v>53</v>
      </c>
      <c r="AM146" s="662" t="s">
        <v>54</v>
      </c>
      <c r="AN146" s="662" t="s">
        <v>55</v>
      </c>
      <c r="AO146" s="662" t="s">
        <v>56</v>
      </c>
      <c r="AP146" s="662" t="s">
        <v>57</v>
      </c>
      <c r="AQ146" s="662" t="s">
        <v>58</v>
      </c>
      <c r="AR146" s="662" t="s">
        <v>59</v>
      </c>
      <c r="AS146" s="662" t="s">
        <v>60</v>
      </c>
      <c r="AT146" s="662" t="s">
        <v>61</v>
      </c>
      <c r="AU146" s="662" t="s">
        <v>62</v>
      </c>
      <c r="AV146" s="662" t="s">
        <v>63</v>
      </c>
      <c r="AW146" s="662" t="s">
        <v>64</v>
      </c>
      <c r="AX146" s="662" t="s">
        <v>65</v>
      </c>
      <c r="AY146" s="662" t="s">
        <v>66</v>
      </c>
      <c r="AZ146" s="662" t="s">
        <v>67</v>
      </c>
      <c r="BA146" s="662" t="s">
        <v>48</v>
      </c>
      <c r="BB146" s="662" t="s">
        <v>68</v>
      </c>
      <c r="BC146" s="662" t="s">
        <v>69</v>
      </c>
      <c r="BD146" s="662" t="s">
        <v>70</v>
      </c>
      <c r="BE146" s="662" t="s">
        <v>71</v>
      </c>
      <c r="BF146" s="662" t="s">
        <v>72</v>
      </c>
      <c r="BG146" s="662" t="s">
        <v>73</v>
      </c>
      <c r="BH146" s="662" t="s">
        <v>74</v>
      </c>
      <c r="BI146" s="662" t="s">
        <v>75</v>
      </c>
      <c r="BJ146" s="662" t="s">
        <v>76</v>
      </c>
      <c r="BK146" s="654"/>
      <c r="BL146" s="2226" t="s">
        <v>195</v>
      </c>
      <c r="BM146" s="662" t="s">
        <v>196</v>
      </c>
      <c r="BN146" s="662" t="s">
        <v>196</v>
      </c>
      <c r="BO146" s="662" t="s">
        <v>196</v>
      </c>
      <c r="BP146" s="662" t="s">
        <v>196</v>
      </c>
      <c r="BQ146" s="662" t="s">
        <v>196</v>
      </c>
      <c r="BR146" s="662" t="s">
        <v>196</v>
      </c>
      <c r="BS146" s="662" t="s">
        <v>196</v>
      </c>
      <c r="BT146" s="662" t="s">
        <v>196</v>
      </c>
    </row>
    <row r="147" spans="1:72" ht="55.35" customHeight="1" thickBot="1">
      <c r="A147" s="668" t="s">
        <v>197</v>
      </c>
      <c r="B147" s="4119"/>
      <c r="C147" s="729" t="s">
        <v>198</v>
      </c>
      <c r="D147" s="729"/>
      <c r="E147" s="4102"/>
      <c r="F147" s="4102"/>
      <c r="G147" s="730" t="s">
        <v>78</v>
      </c>
      <c r="H147" s="4102"/>
      <c r="I147" s="731" t="s">
        <v>79</v>
      </c>
      <c r="J147" s="731" t="s">
        <v>80</v>
      </c>
      <c r="K147" s="731" t="s">
        <v>81</v>
      </c>
      <c r="L147" s="1064" t="s">
        <v>1759</v>
      </c>
      <c r="M147" s="732" t="s">
        <v>27</v>
      </c>
      <c r="N147" s="733" t="s">
        <v>82</v>
      </c>
      <c r="O147" s="733" t="s">
        <v>83</v>
      </c>
      <c r="P147" s="733" t="s">
        <v>84</v>
      </c>
      <c r="Q147" s="733" t="s">
        <v>85</v>
      </c>
      <c r="R147" s="733" t="s">
        <v>86</v>
      </c>
      <c r="S147" s="733" t="s">
        <v>87</v>
      </c>
      <c r="T147" s="733" t="s">
        <v>88</v>
      </c>
      <c r="U147" s="733" t="s">
        <v>89</v>
      </c>
      <c r="V147" s="733" t="s">
        <v>90</v>
      </c>
      <c r="W147" s="733" t="s">
        <v>91</v>
      </c>
      <c r="X147" s="733" t="s">
        <v>92</v>
      </c>
      <c r="Y147" s="733" t="s">
        <v>93</v>
      </c>
      <c r="Z147" s="733" t="s">
        <v>94</v>
      </c>
      <c r="AA147" s="733" t="s">
        <v>95</v>
      </c>
      <c r="AB147" s="733" t="s">
        <v>96</v>
      </c>
      <c r="AC147" s="733" t="s">
        <v>97</v>
      </c>
      <c r="AD147" s="733" t="s">
        <v>98</v>
      </c>
      <c r="AE147" s="733" t="s">
        <v>99</v>
      </c>
      <c r="AF147" s="733" t="s">
        <v>100</v>
      </c>
      <c r="AG147" s="733" t="s">
        <v>101</v>
      </c>
      <c r="AH147" s="733" t="s">
        <v>102</v>
      </c>
      <c r="AI147" s="733" t="s">
        <v>103</v>
      </c>
      <c r="AJ147" s="733" t="s">
        <v>104</v>
      </c>
      <c r="AK147" s="733" t="s">
        <v>105</v>
      </c>
      <c r="AL147" s="733" t="s">
        <v>106</v>
      </c>
      <c r="AM147" s="733" t="s">
        <v>107</v>
      </c>
      <c r="AN147" s="733" t="s">
        <v>108</v>
      </c>
      <c r="AO147" s="733" t="s">
        <v>109</v>
      </c>
      <c r="AP147" s="733" t="s">
        <v>110</v>
      </c>
      <c r="AQ147" s="733" t="s">
        <v>111</v>
      </c>
      <c r="AR147" s="733" t="s">
        <v>112</v>
      </c>
      <c r="AS147" s="733" t="s">
        <v>113</v>
      </c>
      <c r="AT147" s="733" t="s">
        <v>114</v>
      </c>
      <c r="AU147" s="733" t="s">
        <v>115</v>
      </c>
      <c r="AV147" s="733" t="s">
        <v>116</v>
      </c>
      <c r="AW147" s="733" t="s">
        <v>117</v>
      </c>
      <c r="AX147" s="733" t="s">
        <v>118</v>
      </c>
      <c r="AY147" s="733" t="s">
        <v>119</v>
      </c>
      <c r="AZ147" s="733" t="s">
        <v>120</v>
      </c>
      <c r="BA147" s="733" t="s">
        <v>121</v>
      </c>
      <c r="BB147" s="733" t="s">
        <v>122</v>
      </c>
      <c r="BC147" s="733" t="s">
        <v>123</v>
      </c>
      <c r="BD147" s="733" t="s">
        <v>124</v>
      </c>
      <c r="BE147" s="733" t="s">
        <v>125</v>
      </c>
      <c r="BF147" s="733" t="s">
        <v>126</v>
      </c>
      <c r="BG147" s="733" t="s">
        <v>127</v>
      </c>
      <c r="BH147" s="733" t="s">
        <v>128</v>
      </c>
      <c r="BI147" s="733" t="s">
        <v>129</v>
      </c>
      <c r="BJ147" s="733" t="s">
        <v>130</v>
      </c>
      <c r="BK147" s="734"/>
      <c r="BL147" s="2227" t="s">
        <v>26</v>
      </c>
      <c r="BM147" s="733" t="s">
        <v>199</v>
      </c>
      <c r="BN147" s="733" t="s">
        <v>199</v>
      </c>
      <c r="BO147" s="733" t="s">
        <v>200</v>
      </c>
      <c r="BP147" s="733" t="s">
        <v>187</v>
      </c>
      <c r="BQ147" s="735" t="s">
        <v>201</v>
      </c>
      <c r="BR147" s="736"/>
      <c r="BS147" s="733" t="s">
        <v>187</v>
      </c>
      <c r="BT147" s="733" t="s">
        <v>187</v>
      </c>
    </row>
    <row r="148" spans="1:72">
      <c r="A148" s="36" t="s">
        <v>202</v>
      </c>
      <c r="B148" s="718">
        <v>1</v>
      </c>
      <c r="C148" s="722">
        <v>44459</v>
      </c>
      <c r="D148" s="911">
        <v>216</v>
      </c>
      <c r="E148" s="762" t="str">
        <f>_xlfn.XLOOKUP($D148,  Tabla3[No.],  Tabla3[CURP], " ")</f>
        <v>PABC921206HYNLNR06</v>
      </c>
      <c r="F148" s="763" t="str">
        <f>_xlfn.XLOOKUP($E148, Tabla3[CURP], Tabla3[Matrícula Of. SEQ])</f>
        <v>64LD03C-08</v>
      </c>
      <c r="G148" s="717" t="str">
        <f>IFERROR(VLOOKUP(D148,Tabla3[],5,FALSE),"")</f>
        <v>PALOMO BONILLA CARLOS EDUARDO</v>
      </c>
      <c r="H148" s="764" t="str">
        <f>MID(E148,11,1)</f>
        <v>H</v>
      </c>
      <c r="I148" s="764" t="str">
        <f>MID(E148,5,2)</f>
        <v>92</v>
      </c>
      <c r="J148" s="764" t="str">
        <f>MID(E148,7,2)</f>
        <v>12</v>
      </c>
      <c r="K148" s="764" t="str">
        <f>MID(E148,9,2)</f>
        <v>06</v>
      </c>
      <c r="L148" s="764" t="s">
        <v>1761</v>
      </c>
      <c r="M148" s="765" t="s">
        <v>197</v>
      </c>
      <c r="N148" s="764">
        <v>10</v>
      </c>
      <c r="O148" s="764">
        <v>10</v>
      </c>
      <c r="P148" s="764">
        <v>10</v>
      </c>
      <c r="Q148" s="764">
        <v>8</v>
      </c>
      <c r="R148" s="764">
        <v>9</v>
      </c>
      <c r="S148" s="764">
        <v>8</v>
      </c>
      <c r="T148" s="764">
        <v>9.6999999999999993</v>
      </c>
      <c r="U148" s="764">
        <v>8.5</v>
      </c>
      <c r="V148" s="764">
        <v>8.5</v>
      </c>
      <c r="W148" s="764">
        <v>7.6</v>
      </c>
      <c r="X148" s="764">
        <v>8.4</v>
      </c>
      <c r="Y148" s="764">
        <v>9.3000000000000007</v>
      </c>
      <c r="Z148" s="766">
        <v>8.6999999999999993</v>
      </c>
      <c r="AA148" s="766">
        <v>9</v>
      </c>
      <c r="AB148" s="766">
        <v>9.6999999999999993</v>
      </c>
      <c r="AC148" s="764">
        <v>8.5</v>
      </c>
      <c r="AD148" s="764">
        <v>9</v>
      </c>
      <c r="AE148" s="767">
        <v>10</v>
      </c>
      <c r="AF148" s="768"/>
      <c r="AG148" s="768"/>
      <c r="AH148" s="768"/>
      <c r="AI148" s="768"/>
      <c r="AJ148" s="768"/>
      <c r="AK148" s="768"/>
      <c r="AL148" s="769"/>
      <c r="AM148" s="768"/>
      <c r="AN148" s="768"/>
      <c r="AO148" s="768"/>
      <c r="AP148" s="768"/>
      <c r="AQ148" s="768"/>
      <c r="AR148" s="768"/>
      <c r="AS148" s="768"/>
      <c r="AT148" s="768"/>
      <c r="AU148" s="768"/>
      <c r="AV148" s="768"/>
      <c r="AW148" s="768"/>
      <c r="AX148" s="768"/>
      <c r="AY148" s="768"/>
      <c r="AZ148" s="768"/>
      <c r="BA148" s="768"/>
      <c r="BB148" s="768"/>
      <c r="BC148" s="770"/>
      <c r="BD148" s="768"/>
      <c r="BE148" s="768"/>
      <c r="BF148" s="768"/>
      <c r="BG148" s="768"/>
      <c r="BH148" s="768"/>
      <c r="BI148" s="768"/>
      <c r="BJ148" s="768"/>
      <c r="BK148" s="771"/>
      <c r="BL148" s="2228"/>
      <c r="BM148" s="771"/>
      <c r="BN148" s="771"/>
      <c r="BO148" s="771"/>
      <c r="BP148" s="771"/>
      <c r="BQ148" s="771"/>
      <c r="BR148" s="771"/>
      <c r="BS148" s="771"/>
      <c r="BT148" s="772"/>
    </row>
    <row r="149" spans="1:72">
      <c r="A149" s="3"/>
      <c r="B149" s="721">
        <f>B148+1</f>
        <v>2</v>
      </c>
      <c r="C149" s="722"/>
      <c r="D149" s="911"/>
      <c r="E149" s="743" t="str">
        <f>_xlfn.XLOOKUP($D149,  Tabla3[No.],  Tabla3[CURP], " ")</f>
        <v xml:space="preserve"> </v>
      </c>
      <c r="F149" s="743" t="e">
        <f>_xlfn.XLOOKUP($E149, Tabla3[CURP], Tabla3[Matrícula Of. SEQ])</f>
        <v>#N/A</v>
      </c>
      <c r="G149" s="717" t="str">
        <f>IFERROR(VLOOKUP(D149,Tabla3[],5,FALSE),"")</f>
        <v/>
      </c>
      <c r="H149" s="744"/>
      <c r="I149" s="744"/>
      <c r="J149" s="744"/>
      <c r="K149" s="744"/>
      <c r="L149" s="744"/>
      <c r="M149" s="744"/>
      <c r="N149" s="744"/>
      <c r="O149" s="744"/>
      <c r="P149" s="744"/>
      <c r="Q149" s="744"/>
      <c r="R149" s="744"/>
      <c r="S149" s="744"/>
      <c r="T149" s="744"/>
      <c r="U149" s="744"/>
      <c r="V149" s="744"/>
      <c r="W149" s="744"/>
      <c r="X149" s="744"/>
      <c r="Y149" s="744"/>
      <c r="Z149" s="744"/>
      <c r="AA149" s="744"/>
      <c r="AB149" s="744"/>
      <c r="AC149" s="744"/>
      <c r="AD149" s="744"/>
      <c r="AE149" s="744"/>
      <c r="AF149" s="744"/>
      <c r="AG149" s="744"/>
      <c r="AH149" s="744"/>
      <c r="AI149" s="744"/>
      <c r="AJ149" s="744"/>
      <c r="AK149" s="744"/>
      <c r="AL149" s="744"/>
      <c r="AM149" s="744"/>
      <c r="AN149" s="630"/>
      <c r="AO149" s="630"/>
      <c r="AP149" s="630"/>
      <c r="AQ149" s="630"/>
      <c r="AR149" s="630"/>
      <c r="AS149" s="630"/>
      <c r="AT149" s="630"/>
      <c r="AU149" s="630"/>
      <c r="AV149" s="630"/>
      <c r="AW149" s="630"/>
      <c r="AX149" s="630"/>
      <c r="AY149" s="630"/>
      <c r="AZ149" s="630"/>
      <c r="BA149" s="630"/>
      <c r="BB149" s="630"/>
      <c r="BC149" s="630"/>
      <c r="BD149" s="630"/>
      <c r="BE149" s="630"/>
      <c r="BF149" s="630"/>
      <c r="BG149" s="630"/>
      <c r="BH149" s="630"/>
      <c r="BI149" s="630"/>
      <c r="BJ149" s="630"/>
      <c r="BK149" s="637"/>
      <c r="BL149" s="2135"/>
      <c r="BM149" s="637"/>
      <c r="BN149" s="637"/>
      <c r="BO149" s="637"/>
      <c r="BP149" s="637"/>
      <c r="BQ149" s="637"/>
      <c r="BR149" s="637"/>
      <c r="BS149" s="637"/>
      <c r="BT149" s="773"/>
    </row>
    <row r="150" spans="1:72">
      <c r="A150" s="3"/>
      <c r="B150" s="721">
        <v>3</v>
      </c>
      <c r="C150" s="722">
        <v>44248</v>
      </c>
      <c r="D150" s="911">
        <v>268</v>
      </c>
      <c r="E150" s="737" t="str">
        <f>_xlfn.XLOOKUP($D150,  Tabla3[No.],  Tabla3[CURP], " ")</f>
        <v>CAGM010321MVZHNRA6</v>
      </c>
      <c r="F150" s="738" t="str">
        <f>_xlfn.XLOOKUP($E150, Tabla3[CURP], Tabla3[Matrícula Of. SEQ])</f>
        <v>64LD03C-03</v>
      </c>
      <c r="G150" s="717" t="str">
        <f>IFERROR(VLOOKUP(D150,Tabla3[],5,FALSE),"")</f>
        <v>CHAIN GONZALEZ MARIA</v>
      </c>
      <c r="H150" s="739" t="str">
        <f t="shared" ref="H150:H158" si="26">MID(E150,11,1)</f>
        <v>M</v>
      </c>
      <c r="I150" s="739" t="str">
        <f t="shared" ref="I150:I158" si="27">MID(E150,5,2)</f>
        <v>01</v>
      </c>
      <c r="J150" s="739" t="str">
        <f t="shared" ref="J150:J158" si="28">MID(E150,7,2)</f>
        <v>03</v>
      </c>
      <c r="K150" s="739" t="str">
        <f t="shared" ref="K150:K158" si="29">MID(E150,9,2)</f>
        <v>21</v>
      </c>
      <c r="L150" s="739" t="s">
        <v>1761</v>
      </c>
      <c r="M150" s="642" t="s">
        <v>197</v>
      </c>
      <c r="N150" s="739">
        <v>10</v>
      </c>
      <c r="O150" s="745">
        <v>4</v>
      </c>
      <c r="P150" s="745">
        <v>8</v>
      </c>
      <c r="Q150" s="745" t="s">
        <v>136</v>
      </c>
      <c r="R150" s="745" t="s">
        <v>136</v>
      </c>
      <c r="S150" s="745">
        <v>10</v>
      </c>
      <c r="T150" s="745" t="s">
        <v>136</v>
      </c>
      <c r="U150" s="745">
        <v>8</v>
      </c>
      <c r="V150" s="745" t="s">
        <v>136</v>
      </c>
      <c r="W150" s="739">
        <v>7.6</v>
      </c>
      <c r="X150" s="739">
        <v>8.6999999999999993</v>
      </c>
      <c r="Y150" s="739">
        <v>8.1</v>
      </c>
      <c r="Z150" s="740">
        <v>8</v>
      </c>
      <c r="AA150" s="740">
        <v>8</v>
      </c>
      <c r="AB150" s="740">
        <v>8</v>
      </c>
      <c r="AC150" s="739">
        <v>8.5</v>
      </c>
      <c r="AD150" s="739">
        <v>7</v>
      </c>
      <c r="AE150" s="741">
        <v>10</v>
      </c>
      <c r="AF150" s="630">
        <v>9</v>
      </c>
      <c r="AG150" s="1238" t="s">
        <v>208</v>
      </c>
      <c r="AH150" s="630">
        <v>9</v>
      </c>
      <c r="AI150" s="630">
        <v>10</v>
      </c>
      <c r="AJ150" s="630">
        <v>7</v>
      </c>
      <c r="AK150" s="630">
        <v>7.4</v>
      </c>
      <c r="AL150" s="747">
        <v>5.5</v>
      </c>
      <c r="AM150" s="630"/>
      <c r="AN150" s="630">
        <v>7.4</v>
      </c>
      <c r="AO150" s="630">
        <v>6.5</v>
      </c>
      <c r="AP150" s="748">
        <v>6</v>
      </c>
      <c r="AQ150" s="630">
        <v>9</v>
      </c>
      <c r="AR150" s="630"/>
      <c r="AS150" s="630"/>
      <c r="AT150" s="630"/>
      <c r="AU150" s="630"/>
      <c r="AV150" s="630"/>
      <c r="AW150" s="630"/>
      <c r="AX150" s="630"/>
      <c r="AY150" s="630"/>
      <c r="AZ150" s="630"/>
      <c r="BA150" s="630"/>
      <c r="BB150" s="630"/>
      <c r="BC150" s="630"/>
      <c r="BD150" s="630"/>
      <c r="BE150" s="630"/>
      <c r="BF150" s="630"/>
      <c r="BG150" s="630"/>
      <c r="BH150" s="630"/>
      <c r="BI150" s="630"/>
      <c r="BJ150" s="630"/>
      <c r="BK150" s="637"/>
      <c r="BL150" s="2135"/>
      <c r="BM150" s="637"/>
      <c r="BN150" s="637"/>
      <c r="BO150" s="637"/>
      <c r="BP150" s="637"/>
      <c r="BQ150" s="637"/>
      <c r="BR150" s="637"/>
      <c r="BS150" s="637"/>
      <c r="BT150" s="773"/>
    </row>
    <row r="151" spans="1:72">
      <c r="A151" s="3"/>
      <c r="B151" s="721">
        <f>B150+1</f>
        <v>4</v>
      </c>
      <c r="C151" s="722">
        <v>44276</v>
      </c>
      <c r="D151" s="911">
        <v>212</v>
      </c>
      <c r="E151" s="737" t="str">
        <f>_xlfn.XLOOKUP($D151,  Tabla3[No.],  Tabla3[CURP], " ")</f>
        <v>LADJ990603HQRRLR02</v>
      </c>
      <c r="F151" s="738" t="str">
        <f>_xlfn.XLOOKUP($E151, Tabla3[CURP], Tabla3[Matrícula Of. SEQ])</f>
        <v>64LD03C-04</v>
      </c>
      <c r="G151" s="717" t="str">
        <f>IFERROR(VLOOKUP(D151,Tabla3[],5,FALSE),"")</f>
        <v>LARA DELGADO JERRY VENTURA</v>
      </c>
      <c r="H151" s="739" t="str">
        <f t="shared" si="26"/>
        <v>H</v>
      </c>
      <c r="I151" s="739" t="str">
        <f t="shared" si="27"/>
        <v>99</v>
      </c>
      <c r="J151" s="739" t="str">
        <f t="shared" si="28"/>
        <v>06</v>
      </c>
      <c r="K151" s="739" t="str">
        <f t="shared" si="29"/>
        <v>03</v>
      </c>
      <c r="L151" s="739" t="s">
        <v>1761</v>
      </c>
      <c r="M151" s="642" t="s">
        <v>197</v>
      </c>
      <c r="N151" s="739">
        <v>10</v>
      </c>
      <c r="O151" s="745"/>
      <c r="P151" s="745"/>
      <c r="Q151" s="745"/>
      <c r="R151" s="745"/>
      <c r="S151" s="745"/>
      <c r="T151" s="745"/>
      <c r="U151" s="745"/>
      <c r="V151" s="745"/>
      <c r="W151" s="745">
        <v>7</v>
      </c>
      <c r="X151" s="745">
        <v>7</v>
      </c>
      <c r="Y151" s="739">
        <v>9</v>
      </c>
      <c r="Z151" s="740">
        <v>10</v>
      </c>
      <c r="AA151" s="740">
        <v>8.6999999999999993</v>
      </c>
      <c r="AB151" s="740">
        <v>10</v>
      </c>
      <c r="AC151" s="739">
        <v>10</v>
      </c>
      <c r="AD151" s="739">
        <v>9</v>
      </c>
      <c r="AE151" s="741">
        <v>10</v>
      </c>
      <c r="AF151" s="630">
        <v>9</v>
      </c>
      <c r="AG151" s="748">
        <v>9</v>
      </c>
      <c r="AH151" s="630">
        <v>9.5</v>
      </c>
      <c r="AI151" s="630">
        <v>9.6</v>
      </c>
      <c r="AJ151" s="630">
        <v>8</v>
      </c>
      <c r="AK151" s="630">
        <v>7.4</v>
      </c>
      <c r="AL151" s="742">
        <v>9.4</v>
      </c>
      <c r="AM151" s="630"/>
      <c r="AN151" s="630">
        <v>9.9</v>
      </c>
      <c r="AO151" s="749">
        <v>5</v>
      </c>
      <c r="AP151" s="630">
        <v>10</v>
      </c>
      <c r="AQ151" s="630">
        <v>9</v>
      </c>
      <c r="AR151" s="630"/>
      <c r="AS151" s="630"/>
      <c r="AT151" s="630"/>
      <c r="AU151" s="630"/>
      <c r="AV151" s="630"/>
      <c r="AW151" s="630"/>
      <c r="AX151" s="630"/>
      <c r="AY151" s="630"/>
      <c r="AZ151" s="630"/>
      <c r="BA151" s="630"/>
      <c r="BB151" s="630"/>
      <c r="BC151" s="630"/>
      <c r="BD151" s="630"/>
      <c r="BE151" s="630"/>
      <c r="BF151" s="630"/>
      <c r="BG151" s="630"/>
      <c r="BH151" s="630"/>
      <c r="BI151" s="630"/>
      <c r="BJ151" s="630"/>
      <c r="BK151" s="637"/>
      <c r="BL151" s="2135"/>
      <c r="BM151" s="637"/>
      <c r="BN151" s="637"/>
      <c r="BO151" s="637"/>
      <c r="BP151" s="637"/>
      <c r="BQ151" s="637"/>
      <c r="BR151" s="637"/>
      <c r="BS151" s="637"/>
      <c r="BT151" s="773"/>
    </row>
    <row r="152" spans="1:72">
      <c r="A152" s="3"/>
      <c r="B152" s="721">
        <v>5</v>
      </c>
      <c r="C152" s="722">
        <v>44248</v>
      </c>
      <c r="D152" s="911">
        <v>213</v>
      </c>
      <c r="E152" s="737" t="str">
        <f>_xlfn.XLOOKUP($D152,  Tabla3[No.],  Tabla3[CURP], " ")</f>
        <v>LISA921027HSPRLR02</v>
      </c>
      <c r="F152" s="738" t="str">
        <f>_xlfn.XLOOKUP($E152, Tabla3[CURP], Tabla3[Matrícula Of. SEQ])</f>
        <v>64LD03C-08</v>
      </c>
      <c r="G152" s="717" t="str">
        <f>IFERROR(VLOOKUP(D152,Tabla3[],5,FALSE),"")</f>
        <v>LIRA SOLIS ARMANDO</v>
      </c>
      <c r="H152" s="739" t="str">
        <f t="shared" si="26"/>
        <v>H</v>
      </c>
      <c r="I152" s="739" t="str">
        <f t="shared" si="27"/>
        <v>92</v>
      </c>
      <c r="J152" s="739" t="str">
        <f t="shared" si="28"/>
        <v>10</v>
      </c>
      <c r="K152" s="739" t="str">
        <f t="shared" si="29"/>
        <v>27</v>
      </c>
      <c r="L152" s="739" t="s">
        <v>1761</v>
      </c>
      <c r="M152" s="642" t="s">
        <v>197</v>
      </c>
      <c r="N152" s="739">
        <v>10</v>
      </c>
      <c r="O152" s="745"/>
      <c r="P152" s="745"/>
      <c r="Q152" s="745"/>
      <c r="R152" s="745"/>
      <c r="S152" s="745"/>
      <c r="T152" s="745"/>
      <c r="U152" s="745"/>
      <c r="V152" s="745"/>
      <c r="W152" s="739">
        <v>8.8000000000000007</v>
      </c>
      <c r="X152" s="739">
        <v>8.6999999999999993</v>
      </c>
      <c r="Y152" s="739">
        <v>9.9</v>
      </c>
      <c r="Z152" s="740">
        <v>9.3000000000000007</v>
      </c>
      <c r="AA152" s="750">
        <v>9</v>
      </c>
      <c r="AB152" s="740">
        <v>9.6999999999999993</v>
      </c>
      <c r="AC152" s="739">
        <v>9.6999999999999993</v>
      </c>
      <c r="AD152" s="739">
        <v>10</v>
      </c>
      <c r="AE152" s="741">
        <v>10</v>
      </c>
      <c r="AF152" s="630">
        <v>9</v>
      </c>
      <c r="AG152" s="748">
        <v>8</v>
      </c>
      <c r="AH152" s="748">
        <v>9.6</v>
      </c>
      <c r="AI152" s="630">
        <v>10</v>
      </c>
      <c r="AJ152" s="630">
        <v>9</v>
      </c>
      <c r="AK152" s="630">
        <v>8</v>
      </c>
      <c r="AL152" s="742">
        <v>10</v>
      </c>
      <c r="AM152" s="630"/>
      <c r="AN152" s="630">
        <v>7.3</v>
      </c>
      <c r="AO152" s="630">
        <v>10</v>
      </c>
      <c r="AP152" s="630">
        <v>10</v>
      </c>
      <c r="AQ152" s="630">
        <v>9</v>
      </c>
      <c r="AR152" s="630"/>
      <c r="AS152" s="630"/>
      <c r="AT152" s="630"/>
      <c r="AU152" s="630"/>
      <c r="AV152" s="630"/>
      <c r="AW152" s="630"/>
      <c r="AX152" s="630"/>
      <c r="AY152" s="630"/>
      <c r="AZ152" s="630"/>
      <c r="BA152" s="630"/>
      <c r="BB152" s="630"/>
      <c r="BC152" s="630"/>
      <c r="BD152" s="630"/>
      <c r="BE152" s="630"/>
      <c r="BF152" s="630"/>
      <c r="BG152" s="630"/>
      <c r="BH152" s="630"/>
      <c r="BI152" s="630"/>
      <c r="BJ152" s="630"/>
      <c r="BK152" s="637"/>
      <c r="BL152" s="2135"/>
      <c r="BM152" s="637"/>
      <c r="BN152" s="637"/>
      <c r="BO152" s="637"/>
      <c r="BP152" s="637"/>
      <c r="BQ152" s="637"/>
      <c r="BR152" s="637"/>
      <c r="BS152" s="637"/>
      <c r="BT152" s="773"/>
    </row>
    <row r="153" spans="1:72" ht="19.5" thickBot="1">
      <c r="A153" s="3"/>
      <c r="B153" s="721">
        <f>B152+1</f>
        <v>6</v>
      </c>
      <c r="C153" s="722">
        <v>44228</v>
      </c>
      <c r="D153" s="911">
        <v>214</v>
      </c>
      <c r="E153" s="737" t="str">
        <f>_xlfn.XLOOKUP($D153,  Tabla3[No.],  Tabla3[CURP], " ")</f>
        <v>LOAK960213HOCPLV01</v>
      </c>
      <c r="F153" s="738" t="str">
        <f>_xlfn.XLOOKUP($E153, Tabla3[CURP], Tabla3[Matrícula Of. SEQ])</f>
        <v>64LD03C-09</v>
      </c>
      <c r="G153" s="717" t="str">
        <f>IFERROR(VLOOKUP(D153,Tabla3[],5,FALSE),"")</f>
        <v>LOPEZ ALCALA KEVIN</v>
      </c>
      <c r="H153" s="739" t="str">
        <f t="shared" si="26"/>
        <v>H</v>
      </c>
      <c r="I153" s="739" t="str">
        <f t="shared" si="27"/>
        <v>96</v>
      </c>
      <c r="J153" s="739" t="str">
        <f t="shared" si="28"/>
        <v>02</v>
      </c>
      <c r="K153" s="739" t="str">
        <f t="shared" si="29"/>
        <v>13</v>
      </c>
      <c r="L153" s="739" t="s">
        <v>1761</v>
      </c>
      <c r="M153" s="642" t="s">
        <v>197</v>
      </c>
      <c r="N153" s="739">
        <v>10</v>
      </c>
      <c r="O153" s="745"/>
      <c r="P153" s="745"/>
      <c r="Q153" s="745"/>
      <c r="R153" s="745"/>
      <c r="S153" s="745"/>
      <c r="T153" s="745"/>
      <c r="U153" s="745" t="s">
        <v>135</v>
      </c>
      <c r="V153" s="739">
        <v>10</v>
      </c>
      <c r="W153" s="739">
        <v>7.2</v>
      </c>
      <c r="X153" s="739">
        <v>7.2</v>
      </c>
      <c r="Y153" s="751">
        <v>7</v>
      </c>
      <c r="Z153" s="740">
        <v>7</v>
      </c>
      <c r="AA153" s="740">
        <v>7</v>
      </c>
      <c r="AB153" s="740">
        <v>7</v>
      </c>
      <c r="AC153" s="739">
        <v>8.4</v>
      </c>
      <c r="AD153" s="752">
        <v>7</v>
      </c>
      <c r="AE153" s="741">
        <v>10</v>
      </c>
      <c r="AF153" s="630">
        <v>8</v>
      </c>
      <c r="AG153" s="748">
        <v>9</v>
      </c>
      <c r="AH153" s="746">
        <v>2</v>
      </c>
      <c r="AI153" s="630">
        <v>6.2</v>
      </c>
      <c r="AJ153" s="746">
        <v>5</v>
      </c>
      <c r="AK153" s="747">
        <v>4.9000000000000004</v>
      </c>
      <c r="AL153" s="742"/>
      <c r="AM153" s="630"/>
      <c r="AN153" s="630">
        <v>9.3000000000000007</v>
      </c>
      <c r="AO153" s="630">
        <v>9</v>
      </c>
      <c r="AP153" s="753">
        <v>0</v>
      </c>
      <c r="AQ153" s="630">
        <v>9</v>
      </c>
      <c r="AR153" s="630"/>
      <c r="AS153" s="630"/>
      <c r="AT153" s="630"/>
      <c r="AU153" s="630"/>
      <c r="AV153" s="630"/>
      <c r="AW153" s="630"/>
      <c r="AX153" s="630"/>
      <c r="AY153" s="630"/>
      <c r="AZ153" s="630"/>
      <c r="BA153" s="630"/>
      <c r="BB153" s="630"/>
      <c r="BC153" s="630"/>
      <c r="BD153" s="630"/>
      <c r="BE153" s="630"/>
      <c r="BF153" s="630"/>
      <c r="BG153" s="630"/>
      <c r="BH153" s="630"/>
      <c r="BI153" s="630"/>
      <c r="BJ153" s="630"/>
      <c r="BK153" s="637"/>
      <c r="BL153" s="2135"/>
      <c r="BM153" s="637"/>
      <c r="BN153" s="637"/>
      <c r="BO153" s="637"/>
      <c r="BP153" s="637"/>
      <c r="BQ153" s="637"/>
      <c r="BR153" s="637"/>
      <c r="BS153" s="637"/>
      <c r="BT153" s="773"/>
    </row>
    <row r="154" spans="1:72">
      <c r="A154" s="3"/>
      <c r="B154" s="718">
        <v>2</v>
      </c>
      <c r="C154" s="722">
        <v>44459</v>
      </c>
      <c r="D154" s="911">
        <v>217</v>
      </c>
      <c r="E154" s="737" t="str">
        <f>_xlfn.XLOOKUP($D154,  Tabla3[No.],  Tabla3[CURP], " ")</f>
        <v>TERI990829MDFHYT00</v>
      </c>
      <c r="F154" s="738" t="str">
        <f>_xlfn.XLOOKUP($E154, Tabla3[CURP], Tabla3[Matrícula Of. SEQ])</f>
        <v>64LD03C-13</v>
      </c>
      <c r="G154" s="717" t="str">
        <f>IFERROR(VLOOKUP(D154,Tabla3[],5,FALSE),"")</f>
        <v>TEHUTLE RAYA ITZHEL</v>
      </c>
      <c r="H154" s="739" t="str">
        <f t="shared" si="26"/>
        <v>M</v>
      </c>
      <c r="I154" s="739" t="str">
        <f t="shared" si="27"/>
        <v>99</v>
      </c>
      <c r="J154" s="739" t="str">
        <f t="shared" si="28"/>
        <v>08</v>
      </c>
      <c r="K154" s="739" t="str">
        <f t="shared" si="29"/>
        <v>29</v>
      </c>
      <c r="L154" s="739" t="s">
        <v>1761</v>
      </c>
      <c r="M154" s="642" t="s">
        <v>197</v>
      </c>
      <c r="N154" s="739">
        <v>10</v>
      </c>
      <c r="O154" s="739">
        <v>10</v>
      </c>
      <c r="P154" s="739">
        <v>10</v>
      </c>
      <c r="Q154" s="739">
        <v>9</v>
      </c>
      <c r="R154" s="739">
        <v>9</v>
      </c>
      <c r="S154" s="739">
        <v>8</v>
      </c>
      <c r="T154" s="739">
        <v>9.6999999999999993</v>
      </c>
      <c r="U154" s="739">
        <v>10</v>
      </c>
      <c r="V154" s="739">
        <v>10</v>
      </c>
      <c r="W154" s="739">
        <v>9</v>
      </c>
      <c r="X154" s="739">
        <v>9.6999999999999993</v>
      </c>
      <c r="Y154" s="739">
        <v>9.6</v>
      </c>
      <c r="Z154" s="740">
        <v>9</v>
      </c>
      <c r="AA154" s="740">
        <v>9.4</v>
      </c>
      <c r="AB154" s="740">
        <v>9</v>
      </c>
      <c r="AC154" s="739">
        <v>10</v>
      </c>
      <c r="AD154" s="739">
        <v>9</v>
      </c>
      <c r="AE154" s="741">
        <v>10</v>
      </c>
      <c r="AF154" s="630">
        <v>9</v>
      </c>
      <c r="AG154" s="748">
        <v>9</v>
      </c>
      <c r="AH154" s="630">
        <v>9.8000000000000007</v>
      </c>
      <c r="AI154" s="630">
        <v>9.1999999999999993</v>
      </c>
      <c r="AJ154" s="630">
        <v>8.5</v>
      </c>
      <c r="AK154" s="630">
        <v>9.4</v>
      </c>
      <c r="AL154" s="742">
        <v>10</v>
      </c>
      <c r="AM154" s="630"/>
      <c r="AN154" s="630">
        <v>9.6999999999999993</v>
      </c>
      <c r="AO154" s="630">
        <v>7</v>
      </c>
      <c r="AP154" s="630">
        <v>10</v>
      </c>
      <c r="AQ154" s="630">
        <v>10</v>
      </c>
      <c r="AR154" s="630"/>
      <c r="AS154" s="630"/>
      <c r="AT154" s="630"/>
      <c r="AU154" s="630"/>
      <c r="AV154" s="630"/>
      <c r="AW154" s="630"/>
      <c r="AX154" s="630"/>
      <c r="AY154" s="630"/>
      <c r="AZ154" s="630"/>
      <c r="BA154" s="630"/>
      <c r="BB154" s="630"/>
      <c r="BC154" s="630"/>
      <c r="BD154" s="630"/>
      <c r="BE154" s="630"/>
      <c r="BF154" s="630"/>
      <c r="BG154" s="630"/>
      <c r="BH154" s="630"/>
      <c r="BI154" s="630"/>
      <c r="BJ154" s="630"/>
      <c r="BK154" s="637"/>
      <c r="BL154" s="2135"/>
      <c r="BM154" s="637"/>
      <c r="BN154" s="637"/>
      <c r="BO154" s="637"/>
      <c r="BP154" s="637"/>
      <c r="BQ154" s="637"/>
      <c r="BR154" s="637"/>
      <c r="BS154" s="637"/>
      <c r="BT154" s="773"/>
    </row>
    <row r="155" spans="1:72" ht="18.75">
      <c r="A155" s="3"/>
      <c r="B155" s="721">
        <f>B154+1</f>
        <v>3</v>
      </c>
      <c r="C155" s="722">
        <v>44276</v>
      </c>
      <c r="D155" s="911">
        <v>218</v>
      </c>
      <c r="E155" s="737" t="str">
        <f>_xlfn.XLOOKUP($D155,  Tabla3[No.],  Tabla3[CURP], " ")</f>
        <v>ZEIV030316HQRLBRA4</v>
      </c>
      <c r="F155" s="738" t="str">
        <f>_xlfn.XLOOKUP($E155, Tabla3[CURP], Tabla3[Matrícula Of. SEQ])</f>
        <v>64LD03C-15</v>
      </c>
      <c r="G155" s="717" t="str">
        <f>IFERROR(VLOOKUP(D155,Tabla3[],5,FALSE),"")</f>
        <v>ZELAYA IBARRA JOSE VIRGILIO</v>
      </c>
      <c r="H155" s="739" t="str">
        <f t="shared" si="26"/>
        <v>H</v>
      </c>
      <c r="I155" s="739" t="str">
        <f t="shared" si="27"/>
        <v>03</v>
      </c>
      <c r="J155" s="739" t="str">
        <f t="shared" si="28"/>
        <v>03</v>
      </c>
      <c r="K155" s="739" t="str">
        <f t="shared" si="29"/>
        <v>16</v>
      </c>
      <c r="L155" s="739" t="s">
        <v>1761</v>
      </c>
      <c r="M155" s="642" t="s">
        <v>197</v>
      </c>
      <c r="N155" s="739">
        <v>10</v>
      </c>
      <c r="O155" s="745"/>
      <c r="P155" s="745"/>
      <c r="Q155" s="745"/>
      <c r="R155" s="745"/>
      <c r="S155" s="745"/>
      <c r="T155" s="745"/>
      <c r="U155" s="745"/>
      <c r="V155" s="745"/>
      <c r="W155" s="745" t="s">
        <v>135</v>
      </c>
      <c r="X155" s="745" t="s">
        <v>135</v>
      </c>
      <c r="Y155" s="751">
        <v>7</v>
      </c>
      <c r="Z155" s="740">
        <v>8</v>
      </c>
      <c r="AA155" s="754">
        <v>8</v>
      </c>
      <c r="AB155" s="740">
        <v>9.3000000000000007</v>
      </c>
      <c r="AC155" s="739">
        <v>9.3000000000000007</v>
      </c>
      <c r="AD155" s="755">
        <v>9</v>
      </c>
      <c r="AE155" s="741">
        <v>10</v>
      </c>
      <c r="AF155" s="630">
        <v>9</v>
      </c>
      <c r="AG155" s="748">
        <v>9</v>
      </c>
      <c r="AH155" s="747">
        <v>4.5</v>
      </c>
      <c r="AI155" s="630">
        <v>2.8</v>
      </c>
      <c r="AJ155" s="630">
        <v>6.5</v>
      </c>
      <c r="AK155" s="630">
        <v>4.9000000000000004</v>
      </c>
      <c r="AL155" s="742">
        <v>9.4</v>
      </c>
      <c r="AM155" s="630"/>
      <c r="AN155" s="630">
        <v>9.8000000000000007</v>
      </c>
      <c r="AO155" s="630">
        <v>9</v>
      </c>
      <c r="AP155" s="749">
        <v>0</v>
      </c>
      <c r="AQ155" s="630">
        <v>9</v>
      </c>
      <c r="AR155" s="630"/>
      <c r="AS155" s="630"/>
      <c r="AT155" s="630"/>
      <c r="AU155" s="630"/>
      <c r="AV155" s="630"/>
      <c r="AW155" s="630"/>
      <c r="AX155" s="630"/>
      <c r="AY155" s="630"/>
      <c r="AZ155" s="630"/>
      <c r="BA155" s="630"/>
      <c r="BB155" s="630"/>
      <c r="BC155" s="630"/>
      <c r="BD155" s="630">
        <v>9</v>
      </c>
      <c r="BE155" s="630"/>
      <c r="BF155" s="630"/>
      <c r="BG155" s="630"/>
      <c r="BH155" s="630"/>
      <c r="BI155" s="630"/>
      <c r="BJ155" s="630"/>
      <c r="BK155" s="637"/>
      <c r="BL155" s="2135"/>
      <c r="BM155" s="637"/>
      <c r="BN155" s="637"/>
      <c r="BO155" s="637"/>
      <c r="BP155" s="637"/>
      <c r="BQ155" s="637"/>
      <c r="BR155" s="637"/>
      <c r="BS155" s="637"/>
      <c r="BT155" s="773"/>
    </row>
    <row r="156" spans="1:72">
      <c r="A156" s="3"/>
      <c r="B156" s="721">
        <v>4</v>
      </c>
      <c r="C156" s="722">
        <v>44248</v>
      </c>
      <c r="D156" s="911">
        <v>200</v>
      </c>
      <c r="E156" s="737" t="str">
        <f>_xlfn.XLOOKUP($D156,  Tabla3[No.],  Tabla3[CURP], " ")</f>
        <v>GOGF741017MVZNLR02</v>
      </c>
      <c r="F156" s="756" t="str">
        <f>_xlfn.XLOOKUP($E156, Tabla3[CURP], Tabla3[Matrícula Of. SEQ])</f>
        <v>64LD04AB-03</v>
      </c>
      <c r="G156" s="717" t="str">
        <f>IFERROR(VLOOKUP(D156,Tabla3[],5,FALSE),"")</f>
        <v xml:space="preserve">GONZALEZ GLENNIE MARIA FERNANDA </v>
      </c>
      <c r="H156" s="739" t="str">
        <f t="shared" si="26"/>
        <v>M</v>
      </c>
      <c r="I156" s="739" t="str">
        <f t="shared" si="27"/>
        <v>74</v>
      </c>
      <c r="J156" s="739" t="str">
        <f t="shared" si="28"/>
        <v>10</v>
      </c>
      <c r="K156" s="739" t="str">
        <f t="shared" si="29"/>
        <v>17</v>
      </c>
      <c r="L156" s="739" t="s">
        <v>1761</v>
      </c>
      <c r="M156" s="642" t="s">
        <v>197</v>
      </c>
      <c r="N156" s="630">
        <v>10</v>
      </c>
      <c r="O156" s="757"/>
      <c r="P156" s="757"/>
      <c r="Q156" s="757"/>
      <c r="R156" s="757"/>
      <c r="S156" s="757"/>
      <c r="T156" s="757"/>
      <c r="U156" s="757"/>
      <c r="V156" s="757"/>
      <c r="W156" s="739">
        <v>9.1</v>
      </c>
      <c r="X156" s="739">
        <v>8.4</v>
      </c>
      <c r="Y156" s="739">
        <v>9.9</v>
      </c>
      <c r="Z156" s="740">
        <v>9.6</v>
      </c>
      <c r="AA156" s="740">
        <v>9</v>
      </c>
      <c r="AB156" s="740">
        <v>9.6999999999999993</v>
      </c>
      <c r="AC156" s="630">
        <v>8.4</v>
      </c>
      <c r="AD156" s="630">
        <v>10</v>
      </c>
      <c r="AE156" s="741">
        <v>10</v>
      </c>
      <c r="AF156" s="630">
        <v>10</v>
      </c>
      <c r="AG156" s="758" t="s">
        <v>208</v>
      </c>
      <c r="AH156" s="759">
        <v>9.8000000000000007</v>
      </c>
      <c r="AI156" s="630">
        <v>10</v>
      </c>
      <c r="AJ156" s="630">
        <v>10</v>
      </c>
      <c r="AK156" s="630">
        <v>10</v>
      </c>
      <c r="AL156" s="742">
        <v>10</v>
      </c>
      <c r="AM156" s="630"/>
      <c r="AN156" s="749">
        <v>0</v>
      </c>
      <c r="AO156" s="760">
        <v>0</v>
      </c>
      <c r="AP156" s="630">
        <v>5</v>
      </c>
      <c r="AQ156" s="630">
        <v>10</v>
      </c>
      <c r="AR156" s="630"/>
      <c r="AS156" s="630"/>
      <c r="AT156" s="630"/>
      <c r="AU156" s="630"/>
      <c r="AV156" s="630"/>
      <c r="AW156" s="630"/>
      <c r="AX156" s="630"/>
      <c r="AY156" s="630"/>
      <c r="AZ156" s="630"/>
      <c r="BA156" s="1905"/>
      <c r="BB156" s="1905"/>
      <c r="BC156" s="1905"/>
      <c r="BD156" s="1905"/>
      <c r="BE156" s="1905"/>
      <c r="BF156" s="1905"/>
      <c r="BG156" s="1905"/>
      <c r="BH156" s="1905"/>
      <c r="BI156" s="1905"/>
      <c r="BJ156" s="1905"/>
      <c r="BK156" s="1862"/>
      <c r="BL156" s="2135"/>
      <c r="BM156" s="637"/>
      <c r="BN156" s="637"/>
      <c r="BO156" s="637"/>
      <c r="BP156" s="637"/>
      <c r="BQ156" s="637"/>
      <c r="BR156" s="637"/>
      <c r="BS156" s="637"/>
      <c r="BT156" s="773"/>
    </row>
    <row r="157" spans="1:72">
      <c r="A157" s="3"/>
      <c r="B157" s="721">
        <f>B156+1</f>
        <v>5</v>
      </c>
      <c r="C157" s="722">
        <v>44652</v>
      </c>
      <c r="D157" s="911">
        <v>268</v>
      </c>
      <c r="E157" s="761" t="str">
        <f>_xlfn.XLOOKUP($D157,  Tabla3[No.],  Tabla3[CURP], " ")</f>
        <v>CAGM010321MVZHNRA6</v>
      </c>
      <c r="F157" s="739" t="str">
        <f>_xlfn.XLOOKUP($E157, Tabla3[CURP], Tabla3[Matrícula Of. SEQ])</f>
        <v>64LD03C-03</v>
      </c>
      <c r="G157" s="717" t="str">
        <f>IFERROR(VLOOKUP(D157,Tabla3[],5,FALSE),"")</f>
        <v>CHAIN GONZALEZ MARIA</v>
      </c>
      <c r="H157" s="739" t="str">
        <f t="shared" si="26"/>
        <v>M</v>
      </c>
      <c r="I157" s="739" t="str">
        <f t="shared" si="27"/>
        <v>01</v>
      </c>
      <c r="J157" s="739" t="str">
        <f t="shared" si="28"/>
        <v>03</v>
      </c>
      <c r="K157" s="739" t="str">
        <f t="shared" si="29"/>
        <v>21</v>
      </c>
      <c r="L157" s="739" t="s">
        <v>1761</v>
      </c>
      <c r="M157" s="642" t="s">
        <v>197</v>
      </c>
      <c r="N157" s="757"/>
      <c r="O157" s="757"/>
      <c r="P157" s="757"/>
      <c r="Q157" s="757"/>
      <c r="R157" s="757"/>
      <c r="S157" s="757"/>
      <c r="T157" s="757"/>
      <c r="U157" s="757"/>
      <c r="V157" s="757"/>
      <c r="W157" s="757"/>
      <c r="X157" s="757"/>
      <c r="Y157" s="757"/>
      <c r="Z157" s="757"/>
      <c r="AA157" s="757"/>
      <c r="AB157" s="757"/>
      <c r="AC157" s="757"/>
      <c r="AD157" s="757"/>
      <c r="AE157" s="757"/>
      <c r="AF157" s="757"/>
      <c r="AG157" s="757"/>
      <c r="AH157" s="757"/>
      <c r="AI157" s="757"/>
      <c r="AJ157" s="757"/>
      <c r="AK157" s="757"/>
      <c r="AL157" s="757"/>
      <c r="AM157" s="757"/>
      <c r="AN157" s="757"/>
      <c r="AO157" s="757"/>
      <c r="AP157" s="757"/>
      <c r="AQ157" s="757"/>
      <c r="AR157" s="630"/>
      <c r="AS157" s="630"/>
      <c r="AT157" s="630"/>
      <c r="AU157" s="630"/>
      <c r="AV157" s="630"/>
      <c r="AW157" s="630"/>
      <c r="AX157" s="630"/>
      <c r="AY157" s="630"/>
      <c r="AZ157" s="630"/>
      <c r="BA157" s="630"/>
      <c r="BB157" s="630"/>
      <c r="BC157" s="630"/>
      <c r="BD157" s="630"/>
      <c r="BE157" s="630"/>
      <c r="BF157" s="630"/>
      <c r="BG157" s="630"/>
      <c r="BH157" s="630"/>
      <c r="BI157" s="630"/>
      <c r="BJ157" s="630"/>
      <c r="BK157" s="637"/>
      <c r="BL157" s="2135"/>
      <c r="BM157" s="637"/>
      <c r="BN157" s="637"/>
      <c r="BO157" s="637"/>
      <c r="BP157" s="637"/>
      <c r="BQ157" s="637"/>
      <c r="BR157" s="637"/>
      <c r="BS157" s="637"/>
      <c r="BT157" s="773"/>
    </row>
    <row r="158" spans="1:72" ht="15.75" thickBot="1">
      <c r="A158" s="3"/>
      <c r="B158" s="774"/>
      <c r="C158" s="722"/>
      <c r="D158" s="911"/>
      <c r="E158" s="776" t="str">
        <f>_xlfn.XLOOKUP($D158,  Tabla3[No.],  Tabla3[CURP], " ")</f>
        <v xml:space="preserve"> </v>
      </c>
      <c r="F158" s="775" t="e">
        <f>_xlfn.XLOOKUP($E158, Tabla3[CURP], Tabla3[Matrícula Of. SEQ])</f>
        <v>#N/A</v>
      </c>
      <c r="G158" s="717" t="str">
        <f>IFERROR(VLOOKUP(D158,Tabla3[],5,FALSE),"")</f>
        <v/>
      </c>
      <c r="H158" s="775" t="str">
        <f t="shared" si="26"/>
        <v/>
      </c>
      <c r="I158" s="775" t="str">
        <f t="shared" si="27"/>
        <v/>
      </c>
      <c r="J158" s="775" t="str">
        <f t="shared" si="28"/>
        <v/>
      </c>
      <c r="K158" s="775" t="str">
        <f t="shared" si="29"/>
        <v/>
      </c>
      <c r="L158" s="775"/>
      <c r="M158" s="777"/>
      <c r="N158" s="777"/>
      <c r="O158" s="777"/>
      <c r="P158" s="777"/>
      <c r="Q158" s="777"/>
      <c r="R158" s="777"/>
      <c r="S158" s="777"/>
      <c r="T158" s="777"/>
      <c r="U158" s="777"/>
      <c r="V158" s="777"/>
      <c r="W158" s="777"/>
      <c r="X158" s="777"/>
      <c r="Y158" s="777"/>
      <c r="Z158" s="777"/>
      <c r="AA158" s="777"/>
      <c r="AB158" s="777"/>
      <c r="AC158" s="777"/>
      <c r="AD158" s="777"/>
      <c r="AE158" s="777"/>
      <c r="AF158" s="777"/>
      <c r="AG158" s="777"/>
      <c r="AH158" s="777"/>
      <c r="AI158" s="777"/>
      <c r="AJ158" s="777"/>
      <c r="AK158" s="777"/>
      <c r="AL158" s="778"/>
      <c r="AM158" s="777"/>
      <c r="AN158" s="777"/>
      <c r="AO158" s="777"/>
      <c r="AP158" s="777"/>
      <c r="AQ158" s="777"/>
      <c r="AR158" s="777"/>
      <c r="AS158" s="777"/>
      <c r="AT158" s="777"/>
      <c r="AU158" s="777"/>
      <c r="AV158" s="777"/>
      <c r="AW158" s="777"/>
      <c r="AX158" s="777"/>
      <c r="AY158" s="777"/>
      <c r="AZ158" s="777"/>
      <c r="BA158" s="777"/>
      <c r="BB158" s="777"/>
      <c r="BC158" s="777"/>
      <c r="BD158" s="777"/>
      <c r="BE158" s="777"/>
      <c r="BF158" s="777"/>
      <c r="BG158" s="777"/>
      <c r="BH158" s="777"/>
      <c r="BI158" s="777"/>
      <c r="BJ158" s="777"/>
      <c r="BK158" s="779"/>
      <c r="BL158" s="2229"/>
      <c r="BM158" s="779"/>
      <c r="BN158" s="779"/>
      <c r="BO158" s="779"/>
      <c r="BP158" s="779"/>
      <c r="BQ158" s="779"/>
      <c r="BR158" s="779"/>
      <c r="BS158" s="779"/>
      <c r="BT158" s="780"/>
    </row>
    <row r="159" spans="1:72" ht="15.75" customHeight="1">
      <c r="A159" s="3"/>
      <c r="M159" s="2"/>
      <c r="AL159" s="57"/>
    </row>
    <row r="160" spans="1:72" ht="15.75" customHeight="1" thickBot="1">
      <c r="A160" s="3"/>
      <c r="E160" s="2" t="s">
        <v>223</v>
      </c>
      <c r="M160" s="2"/>
      <c r="AL160" s="57"/>
    </row>
    <row r="161" spans="1:72" ht="15.75" customHeight="1" thickBot="1">
      <c r="A161" s="3"/>
      <c r="B161" s="718">
        <v>3</v>
      </c>
      <c r="C161" s="722">
        <v>44256</v>
      </c>
      <c r="D161" s="1802">
        <v>209</v>
      </c>
      <c r="E161" s="17" t="s">
        <v>224</v>
      </c>
      <c r="F161" s="58" t="str">
        <f>_xlfn.XLOOKUP($E161, Tabla3[CURP], Tabla3[Matrícula Of. SEQ])</f>
        <v>BAJA</v>
      </c>
      <c r="G161" s="1219" t="str">
        <f>IFERROR(VLOOKUP(D161,Tabla3[],5,FALSE),"")</f>
        <v>CAAMAL MENDOZA ROMAN ABRAHAM</v>
      </c>
      <c r="H161" s="38" t="str">
        <f t="shared" ref="H161:H164" si="30">MID(E161,11,1)</f>
        <v>H</v>
      </c>
      <c r="I161" s="38" t="str">
        <f t="shared" ref="I161:I164" si="31">MID(E161,5,2)</f>
        <v>77</v>
      </c>
      <c r="J161" s="38" t="str">
        <f t="shared" ref="J161:J164" si="32">MID(E161,7,2)</f>
        <v>05</v>
      </c>
      <c r="K161" s="38" t="str">
        <f t="shared" ref="K161:K164" si="33">MID(E161,9,2)</f>
        <v>30</v>
      </c>
      <c r="L161" s="38"/>
      <c r="M161" s="38"/>
      <c r="N161" s="38">
        <v>10</v>
      </c>
      <c r="O161" s="38"/>
      <c r="P161" s="38"/>
      <c r="Q161" s="38"/>
      <c r="R161" s="38"/>
      <c r="S161" s="38"/>
      <c r="T161" s="46"/>
      <c r="U161" s="46"/>
      <c r="V161" s="46"/>
      <c r="W161" s="38">
        <v>7</v>
      </c>
      <c r="X161" s="38">
        <v>7.2</v>
      </c>
      <c r="Y161" s="46">
        <v>7</v>
      </c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59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</row>
    <row r="162" spans="1:72" ht="15.75" customHeight="1" thickBot="1">
      <c r="A162" s="3"/>
      <c r="B162" s="718">
        <f>B161+1</f>
        <v>4</v>
      </c>
      <c r="C162" s="722">
        <v>44256</v>
      </c>
      <c r="D162" s="1802"/>
      <c r="E162" s="17" t="s">
        <v>227</v>
      </c>
      <c r="F162" s="58" t="e">
        <f>_xlfn.XLOOKUP($E162, Tabla3[CURP], Tabla3[Matrícula Of. SEQ])</f>
        <v>#N/A</v>
      </c>
      <c r="G162" s="1219" t="str">
        <f>IFERROR(VLOOKUP(D162,Tabla3[],5,FALSE),"")</f>
        <v/>
      </c>
      <c r="H162" s="38" t="str">
        <f t="shared" si="30"/>
        <v>M</v>
      </c>
      <c r="I162" s="38" t="str">
        <f t="shared" si="31"/>
        <v>84</v>
      </c>
      <c r="J162" s="38" t="str">
        <f t="shared" si="32"/>
        <v>03</v>
      </c>
      <c r="K162" s="38" t="str">
        <f t="shared" si="33"/>
        <v>29</v>
      </c>
      <c r="L162" s="38"/>
      <c r="M162" s="38"/>
      <c r="N162" s="38">
        <v>10</v>
      </c>
      <c r="O162" s="38"/>
      <c r="P162" s="38"/>
      <c r="Q162" s="38"/>
      <c r="R162" s="38"/>
      <c r="S162" s="38"/>
      <c r="T162" s="46"/>
      <c r="U162" s="46"/>
      <c r="V162" s="46"/>
      <c r="W162" s="38">
        <v>8.3000000000000007</v>
      </c>
      <c r="X162" s="38">
        <v>7.8</v>
      </c>
      <c r="Y162" s="46">
        <v>7</v>
      </c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59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</row>
    <row r="163" spans="1:72" ht="15.75" customHeight="1">
      <c r="A163" s="3"/>
      <c r="B163" s="718">
        <v>9</v>
      </c>
      <c r="C163" s="722">
        <v>44228</v>
      </c>
      <c r="D163" s="1802">
        <v>215</v>
      </c>
      <c r="E163" s="17" t="s">
        <v>229</v>
      </c>
      <c r="F163" s="58" t="str">
        <f>_xlfn.XLOOKUP($E163, Tabla3[CURP], Tabla3[Matrícula Of. SEQ])</f>
        <v>BAJA</v>
      </c>
      <c r="G163" s="1220" t="str">
        <f>IFERROR(VLOOKUP(D163,Tabla3[],5,FALSE),"")</f>
        <v>MARIN MARTINEZ TOMAS</v>
      </c>
      <c r="H163" s="38" t="str">
        <f t="shared" si="30"/>
        <v>H</v>
      </c>
      <c r="I163" s="38" t="str">
        <f t="shared" si="31"/>
        <v>61</v>
      </c>
      <c r="J163" s="38" t="str">
        <f t="shared" si="32"/>
        <v>03</v>
      </c>
      <c r="K163" s="38" t="str">
        <f t="shared" si="33"/>
        <v>07</v>
      </c>
      <c r="L163" s="38"/>
      <c r="M163" s="38"/>
      <c r="N163" s="38"/>
      <c r="O163" s="38"/>
      <c r="P163" s="38"/>
      <c r="Q163" s="38"/>
      <c r="R163" s="38"/>
      <c r="S163" s="38"/>
      <c r="T163" s="46"/>
      <c r="U163" s="46"/>
      <c r="V163" s="46"/>
      <c r="W163" s="38">
        <v>8.1</v>
      </c>
      <c r="X163" s="38">
        <v>7.2</v>
      </c>
      <c r="Y163" s="46">
        <v>7</v>
      </c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59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</row>
    <row r="164" spans="1:72" ht="15.75" customHeight="1">
      <c r="A164" s="3"/>
      <c r="C164" s="722">
        <v>44276</v>
      </c>
      <c r="D164" s="1802">
        <v>208</v>
      </c>
      <c r="E164" s="17" t="s">
        <v>231</v>
      </c>
      <c r="F164" s="60" t="str">
        <f>_xlfn.XLOOKUP($E164, Tabla3[CURP], Tabla3[Matrícula Of. SEQ])</f>
        <v>BAJA</v>
      </c>
      <c r="G164" s="1221" t="str">
        <f>IFERROR(VLOOKUP(D164,Tabla3[],5,FALSE),"")</f>
        <v>AGUILAR MACEDA MINERVA</v>
      </c>
      <c r="H164" s="38" t="str">
        <f t="shared" si="30"/>
        <v>M</v>
      </c>
      <c r="I164" s="38" t="str">
        <f t="shared" si="31"/>
        <v>79</v>
      </c>
      <c r="J164" s="38" t="str">
        <f t="shared" si="32"/>
        <v>01</v>
      </c>
      <c r="K164" s="39" t="str">
        <f t="shared" si="33"/>
        <v>27</v>
      </c>
      <c r="L164" s="1061"/>
      <c r="M164" s="61"/>
      <c r="N164" s="45">
        <v>10</v>
      </c>
      <c r="O164" s="46"/>
      <c r="P164" s="46"/>
      <c r="Q164" s="46"/>
      <c r="R164" s="46"/>
      <c r="S164" s="47"/>
      <c r="T164" s="48"/>
      <c r="U164" s="46"/>
      <c r="V164" s="46"/>
      <c r="W164" s="62">
        <v>7</v>
      </c>
      <c r="X164" s="46">
        <v>7.1</v>
      </c>
      <c r="Y164" s="63">
        <v>7</v>
      </c>
      <c r="Z164" s="64">
        <v>3.6</v>
      </c>
      <c r="AA164" s="65">
        <v>3.6</v>
      </c>
      <c r="AB164" s="66">
        <v>3.6</v>
      </c>
      <c r="AC164" s="67">
        <v>5.5</v>
      </c>
      <c r="AD164" s="67">
        <v>4</v>
      </c>
      <c r="AE164" s="68">
        <v>7</v>
      </c>
    </row>
    <row r="165" spans="1:72" ht="15.75" customHeight="1">
      <c r="A165" s="3"/>
      <c r="M165" s="2"/>
    </row>
    <row r="166" spans="1:72" ht="15.75" customHeight="1">
      <c r="A166" s="3"/>
      <c r="M166" s="2"/>
    </row>
    <row r="167" spans="1:72" ht="15.75" customHeight="1" thickBot="1">
      <c r="A167" s="3"/>
      <c r="M167" s="2"/>
    </row>
    <row r="168" spans="1:72" ht="15.75" customHeight="1" thickBot="1">
      <c r="A168" s="643"/>
      <c r="B168" s="4112" t="s">
        <v>5</v>
      </c>
      <c r="C168" s="645" t="s">
        <v>232</v>
      </c>
      <c r="D168" s="645"/>
      <c r="E168" s="4100" t="s">
        <v>6</v>
      </c>
      <c r="F168" s="4100" t="s">
        <v>7</v>
      </c>
      <c r="G168" s="4120" t="s">
        <v>8</v>
      </c>
      <c r="H168" s="4121" t="s">
        <v>9</v>
      </c>
      <c r="I168" s="4103" t="s">
        <v>10</v>
      </c>
      <c r="J168" s="4101"/>
      <c r="K168" s="4101"/>
      <c r="L168" s="978"/>
      <c r="M168" s="669"/>
      <c r="N168" s="4106" t="s">
        <v>11</v>
      </c>
      <c r="O168" s="4101"/>
      <c r="P168" s="4101"/>
      <c r="Q168" s="4101"/>
      <c r="R168" s="4101"/>
      <c r="S168" s="4101"/>
      <c r="T168" s="4101"/>
      <c r="U168" s="4107" t="s">
        <v>233</v>
      </c>
      <c r="V168" s="4101"/>
      <c r="W168" s="4101"/>
      <c r="X168" s="4101"/>
      <c r="Y168" s="4101"/>
      <c r="Z168" s="4101"/>
      <c r="AA168" s="4108" t="s">
        <v>13</v>
      </c>
      <c r="AB168" s="4101"/>
      <c r="AC168" s="4101"/>
      <c r="AD168" s="4101"/>
      <c r="AE168" s="4101"/>
      <c r="AF168" s="4101"/>
      <c r="AG168" s="4113" t="s">
        <v>234</v>
      </c>
      <c r="AH168" s="4101"/>
      <c r="AI168" s="4101"/>
      <c r="AJ168" s="4101"/>
      <c r="AK168" s="4101"/>
      <c r="AL168" s="4101"/>
      <c r="AM168" s="4123" t="s">
        <v>15</v>
      </c>
      <c r="AN168" s="4101"/>
      <c r="AO168" s="4101"/>
      <c r="AP168" s="4101"/>
      <c r="AQ168" s="4101"/>
      <c r="AR168" s="4101"/>
      <c r="AS168" s="4117" t="s">
        <v>16</v>
      </c>
      <c r="AT168" s="4101"/>
      <c r="AU168" s="4101"/>
      <c r="AV168" s="4101"/>
      <c r="AW168" s="4101"/>
      <c r="AX168" s="4101"/>
      <c r="AY168" s="4118" t="s">
        <v>17</v>
      </c>
      <c r="AZ168" s="4101"/>
      <c r="BA168" s="4101"/>
      <c r="BB168" s="4101"/>
      <c r="BC168" s="4101"/>
      <c r="BD168" s="4101"/>
      <c r="BE168" s="4131" t="s">
        <v>18</v>
      </c>
      <c r="BF168" s="4101"/>
      <c r="BG168" s="4101"/>
      <c r="BH168" s="4101"/>
      <c r="BI168" s="4101"/>
      <c r="BJ168" s="4101"/>
      <c r="BK168" s="646" t="s">
        <v>235</v>
      </c>
      <c r="BL168" s="2230"/>
    </row>
    <row r="169" spans="1:72" ht="55.35" customHeight="1" thickBot="1">
      <c r="A169" s="643"/>
      <c r="B169" s="4101"/>
      <c r="C169" s="645"/>
      <c r="D169" s="645"/>
      <c r="E169" s="4101"/>
      <c r="F169" s="4101"/>
      <c r="G169" s="4101"/>
      <c r="H169" s="4101"/>
      <c r="I169" s="4101"/>
      <c r="J169" s="4104"/>
      <c r="K169" s="4101"/>
      <c r="L169" s="978"/>
      <c r="M169" s="697" t="s">
        <v>1149</v>
      </c>
      <c r="N169" s="674"/>
      <c r="O169" s="654"/>
      <c r="P169" s="654"/>
      <c r="Q169" s="654"/>
      <c r="R169" s="654"/>
      <c r="S169" s="654"/>
      <c r="T169" s="654"/>
      <c r="U169" s="674"/>
      <c r="V169" s="654"/>
      <c r="W169" s="654"/>
      <c r="X169" s="654"/>
      <c r="Y169" s="654"/>
      <c r="Z169" s="654"/>
      <c r="AA169" s="675"/>
      <c r="AB169" s="654"/>
      <c r="AC169" s="654"/>
      <c r="AD169" s="654"/>
      <c r="AE169" s="654"/>
      <c r="AF169" s="654"/>
      <c r="AG169" s="675"/>
      <c r="AH169" s="654"/>
      <c r="AI169" s="654"/>
      <c r="AJ169" s="654"/>
      <c r="AK169" s="654"/>
      <c r="AL169" s="654"/>
      <c r="AM169" s="651" t="s">
        <v>236</v>
      </c>
      <c r="AN169" s="648" t="s">
        <v>237</v>
      </c>
      <c r="AO169" s="651" t="s">
        <v>238</v>
      </c>
      <c r="AP169" s="651" t="s">
        <v>239</v>
      </c>
      <c r="AQ169" s="651" t="s">
        <v>240</v>
      </c>
      <c r="AR169" s="651" t="s">
        <v>241</v>
      </c>
      <c r="AS169" s="651" t="s">
        <v>242</v>
      </c>
      <c r="AT169" s="651" t="s">
        <v>243</v>
      </c>
      <c r="AU169" s="651" t="s">
        <v>244</v>
      </c>
      <c r="AV169" s="651" t="s">
        <v>245</v>
      </c>
      <c r="AW169" s="651" t="s">
        <v>246</v>
      </c>
      <c r="AX169" s="651" t="s">
        <v>247</v>
      </c>
      <c r="AY169" s="651" t="s">
        <v>248</v>
      </c>
      <c r="AZ169" s="651" t="s">
        <v>249</v>
      </c>
      <c r="BA169" s="651" t="s">
        <v>250</v>
      </c>
      <c r="BB169" s="651" t="s">
        <v>251</v>
      </c>
      <c r="BC169" s="651" t="s">
        <v>252</v>
      </c>
      <c r="BD169" s="651" t="s">
        <v>253</v>
      </c>
      <c r="BE169" s="651" t="s">
        <v>254</v>
      </c>
      <c r="BF169" s="651" t="s">
        <v>255</v>
      </c>
      <c r="BG169" s="651" t="s">
        <v>26</v>
      </c>
      <c r="BH169" s="653" t="s">
        <v>256</v>
      </c>
      <c r="BI169" s="676" t="s">
        <v>257</v>
      </c>
      <c r="BJ169" s="677" t="s">
        <v>258</v>
      </c>
      <c r="BK169" s="678" t="s">
        <v>259</v>
      </c>
      <c r="BL169" s="2230"/>
      <c r="BM169" s="3"/>
      <c r="BN169" s="3"/>
      <c r="BO169" s="3"/>
      <c r="BP169" s="3"/>
      <c r="BQ169" s="3"/>
      <c r="BR169" s="3"/>
      <c r="BS169" s="3"/>
      <c r="BT169" s="3"/>
    </row>
    <row r="170" spans="1:72" ht="15.75" customHeight="1" thickBot="1">
      <c r="A170" s="667" t="s">
        <v>27</v>
      </c>
      <c r="B170" s="4101"/>
      <c r="C170" s="663" t="s">
        <v>28</v>
      </c>
      <c r="D170" s="663"/>
      <c r="E170" s="4101"/>
      <c r="F170" s="4101"/>
      <c r="G170" s="4101"/>
      <c r="H170" s="4101"/>
      <c r="I170" s="4101"/>
      <c r="J170" s="4101"/>
      <c r="K170" s="4101"/>
      <c r="L170" s="978"/>
      <c r="M170" s="698"/>
      <c r="N170" s="662" t="s">
        <v>29</v>
      </c>
      <c r="O170" s="662" t="s">
        <v>31</v>
      </c>
      <c r="P170" s="662" t="s">
        <v>30</v>
      </c>
      <c r="Q170" s="662" t="s">
        <v>32</v>
      </c>
      <c r="R170" s="662" t="s">
        <v>33</v>
      </c>
      <c r="S170" s="662" t="s">
        <v>34</v>
      </c>
      <c r="T170" s="662" t="s">
        <v>56</v>
      </c>
      <c r="U170" s="662" t="s">
        <v>35</v>
      </c>
      <c r="V170" s="662" t="s">
        <v>36</v>
      </c>
      <c r="W170" s="662" t="s">
        <v>39</v>
      </c>
      <c r="X170" s="662" t="s">
        <v>38</v>
      </c>
      <c r="Y170" s="662" t="s">
        <v>40</v>
      </c>
      <c r="Z170" s="662" t="s">
        <v>75</v>
      </c>
      <c r="AA170" s="662" t="s">
        <v>37</v>
      </c>
      <c r="AB170" s="662" t="s">
        <v>41</v>
      </c>
      <c r="AC170" s="662" t="s">
        <v>42</v>
      </c>
      <c r="AD170" s="662" t="s">
        <v>43</v>
      </c>
      <c r="AE170" s="662" t="s">
        <v>44</v>
      </c>
      <c r="AF170" s="662" t="s">
        <v>45</v>
      </c>
      <c r="AG170" s="662" t="s">
        <v>47</v>
      </c>
      <c r="AH170" s="662" t="s">
        <v>48</v>
      </c>
      <c r="AI170" s="662" t="s">
        <v>49</v>
      </c>
      <c r="AJ170" s="662" t="s">
        <v>51</v>
      </c>
      <c r="AK170" s="662" t="s">
        <v>50</v>
      </c>
      <c r="AL170" s="662" t="s">
        <v>52</v>
      </c>
      <c r="AM170" s="662" t="s">
        <v>53</v>
      </c>
      <c r="AN170" s="662" t="s">
        <v>54</v>
      </c>
      <c r="AO170" s="662" t="s">
        <v>55</v>
      </c>
      <c r="AP170" s="662" t="s">
        <v>56</v>
      </c>
      <c r="AQ170" s="662" t="s">
        <v>62</v>
      </c>
      <c r="AR170" s="662" t="s">
        <v>58</v>
      </c>
      <c r="AS170" s="662" t="s">
        <v>59</v>
      </c>
      <c r="AT170" s="662" t="s">
        <v>260</v>
      </c>
      <c r="AU170" s="662" t="s">
        <v>60</v>
      </c>
      <c r="AV170" s="662" t="s">
        <v>260</v>
      </c>
      <c r="AW170" s="662" t="s">
        <v>63</v>
      </c>
      <c r="AX170" s="662" t="s">
        <v>64</v>
      </c>
      <c r="AY170" s="662" t="s">
        <v>65</v>
      </c>
      <c r="AZ170" s="662" t="s">
        <v>66</v>
      </c>
      <c r="BA170" s="662" t="s">
        <v>67</v>
      </c>
      <c r="BB170" s="662" t="s">
        <v>68</v>
      </c>
      <c r="BC170" s="662" t="s">
        <v>69</v>
      </c>
      <c r="BD170" s="654" t="s">
        <v>261</v>
      </c>
      <c r="BE170" s="662" t="s">
        <v>70</v>
      </c>
      <c r="BF170" s="662" t="s">
        <v>71</v>
      </c>
      <c r="BG170" s="654" t="s">
        <v>72</v>
      </c>
      <c r="BH170" s="662" t="s">
        <v>73</v>
      </c>
      <c r="BI170" s="662" t="s">
        <v>74</v>
      </c>
      <c r="BJ170" s="669" t="s">
        <v>262</v>
      </c>
      <c r="BK170" s="662" t="s">
        <v>76</v>
      </c>
    </row>
    <row r="171" spans="1:72" ht="55.35" customHeight="1" thickBot="1">
      <c r="A171" s="645" t="s">
        <v>232</v>
      </c>
      <c r="B171" s="4101"/>
      <c r="C171" s="663" t="s">
        <v>263</v>
      </c>
      <c r="D171" s="663"/>
      <c r="E171" s="4101"/>
      <c r="F171" s="4101"/>
      <c r="G171" s="699" t="s">
        <v>78</v>
      </c>
      <c r="H171" s="4101"/>
      <c r="I171" s="664" t="s">
        <v>79</v>
      </c>
      <c r="J171" s="664" t="s">
        <v>80</v>
      </c>
      <c r="K171" s="664" t="s">
        <v>81</v>
      </c>
      <c r="L171" s="1064" t="s">
        <v>1759</v>
      </c>
      <c r="M171" s="665" t="s">
        <v>27</v>
      </c>
      <c r="N171" s="666" t="s">
        <v>264</v>
      </c>
      <c r="O171" s="666" t="s">
        <v>265</v>
      </c>
      <c r="P171" s="666" t="s">
        <v>266</v>
      </c>
      <c r="Q171" s="666" t="s">
        <v>267</v>
      </c>
      <c r="R171" s="666" t="s">
        <v>268</v>
      </c>
      <c r="S171" s="666" t="s">
        <v>269</v>
      </c>
      <c r="T171" s="679" t="s">
        <v>109</v>
      </c>
      <c r="U171" s="666" t="s">
        <v>270</v>
      </c>
      <c r="V171" s="666" t="s">
        <v>271</v>
      </c>
      <c r="W171" s="679" t="s">
        <v>92</v>
      </c>
      <c r="X171" s="666" t="s">
        <v>272</v>
      </c>
      <c r="Y171" s="679" t="s">
        <v>273</v>
      </c>
      <c r="Z171" s="666" t="s">
        <v>129</v>
      </c>
      <c r="AA171" s="666" t="s">
        <v>274</v>
      </c>
      <c r="AB171" s="680" t="s">
        <v>94</v>
      </c>
      <c r="AC171" s="680" t="s">
        <v>95</v>
      </c>
      <c r="AD171" s="666" t="s">
        <v>275</v>
      </c>
      <c r="AE171" s="666" t="s">
        <v>276</v>
      </c>
      <c r="AF171" s="666" t="s">
        <v>277</v>
      </c>
      <c r="AG171" s="679" t="s">
        <v>278</v>
      </c>
      <c r="AH171" s="680" t="s">
        <v>101</v>
      </c>
      <c r="AI171" s="680" t="s">
        <v>102</v>
      </c>
      <c r="AJ171" s="681" t="s">
        <v>104</v>
      </c>
      <c r="AK171" s="680" t="s">
        <v>279</v>
      </c>
      <c r="AL171" s="680" t="s">
        <v>105</v>
      </c>
      <c r="AM171" s="666" t="s">
        <v>280</v>
      </c>
      <c r="AN171" s="666" t="s">
        <v>107</v>
      </c>
      <c r="AO171" s="666" t="s">
        <v>281</v>
      </c>
      <c r="AP171" s="666" t="s">
        <v>282</v>
      </c>
      <c r="AQ171" s="666" t="s">
        <v>283</v>
      </c>
      <c r="AR171" s="666" t="s">
        <v>111</v>
      </c>
      <c r="AS171" s="666" t="s">
        <v>284</v>
      </c>
      <c r="AT171" s="666" t="s">
        <v>285</v>
      </c>
      <c r="AU171" s="666" t="s">
        <v>286</v>
      </c>
      <c r="AV171" s="666" t="s">
        <v>287</v>
      </c>
      <c r="AW171" s="666" t="s">
        <v>288</v>
      </c>
      <c r="AX171" s="666" t="s">
        <v>289</v>
      </c>
      <c r="AY171" s="666" t="s">
        <v>118</v>
      </c>
      <c r="AZ171" s="666" t="s">
        <v>119</v>
      </c>
      <c r="BA171" s="666" t="s">
        <v>120</v>
      </c>
      <c r="BB171" s="666" t="s">
        <v>122</v>
      </c>
      <c r="BC171" s="666" t="s">
        <v>123</v>
      </c>
      <c r="BD171" s="677" t="s">
        <v>290</v>
      </c>
      <c r="BE171" s="666" t="s">
        <v>124</v>
      </c>
      <c r="BF171" s="682" t="s">
        <v>125</v>
      </c>
      <c r="BG171" s="682" t="s">
        <v>291</v>
      </c>
      <c r="BH171" s="666" t="s">
        <v>127</v>
      </c>
      <c r="BI171" s="682" t="s">
        <v>128</v>
      </c>
      <c r="BJ171" s="666" t="s">
        <v>292</v>
      </c>
      <c r="BK171" s="682" t="s">
        <v>130</v>
      </c>
      <c r="BL171" s="2231"/>
    </row>
    <row r="172" spans="1:72" ht="15.75" customHeight="1" thickBot="1">
      <c r="A172" s="3"/>
      <c r="B172" s="718">
        <v>1</v>
      </c>
      <c r="C172" s="722">
        <v>43617</v>
      </c>
      <c r="D172" s="1803"/>
      <c r="E172" s="703" t="s">
        <v>293</v>
      </c>
      <c r="F172" s="781" t="s">
        <v>294</v>
      </c>
      <c r="G172" s="717" t="str">
        <f>IFERROR(VLOOKUP(D172,Tabla3[],5,FALSE),"")</f>
        <v/>
      </c>
      <c r="H172" s="783" t="str">
        <f t="shared" ref="H172:H173" si="34">MID(E172,11,1)</f>
        <v>M</v>
      </c>
      <c r="I172" s="783" t="str">
        <f t="shared" ref="I172:I173" si="35">MID(E172,5,2)</f>
        <v>94</v>
      </c>
      <c r="J172" s="783" t="str">
        <f t="shared" ref="J172:J173" si="36">MID(E172,7,2)</f>
        <v>08</v>
      </c>
      <c r="K172" s="784" t="str">
        <f t="shared" ref="K172:K173" si="37">MID(E172,9,2)</f>
        <v>16</v>
      </c>
      <c r="L172" s="784" t="s">
        <v>1195</v>
      </c>
      <c r="M172" s="785" t="s">
        <v>232</v>
      </c>
      <c r="N172" s="786">
        <v>10</v>
      </c>
      <c r="O172" s="787">
        <v>10</v>
      </c>
      <c r="P172" s="787">
        <v>9</v>
      </c>
      <c r="Q172" s="783">
        <v>9</v>
      </c>
      <c r="R172" s="787">
        <v>10</v>
      </c>
      <c r="S172" s="787">
        <v>9</v>
      </c>
      <c r="T172" s="788">
        <v>9</v>
      </c>
      <c r="U172" s="789">
        <v>10</v>
      </c>
      <c r="V172" s="783">
        <v>9</v>
      </c>
      <c r="W172" s="783">
        <v>9</v>
      </c>
      <c r="X172" s="783">
        <v>9</v>
      </c>
      <c r="Y172" s="790">
        <v>9.5</v>
      </c>
      <c r="Z172" s="791"/>
      <c r="AA172" s="792">
        <v>10</v>
      </c>
      <c r="AB172" s="793">
        <v>9.5</v>
      </c>
      <c r="AC172" s="794">
        <v>10</v>
      </c>
      <c r="AD172" s="793">
        <v>8</v>
      </c>
      <c r="AE172" s="793">
        <v>8.5</v>
      </c>
      <c r="AF172" s="795">
        <v>10</v>
      </c>
      <c r="AG172" s="796">
        <v>8</v>
      </c>
      <c r="AH172" s="797">
        <v>9.6999999999999993</v>
      </c>
      <c r="AI172" s="798">
        <v>9</v>
      </c>
      <c r="AJ172" s="793">
        <v>9.6999999999999993</v>
      </c>
      <c r="AK172" s="793">
        <v>8.1</v>
      </c>
      <c r="AL172" s="799">
        <v>8.9</v>
      </c>
      <c r="AM172" s="792">
        <v>9.4</v>
      </c>
      <c r="AN172" s="793">
        <v>9.1</v>
      </c>
      <c r="AO172" s="800">
        <v>9</v>
      </c>
      <c r="AP172" s="793">
        <v>8.3000000000000007</v>
      </c>
      <c r="AQ172" s="793">
        <v>9.5</v>
      </c>
      <c r="AR172" s="795">
        <v>9.4</v>
      </c>
      <c r="AS172" s="792">
        <v>8.1999999999999993</v>
      </c>
      <c r="AT172" s="793">
        <v>10</v>
      </c>
      <c r="AU172" s="793">
        <v>7.2</v>
      </c>
      <c r="AV172" s="793">
        <v>9.1999999999999993</v>
      </c>
      <c r="AW172" s="793">
        <v>8.3000000000000007</v>
      </c>
      <c r="AX172" s="795">
        <v>9.6999999999999993</v>
      </c>
      <c r="AY172" s="801">
        <v>9</v>
      </c>
      <c r="AZ172" s="802">
        <v>8.6</v>
      </c>
      <c r="BA172" s="803">
        <v>9</v>
      </c>
      <c r="BB172" s="803">
        <v>8</v>
      </c>
      <c r="BC172" s="804">
        <v>9</v>
      </c>
      <c r="BD172" s="793">
        <v>9</v>
      </c>
      <c r="BE172" s="805">
        <v>10</v>
      </c>
      <c r="BF172" s="805">
        <v>9.5</v>
      </c>
      <c r="BG172" s="793">
        <v>10</v>
      </c>
      <c r="BH172" s="793">
        <v>9.5</v>
      </c>
      <c r="BI172" s="806">
        <v>10</v>
      </c>
      <c r="BJ172" s="795">
        <v>10</v>
      </c>
      <c r="BK172" s="807">
        <v>10</v>
      </c>
      <c r="BL172" s="2232" t="s">
        <v>295</v>
      </c>
    </row>
    <row r="173" spans="1:72" ht="16.5" customHeight="1" thickBot="1">
      <c r="A173" s="3"/>
      <c r="B173" s="718">
        <v>2</v>
      </c>
      <c r="C173" s="722">
        <v>43617</v>
      </c>
      <c r="D173" s="1802"/>
      <c r="E173" s="17" t="s">
        <v>296</v>
      </c>
      <c r="F173" s="58" t="s">
        <v>297</v>
      </c>
      <c r="G173" s="717" t="str">
        <f>IFERROR(VLOOKUP(D173,Tabla3[],5,FALSE),"")</f>
        <v/>
      </c>
      <c r="H173" s="38" t="str">
        <f t="shared" si="34"/>
        <v>H</v>
      </c>
      <c r="I173" s="38" t="str">
        <f t="shared" si="35"/>
        <v>96</v>
      </c>
      <c r="J173" s="38" t="str">
        <f t="shared" si="36"/>
        <v>11</v>
      </c>
      <c r="K173" s="808" t="str">
        <f t="shared" si="37"/>
        <v>23</v>
      </c>
      <c r="L173" s="784" t="s">
        <v>1195</v>
      </c>
      <c r="M173" s="10" t="s">
        <v>232</v>
      </c>
      <c r="N173" s="70">
        <v>10</v>
      </c>
      <c r="O173" s="71">
        <v>10</v>
      </c>
      <c r="P173" s="71">
        <v>10</v>
      </c>
      <c r="Q173" s="38">
        <v>10</v>
      </c>
      <c r="R173" s="71">
        <v>10</v>
      </c>
      <c r="S173" s="71">
        <v>10</v>
      </c>
      <c r="T173" s="72">
        <v>10</v>
      </c>
      <c r="U173" s="73">
        <v>9</v>
      </c>
      <c r="V173" s="38">
        <v>9</v>
      </c>
      <c r="W173" s="38">
        <v>10</v>
      </c>
      <c r="X173" s="38">
        <v>9</v>
      </c>
      <c r="Y173" s="74">
        <v>10</v>
      </c>
      <c r="Z173" s="75"/>
      <c r="AA173" s="76">
        <v>10</v>
      </c>
      <c r="AB173" s="41">
        <v>10</v>
      </c>
      <c r="AC173" s="77">
        <v>9</v>
      </c>
      <c r="AD173" s="41">
        <v>8</v>
      </c>
      <c r="AE173" s="78">
        <v>8.5</v>
      </c>
      <c r="AF173" s="79">
        <v>10</v>
      </c>
      <c r="AG173" s="80">
        <v>9</v>
      </c>
      <c r="AH173" s="81">
        <v>10</v>
      </c>
      <c r="AI173" s="50">
        <v>9</v>
      </c>
      <c r="AJ173" s="41">
        <v>10</v>
      </c>
      <c r="AK173" s="41">
        <v>8.3000000000000007</v>
      </c>
      <c r="AL173" s="82">
        <v>9.3000000000000007</v>
      </c>
      <c r="AM173" s="76">
        <v>8</v>
      </c>
      <c r="AN173" s="41">
        <v>9</v>
      </c>
      <c r="AO173" s="83">
        <v>8</v>
      </c>
      <c r="AP173" s="41">
        <v>8.8000000000000007</v>
      </c>
      <c r="AQ173" s="41">
        <v>10</v>
      </c>
      <c r="AR173" s="79">
        <v>8.6</v>
      </c>
      <c r="AS173" s="76">
        <v>8.5</v>
      </c>
      <c r="AT173" s="41">
        <v>10</v>
      </c>
      <c r="AU173" s="41">
        <v>9.6999999999999993</v>
      </c>
      <c r="AV173" s="41">
        <v>9.3000000000000007</v>
      </c>
      <c r="AW173" s="41">
        <v>9.4</v>
      </c>
      <c r="AX173" s="79">
        <v>9.6999999999999993</v>
      </c>
      <c r="AY173" s="84">
        <v>9</v>
      </c>
      <c r="AZ173" s="85">
        <v>9.3000000000000007</v>
      </c>
      <c r="BA173" s="52">
        <v>9</v>
      </c>
      <c r="BB173" s="52">
        <v>9</v>
      </c>
      <c r="BC173" s="86">
        <v>9</v>
      </c>
      <c r="BD173" s="41">
        <v>9</v>
      </c>
      <c r="BE173" s="87">
        <v>9</v>
      </c>
      <c r="BF173" s="87">
        <v>9.5</v>
      </c>
      <c r="BG173" s="50">
        <v>9</v>
      </c>
      <c r="BH173" s="50">
        <v>8</v>
      </c>
      <c r="BI173" s="809">
        <v>7</v>
      </c>
      <c r="BJ173" s="79">
        <v>6.6</v>
      </c>
      <c r="BK173" s="810">
        <v>7.6</v>
      </c>
      <c r="BL173" s="2232" t="s">
        <v>298</v>
      </c>
    </row>
    <row r="174" spans="1:72" ht="15.75" customHeight="1" thickBot="1">
      <c r="A174" s="3"/>
      <c r="B174" s="718">
        <v>3</v>
      </c>
      <c r="C174" s="722">
        <v>43617</v>
      </c>
      <c r="D174" s="1802"/>
      <c r="E174" s="17" t="s">
        <v>299</v>
      </c>
      <c r="F174" s="58" t="s">
        <v>300</v>
      </c>
      <c r="G174" s="717" t="str">
        <f>IFERROR(VLOOKUP(D174,Tabla3[],5,FALSE),"")</f>
        <v/>
      </c>
      <c r="H174" s="38" t="str">
        <f t="shared" ref="H174:H179" si="38">MID(E174,11,1)</f>
        <v>M</v>
      </c>
      <c r="I174" s="38" t="str">
        <f t="shared" ref="I174:I179" si="39">MID(E174,5,2)</f>
        <v>84</v>
      </c>
      <c r="J174" s="38" t="str">
        <f t="shared" ref="J174:J179" si="40">MID(E174,7,2)</f>
        <v>06</v>
      </c>
      <c r="K174" s="808" t="str">
        <f t="shared" ref="K174:K179" si="41">MID(E174,9,2)</f>
        <v>29</v>
      </c>
      <c r="L174" s="784" t="s">
        <v>1195</v>
      </c>
      <c r="M174" s="10" t="s">
        <v>232</v>
      </c>
      <c r="N174" s="88">
        <v>8</v>
      </c>
      <c r="O174" s="89">
        <v>10</v>
      </c>
      <c r="P174" s="71">
        <v>10</v>
      </c>
      <c r="Q174" s="38">
        <v>10</v>
      </c>
      <c r="R174" s="71">
        <v>10</v>
      </c>
      <c r="S174" s="71">
        <v>10</v>
      </c>
      <c r="T174" s="72">
        <v>10</v>
      </c>
      <c r="U174" s="73">
        <v>10</v>
      </c>
      <c r="V174" s="38">
        <v>10</v>
      </c>
      <c r="W174" s="38">
        <v>10</v>
      </c>
      <c r="X174" s="38">
        <v>9</v>
      </c>
      <c r="Y174" s="74">
        <v>10</v>
      </c>
      <c r="Z174" s="75"/>
      <c r="AA174" s="76">
        <v>10</v>
      </c>
      <c r="AB174" s="41">
        <v>10</v>
      </c>
      <c r="AC174" s="90">
        <v>10</v>
      </c>
      <c r="AD174" s="41">
        <v>8</v>
      </c>
      <c r="AE174" s="41">
        <v>8.5</v>
      </c>
      <c r="AF174" s="82">
        <v>8</v>
      </c>
      <c r="AG174" s="80">
        <v>9</v>
      </c>
      <c r="AH174" s="41">
        <v>8.5</v>
      </c>
      <c r="AI174" s="50">
        <v>8</v>
      </c>
      <c r="AJ174" s="41">
        <v>9.6999999999999993</v>
      </c>
      <c r="AK174" s="50">
        <v>8</v>
      </c>
      <c r="AL174" s="82">
        <v>8.6</v>
      </c>
      <c r="AM174" s="76">
        <v>9</v>
      </c>
      <c r="AN174" s="41">
        <v>10</v>
      </c>
      <c r="AO174" s="83">
        <v>9</v>
      </c>
      <c r="AP174" s="41">
        <v>8.1</v>
      </c>
      <c r="AQ174" s="91">
        <v>8</v>
      </c>
      <c r="AR174" s="82">
        <v>9</v>
      </c>
      <c r="AS174" s="76">
        <v>7.5</v>
      </c>
      <c r="AT174" s="41">
        <v>9.6</v>
      </c>
      <c r="AU174" s="41">
        <v>7.6</v>
      </c>
      <c r="AV174" s="41">
        <v>7</v>
      </c>
      <c r="AW174" s="41">
        <v>8</v>
      </c>
      <c r="AX174" s="79">
        <v>8.6</v>
      </c>
      <c r="AY174" s="92">
        <v>7</v>
      </c>
      <c r="AZ174" s="85">
        <v>8</v>
      </c>
      <c r="BA174" s="52">
        <v>9</v>
      </c>
      <c r="BB174" s="52">
        <v>8</v>
      </c>
      <c r="BC174" s="86">
        <v>9</v>
      </c>
      <c r="BD174" s="41">
        <v>9</v>
      </c>
      <c r="BE174" s="87">
        <v>9</v>
      </c>
      <c r="BF174" s="87">
        <v>8.5</v>
      </c>
      <c r="BG174" s="50">
        <v>9</v>
      </c>
      <c r="BH174" s="49">
        <v>3</v>
      </c>
      <c r="BI174" s="809">
        <v>7</v>
      </c>
      <c r="BJ174" s="79">
        <v>10</v>
      </c>
      <c r="BK174" s="810">
        <v>10</v>
      </c>
      <c r="BL174" s="2232" t="s">
        <v>298</v>
      </c>
    </row>
    <row r="175" spans="1:72" ht="15.75" customHeight="1" thickBot="1">
      <c r="A175" s="3"/>
      <c r="B175" s="718">
        <v>4</v>
      </c>
      <c r="C175" s="722">
        <v>43617</v>
      </c>
      <c r="D175" s="1802"/>
      <c r="E175" s="17" t="s">
        <v>301</v>
      </c>
      <c r="F175" s="58" t="s">
        <v>302</v>
      </c>
      <c r="G175" s="717" t="str">
        <f>IFERROR(VLOOKUP(D175,Tabla3[],5,FALSE),"")</f>
        <v/>
      </c>
      <c r="H175" s="38" t="str">
        <f t="shared" si="38"/>
        <v>H</v>
      </c>
      <c r="I175" s="38" t="str">
        <f t="shared" si="39"/>
        <v>85</v>
      </c>
      <c r="J175" s="38" t="str">
        <f t="shared" si="40"/>
        <v>07</v>
      </c>
      <c r="K175" s="808" t="str">
        <f t="shared" si="41"/>
        <v>20</v>
      </c>
      <c r="L175" s="784" t="s">
        <v>1195</v>
      </c>
      <c r="M175" s="10" t="s">
        <v>232</v>
      </c>
      <c r="N175" s="88">
        <v>10</v>
      </c>
      <c r="O175" s="89">
        <v>10</v>
      </c>
      <c r="P175" s="71">
        <v>10</v>
      </c>
      <c r="Q175" s="38">
        <v>10</v>
      </c>
      <c r="R175" s="71">
        <v>10</v>
      </c>
      <c r="S175" s="71">
        <v>10</v>
      </c>
      <c r="T175" s="72">
        <v>10</v>
      </c>
      <c r="U175" s="73">
        <v>9</v>
      </c>
      <c r="V175" s="38">
        <v>10</v>
      </c>
      <c r="W175" s="38">
        <v>10</v>
      </c>
      <c r="X175" s="38">
        <v>10</v>
      </c>
      <c r="Y175" s="74">
        <v>10</v>
      </c>
      <c r="Z175" s="75"/>
      <c r="AA175" s="76">
        <v>10</v>
      </c>
      <c r="AB175" s="41">
        <v>10</v>
      </c>
      <c r="AC175" s="77">
        <v>9</v>
      </c>
      <c r="AD175" s="41">
        <v>10</v>
      </c>
      <c r="AE175" s="41">
        <v>8.5</v>
      </c>
      <c r="AF175" s="82">
        <v>8</v>
      </c>
      <c r="AG175" s="80">
        <v>8</v>
      </c>
      <c r="AH175" s="41">
        <v>9.4</v>
      </c>
      <c r="AI175" s="41">
        <v>8.5</v>
      </c>
      <c r="AJ175" s="41">
        <v>10</v>
      </c>
      <c r="AK175" s="41">
        <v>8.1</v>
      </c>
      <c r="AL175" s="82">
        <v>8.8000000000000007</v>
      </c>
      <c r="AM175" s="76">
        <v>8.1</v>
      </c>
      <c r="AN175" s="41">
        <v>10</v>
      </c>
      <c r="AO175" s="83">
        <v>9</v>
      </c>
      <c r="AP175" s="41">
        <v>9.1</v>
      </c>
      <c r="AQ175" s="91">
        <v>8</v>
      </c>
      <c r="AR175" s="79">
        <v>8.4</v>
      </c>
      <c r="AS175" s="76">
        <v>9.3000000000000007</v>
      </c>
      <c r="AT175" s="41">
        <v>10</v>
      </c>
      <c r="AU175" s="41">
        <v>10</v>
      </c>
      <c r="AV175" s="41">
        <v>9</v>
      </c>
      <c r="AW175" s="41">
        <v>8.6999999999999993</v>
      </c>
      <c r="AX175" s="79">
        <v>9</v>
      </c>
      <c r="AY175" s="92">
        <v>9</v>
      </c>
      <c r="AZ175" s="85">
        <v>8</v>
      </c>
      <c r="BA175" s="52">
        <v>9</v>
      </c>
      <c r="BB175" s="52">
        <v>8</v>
      </c>
      <c r="BC175" s="86">
        <v>9</v>
      </c>
      <c r="BD175" s="41">
        <v>8</v>
      </c>
      <c r="BE175" s="87">
        <v>8</v>
      </c>
      <c r="BF175" s="87">
        <v>9.5</v>
      </c>
      <c r="BG175" s="50">
        <v>9</v>
      </c>
      <c r="BH175" s="50">
        <v>9</v>
      </c>
      <c r="BI175" s="811">
        <v>10</v>
      </c>
      <c r="BJ175" s="79">
        <v>10</v>
      </c>
      <c r="BK175" s="812">
        <v>10</v>
      </c>
      <c r="BL175" s="2232" t="s">
        <v>298</v>
      </c>
    </row>
    <row r="176" spans="1:72" ht="15.75" customHeight="1" thickBot="1">
      <c r="A176" s="3"/>
      <c r="B176" s="718">
        <v>5</v>
      </c>
      <c r="C176" s="722">
        <v>43617</v>
      </c>
      <c r="D176" s="1802"/>
      <c r="E176" s="17" t="s">
        <v>303</v>
      </c>
      <c r="F176" s="58" t="s">
        <v>304</v>
      </c>
      <c r="G176" s="717" t="str">
        <f>IFERROR(VLOOKUP(D176,Tabla3[],5,FALSE),"")</f>
        <v/>
      </c>
      <c r="H176" s="38" t="str">
        <f t="shared" si="38"/>
        <v>H</v>
      </c>
      <c r="I176" s="38" t="str">
        <f t="shared" si="39"/>
        <v>86</v>
      </c>
      <c r="J176" s="38" t="str">
        <f t="shared" si="40"/>
        <v>01</v>
      </c>
      <c r="K176" s="808" t="str">
        <f t="shared" si="41"/>
        <v>31</v>
      </c>
      <c r="L176" s="784" t="s">
        <v>1195</v>
      </c>
      <c r="M176" s="10" t="s">
        <v>232</v>
      </c>
      <c r="N176" s="88">
        <v>8</v>
      </c>
      <c r="O176" s="89">
        <v>10</v>
      </c>
      <c r="P176" s="71">
        <v>9</v>
      </c>
      <c r="Q176" s="38">
        <v>8</v>
      </c>
      <c r="R176" s="71">
        <v>10</v>
      </c>
      <c r="S176" s="93">
        <v>9</v>
      </c>
      <c r="T176" s="94">
        <v>9</v>
      </c>
      <c r="U176" s="95">
        <v>8</v>
      </c>
      <c r="V176" s="52">
        <v>8</v>
      </c>
      <c r="W176" s="38">
        <v>10</v>
      </c>
      <c r="X176" s="52">
        <v>9</v>
      </c>
      <c r="Y176" s="96">
        <v>9</v>
      </c>
      <c r="Z176" s="75"/>
      <c r="AA176" s="76">
        <v>10</v>
      </c>
      <c r="AB176" s="41">
        <v>8</v>
      </c>
      <c r="AC176" s="52">
        <v>8</v>
      </c>
      <c r="AD176" s="41">
        <v>8</v>
      </c>
      <c r="AE176" s="41">
        <v>8.5</v>
      </c>
      <c r="AF176" s="79">
        <v>8</v>
      </c>
      <c r="AG176" s="80">
        <v>9</v>
      </c>
      <c r="AH176" s="41">
        <v>9.1</v>
      </c>
      <c r="AI176" s="50">
        <v>9</v>
      </c>
      <c r="AJ176" s="50">
        <v>9</v>
      </c>
      <c r="AK176" s="41">
        <v>8.1</v>
      </c>
      <c r="AL176" s="82">
        <v>8.8000000000000007</v>
      </c>
      <c r="AM176" s="76">
        <v>8.1</v>
      </c>
      <c r="AN176" s="41">
        <v>9.5</v>
      </c>
      <c r="AO176" s="83">
        <v>9</v>
      </c>
      <c r="AP176" s="54">
        <v>7</v>
      </c>
      <c r="AQ176" s="91">
        <v>8</v>
      </c>
      <c r="AR176" s="79">
        <v>8.4</v>
      </c>
      <c r="AS176" s="76">
        <v>7</v>
      </c>
      <c r="AT176" s="41">
        <v>9</v>
      </c>
      <c r="AU176" s="41">
        <v>7.1</v>
      </c>
      <c r="AV176" s="41">
        <v>9.6</v>
      </c>
      <c r="AW176" s="41">
        <v>8</v>
      </c>
      <c r="AX176" s="79">
        <v>9</v>
      </c>
      <c r="AY176" s="97">
        <v>7</v>
      </c>
      <c r="AZ176" s="85">
        <v>8</v>
      </c>
      <c r="BA176" s="52">
        <v>9</v>
      </c>
      <c r="BB176" s="52">
        <v>8</v>
      </c>
      <c r="BC176" s="86">
        <v>9</v>
      </c>
      <c r="BD176" s="98">
        <v>9</v>
      </c>
      <c r="BE176" s="99" t="s">
        <v>135</v>
      </c>
      <c r="BF176" s="87">
        <v>9.5</v>
      </c>
      <c r="BG176" s="53" t="s">
        <v>208</v>
      </c>
      <c r="BH176" s="53" t="s">
        <v>305</v>
      </c>
      <c r="BI176" s="100">
        <v>0</v>
      </c>
      <c r="BJ176" s="101">
        <v>0</v>
      </c>
      <c r="BK176" s="813">
        <v>0</v>
      </c>
    </row>
    <row r="177" spans="1:72" ht="15.75" customHeight="1" thickBot="1">
      <c r="A177" s="3"/>
      <c r="B177" s="718">
        <v>6</v>
      </c>
      <c r="C177" s="722">
        <v>43617</v>
      </c>
      <c r="D177" s="1802"/>
      <c r="E177" s="17" t="s">
        <v>306</v>
      </c>
      <c r="F177" s="58" t="s">
        <v>307</v>
      </c>
      <c r="G177" s="717" t="str">
        <f>IFERROR(VLOOKUP(D177,Tabla3[],5,FALSE),"")</f>
        <v/>
      </c>
      <c r="H177" s="38" t="str">
        <f t="shared" si="38"/>
        <v>M</v>
      </c>
      <c r="I177" s="38" t="str">
        <f t="shared" si="39"/>
        <v>95</v>
      </c>
      <c r="J177" s="38" t="str">
        <f t="shared" si="40"/>
        <v>08</v>
      </c>
      <c r="K177" s="808" t="str">
        <f t="shared" si="41"/>
        <v>16</v>
      </c>
      <c r="L177" s="784" t="s">
        <v>1195</v>
      </c>
      <c r="M177" s="10" t="s">
        <v>232</v>
      </c>
      <c r="N177" s="70">
        <v>10</v>
      </c>
      <c r="O177" s="71">
        <v>8</v>
      </c>
      <c r="P177" s="71">
        <v>10</v>
      </c>
      <c r="Q177" s="38">
        <v>10</v>
      </c>
      <c r="R177" s="71">
        <v>10</v>
      </c>
      <c r="S177" s="71">
        <v>10</v>
      </c>
      <c r="T177" s="72">
        <v>10</v>
      </c>
      <c r="U177" s="103">
        <v>8</v>
      </c>
      <c r="V177" s="38">
        <v>10</v>
      </c>
      <c r="W177" s="52">
        <v>9</v>
      </c>
      <c r="X177" s="52">
        <v>9</v>
      </c>
      <c r="Y177" s="74">
        <v>10</v>
      </c>
      <c r="Z177" s="75"/>
      <c r="AA177" s="76">
        <v>10</v>
      </c>
      <c r="AB177" s="41">
        <v>10</v>
      </c>
      <c r="AC177" s="62">
        <v>8</v>
      </c>
      <c r="AD177" s="41">
        <v>10</v>
      </c>
      <c r="AE177" s="41">
        <v>8.5</v>
      </c>
      <c r="AF177" s="79">
        <v>8.5</v>
      </c>
      <c r="AG177" s="80">
        <v>9</v>
      </c>
      <c r="AH177" s="41">
        <v>8.1999999999999993</v>
      </c>
      <c r="AI177" s="50">
        <v>9</v>
      </c>
      <c r="AJ177" s="41">
        <v>8.5</v>
      </c>
      <c r="AK177" s="41">
        <v>8.1</v>
      </c>
      <c r="AL177" s="82">
        <v>8.6</v>
      </c>
      <c r="AM177" s="76">
        <v>8</v>
      </c>
      <c r="AN177" s="41">
        <v>9</v>
      </c>
      <c r="AO177" s="83">
        <v>9</v>
      </c>
      <c r="AP177" s="41">
        <v>8</v>
      </c>
      <c r="AQ177" s="91">
        <v>8</v>
      </c>
      <c r="AR177" s="79">
        <v>8.1</v>
      </c>
      <c r="AS177" s="76">
        <v>8</v>
      </c>
      <c r="AT177" s="41">
        <v>9.3000000000000007</v>
      </c>
      <c r="AU177" s="41">
        <v>7.5</v>
      </c>
      <c r="AV177" s="41">
        <v>9.3000000000000007</v>
      </c>
      <c r="AW177" s="41">
        <v>8.5</v>
      </c>
      <c r="AX177" s="79">
        <v>10</v>
      </c>
      <c r="AY177" s="97">
        <v>8.1999999999999993</v>
      </c>
      <c r="AZ177" s="85">
        <v>8.6999999999999993</v>
      </c>
      <c r="BA177" s="52">
        <v>8</v>
      </c>
      <c r="BB177" s="52">
        <v>8</v>
      </c>
      <c r="BC177" s="814">
        <v>9.4</v>
      </c>
      <c r="BD177" s="41">
        <v>9</v>
      </c>
      <c r="BE177" s="127">
        <v>9</v>
      </c>
      <c r="BF177" s="127">
        <v>9</v>
      </c>
      <c r="BG177" s="53">
        <v>4</v>
      </c>
      <c r="BH177" s="53">
        <v>1.5</v>
      </c>
      <c r="BI177" s="811">
        <v>10</v>
      </c>
      <c r="BJ177" s="79">
        <v>0</v>
      </c>
      <c r="BK177" s="813">
        <v>0</v>
      </c>
    </row>
    <row r="178" spans="1:72" ht="15.75" customHeight="1" thickBot="1">
      <c r="A178" s="3"/>
      <c r="B178" s="718">
        <v>7</v>
      </c>
      <c r="C178" s="722">
        <v>43617</v>
      </c>
      <c r="D178" s="1802"/>
      <c r="E178" s="17" t="s">
        <v>308</v>
      </c>
      <c r="F178" s="58" t="s">
        <v>309</v>
      </c>
      <c r="G178" s="717" t="str">
        <f>IFERROR(VLOOKUP(D178,Tabla3[],5,FALSE),"")</f>
        <v/>
      </c>
      <c r="H178" s="38" t="str">
        <f t="shared" si="38"/>
        <v>M</v>
      </c>
      <c r="I178" s="38" t="str">
        <f t="shared" si="39"/>
        <v>98</v>
      </c>
      <c r="J178" s="38" t="str">
        <f t="shared" si="40"/>
        <v>11</v>
      </c>
      <c r="K178" s="808" t="str">
        <f t="shared" si="41"/>
        <v>03</v>
      </c>
      <c r="L178" s="784" t="s">
        <v>1195</v>
      </c>
      <c r="M178" s="10" t="s">
        <v>232</v>
      </c>
      <c r="N178" s="70">
        <v>10</v>
      </c>
      <c r="O178" s="71">
        <v>10</v>
      </c>
      <c r="P178" s="71">
        <v>9</v>
      </c>
      <c r="Q178" s="71">
        <v>9</v>
      </c>
      <c r="R178" s="71">
        <v>10</v>
      </c>
      <c r="S178" s="93">
        <v>9</v>
      </c>
      <c r="T178" s="94">
        <v>9</v>
      </c>
      <c r="U178" s="103">
        <v>9</v>
      </c>
      <c r="V178" s="38">
        <v>10</v>
      </c>
      <c r="W178" s="52">
        <v>9</v>
      </c>
      <c r="X178" s="52">
        <v>8</v>
      </c>
      <c r="Y178" s="74">
        <v>10</v>
      </c>
      <c r="Z178" s="75"/>
      <c r="AA178" s="76">
        <v>10</v>
      </c>
      <c r="AB178" s="41">
        <v>10</v>
      </c>
      <c r="AC178" s="62">
        <v>9</v>
      </c>
      <c r="AD178" s="41">
        <v>10</v>
      </c>
      <c r="AE178" s="41">
        <v>8.5</v>
      </c>
      <c r="AF178" s="79">
        <v>8.5</v>
      </c>
      <c r="AG178" s="80">
        <v>9</v>
      </c>
      <c r="AH178" s="41">
        <v>9.6999999999999993</v>
      </c>
      <c r="AI178" s="50">
        <v>9</v>
      </c>
      <c r="AJ178" s="41">
        <v>10</v>
      </c>
      <c r="AK178" s="50">
        <v>8</v>
      </c>
      <c r="AL178" s="82">
        <v>9.1</v>
      </c>
      <c r="AM178" s="76">
        <v>8</v>
      </c>
      <c r="AN178" s="41">
        <v>9</v>
      </c>
      <c r="AO178" s="83">
        <v>9</v>
      </c>
      <c r="AP178" s="41">
        <v>8.5</v>
      </c>
      <c r="AQ178" s="91">
        <v>8</v>
      </c>
      <c r="AR178" s="79">
        <v>8.4</v>
      </c>
      <c r="AS178" s="76">
        <v>8.3000000000000007</v>
      </c>
      <c r="AT178" s="41">
        <v>10</v>
      </c>
      <c r="AU178" s="41">
        <v>8.3000000000000007</v>
      </c>
      <c r="AV178" s="41">
        <v>9.6</v>
      </c>
      <c r="AW178" s="41">
        <v>9.6</v>
      </c>
      <c r="AX178" s="79">
        <v>9</v>
      </c>
      <c r="AY178" s="97">
        <v>7.1</v>
      </c>
      <c r="AZ178" s="85">
        <v>8.5</v>
      </c>
      <c r="BA178" s="52">
        <v>9</v>
      </c>
      <c r="BB178" s="52">
        <v>8</v>
      </c>
      <c r="BC178" s="814">
        <v>10</v>
      </c>
      <c r="BD178" s="41">
        <v>10</v>
      </c>
      <c r="BE178" s="87">
        <v>10</v>
      </c>
      <c r="BF178" s="87">
        <v>10</v>
      </c>
      <c r="BG178" s="41">
        <v>10</v>
      </c>
      <c r="BH178" s="41">
        <v>9.5</v>
      </c>
      <c r="BI178" s="811">
        <v>10</v>
      </c>
      <c r="BJ178" s="79">
        <v>9</v>
      </c>
      <c r="BK178" s="810">
        <v>7.6</v>
      </c>
      <c r="BL178" s="2232" t="s">
        <v>310</v>
      </c>
    </row>
    <row r="179" spans="1:72" ht="15.75" customHeight="1" thickBot="1">
      <c r="A179" s="3"/>
      <c r="B179" s="718">
        <v>8</v>
      </c>
      <c r="C179" s="722">
        <v>44652</v>
      </c>
      <c r="D179" s="1802"/>
      <c r="E179" s="17" t="s">
        <v>311</v>
      </c>
      <c r="F179" s="58" t="s">
        <v>312</v>
      </c>
      <c r="G179" s="717" t="str">
        <f>IFERROR(VLOOKUP(D179,Tabla3[],5,FALSE),"")</f>
        <v/>
      </c>
      <c r="H179" s="38" t="str">
        <f t="shared" si="38"/>
        <v>H</v>
      </c>
      <c r="I179" s="38" t="str">
        <f t="shared" si="39"/>
        <v>78</v>
      </c>
      <c r="J179" s="38" t="str">
        <f t="shared" si="40"/>
        <v>05</v>
      </c>
      <c r="K179" s="808" t="str">
        <f t="shared" si="41"/>
        <v>29</v>
      </c>
      <c r="L179" s="784" t="s">
        <v>1195</v>
      </c>
      <c r="M179" s="10" t="s">
        <v>232</v>
      </c>
      <c r="N179" s="70">
        <v>9</v>
      </c>
      <c r="O179" s="71">
        <v>10</v>
      </c>
      <c r="P179" s="71">
        <v>9</v>
      </c>
      <c r="Q179" s="71">
        <v>9</v>
      </c>
      <c r="R179" s="71">
        <v>10</v>
      </c>
      <c r="S179" s="71">
        <v>10</v>
      </c>
      <c r="T179" s="102">
        <v>9.1</v>
      </c>
      <c r="U179" s="103">
        <v>10</v>
      </c>
      <c r="V179" s="52">
        <v>9</v>
      </c>
      <c r="W179" s="38">
        <v>9</v>
      </c>
      <c r="X179" s="38">
        <v>10</v>
      </c>
      <c r="Y179" s="90">
        <v>9</v>
      </c>
      <c r="Z179" s="104"/>
      <c r="AA179" s="103">
        <v>10</v>
      </c>
      <c r="AB179" s="38">
        <v>9</v>
      </c>
      <c r="AC179" s="41">
        <v>10</v>
      </c>
      <c r="AD179" s="41">
        <v>10</v>
      </c>
      <c r="AE179" s="52">
        <v>8</v>
      </c>
      <c r="AF179" s="105">
        <v>10</v>
      </c>
      <c r="AG179" s="76">
        <v>10</v>
      </c>
      <c r="AH179" s="41">
        <v>10</v>
      </c>
      <c r="AI179" s="50">
        <v>9</v>
      </c>
      <c r="AJ179" s="41">
        <v>10</v>
      </c>
      <c r="AK179" s="41">
        <v>8.8000000000000007</v>
      </c>
      <c r="AL179" s="82">
        <v>9.6</v>
      </c>
      <c r="AM179" s="76">
        <v>8.4</v>
      </c>
      <c r="AN179" s="41">
        <v>9.6</v>
      </c>
      <c r="AO179" s="91">
        <v>10</v>
      </c>
      <c r="AP179" s="41">
        <v>7.9</v>
      </c>
      <c r="AQ179" s="41">
        <v>9.6999999999999993</v>
      </c>
      <c r="AR179" s="82">
        <v>8.35</v>
      </c>
      <c r="AS179" s="76">
        <v>9.6999999999999993</v>
      </c>
      <c r="AT179" s="41">
        <v>9.6</v>
      </c>
      <c r="AU179" s="41">
        <v>9.3000000000000007</v>
      </c>
      <c r="AV179" s="41">
        <v>9.3000000000000007</v>
      </c>
      <c r="AW179" s="41">
        <v>9.6</v>
      </c>
      <c r="AX179" s="79">
        <v>9.6999999999999993</v>
      </c>
      <c r="AY179" s="97">
        <v>10</v>
      </c>
      <c r="AZ179" s="85">
        <v>10</v>
      </c>
      <c r="BA179" s="38">
        <v>10</v>
      </c>
      <c r="BB179" s="38">
        <v>9</v>
      </c>
      <c r="BC179" s="814">
        <v>10</v>
      </c>
      <c r="BD179" s="41">
        <v>9</v>
      </c>
      <c r="BE179" s="87">
        <v>8</v>
      </c>
      <c r="BF179" s="87">
        <v>9.5</v>
      </c>
      <c r="BG179" s="41">
        <v>10</v>
      </c>
      <c r="BH179" s="41">
        <v>9.6999999999999993</v>
      </c>
      <c r="BI179" s="811">
        <v>10</v>
      </c>
      <c r="BJ179" s="79">
        <v>10</v>
      </c>
      <c r="BK179" s="810">
        <v>10</v>
      </c>
    </row>
    <row r="180" spans="1:72" ht="15.75" customHeight="1" thickBot="1">
      <c r="A180" s="3"/>
      <c r="B180" s="718">
        <v>9</v>
      </c>
      <c r="C180" s="722">
        <v>43739</v>
      </c>
      <c r="D180" s="1802"/>
      <c r="E180" s="17" t="s">
        <v>314</v>
      </c>
      <c r="F180" s="58" t="s">
        <v>315</v>
      </c>
      <c r="G180" s="717" t="str">
        <f>IFERROR(VLOOKUP(D180,Tabla3[],5,FALSE),"")</f>
        <v/>
      </c>
      <c r="H180" s="38" t="str">
        <f t="shared" ref="H180:H187" si="42">MID(E180,11,1)</f>
        <v>H</v>
      </c>
      <c r="I180" s="38" t="str">
        <f t="shared" ref="I180:I187" si="43">MID(E180,5,2)</f>
        <v>87</v>
      </c>
      <c r="J180" s="38" t="str">
        <f t="shared" ref="J180:J187" si="44">MID(E180,7,2)</f>
        <v>09</v>
      </c>
      <c r="K180" s="808" t="str">
        <f t="shared" ref="K180:K187" si="45">MID(E180,9,2)</f>
        <v>10</v>
      </c>
      <c r="L180" s="784" t="s">
        <v>1195</v>
      </c>
      <c r="M180" s="10" t="s">
        <v>232</v>
      </c>
      <c r="N180" s="106">
        <v>10</v>
      </c>
      <c r="O180" s="107">
        <v>10</v>
      </c>
      <c r="P180" s="107">
        <v>10</v>
      </c>
      <c r="Q180" s="107">
        <v>10</v>
      </c>
      <c r="R180" s="107">
        <v>10</v>
      </c>
      <c r="S180" s="107">
        <v>10</v>
      </c>
      <c r="T180" s="72">
        <v>7.9</v>
      </c>
      <c r="U180" s="73">
        <v>8</v>
      </c>
      <c r="V180" s="90">
        <v>9</v>
      </c>
      <c r="W180" s="90">
        <v>9</v>
      </c>
      <c r="X180" s="90">
        <v>9</v>
      </c>
      <c r="Y180" s="90">
        <v>10</v>
      </c>
      <c r="Z180" s="108"/>
      <c r="AA180" s="76">
        <v>9.5</v>
      </c>
      <c r="AB180" s="50">
        <v>9</v>
      </c>
      <c r="AC180" s="50">
        <v>9</v>
      </c>
      <c r="AD180" s="50">
        <v>9</v>
      </c>
      <c r="AE180" s="109">
        <v>10</v>
      </c>
      <c r="AF180" s="110">
        <v>10</v>
      </c>
      <c r="AG180" s="80">
        <v>9</v>
      </c>
      <c r="AH180" s="41">
        <v>9.4</v>
      </c>
      <c r="AI180" s="50">
        <v>9</v>
      </c>
      <c r="AJ180" s="41">
        <v>9.6999999999999993</v>
      </c>
      <c r="AK180" s="41">
        <v>8.4</v>
      </c>
      <c r="AL180" s="82">
        <v>9.1</v>
      </c>
      <c r="AM180" s="76">
        <v>8.3000000000000007</v>
      </c>
      <c r="AN180" s="41">
        <v>9.8000000000000007</v>
      </c>
      <c r="AO180" s="50">
        <v>9</v>
      </c>
      <c r="AP180" s="41">
        <v>7.9</v>
      </c>
      <c r="AQ180" s="41">
        <v>9</v>
      </c>
      <c r="AR180" s="79">
        <v>8.3000000000000007</v>
      </c>
      <c r="AS180" s="76">
        <v>8.1999999999999993</v>
      </c>
      <c r="AT180" s="41">
        <v>9.3000000000000007</v>
      </c>
      <c r="AU180" s="41">
        <v>8.6</v>
      </c>
      <c r="AV180" s="41">
        <v>9.1999999999999993</v>
      </c>
      <c r="AW180" s="41">
        <v>9.3000000000000007</v>
      </c>
      <c r="AX180" s="79">
        <v>10</v>
      </c>
      <c r="AY180" s="97">
        <v>7.1</v>
      </c>
      <c r="AZ180" s="85">
        <v>9</v>
      </c>
      <c r="BA180" s="38">
        <v>9</v>
      </c>
      <c r="BB180" s="38">
        <v>8</v>
      </c>
      <c r="BC180" s="814">
        <v>9</v>
      </c>
      <c r="BD180" s="41">
        <v>9</v>
      </c>
      <c r="BE180" s="87">
        <v>8</v>
      </c>
      <c r="BF180" s="111">
        <v>9</v>
      </c>
      <c r="BG180" s="41">
        <v>10</v>
      </c>
      <c r="BH180" s="41">
        <v>10</v>
      </c>
      <c r="BI180" s="809">
        <v>9</v>
      </c>
      <c r="BJ180" s="79">
        <v>10</v>
      </c>
      <c r="BK180" s="810">
        <v>10</v>
      </c>
      <c r="BL180" s="2232" t="s">
        <v>316</v>
      </c>
    </row>
    <row r="181" spans="1:72" ht="15.75" customHeight="1" thickBot="1">
      <c r="A181" s="3"/>
      <c r="B181" s="718">
        <v>10</v>
      </c>
      <c r="C181" s="722">
        <v>43831</v>
      </c>
      <c r="D181" s="1802"/>
      <c r="E181" s="17" t="s">
        <v>317</v>
      </c>
      <c r="F181" s="58" t="s">
        <v>318</v>
      </c>
      <c r="G181" s="717" t="str">
        <f>IFERROR(VLOOKUP(D181,Tabla3[],5,FALSE),"")</f>
        <v/>
      </c>
      <c r="H181" s="38" t="str">
        <f t="shared" si="42"/>
        <v>H</v>
      </c>
      <c r="I181" s="38" t="str">
        <f t="shared" si="43"/>
        <v>98</v>
      </c>
      <c r="J181" s="38" t="str">
        <f t="shared" si="44"/>
        <v>12</v>
      </c>
      <c r="K181" s="808" t="str">
        <f t="shared" si="45"/>
        <v>18</v>
      </c>
      <c r="L181" s="784" t="s">
        <v>1195</v>
      </c>
      <c r="M181" s="10" t="s">
        <v>232</v>
      </c>
      <c r="N181" s="112">
        <v>10</v>
      </c>
      <c r="O181" s="113">
        <v>7</v>
      </c>
      <c r="P181" s="113">
        <v>7</v>
      </c>
      <c r="Q181" s="113">
        <v>7</v>
      </c>
      <c r="R181" s="114">
        <v>9.1999999999999993</v>
      </c>
      <c r="S181" s="115">
        <v>9.1999999999999993</v>
      </c>
      <c r="T181" s="116">
        <v>9.1</v>
      </c>
      <c r="U181" s="112">
        <v>9</v>
      </c>
      <c r="V181" s="54">
        <v>8</v>
      </c>
      <c r="W181" s="54">
        <v>9.1999999999999993</v>
      </c>
      <c r="X181" s="113">
        <v>8</v>
      </c>
      <c r="Y181" s="54">
        <v>9.1999999999999993</v>
      </c>
      <c r="Z181" s="117">
        <v>9.1</v>
      </c>
      <c r="AA181" s="118">
        <v>9.6999999999999993</v>
      </c>
      <c r="AB181" s="119">
        <v>8</v>
      </c>
      <c r="AC181" s="120">
        <v>9.3000000000000007</v>
      </c>
      <c r="AD181" s="120">
        <v>9.3000000000000007</v>
      </c>
      <c r="AE181" s="120">
        <v>9.3000000000000007</v>
      </c>
      <c r="AF181" s="116">
        <v>10</v>
      </c>
      <c r="AG181" s="121">
        <v>9</v>
      </c>
      <c r="AH181" s="114">
        <v>9</v>
      </c>
      <c r="AI181" s="114">
        <v>9</v>
      </c>
      <c r="AJ181" s="114">
        <v>9</v>
      </c>
      <c r="AK181" s="114">
        <v>9</v>
      </c>
      <c r="AL181" s="122">
        <v>9</v>
      </c>
      <c r="AM181" s="76">
        <v>9</v>
      </c>
      <c r="AN181" s="41">
        <v>9</v>
      </c>
      <c r="AO181" s="50">
        <v>9</v>
      </c>
      <c r="AP181" s="41">
        <v>9</v>
      </c>
      <c r="AQ181" s="41">
        <v>9</v>
      </c>
      <c r="AR181" s="79">
        <v>9</v>
      </c>
      <c r="AS181" s="76">
        <v>8</v>
      </c>
      <c r="AT181" s="41">
        <v>9.3000000000000007</v>
      </c>
      <c r="AU181" s="41">
        <v>9.3000000000000007</v>
      </c>
      <c r="AV181" s="41">
        <v>10</v>
      </c>
      <c r="AW181" s="41">
        <v>9.3000000000000007</v>
      </c>
      <c r="AX181" s="79">
        <v>10</v>
      </c>
      <c r="AY181" s="97">
        <v>8.1</v>
      </c>
      <c r="AZ181" s="85">
        <v>9</v>
      </c>
      <c r="BA181" s="38">
        <v>10</v>
      </c>
      <c r="BB181" s="38">
        <v>9</v>
      </c>
      <c r="BC181" s="814">
        <v>10</v>
      </c>
      <c r="BD181" s="41">
        <v>10</v>
      </c>
      <c r="BE181" s="87">
        <v>10</v>
      </c>
      <c r="BF181" s="87">
        <v>9.5</v>
      </c>
      <c r="BG181" s="41">
        <v>10</v>
      </c>
      <c r="BH181" s="59">
        <v>10</v>
      </c>
      <c r="BI181" s="123">
        <v>7</v>
      </c>
      <c r="BJ181" s="124">
        <v>0</v>
      </c>
      <c r="BK181" s="815">
        <v>10</v>
      </c>
      <c r="BL181" s="2233" t="s">
        <v>320</v>
      </c>
    </row>
    <row r="182" spans="1:72" ht="15.75" customHeight="1" thickBot="1">
      <c r="A182" s="3"/>
      <c r="B182" s="718">
        <v>11</v>
      </c>
      <c r="C182" s="722">
        <v>43617</v>
      </c>
      <c r="D182" s="1802"/>
      <c r="E182" s="17" t="s">
        <v>1809</v>
      </c>
      <c r="F182" s="58" t="s">
        <v>321</v>
      </c>
      <c r="G182" s="717" t="str">
        <f>IFERROR(VLOOKUP(D182,Tabla3[],5,FALSE),"")</f>
        <v/>
      </c>
      <c r="H182" s="38" t="str">
        <f t="shared" si="42"/>
        <v>M</v>
      </c>
      <c r="I182" s="38" t="str">
        <f t="shared" si="43"/>
        <v>97</v>
      </c>
      <c r="J182" s="38" t="str">
        <f t="shared" si="44"/>
        <v>04</v>
      </c>
      <c r="K182" s="808" t="str">
        <f t="shared" si="45"/>
        <v>07</v>
      </c>
      <c r="L182" s="784" t="s">
        <v>1195</v>
      </c>
      <c r="M182" s="10" t="s">
        <v>232</v>
      </c>
      <c r="N182" s="70">
        <v>9</v>
      </c>
      <c r="O182" s="71">
        <v>10</v>
      </c>
      <c r="P182" s="71">
        <v>9</v>
      </c>
      <c r="Q182" s="38">
        <v>10</v>
      </c>
      <c r="R182" s="71">
        <v>10</v>
      </c>
      <c r="S182" s="93">
        <v>9</v>
      </c>
      <c r="T182" s="94">
        <v>9</v>
      </c>
      <c r="U182" s="73">
        <v>10</v>
      </c>
      <c r="V182" s="38">
        <v>10</v>
      </c>
      <c r="W182" s="38">
        <v>10</v>
      </c>
      <c r="X182" s="38">
        <v>10</v>
      </c>
      <c r="Y182" s="74">
        <v>10</v>
      </c>
      <c r="Z182" s="75"/>
      <c r="AA182" s="76">
        <v>10</v>
      </c>
      <c r="AB182" s="41">
        <v>10</v>
      </c>
      <c r="AC182" s="90">
        <v>10</v>
      </c>
      <c r="AD182" s="41">
        <v>10</v>
      </c>
      <c r="AE182" s="41">
        <v>8.5</v>
      </c>
      <c r="AF182" s="79">
        <v>9</v>
      </c>
      <c r="AG182" s="80">
        <v>9</v>
      </c>
      <c r="AH182" s="41">
        <v>10</v>
      </c>
      <c r="AI182" s="50">
        <v>9</v>
      </c>
      <c r="AJ182" s="41">
        <v>10</v>
      </c>
      <c r="AK182" s="41">
        <v>8.5</v>
      </c>
      <c r="AL182" s="82">
        <v>9.3000000000000007</v>
      </c>
      <c r="AM182" s="76">
        <v>9</v>
      </c>
      <c r="AN182" s="41">
        <v>10</v>
      </c>
      <c r="AO182" s="83">
        <v>9</v>
      </c>
      <c r="AP182" s="41">
        <v>9.1</v>
      </c>
      <c r="AQ182" s="41">
        <v>9.6999999999999993</v>
      </c>
      <c r="AR182" s="79">
        <v>9</v>
      </c>
      <c r="AS182" s="76">
        <v>9.3000000000000007</v>
      </c>
      <c r="AT182" s="41">
        <v>9.3000000000000007</v>
      </c>
      <c r="AU182" s="41">
        <v>9.3000000000000007</v>
      </c>
      <c r="AV182" s="41">
        <v>9</v>
      </c>
      <c r="AW182" s="41">
        <v>8.5</v>
      </c>
      <c r="AX182" s="79">
        <v>9</v>
      </c>
      <c r="AY182" s="125">
        <v>7</v>
      </c>
      <c r="AZ182" s="126">
        <v>8</v>
      </c>
      <c r="BA182" s="52">
        <v>9</v>
      </c>
      <c r="BB182" s="52">
        <v>8</v>
      </c>
      <c r="BC182" s="816">
        <v>9</v>
      </c>
      <c r="BD182" s="50">
        <v>8</v>
      </c>
      <c r="BE182" s="127">
        <v>9</v>
      </c>
      <c r="BF182" s="87">
        <v>9.5</v>
      </c>
      <c r="BG182" s="50">
        <v>9</v>
      </c>
      <c r="BH182" s="50">
        <v>9</v>
      </c>
      <c r="BI182" s="811">
        <v>10</v>
      </c>
      <c r="BJ182" s="79">
        <v>10</v>
      </c>
      <c r="BK182" s="815">
        <v>9</v>
      </c>
      <c r="BL182" s="2232" t="s">
        <v>323</v>
      </c>
      <c r="BO182" s="2"/>
      <c r="BP182" s="2"/>
      <c r="BQ182" s="2"/>
      <c r="BR182" s="2"/>
      <c r="BS182" s="2"/>
      <c r="BT182" s="2"/>
    </row>
    <row r="183" spans="1:72" ht="15.75" customHeight="1" thickBot="1">
      <c r="A183" s="3"/>
      <c r="B183" s="718">
        <v>12</v>
      </c>
      <c r="C183" s="722">
        <v>43586</v>
      </c>
      <c r="D183" s="1802"/>
      <c r="E183" s="17" t="s">
        <v>324</v>
      </c>
      <c r="F183" s="58" t="s">
        <v>325</v>
      </c>
      <c r="G183" s="717" t="str">
        <f>IFERROR(VLOOKUP(D183,Tabla3[],5,FALSE),"")</f>
        <v/>
      </c>
      <c r="H183" s="38" t="str">
        <f t="shared" si="42"/>
        <v>H</v>
      </c>
      <c r="I183" s="38" t="str">
        <f t="shared" si="43"/>
        <v>71</v>
      </c>
      <c r="J183" s="38" t="str">
        <f t="shared" si="44"/>
        <v>12</v>
      </c>
      <c r="K183" s="808" t="str">
        <f t="shared" si="45"/>
        <v>31</v>
      </c>
      <c r="L183" s="784" t="s">
        <v>1195</v>
      </c>
      <c r="M183" s="10" t="s">
        <v>232</v>
      </c>
      <c r="N183" s="128">
        <v>9</v>
      </c>
      <c r="O183" s="74">
        <v>10</v>
      </c>
      <c r="P183" s="129" t="s">
        <v>326</v>
      </c>
      <c r="Q183" s="74">
        <v>10</v>
      </c>
      <c r="R183" s="74">
        <v>9</v>
      </c>
      <c r="S183" s="74">
        <v>10</v>
      </c>
      <c r="T183" s="130">
        <v>9</v>
      </c>
      <c r="U183" s="76">
        <v>10</v>
      </c>
      <c r="V183" s="41">
        <v>8.9</v>
      </c>
      <c r="W183" s="41">
        <v>9</v>
      </c>
      <c r="X183" s="41">
        <v>10</v>
      </c>
      <c r="Y183" s="41">
        <v>9</v>
      </c>
      <c r="Z183" s="131"/>
      <c r="AA183" s="76">
        <v>10</v>
      </c>
      <c r="AB183" s="41">
        <v>9</v>
      </c>
      <c r="AC183" s="132">
        <v>10</v>
      </c>
      <c r="AD183" s="41">
        <v>9.8000000000000007</v>
      </c>
      <c r="AE183" s="41">
        <v>10</v>
      </c>
      <c r="AF183" s="79">
        <v>10</v>
      </c>
      <c r="AG183" s="76">
        <v>10</v>
      </c>
      <c r="AH183" s="41">
        <v>9.6999999999999993</v>
      </c>
      <c r="AI183" s="41">
        <v>9</v>
      </c>
      <c r="AJ183" s="41">
        <v>10</v>
      </c>
      <c r="AK183" s="41">
        <v>8.6999999999999993</v>
      </c>
      <c r="AL183" s="79">
        <v>10</v>
      </c>
      <c r="AM183" s="76">
        <v>9.1</v>
      </c>
      <c r="AN183" s="41">
        <v>9.9</v>
      </c>
      <c r="AO183" s="50">
        <v>9</v>
      </c>
      <c r="AP183" s="41">
        <v>9.1</v>
      </c>
      <c r="AQ183" s="41">
        <v>9.5</v>
      </c>
      <c r="AR183" s="79">
        <v>9.1</v>
      </c>
      <c r="AS183" s="76">
        <v>9.1999999999999993</v>
      </c>
      <c r="AT183" s="41">
        <v>9.3000000000000007</v>
      </c>
      <c r="AU183" s="41">
        <v>8.6999999999999993</v>
      </c>
      <c r="AV183" s="41">
        <v>9.1999999999999993</v>
      </c>
      <c r="AW183" s="41">
        <v>9.6</v>
      </c>
      <c r="AX183" s="79">
        <v>10</v>
      </c>
      <c r="AY183" s="97">
        <v>10</v>
      </c>
      <c r="AZ183" s="85">
        <v>10</v>
      </c>
      <c r="BA183" s="38">
        <v>10</v>
      </c>
      <c r="BB183" s="38">
        <v>9</v>
      </c>
      <c r="BC183" s="814">
        <v>10</v>
      </c>
      <c r="BD183" s="50">
        <v>9</v>
      </c>
      <c r="BE183" s="87">
        <v>10</v>
      </c>
      <c r="BF183" s="87">
        <v>9.5</v>
      </c>
      <c r="BG183" s="41">
        <v>10</v>
      </c>
      <c r="BH183" s="41">
        <v>10</v>
      </c>
      <c r="BI183" s="811">
        <v>10</v>
      </c>
      <c r="BJ183" s="79">
        <v>10</v>
      </c>
      <c r="BK183" s="810">
        <v>10</v>
      </c>
      <c r="BL183" s="2232" t="s">
        <v>327</v>
      </c>
    </row>
    <row r="184" spans="1:72" ht="15.75" customHeight="1" thickBot="1">
      <c r="A184" s="3"/>
      <c r="B184" s="718">
        <v>13</v>
      </c>
      <c r="C184" s="722">
        <v>43739</v>
      </c>
      <c r="D184" s="1802"/>
      <c r="E184" s="17" t="s">
        <v>328</v>
      </c>
      <c r="F184" s="58" t="s">
        <v>329</v>
      </c>
      <c r="G184" s="717" t="str">
        <f>IFERROR(VLOOKUP(D184,Tabla3[],5,FALSE),"")</f>
        <v/>
      </c>
      <c r="H184" s="38" t="str">
        <f t="shared" si="42"/>
        <v>M</v>
      </c>
      <c r="I184" s="38" t="str">
        <f t="shared" si="43"/>
        <v>71</v>
      </c>
      <c r="J184" s="38" t="str">
        <f t="shared" si="44"/>
        <v>01</v>
      </c>
      <c r="K184" s="808" t="str">
        <f t="shared" si="45"/>
        <v>29</v>
      </c>
      <c r="L184" s="784" t="s">
        <v>1195</v>
      </c>
      <c r="M184" s="10" t="s">
        <v>232</v>
      </c>
      <c r="N184" s="133">
        <v>10</v>
      </c>
      <c r="O184" s="134">
        <v>10</v>
      </c>
      <c r="P184" s="134">
        <v>10</v>
      </c>
      <c r="Q184" s="134">
        <v>10</v>
      </c>
      <c r="R184" s="134">
        <v>10</v>
      </c>
      <c r="S184" s="134">
        <v>10</v>
      </c>
      <c r="T184" s="135">
        <v>9.4</v>
      </c>
      <c r="U184" s="136">
        <v>10</v>
      </c>
      <c r="V184" s="137">
        <v>9.3000000000000007</v>
      </c>
      <c r="W184" s="137">
        <v>9.4</v>
      </c>
      <c r="X184" s="137">
        <v>10</v>
      </c>
      <c r="Y184" s="137">
        <v>10</v>
      </c>
      <c r="Z184" s="131">
        <v>9.5</v>
      </c>
      <c r="AA184" s="76">
        <v>10</v>
      </c>
      <c r="AB184" s="41">
        <v>9</v>
      </c>
      <c r="AC184" s="41">
        <v>9</v>
      </c>
      <c r="AD184" s="41">
        <v>8</v>
      </c>
      <c r="AE184" s="41">
        <v>9</v>
      </c>
      <c r="AF184" s="79">
        <v>9.5</v>
      </c>
      <c r="AG184" s="76">
        <v>9</v>
      </c>
      <c r="AH184" s="41">
        <v>8.5</v>
      </c>
      <c r="AI184" s="41">
        <v>8</v>
      </c>
      <c r="AJ184" s="41">
        <v>8.6999999999999993</v>
      </c>
      <c r="AK184" s="41">
        <v>8.1</v>
      </c>
      <c r="AL184" s="79">
        <v>8</v>
      </c>
      <c r="AM184" s="76">
        <v>8</v>
      </c>
      <c r="AN184" s="138">
        <v>7.2</v>
      </c>
      <c r="AO184" s="138">
        <v>7.2</v>
      </c>
      <c r="AP184" s="138">
        <v>7.2</v>
      </c>
      <c r="AQ184" s="138">
        <v>7.2</v>
      </c>
      <c r="AR184" s="138">
        <v>7.2</v>
      </c>
      <c r="AS184" s="138">
        <v>7.2</v>
      </c>
      <c r="AT184" s="138">
        <v>7.2</v>
      </c>
      <c r="AU184" s="50">
        <v>7</v>
      </c>
      <c r="AV184" s="50">
        <v>7</v>
      </c>
      <c r="AW184" s="31">
        <v>7</v>
      </c>
      <c r="AX184" s="139">
        <v>7</v>
      </c>
      <c r="AY184" s="125">
        <v>7</v>
      </c>
      <c r="AZ184" s="126">
        <v>8</v>
      </c>
      <c r="BA184" s="52">
        <v>9</v>
      </c>
      <c r="BB184" s="52">
        <v>8</v>
      </c>
      <c r="BC184" s="814">
        <v>9.1</v>
      </c>
      <c r="BD184" s="41" t="s">
        <v>135</v>
      </c>
      <c r="BE184" s="85">
        <v>6.6</v>
      </c>
      <c r="BF184" s="87">
        <v>6</v>
      </c>
      <c r="BG184" s="53">
        <v>4</v>
      </c>
      <c r="BH184" s="632">
        <v>3.5</v>
      </c>
      <c r="BI184" s="100">
        <v>3.5</v>
      </c>
      <c r="BJ184" s="633">
        <v>0</v>
      </c>
      <c r="BK184" s="813">
        <v>0</v>
      </c>
    </row>
    <row r="185" spans="1:72" ht="15.75" customHeight="1" thickBot="1">
      <c r="A185" s="3"/>
      <c r="B185" s="718">
        <v>14</v>
      </c>
      <c r="N185" s="140">
        <v>10</v>
      </c>
      <c r="O185" s="141">
        <v>10</v>
      </c>
      <c r="P185" s="141">
        <v>10</v>
      </c>
      <c r="Q185" s="142">
        <v>10</v>
      </c>
      <c r="R185" s="141">
        <v>10</v>
      </c>
      <c r="S185" s="141">
        <v>10</v>
      </c>
      <c r="T185" s="143">
        <v>10</v>
      </c>
      <c r="U185" s="144">
        <v>9.6999999999999993</v>
      </c>
      <c r="V185" s="145">
        <v>9.6999999999999993</v>
      </c>
      <c r="W185" s="145">
        <v>9.6</v>
      </c>
      <c r="X185" s="145">
        <v>9.6</v>
      </c>
      <c r="Y185" s="141">
        <v>10</v>
      </c>
      <c r="Z185" s="146"/>
      <c r="AA185" s="147">
        <v>9.5</v>
      </c>
      <c r="AB185" s="148">
        <v>9.5</v>
      </c>
      <c r="AC185" s="149">
        <v>9.6999999999999993</v>
      </c>
      <c r="AD185" s="148">
        <v>9.5</v>
      </c>
      <c r="AE185" s="148">
        <v>9.5</v>
      </c>
      <c r="AF185" s="146">
        <v>9.5</v>
      </c>
      <c r="AG185" s="147">
        <v>9.5</v>
      </c>
      <c r="AH185" s="148">
        <v>9.5</v>
      </c>
      <c r="AI185" s="148">
        <v>9.5</v>
      </c>
      <c r="AJ185" s="148">
        <v>9.5</v>
      </c>
      <c r="AK185" s="148">
        <v>9.5</v>
      </c>
      <c r="AL185" s="146">
        <v>9</v>
      </c>
      <c r="AM185" s="147">
        <v>9</v>
      </c>
      <c r="AN185" s="148">
        <v>9</v>
      </c>
      <c r="AO185" s="150">
        <v>9</v>
      </c>
      <c r="AP185" s="148">
        <v>9</v>
      </c>
      <c r="AQ185" s="148">
        <v>9</v>
      </c>
      <c r="AR185" s="151">
        <v>9</v>
      </c>
      <c r="AS185" s="147">
        <v>10</v>
      </c>
      <c r="AT185" s="148">
        <v>9.3000000000000007</v>
      </c>
      <c r="AU185" s="148">
        <v>9.3000000000000007</v>
      </c>
      <c r="AV185" s="148">
        <v>10</v>
      </c>
      <c r="AW185" s="148">
        <v>9.6</v>
      </c>
      <c r="AX185" s="146">
        <v>10</v>
      </c>
      <c r="AY185" s="152">
        <v>10</v>
      </c>
      <c r="AZ185" s="153">
        <v>10</v>
      </c>
      <c r="BA185" s="145"/>
      <c r="BB185" s="145"/>
      <c r="BC185" s="154"/>
      <c r="BD185" s="155"/>
      <c r="BE185" s="147"/>
      <c r="BF185" s="817"/>
      <c r="BG185" s="148"/>
      <c r="BH185" s="148"/>
      <c r="BI185" s="156"/>
      <c r="BJ185" s="146"/>
      <c r="BK185" s="818"/>
    </row>
    <row r="186" spans="1:72" ht="15.75" customHeight="1" thickBot="1">
      <c r="A186" s="3"/>
      <c r="B186" s="718">
        <v>15</v>
      </c>
      <c r="C186" s="722">
        <v>43617</v>
      </c>
      <c r="D186" s="1802"/>
      <c r="E186" s="17" t="s">
        <v>333</v>
      </c>
      <c r="F186" s="58" t="s">
        <v>334</v>
      </c>
      <c r="G186" s="717" t="str">
        <f>IFERROR(VLOOKUP(D186,Tabla3[],5,FALSE),"")</f>
        <v/>
      </c>
      <c r="H186" s="38" t="str">
        <f t="shared" si="42"/>
        <v>H</v>
      </c>
      <c r="I186" s="38" t="str">
        <f t="shared" si="43"/>
        <v>84</v>
      </c>
      <c r="J186" s="38" t="str">
        <f t="shared" si="44"/>
        <v>06</v>
      </c>
      <c r="K186" s="808" t="str">
        <f t="shared" si="45"/>
        <v>15</v>
      </c>
      <c r="L186" s="784" t="s">
        <v>1195</v>
      </c>
      <c r="M186" s="10" t="s">
        <v>232</v>
      </c>
      <c r="N186" s="70">
        <v>10</v>
      </c>
      <c r="O186" s="71">
        <v>10</v>
      </c>
      <c r="P186" s="71">
        <v>10</v>
      </c>
      <c r="Q186" s="38">
        <v>10</v>
      </c>
      <c r="R186" s="71">
        <v>10</v>
      </c>
      <c r="S186" s="71">
        <v>10</v>
      </c>
      <c r="T186" s="72">
        <v>10</v>
      </c>
      <c r="U186" s="157">
        <v>10</v>
      </c>
      <c r="V186" s="38">
        <v>10</v>
      </c>
      <c r="W186" s="38">
        <v>10</v>
      </c>
      <c r="X186" s="38">
        <v>10</v>
      </c>
      <c r="Y186" s="74">
        <v>10</v>
      </c>
      <c r="Z186" s="75"/>
      <c r="AA186" s="76">
        <v>10</v>
      </c>
      <c r="AB186" s="41">
        <v>10</v>
      </c>
      <c r="AC186" s="158">
        <v>10</v>
      </c>
      <c r="AD186" s="41">
        <v>10</v>
      </c>
      <c r="AE186" s="41">
        <v>8.5</v>
      </c>
      <c r="AF186" s="79">
        <v>10</v>
      </c>
      <c r="AG186" s="76">
        <v>10</v>
      </c>
      <c r="AH186" s="41">
        <v>10</v>
      </c>
      <c r="AI186" s="50">
        <v>9</v>
      </c>
      <c r="AJ186" s="41">
        <v>10</v>
      </c>
      <c r="AK186" s="41">
        <v>8.5</v>
      </c>
      <c r="AL186" s="82">
        <v>9.5</v>
      </c>
      <c r="AM186" s="76">
        <v>9</v>
      </c>
      <c r="AN186" s="41">
        <v>9.1</v>
      </c>
      <c r="AO186" s="83">
        <v>9</v>
      </c>
      <c r="AP186" s="41">
        <v>9.4</v>
      </c>
      <c r="AQ186" s="41">
        <v>9.5</v>
      </c>
      <c r="AR186" s="82">
        <v>9</v>
      </c>
      <c r="AS186" s="76">
        <v>9.5</v>
      </c>
      <c r="AT186" s="41">
        <v>10</v>
      </c>
      <c r="AU186" s="41">
        <v>10</v>
      </c>
      <c r="AV186" s="41">
        <v>9.6</v>
      </c>
      <c r="AW186" s="41">
        <v>8.3000000000000007</v>
      </c>
      <c r="AX186" s="79">
        <v>9</v>
      </c>
      <c r="AY186" s="97">
        <v>10</v>
      </c>
      <c r="AZ186" s="85">
        <v>9.9</v>
      </c>
      <c r="BA186" s="52">
        <v>9</v>
      </c>
      <c r="BB186" s="52">
        <v>9</v>
      </c>
      <c r="BC186" s="86">
        <v>10</v>
      </c>
      <c r="BD186" s="41">
        <v>9</v>
      </c>
      <c r="BE186" s="87">
        <v>10</v>
      </c>
      <c r="BF186" s="87">
        <v>10</v>
      </c>
      <c r="BG186" s="41">
        <v>10</v>
      </c>
      <c r="BH186" s="41">
        <v>10</v>
      </c>
      <c r="BI186" s="811">
        <v>10</v>
      </c>
      <c r="BJ186" s="79">
        <v>9.3000000000000007</v>
      </c>
      <c r="BK186" s="810">
        <v>10</v>
      </c>
      <c r="BL186" s="2232" t="s">
        <v>310</v>
      </c>
      <c r="BO186" s="2"/>
      <c r="BP186" s="2"/>
      <c r="BQ186" s="2"/>
      <c r="BR186" s="2"/>
      <c r="BS186" s="2"/>
      <c r="BT186" s="2"/>
    </row>
    <row r="187" spans="1:72" ht="15.75" customHeight="1" thickBot="1">
      <c r="A187" s="36" t="s">
        <v>1709</v>
      </c>
      <c r="B187" s="718">
        <v>16</v>
      </c>
      <c r="C187" s="722">
        <v>43617</v>
      </c>
      <c r="D187" s="1804"/>
      <c r="E187" s="1930" t="s">
        <v>336</v>
      </c>
      <c r="F187" s="1931" t="s">
        <v>1708</v>
      </c>
      <c r="G187" s="717" t="str">
        <f>IFERROR(VLOOKUP(D187,Tabla3[],5,FALSE),"")</f>
        <v/>
      </c>
      <c r="H187" s="820" t="str">
        <f t="shared" si="42"/>
        <v>M</v>
      </c>
      <c r="I187" s="820" t="str">
        <f t="shared" si="43"/>
        <v>79</v>
      </c>
      <c r="J187" s="820" t="str">
        <f t="shared" si="44"/>
        <v>10</v>
      </c>
      <c r="K187" s="821" t="str">
        <f t="shared" si="45"/>
        <v>16</v>
      </c>
      <c r="L187" s="784" t="s">
        <v>1195</v>
      </c>
      <c r="M187" s="822" t="s">
        <v>232</v>
      </c>
      <c r="N187" s="823">
        <v>8</v>
      </c>
      <c r="O187" s="824">
        <v>8</v>
      </c>
      <c r="P187" s="825">
        <v>8</v>
      </c>
      <c r="Q187" s="820">
        <v>8</v>
      </c>
      <c r="R187" s="825">
        <v>9</v>
      </c>
      <c r="S187" s="826">
        <v>8</v>
      </c>
      <c r="T187" s="827">
        <v>8</v>
      </c>
      <c r="U187" s="828">
        <v>8</v>
      </c>
      <c r="V187" s="829">
        <v>9</v>
      </c>
      <c r="W187" s="820">
        <v>9</v>
      </c>
      <c r="X187" s="829">
        <v>9</v>
      </c>
      <c r="Y187" s="830">
        <v>9.5</v>
      </c>
      <c r="Z187" s="831"/>
      <c r="AA187" s="832">
        <v>9</v>
      </c>
      <c r="AB187" s="833">
        <v>9.5</v>
      </c>
      <c r="AC187" s="834">
        <v>8</v>
      </c>
      <c r="AD187" s="833">
        <v>8</v>
      </c>
      <c r="AE187" s="833">
        <v>8.5</v>
      </c>
      <c r="AF187" s="835">
        <v>7.5</v>
      </c>
      <c r="AG187" s="836">
        <v>9</v>
      </c>
      <c r="AH187" s="833">
        <v>9.1</v>
      </c>
      <c r="AI187" s="837">
        <v>9</v>
      </c>
      <c r="AJ187" s="833">
        <v>9.4</v>
      </c>
      <c r="AK187" s="833">
        <v>8.4</v>
      </c>
      <c r="AL187" s="838">
        <v>9</v>
      </c>
      <c r="AM187" s="832">
        <v>7.8</v>
      </c>
      <c r="AN187" s="833">
        <v>10</v>
      </c>
      <c r="AO187" s="839">
        <v>8</v>
      </c>
      <c r="AP187" s="833">
        <v>8.1999999999999993</v>
      </c>
      <c r="AQ187" s="840">
        <v>8</v>
      </c>
      <c r="AR187" s="835">
        <v>8.1</v>
      </c>
      <c r="AS187" s="832">
        <v>8</v>
      </c>
      <c r="AT187" s="833">
        <v>9.6</v>
      </c>
      <c r="AU187" s="833">
        <v>7.7</v>
      </c>
      <c r="AV187" s="833">
        <v>8.6999999999999993</v>
      </c>
      <c r="AW187" s="833">
        <v>8.6</v>
      </c>
      <c r="AX187" s="835">
        <v>9.6</v>
      </c>
      <c r="AY187" s="841">
        <v>9.4</v>
      </c>
      <c r="AZ187" s="842">
        <v>8.6999999999999993</v>
      </c>
      <c r="BA187" s="834">
        <v>8</v>
      </c>
      <c r="BB187" s="834">
        <v>7.5</v>
      </c>
      <c r="BC187" s="843">
        <v>7</v>
      </c>
      <c r="BD187" s="833">
        <v>7</v>
      </c>
      <c r="BE187" s="844">
        <v>3.6</v>
      </c>
      <c r="BF187" s="844">
        <v>0</v>
      </c>
      <c r="BG187" s="845">
        <v>9</v>
      </c>
      <c r="BH187" s="846">
        <v>0</v>
      </c>
      <c r="BI187" s="847">
        <v>8</v>
      </c>
      <c r="BJ187" s="848">
        <v>0</v>
      </c>
      <c r="BK187" s="849">
        <v>10</v>
      </c>
      <c r="BL187" s="2232" t="s">
        <v>298</v>
      </c>
      <c r="BN187" s="2"/>
      <c r="BO187" s="2"/>
      <c r="BP187" s="4136" t="s">
        <v>4407</v>
      </c>
      <c r="BQ187" s="4136"/>
      <c r="BR187" s="2"/>
      <c r="BS187" s="2"/>
      <c r="BT187" s="2"/>
    </row>
    <row r="188" spans="1:72" ht="15.75" customHeight="1">
      <c r="A188" s="3"/>
      <c r="M188" s="2"/>
      <c r="BR188" s="159"/>
    </row>
    <row r="189" spans="1:72" ht="15.75" customHeight="1"/>
    <row r="190" spans="1:72" ht="15.75" customHeight="1" thickBot="1">
      <c r="A190" s="3"/>
      <c r="M190" s="2"/>
    </row>
    <row r="191" spans="1:72" ht="15" customHeight="1" thickBot="1">
      <c r="A191" s="3"/>
      <c r="B191" s="4112" t="s">
        <v>5</v>
      </c>
      <c r="C191" s="645" t="s">
        <v>337</v>
      </c>
      <c r="D191" s="645"/>
      <c r="E191" s="4100" t="s">
        <v>6</v>
      </c>
      <c r="F191" s="4100" t="s">
        <v>7</v>
      </c>
      <c r="G191" s="4120" t="s">
        <v>8</v>
      </c>
      <c r="H191" s="4121" t="s">
        <v>9</v>
      </c>
      <c r="I191" s="4103" t="s">
        <v>10</v>
      </c>
      <c r="J191" s="4101"/>
      <c r="K191" s="4101"/>
      <c r="L191" s="978"/>
      <c r="M191" s="669"/>
      <c r="N191" s="4106" t="s">
        <v>11</v>
      </c>
      <c r="O191" s="4101"/>
      <c r="P191" s="4101"/>
      <c r="Q191" s="4122" t="s">
        <v>160</v>
      </c>
      <c r="R191" s="4101"/>
      <c r="S191" s="4101"/>
      <c r="T191" s="4107" t="s">
        <v>233</v>
      </c>
      <c r="U191" s="4101"/>
      <c r="V191" s="4101"/>
      <c r="W191" s="4101"/>
      <c r="X191" s="4101"/>
      <c r="Y191" s="4101"/>
      <c r="Z191" s="4108" t="s">
        <v>13</v>
      </c>
      <c r="AA191" s="4101"/>
      <c r="AB191" s="4101"/>
      <c r="AC191" s="4101"/>
      <c r="AD191" s="4101"/>
      <c r="AE191" s="4101"/>
      <c r="AF191" s="4113" t="s">
        <v>338</v>
      </c>
      <c r="AG191" s="4101"/>
      <c r="AH191" s="4101"/>
      <c r="AI191" s="4101"/>
      <c r="AJ191" s="4101"/>
      <c r="AK191" s="4101"/>
      <c r="AL191" s="4123" t="s">
        <v>339</v>
      </c>
      <c r="AM191" s="4101"/>
      <c r="AN191" s="4101"/>
      <c r="AO191" s="4101"/>
      <c r="AP191" s="4101"/>
      <c r="AQ191" s="4101"/>
      <c r="AR191" s="4117" t="s">
        <v>340</v>
      </c>
      <c r="AS191" s="4101"/>
      <c r="AT191" s="4101"/>
      <c r="AU191" s="4101"/>
      <c r="AV191" s="4101"/>
      <c r="AW191" s="4101"/>
      <c r="AX191" s="4118" t="s">
        <v>17</v>
      </c>
      <c r="AY191" s="4101"/>
      <c r="AZ191" s="4101"/>
      <c r="BA191" s="4101"/>
      <c r="BB191" s="4101"/>
      <c r="BC191" s="4101"/>
      <c r="BD191" s="657"/>
      <c r="BE191" s="4131" t="s">
        <v>18</v>
      </c>
      <c r="BF191" s="4101"/>
      <c r="BG191" s="4101"/>
      <c r="BH191" s="4101"/>
      <c r="BI191" s="4101"/>
      <c r="BJ191" s="4101"/>
      <c r="BK191" s="646" t="s">
        <v>19</v>
      </c>
    </row>
    <row r="192" spans="1:72" ht="55.35" customHeight="1" thickBot="1">
      <c r="A192" s="3"/>
      <c r="B192" s="4101"/>
      <c r="C192" s="645" t="s">
        <v>341</v>
      </c>
      <c r="D192" s="645"/>
      <c r="E192" s="4101"/>
      <c r="F192" s="4101"/>
      <c r="G192" s="4101"/>
      <c r="H192" s="4101"/>
      <c r="I192" s="4101"/>
      <c r="J192" s="4104"/>
      <c r="K192" s="4101"/>
      <c r="L192" s="978"/>
      <c r="M192" s="697" t="s">
        <v>1149</v>
      </c>
      <c r="N192" s="674"/>
      <c r="O192" s="683"/>
      <c r="P192" s="683"/>
      <c r="Q192" s="684"/>
      <c r="R192" s="683"/>
      <c r="S192" s="683"/>
      <c r="T192" s="674"/>
      <c r="U192" s="683"/>
      <c r="V192" s="683"/>
      <c r="W192" s="683"/>
      <c r="X192" s="683"/>
      <c r="Y192" s="683"/>
      <c r="Z192" s="675"/>
      <c r="AA192" s="683"/>
      <c r="AB192" s="683"/>
      <c r="AC192" s="683"/>
      <c r="AD192" s="683"/>
      <c r="AE192" s="683"/>
      <c r="AF192" s="675"/>
      <c r="AG192" s="683"/>
      <c r="AH192" s="654"/>
      <c r="AI192" s="654"/>
      <c r="AJ192" s="685" t="s">
        <v>342</v>
      </c>
      <c r="AK192" s="651" t="s">
        <v>343</v>
      </c>
      <c r="AL192" s="651" t="s">
        <v>344</v>
      </c>
      <c r="AM192" s="651" t="s">
        <v>345</v>
      </c>
      <c r="AN192" s="651" t="s">
        <v>343</v>
      </c>
      <c r="AO192" s="686" t="s">
        <v>346</v>
      </c>
      <c r="AP192" s="651" t="s">
        <v>347</v>
      </c>
      <c r="AQ192" s="687" t="s">
        <v>348</v>
      </c>
      <c r="AR192" s="651" t="s">
        <v>242</v>
      </c>
      <c r="AS192" s="651" t="s">
        <v>349</v>
      </c>
      <c r="AT192" s="651" t="s">
        <v>350</v>
      </c>
      <c r="AU192" s="651" t="s">
        <v>351</v>
      </c>
      <c r="AV192" s="651" t="s">
        <v>201</v>
      </c>
      <c r="AW192" s="651" t="s">
        <v>352</v>
      </c>
      <c r="AX192" s="688" t="s">
        <v>353</v>
      </c>
      <c r="AY192" s="687" t="s">
        <v>354</v>
      </c>
      <c r="AZ192" s="687" t="s">
        <v>355</v>
      </c>
      <c r="BA192" s="687" t="s">
        <v>356</v>
      </c>
      <c r="BB192" s="687" t="s">
        <v>357</v>
      </c>
      <c r="BC192" s="689" t="s">
        <v>358</v>
      </c>
      <c r="BD192" s="675"/>
      <c r="BE192" s="669"/>
      <c r="BF192" s="690" t="s">
        <v>359</v>
      </c>
      <c r="BG192" s="691" t="s">
        <v>360</v>
      </c>
      <c r="BH192" s="692" t="s">
        <v>361</v>
      </c>
      <c r="BI192" s="692" t="s">
        <v>362</v>
      </c>
      <c r="BJ192" s="654"/>
      <c r="BK192" s="646"/>
      <c r="BL192" s="2134"/>
      <c r="BM192" s="3"/>
      <c r="BN192" s="3"/>
      <c r="BO192" s="3"/>
      <c r="BP192" s="3"/>
      <c r="BQ192" s="3"/>
      <c r="BR192" s="3"/>
      <c r="BS192" s="3"/>
      <c r="BT192" s="3"/>
    </row>
    <row r="193" spans="1:63" ht="15.75" customHeight="1" thickBot="1">
      <c r="A193" s="667" t="s">
        <v>27</v>
      </c>
      <c r="B193" s="4101"/>
      <c r="C193" s="663" t="s">
        <v>28</v>
      </c>
      <c r="D193" s="663"/>
      <c r="E193" s="4101"/>
      <c r="F193" s="4101"/>
      <c r="G193" s="4101"/>
      <c r="H193" s="4101"/>
      <c r="I193" s="4101"/>
      <c r="J193" s="4101"/>
      <c r="K193" s="4101"/>
      <c r="L193" s="978"/>
      <c r="M193" s="669"/>
      <c r="N193" s="661" t="s">
        <v>29</v>
      </c>
      <c r="O193" s="661" t="s">
        <v>30</v>
      </c>
      <c r="P193" s="661" t="s">
        <v>31</v>
      </c>
      <c r="Q193" s="661" t="s">
        <v>32</v>
      </c>
      <c r="R193" s="661" t="s">
        <v>33</v>
      </c>
      <c r="S193" s="661" t="s">
        <v>34</v>
      </c>
      <c r="T193" s="661" t="s">
        <v>35</v>
      </c>
      <c r="U193" s="661" t="s">
        <v>36</v>
      </c>
      <c r="V193" s="661" t="s">
        <v>37</v>
      </c>
      <c r="W193" s="661" t="s">
        <v>38</v>
      </c>
      <c r="X193" s="661" t="s">
        <v>39</v>
      </c>
      <c r="Y193" s="661" t="s">
        <v>40</v>
      </c>
      <c r="Z193" s="661" t="s">
        <v>41</v>
      </c>
      <c r="AA193" s="661" t="s">
        <v>42</v>
      </c>
      <c r="AB193" s="661" t="s">
        <v>43</v>
      </c>
      <c r="AC193" s="661" t="s">
        <v>44</v>
      </c>
      <c r="AD193" s="661" t="s">
        <v>45</v>
      </c>
      <c r="AE193" s="661" t="s">
        <v>46</v>
      </c>
      <c r="AF193" s="662" t="s">
        <v>47</v>
      </c>
      <c r="AG193" s="662" t="s">
        <v>48</v>
      </c>
      <c r="AH193" s="662" t="s">
        <v>49</v>
      </c>
      <c r="AI193" s="662" t="s">
        <v>50</v>
      </c>
      <c r="AJ193" s="662" t="s">
        <v>51</v>
      </c>
      <c r="AK193" s="662" t="s">
        <v>52</v>
      </c>
      <c r="AL193" s="662" t="s">
        <v>53</v>
      </c>
      <c r="AM193" s="662" t="s">
        <v>54</v>
      </c>
      <c r="AN193" s="662" t="s">
        <v>55</v>
      </c>
      <c r="AO193" s="662" t="s">
        <v>56</v>
      </c>
      <c r="AP193" s="662" t="s">
        <v>57</v>
      </c>
      <c r="AQ193" s="662" t="s">
        <v>58</v>
      </c>
      <c r="AR193" s="662" t="s">
        <v>59</v>
      </c>
      <c r="AS193" s="662" t="s">
        <v>60</v>
      </c>
      <c r="AT193" s="662" t="s">
        <v>61</v>
      </c>
      <c r="AU193" s="662" t="s">
        <v>62</v>
      </c>
      <c r="AV193" s="662" t="s">
        <v>63</v>
      </c>
      <c r="AW193" s="662" t="s">
        <v>64</v>
      </c>
      <c r="AX193" s="662" t="s">
        <v>65</v>
      </c>
      <c r="AY193" s="662" t="s">
        <v>66</v>
      </c>
      <c r="AZ193" s="662" t="s">
        <v>67</v>
      </c>
      <c r="BA193" s="662" t="s">
        <v>68</v>
      </c>
      <c r="BB193" s="662" t="s">
        <v>69</v>
      </c>
      <c r="BC193" s="662" t="s">
        <v>70</v>
      </c>
      <c r="BD193" s="662" t="s">
        <v>173</v>
      </c>
      <c r="BE193" s="693" t="s">
        <v>46</v>
      </c>
      <c r="BF193" s="662" t="s">
        <v>71</v>
      </c>
      <c r="BG193" s="662" t="s">
        <v>72</v>
      </c>
      <c r="BH193" s="662" t="s">
        <v>73</v>
      </c>
      <c r="BI193" s="662" t="s">
        <v>74</v>
      </c>
      <c r="BJ193" s="662" t="s">
        <v>173</v>
      </c>
      <c r="BK193" s="662" t="s">
        <v>76</v>
      </c>
    </row>
    <row r="194" spans="1:63" ht="55.35" customHeight="1" thickBot="1">
      <c r="A194" s="645" t="s">
        <v>337</v>
      </c>
      <c r="B194" s="4101"/>
      <c r="C194" s="663" t="s">
        <v>263</v>
      </c>
      <c r="D194" s="663"/>
      <c r="E194" s="4101"/>
      <c r="F194" s="4101"/>
      <c r="G194" s="699" t="s">
        <v>78</v>
      </c>
      <c r="H194" s="4101"/>
      <c r="I194" s="664" t="s">
        <v>79</v>
      </c>
      <c r="J194" s="664" t="s">
        <v>80</v>
      </c>
      <c r="K194" s="664" t="s">
        <v>81</v>
      </c>
      <c r="L194" s="1064" t="s">
        <v>1759</v>
      </c>
      <c r="M194" s="665" t="s">
        <v>27</v>
      </c>
      <c r="N194" s="694" t="s">
        <v>82</v>
      </c>
      <c r="O194" s="694" t="s">
        <v>83</v>
      </c>
      <c r="P194" s="694" t="s">
        <v>363</v>
      </c>
      <c r="Q194" s="694" t="s">
        <v>364</v>
      </c>
      <c r="R194" s="694" t="s">
        <v>86</v>
      </c>
      <c r="S194" s="694" t="s">
        <v>365</v>
      </c>
      <c r="T194" s="694" t="s">
        <v>270</v>
      </c>
      <c r="U194" s="694" t="s">
        <v>366</v>
      </c>
      <c r="V194" s="694" t="s">
        <v>367</v>
      </c>
      <c r="W194" s="694" t="s">
        <v>91</v>
      </c>
      <c r="X194" s="694" t="s">
        <v>92</v>
      </c>
      <c r="Y194" s="694" t="s">
        <v>368</v>
      </c>
      <c r="Z194" s="694" t="s">
        <v>94</v>
      </c>
      <c r="AA194" s="694" t="s">
        <v>369</v>
      </c>
      <c r="AB194" s="694" t="s">
        <v>95</v>
      </c>
      <c r="AC194" s="694" t="s">
        <v>275</v>
      </c>
      <c r="AD194" s="694" t="s">
        <v>370</v>
      </c>
      <c r="AE194" s="694" t="s">
        <v>371</v>
      </c>
      <c r="AF194" s="694" t="s">
        <v>278</v>
      </c>
      <c r="AG194" s="695" t="s">
        <v>372</v>
      </c>
      <c r="AH194" s="694" t="s">
        <v>104</v>
      </c>
      <c r="AI194" s="694" t="s">
        <v>105</v>
      </c>
      <c r="AJ194" s="695" t="s">
        <v>101</v>
      </c>
      <c r="AK194" s="695" t="s">
        <v>102</v>
      </c>
      <c r="AL194" s="694" t="s">
        <v>106</v>
      </c>
      <c r="AM194" s="694" t="s">
        <v>107</v>
      </c>
      <c r="AN194" s="694" t="s">
        <v>281</v>
      </c>
      <c r="AO194" s="694" t="s">
        <v>109</v>
      </c>
      <c r="AP194" s="694" t="s">
        <v>373</v>
      </c>
      <c r="AQ194" s="666" t="s">
        <v>374</v>
      </c>
      <c r="AR194" s="666" t="s">
        <v>112</v>
      </c>
      <c r="AS194" s="666" t="s">
        <v>375</v>
      </c>
      <c r="AT194" s="666" t="s">
        <v>114</v>
      </c>
      <c r="AU194" s="666" t="s">
        <v>122</v>
      </c>
      <c r="AV194" s="666" t="s">
        <v>376</v>
      </c>
      <c r="AW194" s="666" t="s">
        <v>117</v>
      </c>
      <c r="AX194" s="666" t="s">
        <v>118</v>
      </c>
      <c r="AY194" s="666" t="s">
        <v>119</v>
      </c>
      <c r="AZ194" s="666" t="s">
        <v>120</v>
      </c>
      <c r="BA194" s="666" t="s">
        <v>122</v>
      </c>
      <c r="BB194" s="666" t="s">
        <v>123</v>
      </c>
      <c r="BC194" s="666" t="s">
        <v>124</v>
      </c>
      <c r="BD194" s="666" t="s">
        <v>173</v>
      </c>
      <c r="BE194" s="696" t="s">
        <v>99</v>
      </c>
      <c r="BF194" s="666" t="s">
        <v>125</v>
      </c>
      <c r="BG194" s="666" t="s">
        <v>291</v>
      </c>
      <c r="BH194" s="666" t="s">
        <v>127</v>
      </c>
      <c r="BI194" s="666" t="s">
        <v>128</v>
      </c>
      <c r="BJ194" s="666"/>
      <c r="BK194" s="666" t="s">
        <v>130</v>
      </c>
    </row>
    <row r="195" spans="1:63" ht="15.75" customHeight="1" thickBot="1">
      <c r="A195" s="3"/>
      <c r="B195" s="850">
        <v>1</v>
      </c>
      <c r="C195" s="722">
        <v>43709</v>
      </c>
      <c r="D195" s="1803"/>
      <c r="E195" s="703" t="s">
        <v>377</v>
      </c>
      <c r="F195" s="781" t="s">
        <v>378</v>
      </c>
      <c r="G195" s="1817" t="str">
        <f>IFERROR(VLOOKUP(D195,Tabla3[],5,FALSE),"")</f>
        <v/>
      </c>
      <c r="H195" s="783" t="str">
        <f t="shared" ref="H195:H204" si="46">MID(E195,11,1)</f>
        <v>H</v>
      </c>
      <c r="I195" s="783" t="str">
        <f t="shared" ref="I195:I204" si="47">MID(E195,5,2)</f>
        <v>87</v>
      </c>
      <c r="J195" s="783" t="str">
        <f t="shared" ref="J195:J204" si="48">MID(E195,7,2)</f>
        <v>12</v>
      </c>
      <c r="K195" s="784" t="str">
        <f t="shared" ref="K195:K204" si="49">MID(E195,9,2)</f>
        <v>20</v>
      </c>
      <c r="L195" s="784" t="s">
        <v>1761</v>
      </c>
      <c r="M195" s="785" t="s">
        <v>337</v>
      </c>
      <c r="N195" s="786">
        <v>9</v>
      </c>
      <c r="O195" s="787">
        <v>8.5</v>
      </c>
      <c r="P195" s="787">
        <v>10</v>
      </c>
      <c r="Q195" s="787">
        <v>9.3000000000000007</v>
      </c>
      <c r="R195" s="851">
        <v>9</v>
      </c>
      <c r="S195" s="852">
        <v>10</v>
      </c>
      <c r="T195" s="853">
        <v>10</v>
      </c>
      <c r="U195" s="851">
        <v>8</v>
      </c>
      <c r="V195" s="794">
        <v>10</v>
      </c>
      <c r="W195" s="854">
        <v>9</v>
      </c>
      <c r="X195" s="854">
        <v>9</v>
      </c>
      <c r="Y195" s="855">
        <v>9.3999999999999986</v>
      </c>
      <c r="Z195" s="856">
        <v>10</v>
      </c>
      <c r="AA195" s="790">
        <v>10</v>
      </c>
      <c r="AB195" s="790">
        <f t="shared" ref="AB195:AB204" si="50">AVERAGE(Z195,AA195,AC195,AD195,AE195)</f>
        <v>9.5</v>
      </c>
      <c r="AC195" s="790">
        <v>9</v>
      </c>
      <c r="AD195" s="790">
        <v>9</v>
      </c>
      <c r="AE195" s="857">
        <v>9.5</v>
      </c>
      <c r="AF195" s="856">
        <v>9.6999999999999993</v>
      </c>
      <c r="AG195" s="790">
        <v>10</v>
      </c>
      <c r="AH195" s="790">
        <v>10</v>
      </c>
      <c r="AI195" s="790">
        <v>10</v>
      </c>
      <c r="AJ195" s="790">
        <v>10</v>
      </c>
      <c r="AK195" s="857">
        <v>9.6</v>
      </c>
      <c r="AL195" s="858">
        <v>8</v>
      </c>
      <c r="AM195" s="859">
        <v>9</v>
      </c>
      <c r="AN195" s="860">
        <v>10</v>
      </c>
      <c r="AO195" s="860">
        <v>9.4</v>
      </c>
      <c r="AP195" s="790">
        <v>9.6</v>
      </c>
      <c r="AQ195" s="705">
        <v>10</v>
      </c>
      <c r="AR195" s="792">
        <v>9.3000000000000007</v>
      </c>
      <c r="AS195" s="793">
        <v>8.6999999999999993</v>
      </c>
      <c r="AT195" s="793">
        <v>8.6999999999999993</v>
      </c>
      <c r="AU195" s="793">
        <v>9.9</v>
      </c>
      <c r="AV195" s="793">
        <v>9.9</v>
      </c>
      <c r="AW195" s="793">
        <v>9.9</v>
      </c>
      <c r="AX195" s="861">
        <v>8.9</v>
      </c>
      <c r="AY195" s="793">
        <v>9.9</v>
      </c>
      <c r="AZ195" s="862">
        <v>10</v>
      </c>
      <c r="BA195" s="793">
        <v>10</v>
      </c>
      <c r="BB195" s="806">
        <v>9.8000000000000007</v>
      </c>
      <c r="BC195" s="806">
        <v>10</v>
      </c>
      <c r="BD195" s="793"/>
      <c r="BE195" s="793"/>
      <c r="BF195" s="805"/>
      <c r="BG195" s="793"/>
      <c r="BH195" s="793"/>
      <c r="BI195" s="806"/>
      <c r="BJ195" s="795"/>
      <c r="BK195" s="807"/>
    </row>
    <row r="196" spans="1:63" ht="15.75" customHeight="1" thickBot="1">
      <c r="A196" s="3"/>
      <c r="B196" s="863">
        <v>2</v>
      </c>
      <c r="C196" s="722">
        <v>43709</v>
      </c>
      <c r="D196" s="1802"/>
      <c r="E196" s="17" t="s">
        <v>380</v>
      </c>
      <c r="F196" s="58" t="s">
        <v>381</v>
      </c>
      <c r="G196" s="1817" t="str">
        <f>IFERROR(VLOOKUP(D187,Tabla3[],5,FALSE),"")</f>
        <v/>
      </c>
      <c r="H196" s="38" t="str">
        <f t="shared" si="46"/>
        <v>H</v>
      </c>
      <c r="I196" s="38" t="str">
        <f t="shared" si="47"/>
        <v>91</v>
      </c>
      <c r="J196" s="38" t="str">
        <f t="shared" si="48"/>
        <v>11</v>
      </c>
      <c r="K196" s="808" t="str">
        <f t="shared" si="49"/>
        <v>07</v>
      </c>
      <c r="L196" s="1062"/>
      <c r="M196" s="10" t="s">
        <v>337</v>
      </c>
      <c r="N196" s="70">
        <v>9</v>
      </c>
      <c r="O196" s="71">
        <v>8</v>
      </c>
      <c r="P196" s="71">
        <v>10</v>
      </c>
      <c r="Q196" s="71">
        <v>8.6</v>
      </c>
      <c r="R196" s="77">
        <v>9</v>
      </c>
      <c r="S196" s="160">
        <v>7</v>
      </c>
      <c r="T196" s="161">
        <v>10</v>
      </c>
      <c r="U196" s="77">
        <v>9</v>
      </c>
      <c r="V196" s="90">
        <v>9</v>
      </c>
      <c r="W196" s="162">
        <v>9</v>
      </c>
      <c r="X196" s="162">
        <v>9</v>
      </c>
      <c r="Y196" s="163">
        <v>9.3999999999999986</v>
      </c>
      <c r="Z196" s="164">
        <v>10</v>
      </c>
      <c r="AA196" s="74">
        <v>10</v>
      </c>
      <c r="AB196" s="165">
        <f t="shared" si="50"/>
        <v>9.48</v>
      </c>
      <c r="AC196" s="74">
        <v>9</v>
      </c>
      <c r="AD196" s="74">
        <v>9</v>
      </c>
      <c r="AE196" s="166">
        <v>9.4</v>
      </c>
      <c r="AF196" s="164">
        <v>9.8000000000000007</v>
      </c>
      <c r="AG196" s="165">
        <v>9</v>
      </c>
      <c r="AH196" s="165">
        <v>9</v>
      </c>
      <c r="AI196" s="74">
        <v>10</v>
      </c>
      <c r="AJ196" s="74">
        <v>9.6999999999999993</v>
      </c>
      <c r="AK196" s="166">
        <v>9.5</v>
      </c>
      <c r="AL196" s="167">
        <v>7</v>
      </c>
      <c r="AM196" s="165">
        <v>9</v>
      </c>
      <c r="AN196" s="168">
        <v>9.9</v>
      </c>
      <c r="AO196" s="168">
        <v>9.6999999999999993</v>
      </c>
      <c r="AP196" s="74">
        <v>8.8000000000000007</v>
      </c>
      <c r="AQ196" s="169">
        <v>8.8000000000000007</v>
      </c>
      <c r="AR196" s="76">
        <v>9</v>
      </c>
      <c r="AS196" s="41">
        <v>8.6999999999999993</v>
      </c>
      <c r="AT196" s="41">
        <v>9.3000000000000007</v>
      </c>
      <c r="AU196" s="41">
        <v>10</v>
      </c>
      <c r="AV196" s="41">
        <v>10</v>
      </c>
      <c r="AW196" s="41">
        <v>10</v>
      </c>
      <c r="AX196" s="170">
        <v>9.1999999999999993</v>
      </c>
      <c r="AY196" s="41">
        <v>10</v>
      </c>
      <c r="AZ196" s="629">
        <v>7.5</v>
      </c>
      <c r="BA196" s="41">
        <v>10</v>
      </c>
      <c r="BB196" s="811">
        <v>9.8000000000000007</v>
      </c>
      <c r="BC196" s="811">
        <v>9.6999999999999993</v>
      </c>
      <c r="BD196" s="41"/>
      <c r="BE196" s="41"/>
      <c r="BF196" s="87"/>
      <c r="BG196" s="41"/>
      <c r="BH196" s="41"/>
      <c r="BI196" s="811"/>
      <c r="BJ196" s="79"/>
      <c r="BK196" s="810"/>
    </row>
    <row r="197" spans="1:63" ht="15.75" customHeight="1" thickBot="1">
      <c r="A197" s="3"/>
      <c r="B197" s="864">
        <v>3</v>
      </c>
      <c r="C197" s="722">
        <v>43709</v>
      </c>
      <c r="D197" s="1802"/>
      <c r="E197" s="17" t="s">
        <v>1829</v>
      </c>
      <c r="F197" s="171" t="s">
        <v>383</v>
      </c>
      <c r="G197" s="1817" t="str">
        <f>IFERROR(VLOOKUP(D188,Tabla3[],5,FALSE),"")</f>
        <v/>
      </c>
      <c r="H197" s="38" t="str">
        <f t="shared" si="46"/>
        <v>H</v>
      </c>
      <c r="I197" s="38" t="str">
        <f t="shared" si="47"/>
        <v>90</v>
      </c>
      <c r="J197" s="38" t="str">
        <f t="shared" si="48"/>
        <v>02</v>
      </c>
      <c r="K197" s="808" t="str">
        <f t="shared" si="49"/>
        <v>25</v>
      </c>
      <c r="L197" s="1062"/>
      <c r="M197" s="10" t="s">
        <v>337</v>
      </c>
      <c r="N197" s="70">
        <v>8</v>
      </c>
      <c r="O197" s="71">
        <v>8.5</v>
      </c>
      <c r="P197" s="71">
        <v>10</v>
      </c>
      <c r="Q197" s="71">
        <v>8.6</v>
      </c>
      <c r="R197" s="38">
        <v>9.5</v>
      </c>
      <c r="S197" s="102">
        <v>7</v>
      </c>
      <c r="T197" s="161">
        <v>10</v>
      </c>
      <c r="U197" s="77">
        <v>8</v>
      </c>
      <c r="V197" s="90">
        <v>10</v>
      </c>
      <c r="W197" s="162">
        <v>9</v>
      </c>
      <c r="X197" s="162">
        <v>9</v>
      </c>
      <c r="Y197" s="163">
        <v>9.3999999999999986</v>
      </c>
      <c r="Z197" s="164">
        <v>10</v>
      </c>
      <c r="AA197" s="74">
        <v>10</v>
      </c>
      <c r="AB197" s="74">
        <f t="shared" si="50"/>
        <v>9.5</v>
      </c>
      <c r="AC197" s="74">
        <v>9</v>
      </c>
      <c r="AD197" s="74">
        <v>9</v>
      </c>
      <c r="AE197" s="166">
        <v>9.5</v>
      </c>
      <c r="AF197" s="164">
        <v>9.6999999999999993</v>
      </c>
      <c r="AG197" s="165">
        <v>8</v>
      </c>
      <c r="AH197" s="165">
        <v>8</v>
      </c>
      <c r="AI197" s="74">
        <v>9</v>
      </c>
      <c r="AJ197" s="74">
        <v>10</v>
      </c>
      <c r="AK197" s="166">
        <v>9.5</v>
      </c>
      <c r="AL197" s="167">
        <v>7</v>
      </c>
      <c r="AM197" s="165">
        <v>9</v>
      </c>
      <c r="AN197" s="168">
        <v>9.5</v>
      </c>
      <c r="AO197" s="168">
        <v>9.6999999999999993</v>
      </c>
      <c r="AP197" s="74">
        <v>9.1999999999999993</v>
      </c>
      <c r="AQ197" s="169">
        <v>9.3000000000000007</v>
      </c>
      <c r="AR197" s="76">
        <v>9.3000000000000007</v>
      </c>
      <c r="AS197" s="41">
        <v>8.9</v>
      </c>
      <c r="AT197" s="41">
        <v>8</v>
      </c>
      <c r="AU197" s="41">
        <v>10</v>
      </c>
      <c r="AV197" s="41">
        <v>10</v>
      </c>
      <c r="AW197" s="41">
        <v>10</v>
      </c>
      <c r="AX197" s="170">
        <v>8.6</v>
      </c>
      <c r="AY197" s="41">
        <v>9.8000000000000007</v>
      </c>
      <c r="AZ197" s="629">
        <v>7.5</v>
      </c>
      <c r="BA197" s="41">
        <v>9.9</v>
      </c>
      <c r="BB197" s="811">
        <v>9.8000000000000007</v>
      </c>
      <c r="BC197" s="811">
        <v>9.6999999999999993</v>
      </c>
      <c r="BD197" s="41"/>
      <c r="BE197" s="41"/>
      <c r="BF197" s="87"/>
      <c r="BG197" s="41"/>
      <c r="BH197" s="41"/>
      <c r="BI197" s="811"/>
      <c r="BJ197" s="79"/>
      <c r="BK197" s="810"/>
    </row>
    <row r="198" spans="1:63" ht="15.75" customHeight="1" thickBot="1">
      <c r="A198" s="3"/>
      <c r="B198" s="863">
        <v>4</v>
      </c>
      <c r="C198" s="722">
        <v>43709</v>
      </c>
      <c r="D198" s="1802"/>
      <c r="E198" s="17" t="s">
        <v>385</v>
      </c>
      <c r="F198" s="171" t="s">
        <v>386</v>
      </c>
      <c r="G198" s="1817" t="str">
        <f>IFERROR(VLOOKUP(D189,Tabla3[],5,FALSE),"")</f>
        <v/>
      </c>
      <c r="H198" s="38" t="str">
        <f t="shared" si="46"/>
        <v>M</v>
      </c>
      <c r="I198" s="38" t="str">
        <f t="shared" si="47"/>
        <v>89</v>
      </c>
      <c r="J198" s="38" t="str">
        <f t="shared" si="48"/>
        <v>04</v>
      </c>
      <c r="K198" s="808" t="str">
        <f t="shared" si="49"/>
        <v>28</v>
      </c>
      <c r="L198" s="1062"/>
      <c r="M198" s="10" t="s">
        <v>337</v>
      </c>
      <c r="N198" s="70">
        <v>10</v>
      </c>
      <c r="O198" s="93">
        <v>7</v>
      </c>
      <c r="P198" s="71">
        <v>10</v>
      </c>
      <c r="Q198" s="93">
        <v>9.1999999999999993</v>
      </c>
      <c r="R198" s="38">
        <v>9.5</v>
      </c>
      <c r="S198" s="172">
        <v>9.4</v>
      </c>
      <c r="T198" s="161">
        <v>10</v>
      </c>
      <c r="U198" s="77">
        <v>8</v>
      </c>
      <c r="V198" s="90">
        <v>9.5</v>
      </c>
      <c r="W198" s="162">
        <v>9</v>
      </c>
      <c r="X198" s="162">
        <v>9</v>
      </c>
      <c r="Y198" s="163">
        <v>9.3999999999999986</v>
      </c>
      <c r="Z198" s="164">
        <v>10</v>
      </c>
      <c r="AA198" s="74">
        <v>10</v>
      </c>
      <c r="AB198" s="165">
        <f t="shared" si="50"/>
        <v>9.4599999999999991</v>
      </c>
      <c r="AC198" s="74">
        <v>9</v>
      </c>
      <c r="AD198" s="74">
        <v>9</v>
      </c>
      <c r="AE198" s="166">
        <v>9.3000000000000007</v>
      </c>
      <c r="AF198" s="164">
        <v>9.6999999999999993</v>
      </c>
      <c r="AG198" s="165">
        <v>8</v>
      </c>
      <c r="AH198" s="165">
        <v>8</v>
      </c>
      <c r="AI198" s="74">
        <v>10</v>
      </c>
      <c r="AJ198" s="74">
        <v>10</v>
      </c>
      <c r="AK198" s="166">
        <v>8.5</v>
      </c>
      <c r="AL198" s="167">
        <v>7</v>
      </c>
      <c r="AM198" s="74">
        <v>8.5</v>
      </c>
      <c r="AN198" s="168">
        <v>10</v>
      </c>
      <c r="AO198" s="168">
        <v>9.6999999999999993</v>
      </c>
      <c r="AP198" s="74">
        <v>9.3000000000000007</v>
      </c>
      <c r="AQ198" s="169">
        <v>8.8000000000000007</v>
      </c>
      <c r="AR198" s="76">
        <v>7.8</v>
      </c>
      <c r="AS198" s="41">
        <v>8.9</v>
      </c>
      <c r="AT198" s="41">
        <v>8.5</v>
      </c>
      <c r="AU198" s="41">
        <v>10</v>
      </c>
      <c r="AV198" s="41">
        <v>10</v>
      </c>
      <c r="AW198" s="41">
        <v>10</v>
      </c>
      <c r="AX198" s="170">
        <v>8.4499999999999993</v>
      </c>
      <c r="AY198" s="41">
        <v>9</v>
      </c>
      <c r="AZ198" s="629">
        <v>9</v>
      </c>
      <c r="BA198" s="41">
        <v>10</v>
      </c>
      <c r="BB198" s="811">
        <v>9.9</v>
      </c>
      <c r="BC198" s="811">
        <v>10</v>
      </c>
      <c r="BD198" s="41"/>
      <c r="BE198" s="41"/>
      <c r="BF198" s="87"/>
      <c r="BG198" s="41"/>
      <c r="BH198" s="41"/>
      <c r="BI198" s="811"/>
      <c r="BJ198" s="79"/>
      <c r="BK198" s="810"/>
    </row>
    <row r="199" spans="1:63" ht="15.75" customHeight="1" thickBot="1">
      <c r="A199" s="3"/>
      <c r="B199" s="864">
        <v>5</v>
      </c>
      <c r="C199" s="722">
        <v>43709</v>
      </c>
      <c r="D199" s="1802"/>
      <c r="E199" s="17" t="s">
        <v>388</v>
      </c>
      <c r="F199" s="171" t="s">
        <v>389</v>
      </c>
      <c r="G199" s="1817" t="str">
        <f>IFERROR(VLOOKUP(D190,Tabla3[],5,FALSE),"")</f>
        <v/>
      </c>
      <c r="H199" s="38" t="str">
        <f t="shared" si="46"/>
        <v>M</v>
      </c>
      <c r="I199" s="38" t="str">
        <f t="shared" si="47"/>
        <v>82</v>
      </c>
      <c r="J199" s="38" t="str">
        <f t="shared" si="48"/>
        <v>05</v>
      </c>
      <c r="K199" s="808" t="str">
        <f t="shared" si="49"/>
        <v>09</v>
      </c>
      <c r="L199" s="1062"/>
      <c r="M199" s="10" t="s">
        <v>337</v>
      </c>
      <c r="N199" s="103">
        <v>8</v>
      </c>
      <c r="O199" s="38">
        <v>7.9</v>
      </c>
      <c r="P199" s="38">
        <v>10</v>
      </c>
      <c r="Q199" s="71">
        <v>8.8000000000000007</v>
      </c>
      <c r="R199" s="38">
        <v>8.5</v>
      </c>
      <c r="S199" s="105">
        <v>10</v>
      </c>
      <c r="T199" s="161">
        <v>10</v>
      </c>
      <c r="U199" s="77">
        <v>8</v>
      </c>
      <c r="V199" s="90">
        <v>9</v>
      </c>
      <c r="W199" s="162">
        <v>9</v>
      </c>
      <c r="X199" s="162">
        <v>9</v>
      </c>
      <c r="Y199" s="163">
        <v>9.3999999999999986</v>
      </c>
      <c r="Z199" s="164">
        <v>10</v>
      </c>
      <c r="AA199" s="74">
        <v>10</v>
      </c>
      <c r="AB199" s="165">
        <f t="shared" si="50"/>
        <v>9.4599999999999991</v>
      </c>
      <c r="AC199" s="74">
        <v>9</v>
      </c>
      <c r="AD199" s="74">
        <v>9</v>
      </c>
      <c r="AE199" s="166">
        <v>9.3000000000000007</v>
      </c>
      <c r="AF199" s="164">
        <v>9.6999999999999993</v>
      </c>
      <c r="AG199" s="165">
        <v>9</v>
      </c>
      <c r="AH199" s="165">
        <v>9</v>
      </c>
      <c r="AI199" s="74">
        <v>9</v>
      </c>
      <c r="AJ199" s="74">
        <v>10</v>
      </c>
      <c r="AK199" s="166">
        <v>9</v>
      </c>
      <c r="AL199" s="167">
        <v>7</v>
      </c>
      <c r="AM199" s="74">
        <v>8.5</v>
      </c>
      <c r="AN199" s="168">
        <v>9.8000000000000007</v>
      </c>
      <c r="AO199" s="168">
        <v>8.1999999999999993</v>
      </c>
      <c r="AP199" s="173" t="s">
        <v>135</v>
      </c>
      <c r="AQ199" s="169">
        <v>9</v>
      </c>
      <c r="AR199" s="76">
        <v>9</v>
      </c>
      <c r="AS199" s="41">
        <v>8.6999999999999993</v>
      </c>
      <c r="AT199" s="41">
        <v>9</v>
      </c>
      <c r="AU199" s="41">
        <v>9.6</v>
      </c>
      <c r="AV199" s="41">
        <v>9.6</v>
      </c>
      <c r="AW199" s="41">
        <v>9.6</v>
      </c>
      <c r="AX199" s="170">
        <v>8.9</v>
      </c>
      <c r="AY199" s="41">
        <v>9.4</v>
      </c>
      <c r="AZ199" s="629">
        <v>7.5</v>
      </c>
      <c r="BA199" s="41">
        <v>9.9</v>
      </c>
      <c r="BB199" s="811">
        <v>9.9</v>
      </c>
      <c r="BC199" s="811">
        <v>9.6999999999999993</v>
      </c>
      <c r="BD199" s="41"/>
      <c r="BE199" s="41"/>
      <c r="BF199" s="87"/>
      <c r="BG199" s="87"/>
      <c r="BH199" s="41"/>
      <c r="BI199" s="811"/>
      <c r="BJ199" s="79"/>
      <c r="BK199" s="810"/>
    </row>
    <row r="200" spans="1:63" ht="15.75" customHeight="1" thickBot="1">
      <c r="A200" s="3"/>
      <c r="B200" s="863">
        <v>6</v>
      </c>
      <c r="C200" s="722">
        <v>43709</v>
      </c>
      <c r="D200" s="1802"/>
      <c r="E200" s="17" t="s">
        <v>391</v>
      </c>
      <c r="F200" s="171" t="s">
        <v>392</v>
      </c>
      <c r="G200" s="1817" t="str">
        <f>IFERROR(VLOOKUP(D191,Tabla3[],5,FALSE),"")</f>
        <v/>
      </c>
      <c r="H200" s="38" t="str">
        <f t="shared" si="46"/>
        <v>H</v>
      </c>
      <c r="I200" s="38" t="str">
        <f t="shared" si="47"/>
        <v>81</v>
      </c>
      <c r="J200" s="38" t="str">
        <f t="shared" si="48"/>
        <v>12</v>
      </c>
      <c r="K200" s="808" t="str">
        <f t="shared" si="49"/>
        <v>19</v>
      </c>
      <c r="L200" s="1062"/>
      <c r="M200" s="10" t="s">
        <v>337</v>
      </c>
      <c r="N200" s="103">
        <v>9</v>
      </c>
      <c r="O200" s="38">
        <v>10</v>
      </c>
      <c r="P200" s="38">
        <v>10</v>
      </c>
      <c r="Q200" s="71">
        <v>9.6999999999999993</v>
      </c>
      <c r="R200" s="38">
        <v>9.5</v>
      </c>
      <c r="S200" s="105">
        <v>10</v>
      </c>
      <c r="T200" s="161">
        <v>10</v>
      </c>
      <c r="U200" s="77">
        <v>9</v>
      </c>
      <c r="V200" s="90">
        <v>10</v>
      </c>
      <c r="W200" s="162">
        <v>9</v>
      </c>
      <c r="X200" s="162">
        <v>9</v>
      </c>
      <c r="Y200" s="163">
        <v>9.6999999999999993</v>
      </c>
      <c r="Z200" s="164">
        <v>10</v>
      </c>
      <c r="AA200" s="74">
        <v>10</v>
      </c>
      <c r="AB200" s="165">
        <f t="shared" si="50"/>
        <v>9.52</v>
      </c>
      <c r="AC200" s="74">
        <v>9</v>
      </c>
      <c r="AD200" s="74">
        <v>9</v>
      </c>
      <c r="AE200" s="166">
        <v>9.6</v>
      </c>
      <c r="AF200" s="164">
        <v>10</v>
      </c>
      <c r="AG200" s="165">
        <v>8</v>
      </c>
      <c r="AH200" s="165">
        <v>8</v>
      </c>
      <c r="AI200" s="74">
        <v>10</v>
      </c>
      <c r="AJ200" s="74">
        <v>10</v>
      </c>
      <c r="AK200" s="166">
        <v>8.1</v>
      </c>
      <c r="AL200" s="167">
        <v>8</v>
      </c>
      <c r="AM200" s="74">
        <v>8.5</v>
      </c>
      <c r="AN200" s="168">
        <v>9.8000000000000007</v>
      </c>
      <c r="AO200" s="168">
        <v>9.6999999999999993</v>
      </c>
      <c r="AP200" s="74">
        <v>9.6</v>
      </c>
      <c r="AQ200" s="169">
        <v>10</v>
      </c>
      <c r="AR200" s="76">
        <v>9.3000000000000007</v>
      </c>
      <c r="AS200" s="41">
        <v>8.6999999999999993</v>
      </c>
      <c r="AT200" s="41">
        <v>8.3000000000000007</v>
      </c>
      <c r="AU200" s="41">
        <v>9.6</v>
      </c>
      <c r="AV200" s="41">
        <v>9.6</v>
      </c>
      <c r="AW200" s="41">
        <v>9.6</v>
      </c>
      <c r="AX200" s="170">
        <v>9.5</v>
      </c>
      <c r="AY200" s="41">
        <v>9.4</v>
      </c>
      <c r="AZ200" s="629">
        <v>7.5</v>
      </c>
      <c r="BA200" s="41">
        <v>9.5</v>
      </c>
      <c r="BB200" s="811">
        <v>9.6</v>
      </c>
      <c r="BC200" s="811">
        <v>10</v>
      </c>
      <c r="BD200" s="41"/>
      <c r="BE200" s="41"/>
      <c r="BF200" s="87"/>
      <c r="BG200" s="41"/>
      <c r="BH200" s="41"/>
      <c r="BI200" s="811"/>
      <c r="BJ200" s="79"/>
      <c r="BK200" s="810"/>
    </row>
    <row r="201" spans="1:63" ht="15.75" customHeight="1" thickBot="1">
      <c r="A201" s="3"/>
      <c r="B201" s="864">
        <v>7</v>
      </c>
      <c r="C201" s="722">
        <v>43709</v>
      </c>
      <c r="D201" s="1802"/>
      <c r="E201" s="17" t="s">
        <v>394</v>
      </c>
      <c r="F201" s="171" t="s">
        <v>395</v>
      </c>
      <c r="G201" s="1817" t="str">
        <f>IFERROR(VLOOKUP(D192,Tabla3[],5,FALSE),"")</f>
        <v/>
      </c>
      <c r="H201" s="38" t="str">
        <f t="shared" si="46"/>
        <v>M</v>
      </c>
      <c r="I201" s="38" t="str">
        <f t="shared" si="47"/>
        <v>80</v>
      </c>
      <c r="J201" s="38" t="str">
        <f t="shared" si="48"/>
        <v>01</v>
      </c>
      <c r="K201" s="808" t="str">
        <f t="shared" si="49"/>
        <v>24</v>
      </c>
      <c r="L201" s="1062"/>
      <c r="M201" s="10" t="s">
        <v>337</v>
      </c>
      <c r="N201" s="103">
        <v>10</v>
      </c>
      <c r="O201" s="38">
        <v>9.8000000000000007</v>
      </c>
      <c r="P201" s="38">
        <v>10</v>
      </c>
      <c r="Q201" s="93">
        <v>9.9</v>
      </c>
      <c r="R201" s="38">
        <v>10</v>
      </c>
      <c r="S201" s="105">
        <v>10</v>
      </c>
      <c r="T201" s="161">
        <v>10</v>
      </c>
      <c r="U201" s="77">
        <v>9</v>
      </c>
      <c r="V201" s="90">
        <v>10</v>
      </c>
      <c r="W201" s="162">
        <v>9</v>
      </c>
      <c r="X201" s="162">
        <v>9</v>
      </c>
      <c r="Y201" s="163">
        <v>9.3999999999999986</v>
      </c>
      <c r="Z201" s="164">
        <v>10</v>
      </c>
      <c r="AA201" s="74">
        <v>10</v>
      </c>
      <c r="AB201" s="74">
        <f t="shared" si="50"/>
        <v>9.6</v>
      </c>
      <c r="AC201" s="74">
        <v>9</v>
      </c>
      <c r="AD201" s="74">
        <v>9</v>
      </c>
      <c r="AE201" s="166">
        <v>10</v>
      </c>
      <c r="AF201" s="164">
        <v>10</v>
      </c>
      <c r="AG201" s="165">
        <v>9</v>
      </c>
      <c r="AH201" s="165">
        <v>9</v>
      </c>
      <c r="AI201" s="74">
        <v>10</v>
      </c>
      <c r="AJ201" s="74">
        <v>10</v>
      </c>
      <c r="AK201" s="166">
        <v>9.3000000000000007</v>
      </c>
      <c r="AL201" s="167">
        <v>8</v>
      </c>
      <c r="AM201" s="74">
        <v>8.5</v>
      </c>
      <c r="AN201" s="168">
        <v>10</v>
      </c>
      <c r="AO201" s="168">
        <v>10</v>
      </c>
      <c r="AP201" s="74">
        <v>9.8000000000000007</v>
      </c>
      <c r="AQ201" s="169">
        <v>9.8000000000000007</v>
      </c>
      <c r="AR201" s="76">
        <v>9</v>
      </c>
      <c r="AS201" s="41">
        <v>8.9</v>
      </c>
      <c r="AT201" s="41">
        <v>9.5</v>
      </c>
      <c r="AU201" s="41">
        <v>10</v>
      </c>
      <c r="AV201" s="41">
        <v>10</v>
      </c>
      <c r="AW201" s="41">
        <v>10</v>
      </c>
      <c r="AX201" s="170">
        <v>8.9</v>
      </c>
      <c r="AY201" s="41">
        <v>10</v>
      </c>
      <c r="AZ201" s="629">
        <v>7.5</v>
      </c>
      <c r="BA201" s="41">
        <v>9.9</v>
      </c>
      <c r="BB201" s="811">
        <v>10</v>
      </c>
      <c r="BC201" s="811">
        <v>9.6999999999999993</v>
      </c>
      <c r="BD201" s="41"/>
      <c r="BE201" s="41"/>
      <c r="BF201" s="87"/>
      <c r="BG201" s="41"/>
      <c r="BH201" s="41"/>
      <c r="BI201" s="811"/>
      <c r="BJ201" s="79"/>
      <c r="BK201" s="810"/>
    </row>
    <row r="202" spans="1:63" ht="15.75" customHeight="1" thickBot="1">
      <c r="A202" s="3"/>
      <c r="B202" s="863">
        <v>8</v>
      </c>
      <c r="C202" s="722">
        <v>43709</v>
      </c>
      <c r="D202" s="1802"/>
      <c r="E202" s="17" t="s">
        <v>397</v>
      </c>
      <c r="F202" s="171" t="s">
        <v>398</v>
      </c>
      <c r="G202" s="1817" t="str">
        <f>IFERROR(VLOOKUP(D193,Tabla3[],5,FALSE),"")</f>
        <v/>
      </c>
      <c r="H202" s="38" t="str">
        <f t="shared" si="46"/>
        <v>H</v>
      </c>
      <c r="I202" s="38" t="str">
        <f t="shared" si="47"/>
        <v>82</v>
      </c>
      <c r="J202" s="38" t="str">
        <f t="shared" si="48"/>
        <v>09</v>
      </c>
      <c r="K202" s="808" t="str">
        <f t="shared" si="49"/>
        <v>28</v>
      </c>
      <c r="L202" s="1062"/>
      <c r="M202" s="10" t="s">
        <v>337</v>
      </c>
      <c r="N202" s="103">
        <v>8</v>
      </c>
      <c r="O202" s="38">
        <v>7</v>
      </c>
      <c r="P202" s="38">
        <v>10</v>
      </c>
      <c r="Q202" s="71">
        <v>8.1</v>
      </c>
      <c r="R202" s="38">
        <v>8.5</v>
      </c>
      <c r="S202" s="105">
        <v>7</v>
      </c>
      <c r="T202" s="161">
        <v>10</v>
      </c>
      <c r="U202" s="77">
        <v>8</v>
      </c>
      <c r="V202" s="90">
        <v>10</v>
      </c>
      <c r="W202" s="162">
        <v>9</v>
      </c>
      <c r="X202" s="162">
        <v>9</v>
      </c>
      <c r="Y202" s="163">
        <v>9.3999999999999986</v>
      </c>
      <c r="Z202" s="164">
        <v>10</v>
      </c>
      <c r="AA202" s="74">
        <v>10</v>
      </c>
      <c r="AB202" s="74">
        <f t="shared" si="50"/>
        <v>9.6</v>
      </c>
      <c r="AC202" s="74">
        <v>9</v>
      </c>
      <c r="AD202" s="74">
        <v>9</v>
      </c>
      <c r="AE202" s="166">
        <v>10</v>
      </c>
      <c r="AF202" s="164">
        <v>10</v>
      </c>
      <c r="AG202" s="165">
        <v>9</v>
      </c>
      <c r="AH202" s="165">
        <v>7</v>
      </c>
      <c r="AI202" s="74">
        <v>10</v>
      </c>
      <c r="AJ202" s="74">
        <v>10</v>
      </c>
      <c r="AK202" s="166">
        <v>8.1</v>
      </c>
      <c r="AL202" s="167">
        <v>8</v>
      </c>
      <c r="AM202" s="165">
        <v>8</v>
      </c>
      <c r="AN202" s="168">
        <v>9.4</v>
      </c>
      <c r="AO202" s="168">
        <v>8.1999999999999993</v>
      </c>
      <c r="AP202" s="74">
        <v>9.6</v>
      </c>
      <c r="AQ202" s="169">
        <v>9.6</v>
      </c>
      <c r="AR202" s="174">
        <v>9.3000000000000007</v>
      </c>
      <c r="AS202" s="41">
        <v>8.9</v>
      </c>
      <c r="AT202" s="41">
        <v>8.3000000000000007</v>
      </c>
      <c r="AU202" s="41">
        <v>9.5</v>
      </c>
      <c r="AV202" s="41">
        <v>9.5</v>
      </c>
      <c r="AW202" s="41">
        <v>9.5</v>
      </c>
      <c r="AX202" s="170">
        <v>8.9</v>
      </c>
      <c r="AY202" s="41">
        <v>9.8000000000000007</v>
      </c>
      <c r="AZ202" s="629">
        <v>10</v>
      </c>
      <c r="BA202" s="41">
        <v>10</v>
      </c>
      <c r="BB202" s="811">
        <v>9.8000000000000007</v>
      </c>
      <c r="BC202" s="811">
        <v>9.6999999999999993</v>
      </c>
      <c r="BD202" s="41"/>
      <c r="BE202" s="41"/>
      <c r="BF202" s="87"/>
      <c r="BG202" s="41"/>
      <c r="BH202" s="41"/>
      <c r="BI202" s="811"/>
      <c r="BJ202" s="79"/>
      <c r="BK202" s="810"/>
    </row>
    <row r="203" spans="1:63" ht="15.75" customHeight="1" thickBot="1">
      <c r="A203" s="3"/>
      <c r="B203" s="864">
        <v>9</v>
      </c>
      <c r="C203" s="722">
        <v>43709</v>
      </c>
      <c r="D203" s="1802"/>
      <c r="E203" s="17" t="s">
        <v>399</v>
      </c>
      <c r="F203" s="58" t="s">
        <v>400</v>
      </c>
      <c r="G203" s="1817" t="str">
        <f>IFERROR(VLOOKUP(D194,Tabla3[],5,FALSE),"")</f>
        <v/>
      </c>
      <c r="H203" s="38" t="str">
        <f t="shared" si="46"/>
        <v>H</v>
      </c>
      <c r="I203" s="38" t="str">
        <f t="shared" si="47"/>
        <v>88</v>
      </c>
      <c r="J203" s="38" t="str">
        <f t="shared" si="48"/>
        <v>08</v>
      </c>
      <c r="K203" s="808" t="str">
        <f t="shared" si="49"/>
        <v>18</v>
      </c>
      <c r="L203" s="1062"/>
      <c r="M203" s="10" t="s">
        <v>337</v>
      </c>
      <c r="N203" s="103">
        <v>10</v>
      </c>
      <c r="O203" s="38">
        <v>10</v>
      </c>
      <c r="P203" s="38">
        <v>10</v>
      </c>
      <c r="Q203" s="71">
        <v>10</v>
      </c>
      <c r="R203" s="38">
        <v>10</v>
      </c>
      <c r="S203" s="105">
        <v>10</v>
      </c>
      <c r="T203" s="161">
        <v>10</v>
      </c>
      <c r="U203" s="77">
        <v>9</v>
      </c>
      <c r="V203" s="90">
        <v>10</v>
      </c>
      <c r="W203" s="162">
        <v>9</v>
      </c>
      <c r="X203" s="162">
        <v>9</v>
      </c>
      <c r="Y203" s="163">
        <v>9.3999999999999986</v>
      </c>
      <c r="Z203" s="164">
        <v>10</v>
      </c>
      <c r="AA203" s="74">
        <v>10</v>
      </c>
      <c r="AB203" s="165">
        <f t="shared" si="50"/>
        <v>9.6</v>
      </c>
      <c r="AC203" s="74">
        <v>9</v>
      </c>
      <c r="AD203" s="74">
        <v>9</v>
      </c>
      <c r="AE203" s="166">
        <v>10</v>
      </c>
      <c r="AF203" s="164">
        <v>9.6999999999999993</v>
      </c>
      <c r="AG203" s="165">
        <v>9</v>
      </c>
      <c r="AH203" s="165">
        <v>8</v>
      </c>
      <c r="AI203" s="74">
        <v>10</v>
      </c>
      <c r="AJ203" s="74">
        <v>10</v>
      </c>
      <c r="AK203" s="166">
        <v>9</v>
      </c>
      <c r="AL203" s="167">
        <v>7</v>
      </c>
      <c r="AM203" s="165">
        <v>8</v>
      </c>
      <c r="AN203" s="168">
        <v>9.8000000000000007</v>
      </c>
      <c r="AO203" s="168">
        <v>9.8000000000000007</v>
      </c>
      <c r="AP203" s="74">
        <v>9.8000000000000007</v>
      </c>
      <c r="AQ203" s="169">
        <v>9.6</v>
      </c>
      <c r="AR203" s="76">
        <v>9</v>
      </c>
      <c r="AS203" s="41">
        <v>8.9</v>
      </c>
      <c r="AT203" s="41">
        <v>8</v>
      </c>
      <c r="AU203" s="41">
        <v>10</v>
      </c>
      <c r="AV203" s="41">
        <v>10</v>
      </c>
      <c r="AW203" s="41">
        <v>10</v>
      </c>
      <c r="AX203" s="170">
        <v>8.9</v>
      </c>
      <c r="AY203" s="41">
        <v>10</v>
      </c>
      <c r="AZ203" s="629">
        <v>7.5</v>
      </c>
      <c r="BA203" s="41">
        <v>10</v>
      </c>
      <c r="BB203" s="811">
        <v>9.5</v>
      </c>
      <c r="BC203" s="811">
        <v>9.9</v>
      </c>
      <c r="BD203" s="41"/>
      <c r="BE203" s="41"/>
      <c r="BF203" s="87"/>
      <c r="BG203" s="41"/>
      <c r="BH203" s="41"/>
      <c r="BI203" s="811"/>
      <c r="BJ203" s="79"/>
      <c r="BK203" s="810"/>
    </row>
    <row r="204" spans="1:63" ht="15.75" customHeight="1" thickBot="1">
      <c r="A204" s="3"/>
      <c r="B204" s="865">
        <v>10</v>
      </c>
      <c r="C204" s="722">
        <v>43709</v>
      </c>
      <c r="D204" s="1804"/>
      <c r="E204" s="712" t="s">
        <v>402</v>
      </c>
      <c r="F204" s="819" t="s">
        <v>403</v>
      </c>
      <c r="G204" s="1817" t="str">
        <f>IFERROR(VLOOKUP(D195,Tabla3[],5,FALSE),"")</f>
        <v/>
      </c>
      <c r="H204" s="820" t="str">
        <f t="shared" si="46"/>
        <v>H</v>
      </c>
      <c r="I204" s="820" t="str">
        <f t="shared" si="47"/>
        <v>73</v>
      </c>
      <c r="J204" s="820" t="str">
        <f t="shared" si="48"/>
        <v>05</v>
      </c>
      <c r="K204" s="821" t="str">
        <f t="shared" si="49"/>
        <v>11</v>
      </c>
      <c r="L204" s="1063"/>
      <c r="M204" s="822" t="s">
        <v>337</v>
      </c>
      <c r="N204" s="866">
        <v>9.5</v>
      </c>
      <c r="O204" s="826">
        <v>7</v>
      </c>
      <c r="P204" s="825">
        <v>10</v>
      </c>
      <c r="Q204" s="825">
        <v>9.1999999999999993</v>
      </c>
      <c r="R204" s="820">
        <v>10</v>
      </c>
      <c r="S204" s="867">
        <v>9.5</v>
      </c>
      <c r="T204" s="868">
        <v>10</v>
      </c>
      <c r="U204" s="869">
        <v>10</v>
      </c>
      <c r="V204" s="869">
        <v>10</v>
      </c>
      <c r="W204" s="870">
        <v>9</v>
      </c>
      <c r="X204" s="870">
        <v>9</v>
      </c>
      <c r="Y204" s="871">
        <v>9.6999999999999993</v>
      </c>
      <c r="Z204" s="872">
        <v>10</v>
      </c>
      <c r="AA204" s="830">
        <v>10</v>
      </c>
      <c r="AB204" s="873">
        <f t="shared" si="50"/>
        <v>9.52</v>
      </c>
      <c r="AC204" s="830">
        <v>9</v>
      </c>
      <c r="AD204" s="830">
        <v>9</v>
      </c>
      <c r="AE204" s="874">
        <v>9.6</v>
      </c>
      <c r="AF204" s="872">
        <v>9.8000000000000007</v>
      </c>
      <c r="AG204" s="873">
        <v>8</v>
      </c>
      <c r="AH204" s="873">
        <v>7</v>
      </c>
      <c r="AI204" s="830">
        <v>7</v>
      </c>
      <c r="AJ204" s="830">
        <v>10</v>
      </c>
      <c r="AK204" s="874">
        <v>8.1</v>
      </c>
      <c r="AL204" s="875">
        <v>8</v>
      </c>
      <c r="AM204" s="873">
        <v>9</v>
      </c>
      <c r="AN204" s="876">
        <v>9.6</v>
      </c>
      <c r="AO204" s="876">
        <v>9.6999999999999993</v>
      </c>
      <c r="AP204" s="830">
        <v>7</v>
      </c>
      <c r="AQ204" s="877">
        <v>9.1999999999999993</v>
      </c>
      <c r="AR204" s="832">
        <v>9.3000000000000007</v>
      </c>
      <c r="AS204" s="833">
        <v>9.1</v>
      </c>
      <c r="AT204" s="833">
        <v>8.1</v>
      </c>
      <c r="AU204" s="833">
        <v>10</v>
      </c>
      <c r="AV204" s="833">
        <v>10</v>
      </c>
      <c r="AW204" s="833">
        <v>10</v>
      </c>
      <c r="AX204" s="878">
        <v>8.4499999999999993</v>
      </c>
      <c r="AY204" s="833">
        <v>9</v>
      </c>
      <c r="AZ204" s="879">
        <v>9</v>
      </c>
      <c r="BA204" s="833">
        <v>9.9</v>
      </c>
      <c r="BB204" s="847">
        <v>10</v>
      </c>
      <c r="BC204" s="833">
        <v>10</v>
      </c>
      <c r="BD204" s="880"/>
      <c r="BE204" s="881"/>
      <c r="BF204" s="882"/>
      <c r="BG204" s="833"/>
      <c r="BH204" s="833"/>
      <c r="BI204" s="847"/>
      <c r="BJ204" s="835"/>
      <c r="BK204" s="883"/>
    </row>
    <row r="205" spans="1:63" ht="15.75" customHeight="1">
      <c r="A205" s="3"/>
      <c r="G205" s="717"/>
      <c r="M205" s="2"/>
    </row>
    <row r="206" spans="1:63" ht="15.75" customHeight="1">
      <c r="A206" s="3"/>
      <c r="M206" s="2"/>
    </row>
    <row r="207" spans="1:63" ht="15.75" customHeight="1">
      <c r="A207" s="3"/>
      <c r="M207" s="2"/>
    </row>
    <row r="208" spans="1:63" ht="15.75" customHeight="1">
      <c r="A208" s="3"/>
      <c r="M208" s="2"/>
    </row>
    <row r="209" spans="1:13" ht="15.75" customHeight="1">
      <c r="M209" s="2"/>
    </row>
    <row r="210" spans="1:13" ht="15.75" customHeight="1">
      <c r="M210" s="2"/>
    </row>
    <row r="211" spans="1:13" ht="15.75" customHeight="1">
      <c r="A211" s="3"/>
      <c r="M211" s="2"/>
    </row>
    <row r="212" spans="1:13" ht="15.75" customHeight="1">
      <c r="A212" s="3"/>
      <c r="M212" s="2"/>
    </row>
    <row r="213" spans="1:13" ht="15.75" customHeight="1">
      <c r="A213" s="3"/>
      <c r="M213" s="2"/>
    </row>
    <row r="214" spans="1:13" ht="15.75" customHeight="1">
      <c r="A214" s="3"/>
      <c r="M214" s="2"/>
    </row>
    <row r="215" spans="1:13" ht="15.75" customHeight="1">
      <c r="A215" s="3"/>
      <c r="M215" s="2"/>
    </row>
    <row r="216" spans="1:13" ht="15.75" customHeight="1">
      <c r="A216" s="3"/>
      <c r="M216" s="2"/>
    </row>
    <row r="217" spans="1:13" ht="15.75" customHeight="1">
      <c r="A217" s="3"/>
      <c r="M217" s="2"/>
    </row>
    <row r="218" spans="1:13" ht="15.75" customHeight="1">
      <c r="A218" s="3"/>
      <c r="M218" s="2"/>
    </row>
    <row r="219" spans="1:13" ht="15.75" customHeight="1">
      <c r="A219" s="3"/>
      <c r="M219" s="2"/>
    </row>
    <row r="220" spans="1:13" ht="15.75" customHeight="1">
      <c r="A220" s="3"/>
      <c r="M220" s="2"/>
    </row>
    <row r="221" spans="1:13" ht="15.75" customHeight="1">
      <c r="A221" s="3"/>
      <c r="M221" s="2"/>
    </row>
    <row r="222" spans="1:13" ht="15.75" customHeight="1">
      <c r="A222" s="3"/>
      <c r="M222" s="2"/>
    </row>
    <row r="223" spans="1:13" ht="15.75" customHeight="1">
      <c r="A223" s="3"/>
      <c r="M223" s="2"/>
    </row>
    <row r="224" spans="1:13" ht="15.75" customHeight="1">
      <c r="A224" s="3"/>
      <c r="M224" s="2"/>
    </row>
    <row r="225" spans="1:13" ht="15.75" customHeight="1">
      <c r="A225" s="3"/>
      <c r="M225" s="2"/>
    </row>
    <row r="226" spans="1:13" ht="15.75" customHeight="1">
      <c r="A226" s="3"/>
      <c r="M226" s="2"/>
    </row>
    <row r="227" spans="1:13" ht="15.75" customHeight="1">
      <c r="A227" s="3"/>
      <c r="M227" s="2"/>
    </row>
    <row r="228" spans="1:13" ht="15.75" customHeight="1">
      <c r="A228" s="3"/>
      <c r="M228" s="2"/>
    </row>
    <row r="229" spans="1:13" ht="15.75" customHeight="1">
      <c r="A229" s="3"/>
      <c r="M229" s="2"/>
    </row>
    <row r="230" spans="1:13" ht="15.75" customHeight="1">
      <c r="A230" s="3"/>
      <c r="M230" s="2"/>
    </row>
    <row r="231" spans="1:13" ht="15.75" customHeight="1">
      <c r="A231" s="3"/>
      <c r="M231" s="2"/>
    </row>
    <row r="232" spans="1:13" ht="15.75" customHeight="1">
      <c r="A232" s="3"/>
      <c r="M232" s="2"/>
    </row>
    <row r="233" spans="1:13" ht="15.75" customHeight="1">
      <c r="A233" s="3"/>
      <c r="M233" s="2"/>
    </row>
    <row r="234" spans="1:13" ht="15.75" customHeight="1">
      <c r="A234" s="3"/>
      <c r="M234" s="2"/>
    </row>
    <row r="235" spans="1:13" ht="15.75" customHeight="1">
      <c r="A235" s="3"/>
      <c r="M235" s="2"/>
    </row>
    <row r="236" spans="1:13" ht="15.75" customHeight="1">
      <c r="A236" s="3"/>
      <c r="M236" s="2"/>
    </row>
    <row r="237" spans="1:13" ht="15.75" customHeight="1">
      <c r="A237" s="3"/>
      <c r="M237" s="2"/>
    </row>
    <row r="238" spans="1:13" ht="15.75" customHeight="1">
      <c r="A238" s="3"/>
      <c r="M238" s="2"/>
    </row>
    <row r="239" spans="1:13" ht="15.75" customHeight="1">
      <c r="A239" s="3"/>
      <c r="M239" s="2"/>
    </row>
    <row r="240" spans="1:13" ht="15.75" customHeight="1">
      <c r="A240" s="3"/>
      <c r="M240" s="2"/>
    </row>
    <row r="241" spans="1:13" ht="15.75" customHeight="1">
      <c r="A241" s="3"/>
      <c r="M241" s="2"/>
    </row>
    <row r="242" spans="1:13" ht="15.75" customHeight="1">
      <c r="A242" s="3"/>
      <c r="M242" s="2"/>
    </row>
    <row r="243" spans="1:13" ht="15.75" customHeight="1">
      <c r="A243" s="3"/>
      <c r="M243" s="2"/>
    </row>
    <row r="244" spans="1:13" ht="15.75" customHeight="1">
      <c r="A244" s="3"/>
      <c r="M244" s="2"/>
    </row>
    <row r="245" spans="1:13" ht="15.75" customHeight="1">
      <c r="A245" s="3"/>
      <c r="M245" s="2"/>
    </row>
    <row r="246" spans="1:13" ht="15.75" customHeight="1">
      <c r="A246" s="3"/>
      <c r="M246" s="2"/>
    </row>
    <row r="247" spans="1:13" ht="15.75" customHeight="1">
      <c r="A247" s="3"/>
      <c r="M247" s="2"/>
    </row>
    <row r="248" spans="1:13" ht="15.75" customHeight="1">
      <c r="A248" s="3"/>
      <c r="M248" s="2"/>
    </row>
    <row r="249" spans="1:13" ht="15.75" customHeight="1">
      <c r="A249" s="3"/>
      <c r="M249" s="2"/>
    </row>
    <row r="250" spans="1:13" ht="15.75" customHeight="1">
      <c r="A250" s="3"/>
      <c r="M250" s="2"/>
    </row>
    <row r="251" spans="1:13" ht="15.75" customHeight="1">
      <c r="A251" s="3"/>
      <c r="M251" s="2"/>
    </row>
    <row r="252" spans="1:13" ht="15.75" customHeight="1">
      <c r="A252" s="3"/>
      <c r="M252" s="2"/>
    </row>
    <row r="253" spans="1:13" ht="15.75" customHeight="1">
      <c r="A253" s="3"/>
      <c r="M253" s="2"/>
    </row>
    <row r="254" spans="1:13" ht="15.75" customHeight="1">
      <c r="A254" s="3"/>
      <c r="M254" s="2"/>
    </row>
    <row r="255" spans="1:13" ht="15.75" customHeight="1">
      <c r="A255" s="3"/>
      <c r="M255" s="2"/>
    </row>
    <row r="256" spans="1:13" ht="15.75" customHeight="1">
      <c r="A256" s="3"/>
      <c r="M256" s="2"/>
    </row>
    <row r="257" spans="1:13" ht="15.75" customHeight="1">
      <c r="A257" s="3"/>
      <c r="M257" s="2"/>
    </row>
    <row r="258" spans="1:13" ht="15.75" customHeight="1">
      <c r="A258" s="3"/>
      <c r="M258" s="2"/>
    </row>
    <row r="259" spans="1:13" ht="15.75" customHeight="1">
      <c r="A259" s="3"/>
      <c r="M259" s="2"/>
    </row>
    <row r="260" spans="1:13" ht="15.75" customHeight="1">
      <c r="A260" s="3"/>
      <c r="M260" s="2"/>
    </row>
    <row r="261" spans="1:13" ht="15.75" customHeight="1">
      <c r="A261" s="3"/>
      <c r="M261" s="2"/>
    </row>
    <row r="262" spans="1:13" ht="15.75" customHeight="1">
      <c r="A262" s="3"/>
      <c r="M262" s="2"/>
    </row>
    <row r="263" spans="1:13" ht="15.75" customHeight="1">
      <c r="A263" s="3"/>
      <c r="M263" s="2"/>
    </row>
    <row r="264" spans="1:13" ht="15.75" customHeight="1">
      <c r="A264" s="3"/>
      <c r="M264" s="2"/>
    </row>
    <row r="265" spans="1:13" ht="15.75" customHeight="1">
      <c r="A265" s="3"/>
      <c r="M265" s="2"/>
    </row>
    <row r="266" spans="1:13" ht="15.75" customHeight="1">
      <c r="A266" s="3"/>
      <c r="M266" s="2"/>
    </row>
    <row r="267" spans="1:13" ht="15.75" customHeight="1">
      <c r="A267" s="3"/>
      <c r="M267" s="2"/>
    </row>
    <row r="268" spans="1:13" ht="15.75" customHeight="1">
      <c r="A268" s="3"/>
      <c r="M268" s="2"/>
    </row>
    <row r="269" spans="1:13" ht="15.75" customHeight="1">
      <c r="A269" s="3"/>
      <c r="M269" s="2"/>
    </row>
    <row r="270" spans="1:13" ht="15.75" customHeight="1">
      <c r="A270" s="3"/>
      <c r="M270" s="2"/>
    </row>
    <row r="271" spans="1:13" ht="15.75" customHeight="1">
      <c r="A271" s="3"/>
      <c r="M271" s="2"/>
    </row>
    <row r="272" spans="1:13" ht="15.75" customHeight="1">
      <c r="A272" s="3"/>
      <c r="M272" s="2"/>
    </row>
    <row r="273" spans="1:13" ht="15.75" customHeight="1">
      <c r="A273" s="3"/>
      <c r="M273" s="2"/>
    </row>
    <row r="274" spans="1:13" ht="15.75" customHeight="1">
      <c r="A274" s="3"/>
      <c r="M274" s="2"/>
    </row>
    <row r="275" spans="1:13" ht="15.75" customHeight="1">
      <c r="A275" s="3"/>
      <c r="M275" s="2"/>
    </row>
    <row r="276" spans="1:13" ht="15.75" customHeight="1">
      <c r="A276" s="3"/>
      <c r="M276" s="2"/>
    </row>
    <row r="277" spans="1:13" ht="15.75" customHeight="1">
      <c r="A277" s="3"/>
      <c r="M277" s="2"/>
    </row>
    <row r="278" spans="1:13" ht="15.75" customHeight="1">
      <c r="A278" s="3"/>
      <c r="M278" s="2"/>
    </row>
    <row r="279" spans="1:13" ht="15.75" customHeight="1">
      <c r="A279" s="3"/>
      <c r="M279" s="2"/>
    </row>
    <row r="280" spans="1:13" ht="15.75" customHeight="1">
      <c r="A280" s="3"/>
      <c r="M280" s="2"/>
    </row>
    <row r="281" spans="1:13" ht="15.75" customHeight="1">
      <c r="A281" s="3"/>
      <c r="M281" s="2"/>
    </row>
    <row r="282" spans="1:13" ht="15.75" customHeight="1">
      <c r="A282" s="3"/>
      <c r="M282" s="2"/>
    </row>
    <row r="283" spans="1:13" ht="15.75" customHeight="1">
      <c r="A283" s="3"/>
      <c r="M283" s="2"/>
    </row>
    <row r="284" spans="1:13" ht="15.75" customHeight="1">
      <c r="A284" s="3"/>
      <c r="M284" s="2"/>
    </row>
    <row r="285" spans="1:13" ht="15.75" customHeight="1">
      <c r="A285" s="3"/>
      <c r="M285" s="2"/>
    </row>
    <row r="286" spans="1:13" ht="15.75" customHeight="1">
      <c r="A286" s="3"/>
      <c r="M286" s="2"/>
    </row>
    <row r="287" spans="1:13" ht="15.75" customHeight="1">
      <c r="A287" s="3"/>
      <c r="M287" s="2"/>
    </row>
    <row r="288" spans="1:13" ht="15.75" customHeight="1">
      <c r="A288" s="3"/>
      <c r="M288" s="2"/>
    </row>
    <row r="289" spans="1:13" ht="15.75" customHeight="1">
      <c r="A289" s="3"/>
      <c r="M289" s="2"/>
    </row>
    <row r="290" spans="1:13" ht="15.75" customHeight="1">
      <c r="A290" s="3"/>
      <c r="M290" s="2"/>
    </row>
    <row r="291" spans="1:13" ht="15.75" customHeight="1">
      <c r="A291" s="3"/>
      <c r="M291" s="2"/>
    </row>
    <row r="292" spans="1:13" ht="15.75" customHeight="1">
      <c r="A292" s="3"/>
      <c r="M292" s="2"/>
    </row>
    <row r="293" spans="1:13" ht="15.75" customHeight="1">
      <c r="A293" s="3"/>
      <c r="M293" s="2"/>
    </row>
    <row r="294" spans="1:13" ht="15.75" customHeight="1">
      <c r="A294" s="3"/>
      <c r="M294" s="2"/>
    </row>
    <row r="295" spans="1:13" ht="15.75" customHeight="1">
      <c r="A295" s="3"/>
      <c r="M295" s="2"/>
    </row>
    <row r="296" spans="1:13" ht="15.75" customHeight="1">
      <c r="A296" s="3"/>
      <c r="M296" s="2"/>
    </row>
    <row r="297" spans="1:13" ht="15.75" customHeight="1">
      <c r="A297" s="3"/>
      <c r="M297" s="2"/>
    </row>
    <row r="298" spans="1:13" ht="15.75" customHeight="1">
      <c r="A298" s="3"/>
      <c r="M298" s="2"/>
    </row>
    <row r="299" spans="1:13" ht="15.75" customHeight="1">
      <c r="A299" s="3"/>
      <c r="M299" s="2"/>
    </row>
    <row r="300" spans="1:13" ht="15.75" customHeight="1">
      <c r="A300" s="3"/>
      <c r="M300" s="2"/>
    </row>
    <row r="301" spans="1:13" ht="15.75" customHeight="1">
      <c r="A301" s="3"/>
      <c r="M301" s="2"/>
    </row>
    <row r="302" spans="1:13" ht="15.75" customHeight="1">
      <c r="A302" s="3"/>
      <c r="M302" s="2"/>
    </row>
    <row r="303" spans="1:13" ht="15.75" customHeight="1">
      <c r="A303" s="3"/>
      <c r="M303" s="2"/>
    </row>
    <row r="304" spans="1:13" ht="15.75" customHeight="1">
      <c r="A304" s="3"/>
      <c r="M304" s="2"/>
    </row>
    <row r="305" spans="1:13" ht="15.75" customHeight="1">
      <c r="A305" s="3"/>
      <c r="M305" s="2"/>
    </row>
    <row r="306" spans="1:13" ht="15.75" customHeight="1">
      <c r="A306" s="3"/>
      <c r="M306" s="2"/>
    </row>
    <row r="307" spans="1:13" ht="15.75" customHeight="1">
      <c r="A307" s="3"/>
      <c r="M307" s="2"/>
    </row>
    <row r="308" spans="1:13" ht="15.75" customHeight="1">
      <c r="A308" s="3"/>
      <c r="M308" s="2"/>
    </row>
    <row r="309" spans="1:13" ht="15.75" customHeight="1">
      <c r="A309" s="3"/>
      <c r="M309" s="2"/>
    </row>
    <row r="310" spans="1:13" ht="15.75" customHeight="1">
      <c r="A310" s="3"/>
      <c r="M310" s="2"/>
    </row>
    <row r="311" spans="1:13" ht="15.75" customHeight="1">
      <c r="A311" s="3"/>
      <c r="M311" s="2"/>
    </row>
    <row r="312" spans="1:13" ht="15.75" customHeight="1">
      <c r="A312" s="3"/>
      <c r="M312" s="2"/>
    </row>
    <row r="313" spans="1:13" ht="15.75" customHeight="1">
      <c r="A313" s="3"/>
      <c r="M313" s="2"/>
    </row>
    <row r="314" spans="1:13" ht="15.75" customHeight="1">
      <c r="A314" s="3"/>
      <c r="M314" s="2"/>
    </row>
    <row r="315" spans="1:13" ht="15.75" customHeight="1">
      <c r="A315" s="3"/>
      <c r="M315" s="2"/>
    </row>
    <row r="316" spans="1:13" ht="15.75" customHeight="1">
      <c r="A316" s="3"/>
      <c r="M316" s="2"/>
    </row>
    <row r="317" spans="1:13" ht="15.75" customHeight="1">
      <c r="A317" s="3"/>
      <c r="M317" s="2"/>
    </row>
    <row r="318" spans="1:13" ht="15.75" customHeight="1">
      <c r="A318" s="3"/>
      <c r="M318" s="2"/>
    </row>
    <row r="319" spans="1:13" ht="15.75" customHeight="1">
      <c r="A319" s="3"/>
      <c r="M319" s="2"/>
    </row>
    <row r="320" spans="1:13" ht="15.75" customHeight="1">
      <c r="A320" s="3"/>
      <c r="M320" s="2"/>
    </row>
    <row r="321" spans="1:13" ht="15.75" customHeight="1">
      <c r="A321" s="3"/>
      <c r="M321" s="2"/>
    </row>
    <row r="322" spans="1:13" ht="15.75" customHeight="1">
      <c r="A322" s="3"/>
      <c r="M322" s="2"/>
    </row>
    <row r="323" spans="1:13" ht="15.75" customHeight="1">
      <c r="A323" s="3"/>
      <c r="M323" s="2"/>
    </row>
    <row r="324" spans="1:13" ht="15.75" customHeight="1">
      <c r="A324" s="3"/>
      <c r="M324" s="2"/>
    </row>
    <row r="325" spans="1:13" ht="15.75" customHeight="1">
      <c r="A325" s="3"/>
      <c r="M325" s="2"/>
    </row>
    <row r="326" spans="1:13" ht="15.75" customHeight="1">
      <c r="A326" s="3"/>
      <c r="M326" s="2"/>
    </row>
    <row r="327" spans="1:13" ht="15.75" customHeight="1">
      <c r="A327" s="3"/>
      <c r="M327" s="2"/>
    </row>
    <row r="328" spans="1:13" ht="15.75" customHeight="1">
      <c r="A328" s="3"/>
      <c r="M328" s="2"/>
    </row>
    <row r="329" spans="1:13" ht="15.75" customHeight="1">
      <c r="A329" s="3"/>
      <c r="M329" s="2"/>
    </row>
    <row r="330" spans="1:13" ht="15.75" customHeight="1">
      <c r="A330" s="3"/>
      <c r="M330" s="2"/>
    </row>
    <row r="331" spans="1:13" ht="15.75" customHeight="1">
      <c r="A331" s="3"/>
      <c r="M331" s="2"/>
    </row>
    <row r="332" spans="1:13" ht="15.75" customHeight="1">
      <c r="A332" s="3"/>
      <c r="M332" s="2"/>
    </row>
    <row r="333" spans="1:13" ht="15.75" customHeight="1">
      <c r="A333" s="3"/>
      <c r="M333" s="2"/>
    </row>
    <row r="334" spans="1:13" ht="15.75" customHeight="1">
      <c r="A334" s="3"/>
      <c r="M334" s="2"/>
    </row>
    <row r="335" spans="1:13" ht="15.75" customHeight="1">
      <c r="A335" s="3"/>
      <c r="M335" s="2"/>
    </row>
    <row r="336" spans="1:13" ht="15.75" customHeight="1">
      <c r="A336" s="3"/>
      <c r="M336" s="2"/>
    </row>
    <row r="337" spans="1:13" ht="15.75" customHeight="1">
      <c r="A337" s="3"/>
      <c r="M337" s="2"/>
    </row>
    <row r="338" spans="1:13" ht="15.75" customHeight="1">
      <c r="A338" s="3"/>
      <c r="M338" s="2"/>
    </row>
    <row r="339" spans="1:13" ht="15.75" customHeight="1">
      <c r="A339" s="3"/>
      <c r="M339" s="2"/>
    </row>
    <row r="340" spans="1:13" ht="15.75" customHeight="1">
      <c r="A340" s="3"/>
      <c r="M340" s="2"/>
    </row>
    <row r="341" spans="1:13" ht="15.75" customHeight="1">
      <c r="A341" s="3"/>
      <c r="M341" s="2"/>
    </row>
    <row r="342" spans="1:13" ht="15.75" customHeight="1">
      <c r="A342" s="3"/>
      <c r="M342" s="2"/>
    </row>
    <row r="343" spans="1:13" ht="15.75" customHeight="1">
      <c r="A343" s="3"/>
      <c r="M343" s="2"/>
    </row>
    <row r="344" spans="1:13" ht="15.75" customHeight="1">
      <c r="A344" s="3"/>
      <c r="M344" s="2"/>
    </row>
    <row r="345" spans="1:13" ht="15.75" customHeight="1">
      <c r="A345" s="3"/>
      <c r="M345" s="2"/>
    </row>
    <row r="346" spans="1:13" ht="15.75" customHeight="1">
      <c r="A346" s="3"/>
      <c r="M346" s="2"/>
    </row>
    <row r="347" spans="1:13" ht="15.75" customHeight="1">
      <c r="A347" s="3"/>
      <c r="M347" s="2"/>
    </row>
    <row r="348" spans="1:13" ht="15.75" customHeight="1">
      <c r="A348" s="3"/>
      <c r="M348" s="2"/>
    </row>
    <row r="349" spans="1:13" ht="15.75" customHeight="1">
      <c r="A349" s="3"/>
      <c r="M349" s="2"/>
    </row>
    <row r="350" spans="1:13" ht="15.75" customHeight="1">
      <c r="A350" s="3"/>
      <c r="M350" s="2"/>
    </row>
    <row r="351" spans="1:13" ht="15.75" customHeight="1">
      <c r="A351" s="3"/>
      <c r="M351" s="2"/>
    </row>
    <row r="352" spans="1:13" ht="15.75" customHeight="1">
      <c r="A352" s="3"/>
      <c r="M352" s="2"/>
    </row>
    <row r="353" spans="1:13" ht="15.75" customHeight="1">
      <c r="A353" s="3"/>
      <c r="M353" s="2"/>
    </row>
    <row r="354" spans="1:13" ht="15.75" customHeight="1">
      <c r="A354" s="3"/>
      <c r="M354" s="2"/>
    </row>
    <row r="355" spans="1:13" ht="15.75" customHeight="1">
      <c r="A355" s="3"/>
      <c r="M355" s="2"/>
    </row>
    <row r="356" spans="1:13" ht="15.75" customHeight="1">
      <c r="A356" s="3"/>
      <c r="M356" s="2"/>
    </row>
    <row r="357" spans="1:13" ht="15.75" customHeight="1">
      <c r="A357" s="3"/>
      <c r="M357" s="2"/>
    </row>
    <row r="358" spans="1:13" ht="15.75" customHeight="1">
      <c r="A358" s="3"/>
      <c r="M358" s="2"/>
    </row>
    <row r="359" spans="1:13" ht="15.75" customHeight="1">
      <c r="A359" s="3"/>
      <c r="M359" s="2"/>
    </row>
    <row r="360" spans="1:13" ht="15.75" customHeight="1">
      <c r="A360" s="3"/>
      <c r="M360" s="2"/>
    </row>
    <row r="361" spans="1:13" ht="15.75" customHeight="1">
      <c r="A361" s="3"/>
      <c r="M361" s="2"/>
    </row>
    <row r="362" spans="1:13" ht="15.75" customHeight="1">
      <c r="A362" s="3"/>
      <c r="M362" s="2"/>
    </row>
    <row r="363" spans="1:13" ht="15.75" customHeight="1">
      <c r="A363" s="3"/>
      <c r="M363" s="2"/>
    </row>
    <row r="364" spans="1:13" ht="15.75" customHeight="1">
      <c r="A364" s="3"/>
      <c r="M364" s="2"/>
    </row>
    <row r="365" spans="1:13" ht="15.75" customHeight="1">
      <c r="A365" s="3"/>
      <c r="M365" s="2"/>
    </row>
    <row r="366" spans="1:13" ht="15.75" customHeight="1">
      <c r="A366" s="3"/>
      <c r="M366" s="2"/>
    </row>
    <row r="367" spans="1:13" ht="15.75" customHeight="1">
      <c r="A367" s="3"/>
      <c r="M367" s="2"/>
    </row>
    <row r="368" spans="1:13" ht="15.75" customHeight="1">
      <c r="A368" s="3"/>
      <c r="M368" s="2"/>
    </row>
    <row r="369" spans="1:13" ht="15.75" customHeight="1">
      <c r="A369" s="3"/>
      <c r="M369" s="2"/>
    </row>
    <row r="370" spans="1:13" ht="15.75" customHeight="1">
      <c r="A370" s="3"/>
      <c r="M370" s="2"/>
    </row>
    <row r="371" spans="1:13" ht="15.75" customHeight="1">
      <c r="A371" s="3"/>
      <c r="M371" s="2"/>
    </row>
    <row r="372" spans="1:13" ht="15.75" customHeight="1">
      <c r="A372" s="3"/>
      <c r="M372" s="2"/>
    </row>
    <row r="373" spans="1:13" ht="15.75" customHeight="1">
      <c r="A373" s="3"/>
      <c r="M373" s="2"/>
    </row>
    <row r="374" spans="1:13" ht="15.75" customHeight="1">
      <c r="A374" s="3"/>
      <c r="M374" s="2"/>
    </row>
    <row r="375" spans="1:13" ht="15.75" customHeight="1">
      <c r="A375" s="3"/>
      <c r="M375" s="2"/>
    </row>
    <row r="376" spans="1:13" ht="15.75" customHeight="1">
      <c r="A376" s="3"/>
      <c r="M376" s="2"/>
    </row>
    <row r="377" spans="1:13" ht="15.75" customHeight="1">
      <c r="A377" s="3"/>
      <c r="M377" s="2"/>
    </row>
    <row r="378" spans="1:13" ht="15.75" customHeight="1">
      <c r="A378" s="3"/>
      <c r="M378" s="2"/>
    </row>
    <row r="379" spans="1:13" ht="15.75" customHeight="1">
      <c r="A379" s="3"/>
      <c r="M379" s="2"/>
    </row>
    <row r="380" spans="1:13" ht="15.75" customHeight="1">
      <c r="A380" s="3"/>
      <c r="M380" s="2"/>
    </row>
    <row r="381" spans="1:13" ht="15.75" customHeight="1">
      <c r="A381" s="3"/>
      <c r="M381" s="2"/>
    </row>
    <row r="382" spans="1:13" ht="15.75" customHeight="1">
      <c r="A382" s="3"/>
      <c r="M382" s="2"/>
    </row>
    <row r="383" spans="1:13" ht="15.75" customHeight="1">
      <c r="A383" s="3"/>
      <c r="M383" s="2"/>
    </row>
    <row r="384" spans="1:13" ht="15.75" customHeight="1">
      <c r="A384" s="3"/>
      <c r="M384" s="2"/>
    </row>
    <row r="385" spans="1:13" ht="15.75" customHeight="1">
      <c r="A385" s="3"/>
      <c r="M385" s="2"/>
    </row>
    <row r="386" spans="1:13" ht="15.75" customHeight="1">
      <c r="A386" s="3"/>
      <c r="M386" s="2"/>
    </row>
    <row r="387" spans="1:13" ht="15.75" customHeight="1">
      <c r="A387" s="3"/>
      <c r="M387" s="2"/>
    </row>
    <row r="388" spans="1:13" ht="15.75" customHeight="1">
      <c r="A388" s="3"/>
      <c r="M388" s="2"/>
    </row>
    <row r="389" spans="1:13" ht="15.75" customHeight="1">
      <c r="A389" s="3"/>
      <c r="M389" s="2"/>
    </row>
    <row r="390" spans="1:13" ht="15.75" customHeight="1">
      <c r="A390" s="3"/>
      <c r="M390" s="2"/>
    </row>
    <row r="391" spans="1:13" ht="15.75" customHeight="1">
      <c r="A391" s="3"/>
      <c r="M391" s="2"/>
    </row>
    <row r="392" spans="1:13" ht="15.75" customHeight="1">
      <c r="A392" s="3"/>
      <c r="M392" s="2"/>
    </row>
    <row r="393" spans="1:13" ht="15.75" customHeight="1">
      <c r="A393" s="3"/>
      <c r="M393" s="2"/>
    </row>
    <row r="394" spans="1:13" ht="15.75" customHeight="1">
      <c r="A394" s="3"/>
      <c r="M394" s="2"/>
    </row>
    <row r="395" spans="1:13" ht="15.75" customHeight="1">
      <c r="A395" s="3"/>
      <c r="M395" s="2"/>
    </row>
    <row r="396" spans="1:13" ht="15.75" customHeight="1">
      <c r="A396" s="3"/>
      <c r="M396" s="2"/>
    </row>
    <row r="397" spans="1:13" ht="15.75" customHeight="1">
      <c r="A397" s="3"/>
      <c r="M397" s="2"/>
    </row>
    <row r="398" spans="1:13" ht="15.75" customHeight="1">
      <c r="A398" s="3"/>
      <c r="M398" s="2"/>
    </row>
    <row r="399" spans="1:13" ht="15.75" customHeight="1">
      <c r="A399" s="3"/>
      <c r="M399" s="2"/>
    </row>
    <row r="400" spans="1:13" ht="15.75" customHeight="1">
      <c r="A400" s="3"/>
      <c r="M400" s="2"/>
    </row>
    <row r="401" spans="1:13" ht="15.75" customHeight="1">
      <c r="A401" s="3"/>
      <c r="M401" s="2"/>
    </row>
    <row r="402" spans="1:13" ht="15.75" customHeight="1">
      <c r="A402" s="3"/>
      <c r="M402" s="2"/>
    </row>
    <row r="403" spans="1:13" ht="15.75" customHeight="1">
      <c r="A403" s="3"/>
      <c r="M403" s="2"/>
    </row>
    <row r="404" spans="1:13" ht="15.75" customHeight="1">
      <c r="A404" s="3"/>
      <c r="M404" s="2"/>
    </row>
    <row r="405" spans="1:13" ht="15.75" customHeight="1">
      <c r="A405" s="3"/>
      <c r="M405" s="2"/>
    </row>
    <row r="406" spans="1:13" ht="15.75" customHeight="1">
      <c r="A406" s="3"/>
      <c r="M406" s="2"/>
    </row>
    <row r="407" spans="1:13" ht="15.75" customHeight="1">
      <c r="A407" s="3"/>
      <c r="M407" s="2"/>
    </row>
    <row r="408" spans="1:13" ht="15.75" customHeight="1">
      <c r="A408" s="3"/>
      <c r="M408" s="2"/>
    </row>
    <row r="409" spans="1:13" ht="15.75" customHeight="1">
      <c r="A409" s="3"/>
      <c r="M409" s="2"/>
    </row>
    <row r="410" spans="1:13" ht="15.75" customHeight="1">
      <c r="A410" s="3"/>
      <c r="M410" s="2"/>
    </row>
    <row r="411" spans="1:13" ht="15.75" customHeight="1">
      <c r="A411" s="3"/>
      <c r="M411" s="2"/>
    </row>
    <row r="412" spans="1:13" ht="15.75" customHeight="1">
      <c r="A412" s="3"/>
      <c r="M412" s="2"/>
    </row>
    <row r="413" spans="1:13" ht="15.75" customHeight="1">
      <c r="A413" s="3"/>
      <c r="M413" s="2"/>
    </row>
    <row r="414" spans="1:13" ht="15.75" customHeight="1">
      <c r="A414" s="3"/>
      <c r="M414" s="2"/>
    </row>
    <row r="415" spans="1:13" ht="15.75" customHeight="1">
      <c r="A415" s="3"/>
      <c r="M415" s="2"/>
    </row>
    <row r="416" spans="1:13" ht="15.75" customHeight="1">
      <c r="A416" s="3"/>
      <c r="M416" s="2"/>
    </row>
    <row r="417" spans="1:13" ht="15.75" customHeight="1">
      <c r="A417" s="3"/>
      <c r="M417" s="2"/>
    </row>
    <row r="418" spans="1:13" ht="15.75" customHeight="1">
      <c r="A418" s="3"/>
      <c r="M418" s="2"/>
    </row>
    <row r="419" spans="1:13" ht="15.75" customHeight="1">
      <c r="A419" s="3"/>
      <c r="M419" s="2"/>
    </row>
    <row r="420" spans="1:13" ht="15.75" customHeight="1">
      <c r="A420" s="3"/>
      <c r="M420" s="2"/>
    </row>
    <row r="421" spans="1:13" ht="15.75" customHeight="1">
      <c r="A421" s="3"/>
      <c r="M421" s="2"/>
    </row>
    <row r="422" spans="1:13" ht="15.75" customHeight="1">
      <c r="A422" s="3"/>
      <c r="M422" s="2"/>
    </row>
    <row r="423" spans="1:13" ht="15.75" customHeight="1">
      <c r="A423" s="3"/>
      <c r="M423" s="2"/>
    </row>
    <row r="424" spans="1:13" ht="15.75" customHeight="1">
      <c r="A424" s="3"/>
      <c r="M424" s="2"/>
    </row>
    <row r="425" spans="1:13" ht="15.75" customHeight="1">
      <c r="A425" s="3"/>
      <c r="M425" s="2"/>
    </row>
    <row r="426" spans="1:13" ht="15.75" customHeight="1">
      <c r="A426" s="3"/>
      <c r="M426" s="2"/>
    </row>
    <row r="427" spans="1:13" ht="15.75" customHeight="1">
      <c r="A427" s="3"/>
      <c r="M427" s="2"/>
    </row>
    <row r="428" spans="1:13" ht="15.75" customHeight="1">
      <c r="A428" s="3"/>
      <c r="M428" s="2"/>
    </row>
    <row r="429" spans="1:13" ht="15.75" customHeight="1">
      <c r="A429" s="3"/>
      <c r="M429" s="2"/>
    </row>
    <row r="430" spans="1:13" ht="15.75" customHeight="1">
      <c r="A430" s="3"/>
      <c r="M430" s="2"/>
    </row>
    <row r="431" spans="1:13" ht="15.75" customHeight="1">
      <c r="A431" s="3"/>
      <c r="M431" s="2"/>
    </row>
    <row r="432" spans="1:13" ht="15.75" customHeight="1">
      <c r="A432" s="3"/>
      <c r="M432" s="2"/>
    </row>
    <row r="433" spans="1:13" ht="15.75" customHeight="1">
      <c r="A433" s="3"/>
      <c r="M433" s="2"/>
    </row>
    <row r="434" spans="1:13" ht="15.75" customHeight="1">
      <c r="A434" s="3"/>
      <c r="M434" s="2"/>
    </row>
    <row r="435" spans="1:13" ht="15.75" customHeight="1">
      <c r="A435" s="3"/>
      <c r="M435" s="2"/>
    </row>
    <row r="436" spans="1:13" ht="15.75" customHeight="1">
      <c r="A436" s="3"/>
      <c r="M436" s="2"/>
    </row>
    <row r="437" spans="1:13" ht="15.75" customHeight="1">
      <c r="A437" s="3"/>
      <c r="M437" s="2"/>
    </row>
    <row r="438" spans="1:13" ht="15.75" customHeight="1">
      <c r="A438" s="3"/>
      <c r="M438" s="2"/>
    </row>
    <row r="439" spans="1:13" ht="15.75" customHeight="1">
      <c r="A439" s="3"/>
      <c r="M439" s="2"/>
    </row>
    <row r="440" spans="1:13" ht="15.75" customHeight="1">
      <c r="A440" s="3"/>
      <c r="M440" s="2"/>
    </row>
    <row r="441" spans="1:13" ht="15.75" customHeight="1">
      <c r="A441" s="3"/>
      <c r="M441" s="2"/>
    </row>
    <row r="442" spans="1:13" ht="15.75" customHeight="1">
      <c r="A442" s="3"/>
      <c r="M442" s="2"/>
    </row>
    <row r="443" spans="1:13" ht="15.75" customHeight="1">
      <c r="A443" s="3"/>
      <c r="M443" s="2"/>
    </row>
    <row r="444" spans="1:13" ht="15.75" customHeight="1">
      <c r="A444" s="3"/>
      <c r="M444" s="2"/>
    </row>
    <row r="445" spans="1:13" ht="15.75" customHeight="1">
      <c r="A445" s="3"/>
      <c r="M445" s="2"/>
    </row>
    <row r="446" spans="1:13" ht="15.75" customHeight="1">
      <c r="A446" s="3"/>
      <c r="M446" s="2"/>
    </row>
    <row r="447" spans="1:13" ht="15.75" customHeight="1">
      <c r="A447" s="3"/>
      <c r="M447" s="2"/>
    </row>
    <row r="448" spans="1:13" ht="15.75" customHeight="1">
      <c r="A448" s="3"/>
      <c r="M448" s="2"/>
    </row>
    <row r="449" spans="1:13" ht="15.75" customHeight="1">
      <c r="A449" s="3"/>
      <c r="M449" s="2"/>
    </row>
    <row r="450" spans="1:13" ht="15.75" customHeight="1">
      <c r="A450" s="3"/>
      <c r="M450" s="2"/>
    </row>
    <row r="451" spans="1:13" ht="15.75" customHeight="1">
      <c r="A451" s="3"/>
      <c r="M451" s="2"/>
    </row>
    <row r="452" spans="1:13" ht="15.75" customHeight="1">
      <c r="A452" s="3"/>
      <c r="M452" s="2"/>
    </row>
    <row r="453" spans="1:13" ht="15.75" customHeight="1">
      <c r="A453" s="3"/>
      <c r="M453" s="2"/>
    </row>
    <row r="454" spans="1:13" ht="15.75" customHeight="1">
      <c r="A454" s="3"/>
      <c r="M454" s="2"/>
    </row>
    <row r="455" spans="1:13" ht="15.75" customHeight="1">
      <c r="A455" s="3"/>
      <c r="M455" s="2"/>
    </row>
    <row r="456" spans="1:13" ht="15.75" customHeight="1">
      <c r="A456" s="3"/>
      <c r="M456" s="2"/>
    </row>
    <row r="457" spans="1:13" ht="15.75" customHeight="1">
      <c r="A457" s="3"/>
      <c r="M457" s="2"/>
    </row>
    <row r="458" spans="1:13" ht="15.75" customHeight="1">
      <c r="A458" s="3"/>
      <c r="M458" s="2"/>
    </row>
    <row r="459" spans="1:13" ht="15.75" customHeight="1">
      <c r="A459" s="3"/>
      <c r="M459" s="2"/>
    </row>
    <row r="460" spans="1:13" ht="15.75" customHeight="1">
      <c r="A460" s="3"/>
      <c r="M460" s="2"/>
    </row>
    <row r="461" spans="1:13" ht="15.75" customHeight="1">
      <c r="A461" s="3"/>
      <c r="M461" s="2"/>
    </row>
    <row r="462" spans="1:13" ht="15.75" customHeight="1">
      <c r="A462" s="3"/>
      <c r="M462" s="2"/>
    </row>
    <row r="463" spans="1:13" ht="15.75" customHeight="1">
      <c r="A463" s="3"/>
      <c r="M463" s="2"/>
    </row>
    <row r="464" spans="1:13" ht="15.75" customHeight="1">
      <c r="A464" s="3"/>
      <c r="M464" s="2"/>
    </row>
    <row r="465" spans="1:13" ht="15.75" customHeight="1">
      <c r="A465" s="3"/>
      <c r="M465" s="2"/>
    </row>
    <row r="466" spans="1:13" ht="15.75" customHeight="1">
      <c r="A466" s="3"/>
      <c r="M466" s="2"/>
    </row>
    <row r="467" spans="1:13" ht="15.75" customHeight="1">
      <c r="A467" s="3"/>
      <c r="M467" s="2"/>
    </row>
    <row r="468" spans="1:13" ht="15.75" customHeight="1">
      <c r="A468" s="3"/>
      <c r="M468" s="2"/>
    </row>
    <row r="469" spans="1:13" ht="15.75" customHeight="1">
      <c r="A469" s="3"/>
      <c r="M469" s="2"/>
    </row>
    <row r="470" spans="1:13" ht="15.75" customHeight="1">
      <c r="A470" s="3"/>
      <c r="M470" s="2"/>
    </row>
    <row r="471" spans="1:13" ht="15.75" customHeight="1">
      <c r="A471" s="3"/>
      <c r="M471" s="2"/>
    </row>
    <row r="472" spans="1:13" ht="15.75" customHeight="1">
      <c r="A472" s="3"/>
      <c r="M472" s="2"/>
    </row>
    <row r="473" spans="1:13" ht="15.75" customHeight="1">
      <c r="A473" s="3"/>
      <c r="M473" s="2"/>
    </row>
    <row r="474" spans="1:13" ht="15.75" customHeight="1">
      <c r="A474" s="3"/>
      <c r="M474" s="2"/>
    </row>
    <row r="475" spans="1:13" ht="15.75" customHeight="1">
      <c r="A475" s="3"/>
      <c r="M475" s="2"/>
    </row>
    <row r="476" spans="1:13" ht="15.75" customHeight="1">
      <c r="A476" s="3"/>
      <c r="M476" s="2"/>
    </row>
    <row r="477" spans="1:13" ht="15.75" customHeight="1">
      <c r="A477" s="3"/>
      <c r="M477" s="2"/>
    </row>
    <row r="478" spans="1:13" ht="15.75" customHeight="1">
      <c r="A478" s="3"/>
      <c r="M478" s="2"/>
    </row>
    <row r="479" spans="1:13" ht="15.75" customHeight="1">
      <c r="A479" s="3"/>
      <c r="M479" s="2"/>
    </row>
    <row r="480" spans="1:13" ht="15.75" customHeight="1">
      <c r="A480" s="3"/>
      <c r="M480" s="2"/>
    </row>
    <row r="481" spans="1:13" ht="15.75" customHeight="1">
      <c r="A481" s="3"/>
      <c r="M481" s="2"/>
    </row>
    <row r="482" spans="1:13" ht="15.75" customHeight="1">
      <c r="A482" s="3"/>
      <c r="M482" s="2"/>
    </row>
    <row r="483" spans="1:13" ht="15.75" customHeight="1">
      <c r="A483" s="3"/>
      <c r="M483" s="2"/>
    </row>
    <row r="484" spans="1:13" ht="15.75" customHeight="1">
      <c r="A484" s="3"/>
      <c r="M484" s="2"/>
    </row>
    <row r="485" spans="1:13" ht="15.75" customHeight="1">
      <c r="A485" s="3"/>
      <c r="M485" s="2"/>
    </row>
    <row r="486" spans="1:13" ht="15.75" customHeight="1">
      <c r="A486" s="3"/>
      <c r="M486" s="2"/>
    </row>
    <row r="487" spans="1:13" ht="15.75" customHeight="1">
      <c r="A487" s="3"/>
      <c r="M487" s="2"/>
    </row>
    <row r="488" spans="1:13" ht="15.75" customHeight="1">
      <c r="A488" s="3"/>
      <c r="M488" s="2"/>
    </row>
    <row r="489" spans="1:13" ht="15.75" customHeight="1">
      <c r="A489" s="3"/>
      <c r="M489" s="2"/>
    </row>
    <row r="490" spans="1:13" ht="15.75" customHeight="1">
      <c r="A490" s="3"/>
      <c r="M490" s="2"/>
    </row>
    <row r="491" spans="1:13" ht="15.75" customHeight="1">
      <c r="A491" s="3"/>
      <c r="M491" s="2"/>
    </row>
    <row r="492" spans="1:13" ht="15.75" customHeight="1">
      <c r="A492" s="3"/>
      <c r="M492" s="2"/>
    </row>
    <row r="493" spans="1:13" ht="15.75" customHeight="1">
      <c r="A493" s="3"/>
      <c r="M493" s="2"/>
    </row>
    <row r="494" spans="1:13" ht="15.75" customHeight="1">
      <c r="A494" s="3"/>
      <c r="M494" s="2"/>
    </row>
    <row r="495" spans="1:13" ht="15.75" customHeight="1">
      <c r="A495" s="3"/>
      <c r="M495" s="2"/>
    </row>
    <row r="496" spans="1:13" ht="15.75" customHeight="1">
      <c r="A496" s="3"/>
      <c r="M496" s="2"/>
    </row>
    <row r="497" spans="1:13" ht="15.75" customHeight="1">
      <c r="A497" s="3"/>
      <c r="M497" s="2"/>
    </row>
    <row r="498" spans="1:13" ht="15.75" customHeight="1">
      <c r="A498" s="3"/>
      <c r="M498" s="2"/>
    </row>
    <row r="499" spans="1:13" ht="15.75" customHeight="1">
      <c r="A499" s="3"/>
      <c r="M499" s="2"/>
    </row>
    <row r="500" spans="1:13" ht="15.75" customHeight="1">
      <c r="A500" s="3"/>
      <c r="M500" s="2"/>
    </row>
    <row r="501" spans="1:13" ht="15.75" customHeight="1">
      <c r="A501" s="3"/>
      <c r="M501" s="2"/>
    </row>
    <row r="502" spans="1:13" ht="15.75" customHeight="1">
      <c r="A502" s="3"/>
      <c r="M502" s="2"/>
    </row>
    <row r="503" spans="1:13" ht="15.75" customHeight="1">
      <c r="A503" s="3"/>
      <c r="M503" s="2"/>
    </row>
    <row r="504" spans="1:13" ht="15.75" customHeight="1">
      <c r="A504" s="3"/>
      <c r="M504" s="2"/>
    </row>
    <row r="505" spans="1:13" ht="15.75" customHeight="1">
      <c r="A505" s="3"/>
      <c r="M505" s="2"/>
    </row>
    <row r="506" spans="1:13" ht="15.75" customHeight="1">
      <c r="A506" s="3"/>
      <c r="M506" s="2"/>
    </row>
    <row r="507" spans="1:13" ht="15.75" customHeight="1">
      <c r="A507" s="3"/>
      <c r="M507" s="2"/>
    </row>
    <row r="508" spans="1:13" ht="15.75" customHeight="1">
      <c r="A508" s="3"/>
      <c r="M508" s="2"/>
    </row>
    <row r="509" spans="1:13" ht="15.75" customHeight="1">
      <c r="A509" s="3"/>
      <c r="M509" s="2"/>
    </row>
    <row r="510" spans="1:13" ht="15.75" customHeight="1">
      <c r="A510" s="3"/>
      <c r="M510" s="2"/>
    </row>
    <row r="511" spans="1:13" ht="15.75" customHeight="1">
      <c r="A511" s="3"/>
      <c r="M511" s="2"/>
    </row>
    <row r="512" spans="1:13" ht="15.75" customHeight="1">
      <c r="A512" s="3"/>
      <c r="M512" s="2"/>
    </row>
    <row r="513" spans="1:13" ht="15.75" customHeight="1">
      <c r="A513" s="3"/>
      <c r="M513" s="2"/>
    </row>
    <row r="514" spans="1:13" ht="15.75" customHeight="1">
      <c r="A514" s="3"/>
      <c r="M514" s="2"/>
    </row>
    <row r="515" spans="1:13" ht="15.75" customHeight="1">
      <c r="A515" s="3"/>
      <c r="M515" s="2"/>
    </row>
    <row r="516" spans="1:13" ht="15.75" customHeight="1">
      <c r="A516" s="3"/>
      <c r="M516" s="2"/>
    </row>
    <row r="517" spans="1:13" ht="15.75" customHeight="1">
      <c r="A517" s="3"/>
      <c r="M517" s="2"/>
    </row>
    <row r="518" spans="1:13" ht="15.75" customHeight="1">
      <c r="A518" s="3"/>
      <c r="M518" s="2"/>
    </row>
    <row r="519" spans="1:13" ht="15.75" customHeight="1">
      <c r="A519" s="3"/>
      <c r="M519" s="2"/>
    </row>
    <row r="520" spans="1:13" ht="15.75" customHeight="1">
      <c r="A520" s="3"/>
      <c r="M520" s="2"/>
    </row>
    <row r="521" spans="1:13" ht="15.75" customHeight="1">
      <c r="A521" s="3"/>
      <c r="M521" s="2"/>
    </row>
    <row r="522" spans="1:13" ht="15.75" customHeight="1">
      <c r="A522" s="3"/>
      <c r="M522" s="2"/>
    </row>
    <row r="523" spans="1:13" ht="15.75" customHeight="1">
      <c r="A523" s="3"/>
      <c r="M523" s="2"/>
    </row>
    <row r="524" spans="1:13" ht="15.75" customHeight="1">
      <c r="A524" s="3"/>
      <c r="M524" s="2"/>
    </row>
    <row r="525" spans="1:13" ht="15.75" customHeight="1">
      <c r="A525" s="3"/>
      <c r="M525" s="2"/>
    </row>
    <row r="526" spans="1:13" ht="15.75" customHeight="1">
      <c r="A526" s="3"/>
      <c r="M526" s="2"/>
    </row>
    <row r="527" spans="1:13" ht="15.75" customHeight="1">
      <c r="A527" s="3"/>
      <c r="M527" s="2"/>
    </row>
    <row r="528" spans="1:13" ht="15.75" customHeight="1">
      <c r="A528" s="3"/>
      <c r="M528" s="2"/>
    </row>
    <row r="529" spans="1:13" ht="15.75" customHeight="1">
      <c r="A529" s="3"/>
      <c r="M529" s="2"/>
    </row>
    <row r="530" spans="1:13" ht="15.75" customHeight="1">
      <c r="A530" s="3"/>
      <c r="M530" s="2"/>
    </row>
    <row r="531" spans="1:13" ht="15.75" customHeight="1">
      <c r="A531" s="3"/>
      <c r="M531" s="2"/>
    </row>
    <row r="532" spans="1:13" ht="15.75" customHeight="1">
      <c r="A532" s="3"/>
      <c r="M532" s="2"/>
    </row>
    <row r="533" spans="1:13" ht="15.75" customHeight="1">
      <c r="A533" s="3"/>
      <c r="M533" s="2"/>
    </row>
    <row r="534" spans="1:13" ht="15.75" customHeight="1">
      <c r="A534" s="3"/>
      <c r="M534" s="2"/>
    </row>
    <row r="535" spans="1:13" ht="15.75" customHeight="1">
      <c r="A535" s="3"/>
      <c r="M535" s="2"/>
    </row>
    <row r="536" spans="1:13" ht="15.75" customHeight="1">
      <c r="A536" s="3"/>
      <c r="M536" s="2"/>
    </row>
    <row r="537" spans="1:13" ht="15.75" customHeight="1">
      <c r="A537" s="3"/>
      <c r="M537" s="2"/>
    </row>
    <row r="538" spans="1:13" ht="15.75" customHeight="1">
      <c r="A538" s="3"/>
      <c r="M538" s="2"/>
    </row>
    <row r="539" spans="1:13" ht="15.75" customHeight="1">
      <c r="A539" s="3"/>
      <c r="M539" s="2"/>
    </row>
    <row r="540" spans="1:13" ht="15.75" customHeight="1">
      <c r="A540" s="3"/>
      <c r="M540" s="2"/>
    </row>
    <row r="541" spans="1:13" ht="15.75" customHeight="1">
      <c r="A541" s="3"/>
      <c r="M541" s="2"/>
    </row>
    <row r="542" spans="1:13" ht="15.75" customHeight="1">
      <c r="A542" s="3"/>
      <c r="M542" s="2"/>
    </row>
    <row r="543" spans="1:13" ht="15.75" customHeight="1">
      <c r="A543" s="3"/>
      <c r="M543" s="2"/>
    </row>
    <row r="544" spans="1:13" ht="15.75" customHeight="1">
      <c r="A544" s="3"/>
      <c r="M544" s="2"/>
    </row>
    <row r="545" spans="1:13" ht="15.75" customHeight="1">
      <c r="A545" s="3"/>
      <c r="M545" s="2"/>
    </row>
    <row r="546" spans="1:13" ht="15.75" customHeight="1">
      <c r="A546" s="3"/>
      <c r="M546" s="2"/>
    </row>
    <row r="547" spans="1:13" ht="15.75" customHeight="1">
      <c r="A547" s="3"/>
      <c r="M547" s="2"/>
    </row>
    <row r="548" spans="1:13" ht="15.75" customHeight="1">
      <c r="A548" s="3"/>
      <c r="M548" s="2"/>
    </row>
    <row r="549" spans="1:13" ht="15.75" customHeight="1">
      <c r="A549" s="3"/>
      <c r="M549" s="2"/>
    </row>
    <row r="550" spans="1:13" ht="15.75" customHeight="1">
      <c r="A550" s="3"/>
      <c r="M550" s="2"/>
    </row>
    <row r="551" spans="1:13" ht="15.75" customHeight="1">
      <c r="A551" s="3"/>
      <c r="M551" s="2"/>
    </row>
    <row r="552" spans="1:13" ht="15.75" customHeight="1">
      <c r="A552" s="3"/>
      <c r="M552" s="2"/>
    </row>
    <row r="553" spans="1:13" ht="15.75" customHeight="1">
      <c r="A553" s="3"/>
      <c r="M553" s="2"/>
    </row>
    <row r="554" spans="1:13" ht="15.75" customHeight="1">
      <c r="A554" s="3"/>
      <c r="M554" s="2"/>
    </row>
    <row r="555" spans="1:13" ht="15.75" customHeight="1">
      <c r="A555" s="3"/>
      <c r="M555" s="2"/>
    </row>
    <row r="556" spans="1:13" ht="15.75" customHeight="1">
      <c r="A556" s="3"/>
      <c r="M556" s="2"/>
    </row>
    <row r="557" spans="1:13" ht="15.75" customHeight="1">
      <c r="A557" s="3"/>
      <c r="M557" s="2"/>
    </row>
    <row r="558" spans="1:13" ht="15.75" customHeight="1">
      <c r="A558" s="3"/>
      <c r="M558" s="2"/>
    </row>
    <row r="559" spans="1:13" ht="15.75" customHeight="1">
      <c r="A559" s="3"/>
      <c r="M559" s="2"/>
    </row>
    <row r="560" spans="1:13" ht="15.75" customHeight="1">
      <c r="A560" s="3"/>
      <c r="M560" s="2"/>
    </row>
    <row r="561" spans="1:13" ht="15.75" customHeight="1">
      <c r="A561" s="3"/>
      <c r="M561" s="2"/>
    </row>
    <row r="562" spans="1:13" ht="15.75" customHeight="1">
      <c r="A562" s="3"/>
      <c r="M562" s="2"/>
    </row>
    <row r="563" spans="1:13" ht="15.75" customHeight="1">
      <c r="A563" s="3"/>
      <c r="M563" s="2"/>
    </row>
    <row r="564" spans="1:13" ht="15.75" customHeight="1">
      <c r="A564" s="3"/>
      <c r="M564" s="2"/>
    </row>
    <row r="565" spans="1:13" ht="15.75" customHeight="1">
      <c r="A565" s="3"/>
      <c r="M565" s="2"/>
    </row>
    <row r="566" spans="1:13" ht="15.75" customHeight="1">
      <c r="A566" s="3"/>
      <c r="M566" s="2"/>
    </row>
    <row r="567" spans="1:13" ht="15.75" customHeight="1">
      <c r="A567" s="3"/>
      <c r="M567" s="2"/>
    </row>
    <row r="568" spans="1:13" ht="15.75" customHeight="1">
      <c r="A568" s="3"/>
      <c r="M568" s="2"/>
    </row>
    <row r="569" spans="1:13" ht="15.75" customHeight="1">
      <c r="A569" s="3"/>
      <c r="M569" s="2"/>
    </row>
    <row r="570" spans="1:13" ht="15.75" customHeight="1">
      <c r="A570" s="3"/>
      <c r="M570" s="2"/>
    </row>
    <row r="571" spans="1:13" ht="15.75" customHeight="1">
      <c r="A571" s="3"/>
      <c r="M571" s="2"/>
    </row>
    <row r="572" spans="1:13" ht="15.75" customHeight="1">
      <c r="A572" s="3"/>
      <c r="M572" s="2"/>
    </row>
    <row r="573" spans="1:13" ht="15.75" customHeight="1">
      <c r="A573" s="3"/>
      <c r="M573" s="2"/>
    </row>
    <row r="574" spans="1:13" ht="15.75" customHeight="1">
      <c r="A574" s="3"/>
      <c r="M574" s="2"/>
    </row>
    <row r="575" spans="1:13" ht="15.75" customHeight="1">
      <c r="A575" s="3"/>
      <c r="M575" s="2"/>
    </row>
    <row r="576" spans="1:13" ht="15.75" customHeight="1">
      <c r="A576" s="3"/>
      <c r="M576" s="2"/>
    </row>
    <row r="577" spans="1:13" ht="15.75" customHeight="1">
      <c r="A577" s="3"/>
      <c r="M577" s="2"/>
    </row>
    <row r="578" spans="1:13" ht="15.75" customHeight="1">
      <c r="A578" s="3"/>
      <c r="M578" s="2"/>
    </row>
    <row r="579" spans="1:13" ht="15.75" customHeight="1">
      <c r="A579" s="3"/>
      <c r="M579" s="2"/>
    </row>
    <row r="580" spans="1:13" ht="15.75" customHeight="1">
      <c r="A580" s="3"/>
      <c r="M580" s="2"/>
    </row>
    <row r="581" spans="1:13" ht="15.75" customHeight="1">
      <c r="A581" s="3"/>
      <c r="M581" s="2"/>
    </row>
    <row r="582" spans="1:13" ht="15.75" customHeight="1">
      <c r="A582" s="3"/>
      <c r="M582" s="2"/>
    </row>
    <row r="583" spans="1:13" ht="15.75" customHeight="1">
      <c r="A583" s="3"/>
      <c r="M583" s="2"/>
    </row>
    <row r="584" spans="1:13" ht="15.75" customHeight="1">
      <c r="A584" s="3"/>
      <c r="M584" s="2"/>
    </row>
    <row r="585" spans="1:13" ht="15.75" customHeight="1">
      <c r="A585" s="3"/>
      <c r="M585" s="2"/>
    </row>
    <row r="586" spans="1:13" ht="15.75" customHeight="1">
      <c r="A586" s="3"/>
      <c r="M586" s="2"/>
    </row>
    <row r="587" spans="1:13" ht="15.75" customHeight="1">
      <c r="A587" s="3"/>
      <c r="M587" s="2"/>
    </row>
    <row r="588" spans="1:13" ht="15.75" customHeight="1">
      <c r="A588" s="3"/>
      <c r="M588" s="2"/>
    </row>
    <row r="589" spans="1:13" ht="15.75" customHeight="1">
      <c r="A589" s="3"/>
      <c r="M589" s="2"/>
    </row>
    <row r="590" spans="1:13" ht="15.75" customHeight="1">
      <c r="A590" s="3"/>
      <c r="M590" s="2"/>
    </row>
    <row r="591" spans="1:13" ht="15.75" customHeight="1">
      <c r="A591" s="3"/>
      <c r="M591" s="2"/>
    </row>
    <row r="592" spans="1:13" ht="15.75" customHeight="1">
      <c r="A592" s="3"/>
      <c r="M592" s="2"/>
    </row>
    <row r="593" spans="1:13" ht="15.75" customHeight="1">
      <c r="A593" s="3"/>
      <c r="M593" s="2"/>
    </row>
    <row r="594" spans="1:13" ht="15.75" customHeight="1">
      <c r="A594" s="3"/>
      <c r="M594" s="2"/>
    </row>
    <row r="595" spans="1:13" ht="15.75" customHeight="1">
      <c r="A595" s="3"/>
      <c r="M595" s="2"/>
    </row>
    <row r="596" spans="1:13" ht="15.75" customHeight="1">
      <c r="A596" s="3"/>
      <c r="M596" s="2"/>
    </row>
    <row r="597" spans="1:13" ht="15.75" customHeight="1">
      <c r="A597" s="3"/>
      <c r="M597" s="2"/>
    </row>
    <row r="598" spans="1:13" ht="15.75" customHeight="1">
      <c r="A598" s="3"/>
      <c r="M598" s="2"/>
    </row>
    <row r="599" spans="1:13" ht="15.75" customHeight="1">
      <c r="A599" s="3"/>
      <c r="M599" s="2"/>
    </row>
    <row r="600" spans="1:13" ht="15.75" customHeight="1">
      <c r="A600" s="3"/>
      <c r="M600" s="2"/>
    </row>
    <row r="601" spans="1:13" ht="15.75" customHeight="1">
      <c r="A601" s="3"/>
      <c r="M601" s="2"/>
    </row>
    <row r="602" spans="1:13" ht="15.75" customHeight="1">
      <c r="A602" s="3"/>
      <c r="M602" s="2"/>
    </row>
    <row r="603" spans="1:13" ht="15.75" customHeight="1">
      <c r="A603" s="3"/>
      <c r="M603" s="2"/>
    </row>
    <row r="604" spans="1:13" ht="15.75" customHeight="1">
      <c r="A604" s="3"/>
      <c r="M604" s="2"/>
    </row>
    <row r="605" spans="1:13" ht="15.75" customHeight="1">
      <c r="A605" s="3"/>
      <c r="M605" s="2"/>
    </row>
    <row r="606" spans="1:13" ht="15.75" customHeight="1">
      <c r="A606" s="3"/>
      <c r="M606" s="2"/>
    </row>
    <row r="607" spans="1:13" ht="15.75" customHeight="1">
      <c r="A607" s="3"/>
      <c r="M607" s="2"/>
    </row>
    <row r="608" spans="1:13" ht="15.75" customHeight="1">
      <c r="A608" s="3"/>
      <c r="M608" s="2"/>
    </row>
    <row r="609" spans="1:13" ht="15.75" customHeight="1">
      <c r="A609" s="3"/>
      <c r="M609" s="2"/>
    </row>
    <row r="610" spans="1:13" ht="15.75" customHeight="1">
      <c r="A610" s="3"/>
      <c r="M610" s="2"/>
    </row>
    <row r="611" spans="1:13" ht="15.75" customHeight="1">
      <c r="A611" s="3"/>
      <c r="M611" s="2"/>
    </row>
    <row r="612" spans="1:13" ht="15.75" customHeight="1">
      <c r="A612" s="3"/>
      <c r="M612" s="2"/>
    </row>
    <row r="613" spans="1:13" ht="15.75" customHeight="1">
      <c r="A613" s="3"/>
      <c r="M613" s="2"/>
    </row>
    <row r="614" spans="1:13" ht="15.75" customHeight="1">
      <c r="A614" s="3"/>
      <c r="M614" s="2"/>
    </row>
    <row r="615" spans="1:13" ht="15.75" customHeight="1">
      <c r="A615" s="3"/>
      <c r="M615" s="2"/>
    </row>
    <row r="616" spans="1:13" ht="15.75" customHeight="1">
      <c r="A616" s="3"/>
      <c r="M616" s="2"/>
    </row>
    <row r="617" spans="1:13" ht="15.75" customHeight="1">
      <c r="A617" s="3"/>
      <c r="M617" s="2"/>
    </row>
    <row r="618" spans="1:13" ht="15.75" customHeight="1">
      <c r="A618" s="3"/>
      <c r="M618" s="2"/>
    </row>
    <row r="619" spans="1:13" ht="15.75" customHeight="1">
      <c r="A619" s="3"/>
      <c r="M619" s="2"/>
    </row>
    <row r="620" spans="1:13" ht="15.75" customHeight="1">
      <c r="A620" s="3"/>
      <c r="M620" s="2"/>
    </row>
    <row r="621" spans="1:13" ht="15.75" customHeight="1">
      <c r="A621" s="3"/>
      <c r="M621" s="2"/>
    </row>
    <row r="622" spans="1:13" ht="15.75" customHeight="1">
      <c r="A622" s="3"/>
      <c r="M622" s="2"/>
    </row>
    <row r="623" spans="1:13" ht="15.75" customHeight="1">
      <c r="A623" s="3"/>
      <c r="M623" s="2"/>
    </row>
    <row r="624" spans="1:13" ht="15.75" customHeight="1">
      <c r="A624" s="3"/>
      <c r="M624" s="2"/>
    </row>
    <row r="625" spans="1:13" ht="15.75" customHeight="1">
      <c r="A625" s="3"/>
      <c r="M625" s="2"/>
    </row>
    <row r="626" spans="1:13" ht="15.75" customHeight="1">
      <c r="A626" s="3"/>
      <c r="M626" s="2"/>
    </row>
    <row r="627" spans="1:13" ht="15.75" customHeight="1">
      <c r="A627" s="3"/>
      <c r="M627" s="2"/>
    </row>
    <row r="628" spans="1:13" ht="15.75" customHeight="1">
      <c r="A628" s="3"/>
      <c r="M628" s="2"/>
    </row>
    <row r="629" spans="1:13" ht="15.75" customHeight="1">
      <c r="A629" s="3"/>
      <c r="M629" s="2"/>
    </row>
    <row r="630" spans="1:13" ht="15.75" customHeight="1">
      <c r="A630" s="3"/>
      <c r="M630" s="2"/>
    </row>
    <row r="631" spans="1:13" ht="15.75" customHeight="1">
      <c r="A631" s="3"/>
      <c r="M631" s="2"/>
    </row>
    <row r="632" spans="1:13" ht="15.75" customHeight="1">
      <c r="A632" s="3"/>
      <c r="M632" s="2"/>
    </row>
    <row r="633" spans="1:13" ht="15.75" customHeight="1">
      <c r="A633" s="3"/>
      <c r="M633" s="2"/>
    </row>
    <row r="634" spans="1:13" ht="15.75" customHeight="1">
      <c r="A634" s="3"/>
      <c r="M634" s="2"/>
    </row>
    <row r="635" spans="1:13" ht="15.75" customHeight="1">
      <c r="A635" s="3"/>
      <c r="M635" s="2"/>
    </row>
    <row r="636" spans="1:13" ht="15.75" customHeight="1">
      <c r="A636" s="3"/>
      <c r="M636" s="2"/>
    </row>
    <row r="637" spans="1:13" ht="15.75" customHeight="1">
      <c r="A637" s="3"/>
      <c r="M637" s="2"/>
    </row>
    <row r="638" spans="1:13" ht="15.75" customHeight="1">
      <c r="A638" s="3"/>
      <c r="M638" s="2"/>
    </row>
    <row r="639" spans="1:13" ht="15.75" customHeight="1">
      <c r="A639" s="3"/>
      <c r="M639" s="2"/>
    </row>
    <row r="640" spans="1:13" ht="15.75" customHeight="1">
      <c r="A640" s="3"/>
      <c r="M640" s="2"/>
    </row>
    <row r="641" spans="1:13" ht="15.75" customHeight="1">
      <c r="A641" s="3"/>
      <c r="M641" s="2"/>
    </row>
    <row r="642" spans="1:13" ht="15.75" customHeight="1">
      <c r="A642" s="3"/>
      <c r="M642" s="2"/>
    </row>
    <row r="643" spans="1:13" ht="15.75" customHeight="1">
      <c r="A643" s="3"/>
      <c r="M643" s="2"/>
    </row>
    <row r="644" spans="1:13" ht="15.75" customHeight="1">
      <c r="A644" s="3"/>
      <c r="M644" s="2"/>
    </row>
    <row r="645" spans="1:13" ht="15.75" customHeight="1">
      <c r="A645" s="3"/>
      <c r="M645" s="2"/>
    </row>
    <row r="646" spans="1:13" ht="15.75" customHeight="1">
      <c r="A646" s="3"/>
      <c r="M646" s="2"/>
    </row>
    <row r="647" spans="1:13" ht="15.75" customHeight="1">
      <c r="A647" s="3"/>
      <c r="M647" s="2"/>
    </row>
    <row r="648" spans="1:13" ht="15.75" customHeight="1">
      <c r="A648" s="3"/>
      <c r="M648" s="2"/>
    </row>
    <row r="649" spans="1:13" ht="15.75" customHeight="1">
      <c r="A649" s="3"/>
      <c r="M649" s="2"/>
    </row>
    <row r="650" spans="1:13" ht="15.75" customHeight="1">
      <c r="A650" s="3"/>
      <c r="M650" s="2"/>
    </row>
    <row r="651" spans="1:13" ht="15.75" customHeight="1">
      <c r="A651" s="3"/>
      <c r="M651" s="2"/>
    </row>
    <row r="652" spans="1:13" ht="15.75" customHeight="1">
      <c r="A652" s="3"/>
      <c r="M652" s="2"/>
    </row>
    <row r="653" spans="1:13" ht="15.75" customHeight="1">
      <c r="A653" s="3"/>
      <c r="M653" s="2"/>
    </row>
    <row r="654" spans="1:13" ht="15.75" customHeight="1">
      <c r="A654" s="3"/>
      <c r="M654" s="2"/>
    </row>
    <row r="655" spans="1:13" ht="15.75" customHeight="1">
      <c r="A655" s="3"/>
      <c r="M655" s="2"/>
    </row>
    <row r="656" spans="1:13" ht="15.75" customHeight="1">
      <c r="A656" s="3"/>
      <c r="M656" s="2"/>
    </row>
    <row r="657" spans="1:13" ht="15.75" customHeight="1">
      <c r="A657" s="3"/>
      <c r="M657" s="2"/>
    </row>
    <row r="658" spans="1:13" ht="15.75" customHeight="1">
      <c r="A658" s="3"/>
      <c r="M658" s="2"/>
    </row>
    <row r="659" spans="1:13" ht="15.75" customHeight="1">
      <c r="A659" s="3"/>
      <c r="M659" s="2"/>
    </row>
    <row r="660" spans="1:13" ht="15.75" customHeight="1">
      <c r="A660" s="3"/>
      <c r="M660" s="2"/>
    </row>
    <row r="661" spans="1:13" ht="15.75" customHeight="1">
      <c r="A661" s="3"/>
      <c r="M661" s="2"/>
    </row>
    <row r="662" spans="1:13" ht="15.75" customHeight="1">
      <c r="A662" s="3"/>
      <c r="M662" s="2"/>
    </row>
    <row r="663" spans="1:13" ht="15.75" customHeight="1">
      <c r="A663" s="3"/>
      <c r="M663" s="2"/>
    </row>
    <row r="664" spans="1:13" ht="15.75" customHeight="1">
      <c r="A664" s="3"/>
      <c r="M664" s="2"/>
    </row>
    <row r="665" spans="1:13" ht="15.75" customHeight="1">
      <c r="A665" s="3"/>
      <c r="M665" s="2"/>
    </row>
    <row r="666" spans="1:13" ht="15.75" customHeight="1">
      <c r="A666" s="3"/>
      <c r="M666" s="2"/>
    </row>
    <row r="667" spans="1:13" ht="15.75" customHeight="1">
      <c r="A667" s="3"/>
      <c r="M667" s="2"/>
    </row>
    <row r="668" spans="1:13" ht="15.75" customHeight="1">
      <c r="A668" s="3"/>
      <c r="M668" s="2"/>
    </row>
    <row r="669" spans="1:13" ht="15.75" customHeight="1">
      <c r="A669" s="3"/>
      <c r="M669" s="2"/>
    </row>
    <row r="670" spans="1:13" ht="15.75" customHeight="1">
      <c r="A670" s="3"/>
      <c r="M670" s="2"/>
    </row>
    <row r="671" spans="1:13" ht="15.75" customHeight="1">
      <c r="A671" s="3"/>
      <c r="M671" s="2"/>
    </row>
    <row r="672" spans="1:13" ht="15.75" customHeight="1">
      <c r="A672" s="3"/>
      <c r="M672" s="2"/>
    </row>
    <row r="673" spans="1:13" ht="15.75" customHeight="1">
      <c r="A673" s="3"/>
      <c r="M673" s="2"/>
    </row>
    <row r="674" spans="1:13" ht="15.75" customHeight="1">
      <c r="A674" s="3"/>
      <c r="M674" s="2"/>
    </row>
    <row r="675" spans="1:13" ht="15.75" customHeight="1">
      <c r="A675" s="3"/>
      <c r="M675" s="2"/>
    </row>
    <row r="676" spans="1:13" ht="15.75" customHeight="1">
      <c r="A676" s="3"/>
      <c r="M676" s="2"/>
    </row>
    <row r="677" spans="1:13" ht="15.75" customHeight="1">
      <c r="A677" s="3"/>
      <c r="M677" s="2"/>
    </row>
    <row r="678" spans="1:13" ht="15.75" customHeight="1">
      <c r="A678" s="3"/>
      <c r="M678" s="2"/>
    </row>
    <row r="679" spans="1:13" ht="15.75" customHeight="1">
      <c r="A679" s="3"/>
      <c r="M679" s="2"/>
    </row>
    <row r="680" spans="1:13" ht="15.75" customHeight="1">
      <c r="A680" s="3"/>
      <c r="M680" s="2"/>
    </row>
    <row r="681" spans="1:13" ht="15.75" customHeight="1">
      <c r="A681" s="3"/>
      <c r="M681" s="2"/>
    </row>
    <row r="682" spans="1:13" ht="15.75" customHeight="1">
      <c r="A682" s="3"/>
      <c r="M682" s="2"/>
    </row>
    <row r="683" spans="1:13" ht="15.75" customHeight="1">
      <c r="A683" s="3"/>
      <c r="M683" s="2"/>
    </row>
    <row r="684" spans="1:13" ht="15.75" customHeight="1">
      <c r="A684" s="3"/>
      <c r="M684" s="2"/>
    </row>
    <row r="685" spans="1:13" ht="15.75" customHeight="1">
      <c r="A685" s="3"/>
      <c r="M685" s="2"/>
    </row>
    <row r="686" spans="1:13" ht="15.75" customHeight="1">
      <c r="A686" s="3"/>
      <c r="M686" s="2"/>
    </row>
    <row r="687" spans="1:13" ht="15.75" customHeight="1">
      <c r="A687" s="3"/>
      <c r="M687" s="2"/>
    </row>
    <row r="688" spans="1:13" ht="15.75" customHeight="1">
      <c r="A688" s="3"/>
      <c r="M688" s="2"/>
    </row>
    <row r="689" spans="1:13" ht="15.75" customHeight="1">
      <c r="A689" s="3"/>
      <c r="M689" s="2"/>
    </row>
    <row r="690" spans="1:13" ht="15.75" customHeight="1">
      <c r="A690" s="3"/>
      <c r="M690" s="2"/>
    </row>
    <row r="691" spans="1:13" ht="15.75" customHeight="1">
      <c r="A691" s="3"/>
      <c r="M691" s="2"/>
    </row>
    <row r="692" spans="1:13" ht="15.75" customHeight="1">
      <c r="A692" s="3"/>
      <c r="M692" s="2"/>
    </row>
    <row r="693" spans="1:13" ht="15.75" customHeight="1">
      <c r="A693" s="3"/>
      <c r="M693" s="2"/>
    </row>
    <row r="694" spans="1:13" ht="15.75" customHeight="1">
      <c r="A694" s="3"/>
      <c r="M694" s="2"/>
    </row>
    <row r="695" spans="1:13" ht="15.75" customHeight="1">
      <c r="A695" s="3"/>
      <c r="M695" s="2"/>
    </row>
    <row r="696" spans="1:13" ht="15.75" customHeight="1">
      <c r="A696" s="3"/>
      <c r="M696" s="2"/>
    </row>
    <row r="697" spans="1:13" ht="15.75" customHeight="1">
      <c r="A697" s="3"/>
      <c r="M697" s="2"/>
    </row>
    <row r="698" spans="1:13" ht="15.75" customHeight="1">
      <c r="A698" s="3"/>
      <c r="M698" s="2"/>
    </row>
    <row r="699" spans="1:13" ht="15.75" customHeight="1">
      <c r="A699" s="3"/>
      <c r="M699" s="2"/>
    </row>
    <row r="700" spans="1:13" ht="15.75" customHeight="1">
      <c r="A700" s="3"/>
      <c r="M700" s="2"/>
    </row>
    <row r="701" spans="1:13" ht="15.75" customHeight="1">
      <c r="A701" s="3"/>
      <c r="M701" s="2"/>
    </row>
    <row r="702" spans="1:13" ht="15.75" customHeight="1">
      <c r="A702" s="3"/>
      <c r="M702" s="2"/>
    </row>
    <row r="703" spans="1:13" ht="15.75" customHeight="1">
      <c r="A703" s="3"/>
      <c r="M703" s="2"/>
    </row>
    <row r="704" spans="1:13" ht="15.75" customHeight="1">
      <c r="A704" s="3"/>
      <c r="M704" s="2"/>
    </row>
    <row r="705" spans="1:13" ht="15.75" customHeight="1">
      <c r="A705" s="3"/>
      <c r="M705" s="2"/>
    </row>
    <row r="706" spans="1:13" ht="15.75" customHeight="1">
      <c r="A706" s="3"/>
      <c r="M706" s="2"/>
    </row>
    <row r="707" spans="1:13" ht="15.75" customHeight="1">
      <c r="A707" s="3"/>
      <c r="M707" s="2"/>
    </row>
    <row r="708" spans="1:13" ht="15.75" customHeight="1">
      <c r="A708" s="3"/>
      <c r="M708" s="2"/>
    </row>
    <row r="709" spans="1:13" ht="15.75" customHeight="1">
      <c r="A709" s="3"/>
      <c r="M709" s="2"/>
    </row>
    <row r="710" spans="1:13" ht="15.75" customHeight="1">
      <c r="A710" s="3"/>
      <c r="M710" s="2"/>
    </row>
    <row r="711" spans="1:13" ht="15.75" customHeight="1">
      <c r="A711" s="3"/>
      <c r="M711" s="2"/>
    </row>
    <row r="712" spans="1:13" ht="15.75" customHeight="1">
      <c r="A712" s="3"/>
      <c r="M712" s="2"/>
    </row>
    <row r="713" spans="1:13" ht="15.75" customHeight="1">
      <c r="A713" s="3"/>
      <c r="M713" s="2"/>
    </row>
    <row r="714" spans="1:13" ht="15.75" customHeight="1">
      <c r="A714" s="3"/>
      <c r="M714" s="2"/>
    </row>
    <row r="715" spans="1:13" ht="15.75" customHeight="1">
      <c r="A715" s="3"/>
      <c r="M715" s="2"/>
    </row>
    <row r="716" spans="1:13" ht="15.75" customHeight="1">
      <c r="A716" s="3"/>
      <c r="M716" s="2"/>
    </row>
    <row r="717" spans="1:13" ht="15.75" customHeight="1">
      <c r="A717" s="3"/>
      <c r="M717" s="2"/>
    </row>
    <row r="718" spans="1:13" ht="15.75" customHeight="1">
      <c r="A718" s="3"/>
      <c r="M718" s="2"/>
    </row>
    <row r="719" spans="1:13" ht="15.75" customHeight="1">
      <c r="A719" s="3"/>
      <c r="M719" s="2"/>
    </row>
    <row r="720" spans="1:13" ht="15.75" customHeight="1">
      <c r="A720" s="3"/>
      <c r="M720" s="2"/>
    </row>
    <row r="721" spans="1:13" ht="15.75" customHeight="1">
      <c r="A721" s="3"/>
      <c r="M721" s="2"/>
    </row>
    <row r="722" spans="1:13" ht="15.75" customHeight="1">
      <c r="A722" s="3"/>
      <c r="M722" s="2"/>
    </row>
    <row r="723" spans="1:13" ht="15.75" customHeight="1">
      <c r="A723" s="3"/>
      <c r="M723" s="2"/>
    </row>
    <row r="724" spans="1:13" ht="15.75" customHeight="1">
      <c r="A724" s="3"/>
      <c r="M724" s="2"/>
    </row>
    <row r="725" spans="1:13" ht="15.75" customHeight="1">
      <c r="A725" s="3"/>
      <c r="M725" s="2"/>
    </row>
    <row r="726" spans="1:13" ht="15.75" customHeight="1">
      <c r="A726" s="3"/>
      <c r="M726" s="2"/>
    </row>
    <row r="727" spans="1:13" ht="15.75" customHeight="1">
      <c r="A727" s="3"/>
      <c r="M727" s="2"/>
    </row>
    <row r="728" spans="1:13" ht="15.75" customHeight="1">
      <c r="A728" s="3"/>
      <c r="M728" s="2"/>
    </row>
    <row r="729" spans="1:13" ht="15.75" customHeight="1">
      <c r="A729" s="3"/>
      <c r="M729" s="2"/>
    </row>
    <row r="730" spans="1:13" ht="15.75" customHeight="1">
      <c r="A730" s="3"/>
      <c r="M730" s="2"/>
    </row>
    <row r="731" spans="1:13" ht="15.75" customHeight="1">
      <c r="A731" s="3"/>
      <c r="M731" s="2"/>
    </row>
    <row r="732" spans="1:13" ht="15.75" customHeight="1">
      <c r="A732" s="3"/>
      <c r="M732" s="2"/>
    </row>
    <row r="733" spans="1:13" ht="15.75" customHeight="1">
      <c r="A733" s="3"/>
      <c r="M733" s="2"/>
    </row>
    <row r="734" spans="1:13" ht="15.75" customHeight="1">
      <c r="A734" s="3"/>
      <c r="M734" s="2"/>
    </row>
    <row r="735" spans="1:13" ht="15.75" customHeight="1">
      <c r="A735" s="3"/>
      <c r="M735" s="2"/>
    </row>
    <row r="736" spans="1:13" ht="15.75" customHeight="1">
      <c r="A736" s="3"/>
      <c r="M736" s="2"/>
    </row>
    <row r="737" spans="1:13" ht="15.75" customHeight="1">
      <c r="A737" s="3"/>
      <c r="M737" s="2"/>
    </row>
    <row r="738" spans="1:13" ht="15.75" customHeight="1">
      <c r="A738" s="3"/>
      <c r="M738" s="2"/>
    </row>
    <row r="739" spans="1:13" ht="15.75" customHeight="1">
      <c r="A739" s="3"/>
      <c r="M739" s="2"/>
    </row>
    <row r="740" spans="1:13" ht="15.75" customHeight="1">
      <c r="A740" s="3"/>
      <c r="M740" s="2"/>
    </row>
    <row r="741" spans="1:13" ht="15.75" customHeight="1">
      <c r="A741" s="3"/>
      <c r="M741" s="2"/>
    </row>
    <row r="742" spans="1:13" ht="15.75" customHeight="1">
      <c r="A742" s="3"/>
      <c r="M742" s="2"/>
    </row>
    <row r="743" spans="1:13" ht="15.75" customHeight="1">
      <c r="A743" s="3"/>
      <c r="M743" s="2"/>
    </row>
    <row r="744" spans="1:13" ht="15.75" customHeight="1">
      <c r="A744" s="3"/>
      <c r="M744" s="2"/>
    </row>
    <row r="745" spans="1:13" ht="15.75" customHeight="1">
      <c r="A745" s="3"/>
      <c r="M745" s="2"/>
    </row>
    <row r="746" spans="1:13" ht="15.75" customHeight="1">
      <c r="A746" s="3"/>
      <c r="M746" s="2"/>
    </row>
    <row r="747" spans="1:13" ht="15.75" customHeight="1">
      <c r="A747" s="3"/>
      <c r="M747" s="2"/>
    </row>
    <row r="748" spans="1:13" ht="15.75" customHeight="1">
      <c r="A748" s="3"/>
      <c r="M748" s="2"/>
    </row>
    <row r="749" spans="1:13" ht="15.75" customHeight="1">
      <c r="A749" s="3"/>
      <c r="M749" s="2"/>
    </row>
    <row r="750" spans="1:13" ht="15.75" customHeight="1">
      <c r="A750" s="3"/>
      <c r="M750" s="2"/>
    </row>
    <row r="751" spans="1:13" ht="15.75" customHeight="1">
      <c r="A751" s="3"/>
      <c r="M751" s="2"/>
    </row>
    <row r="752" spans="1:13" ht="15.75" customHeight="1">
      <c r="A752" s="3"/>
      <c r="M752" s="2"/>
    </row>
    <row r="753" spans="1:13" ht="15.75" customHeight="1">
      <c r="A753" s="3"/>
      <c r="M753" s="2"/>
    </row>
    <row r="754" spans="1:13" ht="15.75" customHeight="1">
      <c r="A754" s="3"/>
      <c r="M754" s="2"/>
    </row>
    <row r="755" spans="1:13" ht="15.75" customHeight="1">
      <c r="A755" s="3"/>
      <c r="M755" s="2"/>
    </row>
    <row r="756" spans="1:13" ht="15.75" customHeight="1">
      <c r="A756" s="3"/>
      <c r="M756" s="2"/>
    </row>
    <row r="757" spans="1:13" ht="15.75" customHeight="1">
      <c r="A757" s="3"/>
      <c r="M757" s="2"/>
    </row>
    <row r="758" spans="1:13" ht="15.75" customHeight="1">
      <c r="A758" s="3"/>
      <c r="M758" s="2"/>
    </row>
    <row r="759" spans="1:13" ht="15.75" customHeight="1">
      <c r="A759" s="3"/>
      <c r="M759" s="2"/>
    </row>
    <row r="760" spans="1:13" ht="15.75" customHeight="1">
      <c r="A760" s="3"/>
      <c r="M760" s="2"/>
    </row>
    <row r="761" spans="1:13" ht="15.75" customHeight="1">
      <c r="A761" s="3"/>
      <c r="M761" s="2"/>
    </row>
    <row r="762" spans="1:13" ht="15.75" customHeight="1">
      <c r="A762" s="3"/>
      <c r="M762" s="2"/>
    </row>
    <row r="763" spans="1:13" ht="15.75" customHeight="1">
      <c r="A763" s="3"/>
      <c r="M763" s="2"/>
    </row>
    <row r="764" spans="1:13" ht="15.75" customHeight="1">
      <c r="A764" s="3"/>
      <c r="M764" s="2"/>
    </row>
    <row r="765" spans="1:13" ht="15.75" customHeight="1">
      <c r="A765" s="3"/>
      <c r="M765" s="2"/>
    </row>
    <row r="766" spans="1:13" ht="15.75" customHeight="1">
      <c r="A766" s="3"/>
      <c r="M766" s="2"/>
    </row>
    <row r="767" spans="1:13" ht="15.75" customHeight="1">
      <c r="A767" s="3"/>
      <c r="M767" s="2"/>
    </row>
    <row r="768" spans="1:13" ht="15.75" customHeight="1">
      <c r="A768" s="3"/>
      <c r="M768" s="2"/>
    </row>
    <row r="769" spans="1:13" ht="15.75" customHeight="1">
      <c r="A769" s="3"/>
      <c r="M769" s="2"/>
    </row>
    <row r="770" spans="1:13" ht="15.75" customHeight="1">
      <c r="A770" s="3"/>
      <c r="M770" s="2"/>
    </row>
    <row r="771" spans="1:13" ht="15.75" customHeight="1">
      <c r="A771" s="3"/>
      <c r="M771" s="2"/>
    </row>
    <row r="772" spans="1:13" ht="15.75" customHeight="1">
      <c r="A772" s="3"/>
      <c r="M772" s="2"/>
    </row>
    <row r="773" spans="1:13" ht="15.75" customHeight="1">
      <c r="A773" s="3"/>
      <c r="M773" s="2"/>
    </row>
    <row r="774" spans="1:13" ht="15.75" customHeight="1">
      <c r="A774" s="3"/>
      <c r="M774" s="2"/>
    </row>
    <row r="775" spans="1:13" ht="15.75" customHeight="1">
      <c r="A775" s="3"/>
      <c r="M775" s="2"/>
    </row>
    <row r="776" spans="1:13" ht="15.75" customHeight="1">
      <c r="A776" s="3"/>
      <c r="M776" s="2"/>
    </row>
    <row r="777" spans="1:13" ht="15.75" customHeight="1">
      <c r="A777" s="3"/>
      <c r="M777" s="2"/>
    </row>
    <row r="778" spans="1:13" ht="15.75" customHeight="1">
      <c r="A778" s="3"/>
      <c r="M778" s="2"/>
    </row>
    <row r="779" spans="1:13" ht="15.75" customHeight="1">
      <c r="A779" s="3"/>
      <c r="M779" s="2"/>
    </row>
    <row r="780" spans="1:13" ht="15.75" customHeight="1">
      <c r="A780" s="3"/>
      <c r="M780" s="2"/>
    </row>
    <row r="781" spans="1:13" ht="15.75" customHeight="1">
      <c r="A781" s="3"/>
      <c r="M781" s="2"/>
    </row>
    <row r="782" spans="1:13" ht="15.75" customHeight="1">
      <c r="A782" s="3"/>
      <c r="M782" s="2"/>
    </row>
    <row r="783" spans="1:13" ht="15.75" customHeight="1">
      <c r="A783" s="3"/>
      <c r="M783" s="2"/>
    </row>
    <row r="784" spans="1:13" ht="15.75" customHeight="1">
      <c r="A784" s="3"/>
      <c r="M784" s="2"/>
    </row>
    <row r="785" spans="1:13" ht="15.75" customHeight="1">
      <c r="A785" s="3"/>
      <c r="M785" s="2"/>
    </row>
    <row r="786" spans="1:13" ht="15.75" customHeight="1">
      <c r="A786" s="3"/>
      <c r="M786" s="2"/>
    </row>
    <row r="787" spans="1:13" ht="15.75" customHeight="1">
      <c r="A787" s="3"/>
      <c r="M787" s="2"/>
    </row>
    <row r="788" spans="1:13" ht="15.75" customHeight="1">
      <c r="A788" s="3"/>
      <c r="M788" s="2"/>
    </row>
    <row r="789" spans="1:13" ht="15.75" customHeight="1">
      <c r="A789" s="3"/>
      <c r="M789" s="2"/>
    </row>
    <row r="790" spans="1:13" ht="15.75" customHeight="1">
      <c r="A790" s="3"/>
      <c r="M790" s="2"/>
    </row>
    <row r="791" spans="1:13" ht="15.75" customHeight="1">
      <c r="A791" s="3"/>
      <c r="M791" s="2"/>
    </row>
    <row r="792" spans="1:13" ht="15.75" customHeight="1">
      <c r="A792" s="3"/>
      <c r="M792" s="2"/>
    </row>
    <row r="793" spans="1:13" ht="15.75" customHeight="1">
      <c r="A793" s="3"/>
      <c r="M793" s="2"/>
    </row>
    <row r="794" spans="1:13" ht="15.75" customHeight="1">
      <c r="A794" s="3"/>
      <c r="M794" s="2"/>
    </row>
    <row r="795" spans="1:13" ht="15.75" customHeight="1">
      <c r="A795" s="3"/>
      <c r="M795" s="2"/>
    </row>
    <row r="796" spans="1:13" ht="15.75" customHeight="1">
      <c r="A796" s="3"/>
      <c r="M796" s="2"/>
    </row>
    <row r="797" spans="1:13" ht="15.75" customHeight="1">
      <c r="A797" s="3"/>
      <c r="M797" s="2"/>
    </row>
    <row r="798" spans="1:13" ht="15.75" customHeight="1">
      <c r="A798" s="3"/>
      <c r="M798" s="2"/>
    </row>
    <row r="799" spans="1:13" ht="15.75" customHeight="1">
      <c r="A799" s="3"/>
      <c r="M799" s="2"/>
    </row>
    <row r="800" spans="1:13" ht="15.75" customHeight="1">
      <c r="A800" s="3"/>
      <c r="M800" s="2"/>
    </row>
    <row r="801" spans="1:13" ht="15.75" customHeight="1">
      <c r="A801" s="3"/>
      <c r="M801" s="2"/>
    </row>
    <row r="802" spans="1:13" ht="15.75" customHeight="1">
      <c r="A802" s="3"/>
      <c r="M802" s="2"/>
    </row>
    <row r="803" spans="1:13" ht="15.75" customHeight="1">
      <c r="A803" s="3"/>
      <c r="M803" s="2"/>
    </row>
    <row r="804" spans="1:13" ht="15.75" customHeight="1">
      <c r="A804" s="3"/>
      <c r="M804" s="2"/>
    </row>
    <row r="805" spans="1:13" ht="15.75" customHeight="1">
      <c r="A805" s="3"/>
      <c r="M805" s="2"/>
    </row>
    <row r="806" spans="1:13" ht="15.75" customHeight="1">
      <c r="A806" s="3"/>
      <c r="M806" s="2"/>
    </row>
    <row r="807" spans="1:13" ht="15.75" customHeight="1">
      <c r="A807" s="3"/>
      <c r="M807" s="2"/>
    </row>
    <row r="808" spans="1:13" ht="15.75" customHeight="1">
      <c r="A808" s="3"/>
      <c r="M808" s="2"/>
    </row>
    <row r="809" spans="1:13" ht="15.75" customHeight="1">
      <c r="A809" s="3"/>
      <c r="M809" s="2"/>
    </row>
    <row r="810" spans="1:13" ht="15.75" customHeight="1">
      <c r="A810" s="3"/>
      <c r="M810" s="2"/>
    </row>
    <row r="811" spans="1:13" ht="15.75" customHeight="1">
      <c r="A811" s="3"/>
      <c r="M811" s="2"/>
    </row>
    <row r="812" spans="1:13" ht="15.75" customHeight="1">
      <c r="A812" s="3"/>
      <c r="M812" s="2"/>
    </row>
    <row r="813" spans="1:13" ht="15.75" customHeight="1">
      <c r="A813" s="3"/>
      <c r="M813" s="2"/>
    </row>
    <row r="814" spans="1:13" ht="15.75" customHeight="1">
      <c r="A814" s="3"/>
      <c r="M814" s="2"/>
    </row>
    <row r="815" spans="1:13" ht="15.75" customHeight="1">
      <c r="A815" s="3"/>
      <c r="M815" s="2"/>
    </row>
    <row r="816" spans="1:13" ht="15.75" customHeight="1">
      <c r="A816" s="3"/>
      <c r="M816" s="2"/>
    </row>
    <row r="817" spans="1:13" ht="15.75" customHeight="1">
      <c r="A817" s="3"/>
      <c r="M817" s="2"/>
    </row>
    <row r="818" spans="1:13" ht="15.75" customHeight="1">
      <c r="A818" s="3"/>
      <c r="M818" s="2"/>
    </row>
    <row r="819" spans="1:13" ht="15.75" customHeight="1">
      <c r="A819" s="3"/>
      <c r="M819" s="2"/>
    </row>
    <row r="820" spans="1:13" ht="15.75" customHeight="1">
      <c r="A820" s="3"/>
      <c r="M820" s="2"/>
    </row>
    <row r="821" spans="1:13" ht="15.75" customHeight="1">
      <c r="A821" s="3"/>
      <c r="M821" s="2"/>
    </row>
    <row r="822" spans="1:13" ht="15.75" customHeight="1">
      <c r="A822" s="3"/>
      <c r="M822" s="2"/>
    </row>
    <row r="823" spans="1:13" ht="15.75" customHeight="1">
      <c r="A823" s="3"/>
      <c r="M823" s="2"/>
    </row>
    <row r="824" spans="1:13" ht="15.75" customHeight="1">
      <c r="A824" s="3"/>
      <c r="M824" s="2"/>
    </row>
    <row r="825" spans="1:13" ht="15.75" customHeight="1">
      <c r="A825" s="3"/>
      <c r="M825" s="2"/>
    </row>
    <row r="826" spans="1:13" ht="15.75" customHeight="1">
      <c r="A826" s="3"/>
      <c r="M826" s="2"/>
    </row>
    <row r="827" spans="1:13" ht="15.75" customHeight="1">
      <c r="A827" s="3"/>
      <c r="M827" s="2"/>
    </row>
    <row r="828" spans="1:13" ht="15.75" customHeight="1">
      <c r="A828" s="3"/>
      <c r="M828" s="2"/>
    </row>
    <row r="829" spans="1:13" ht="15.75" customHeight="1">
      <c r="A829" s="3"/>
      <c r="M829" s="2"/>
    </row>
    <row r="830" spans="1:13" ht="15.75" customHeight="1">
      <c r="A830" s="3"/>
      <c r="M830" s="2"/>
    </row>
    <row r="831" spans="1:13" ht="15.75" customHeight="1">
      <c r="A831" s="3"/>
      <c r="M831" s="2"/>
    </row>
    <row r="832" spans="1:13" ht="15.75" customHeight="1">
      <c r="A832" s="3"/>
      <c r="M832" s="2"/>
    </row>
    <row r="833" spans="1:13" ht="15.75" customHeight="1">
      <c r="A833" s="3"/>
      <c r="M833" s="2"/>
    </row>
    <row r="834" spans="1:13" ht="15.75" customHeight="1">
      <c r="A834" s="3"/>
      <c r="M834" s="2"/>
    </row>
    <row r="835" spans="1:13" ht="15.75" customHeight="1">
      <c r="A835" s="3"/>
      <c r="M835" s="2"/>
    </row>
    <row r="836" spans="1:13" ht="15.75" customHeight="1">
      <c r="A836" s="3"/>
      <c r="M836" s="2"/>
    </row>
    <row r="837" spans="1:13" ht="15.75" customHeight="1">
      <c r="A837" s="3"/>
      <c r="M837" s="2"/>
    </row>
    <row r="838" spans="1:13" ht="15.75" customHeight="1">
      <c r="A838" s="3"/>
      <c r="M838" s="2"/>
    </row>
    <row r="839" spans="1:13" ht="15.75" customHeight="1">
      <c r="A839" s="3"/>
      <c r="M839" s="2"/>
    </row>
    <row r="840" spans="1:13" ht="15.75" customHeight="1">
      <c r="A840" s="3"/>
      <c r="M840" s="2"/>
    </row>
    <row r="841" spans="1:13" ht="15.75" customHeight="1">
      <c r="A841" s="3"/>
      <c r="M841" s="2"/>
    </row>
    <row r="842" spans="1:13" ht="15.75" customHeight="1">
      <c r="A842" s="3"/>
      <c r="M842" s="2"/>
    </row>
    <row r="843" spans="1:13" ht="15.75" customHeight="1">
      <c r="A843" s="3"/>
      <c r="M843" s="2"/>
    </row>
    <row r="844" spans="1:13" ht="15.75" customHeight="1">
      <c r="A844" s="3"/>
      <c r="M844" s="2"/>
    </row>
    <row r="845" spans="1:13" ht="15.75" customHeight="1">
      <c r="A845" s="3"/>
      <c r="M845" s="2"/>
    </row>
    <row r="846" spans="1:13" ht="15.75" customHeight="1">
      <c r="A846" s="3"/>
      <c r="M846" s="2"/>
    </row>
    <row r="847" spans="1:13" ht="15.75" customHeight="1">
      <c r="A847" s="3"/>
      <c r="M847" s="2"/>
    </row>
    <row r="848" spans="1:13" ht="15.75" customHeight="1">
      <c r="A848" s="3"/>
      <c r="M848" s="2"/>
    </row>
    <row r="849" spans="1:13" ht="15.75" customHeight="1">
      <c r="A849" s="3"/>
      <c r="M849" s="2"/>
    </row>
    <row r="850" spans="1:13" ht="15.75" customHeight="1">
      <c r="A850" s="3"/>
      <c r="M850" s="2"/>
    </row>
    <row r="851" spans="1:13" ht="15.75" customHeight="1">
      <c r="A851" s="3"/>
      <c r="M851" s="2"/>
    </row>
    <row r="852" spans="1:13" ht="15.75" customHeight="1">
      <c r="A852" s="3"/>
      <c r="M852" s="2"/>
    </row>
    <row r="853" spans="1:13" ht="15.75" customHeight="1">
      <c r="A853" s="3"/>
      <c r="M853" s="2"/>
    </row>
    <row r="854" spans="1:13" ht="15.75" customHeight="1">
      <c r="A854" s="3"/>
      <c r="M854" s="2"/>
    </row>
    <row r="855" spans="1:13" ht="15.75" customHeight="1">
      <c r="A855" s="3"/>
      <c r="M855" s="2"/>
    </row>
    <row r="856" spans="1:13" ht="15.75" customHeight="1">
      <c r="A856" s="3"/>
      <c r="M856" s="2"/>
    </row>
    <row r="857" spans="1:13" ht="15.75" customHeight="1">
      <c r="A857" s="3"/>
      <c r="M857" s="2"/>
    </row>
    <row r="858" spans="1:13" ht="15.75" customHeight="1">
      <c r="A858" s="3"/>
      <c r="M858" s="2"/>
    </row>
    <row r="859" spans="1:13" ht="15.75" customHeight="1">
      <c r="A859" s="3"/>
      <c r="M859" s="2"/>
    </row>
    <row r="860" spans="1:13" ht="15.75" customHeight="1">
      <c r="A860" s="3"/>
      <c r="M860" s="2"/>
    </row>
    <row r="861" spans="1:13" ht="15.75" customHeight="1">
      <c r="A861" s="3"/>
      <c r="M861" s="2"/>
    </row>
    <row r="862" spans="1:13" ht="15.75" customHeight="1">
      <c r="A862" s="3"/>
      <c r="M862" s="2"/>
    </row>
    <row r="863" spans="1:13" ht="15.75" customHeight="1">
      <c r="A863" s="3"/>
      <c r="M863" s="2"/>
    </row>
    <row r="864" spans="1:13" ht="15.75" customHeight="1">
      <c r="A864" s="3"/>
      <c r="M864" s="2"/>
    </row>
    <row r="865" spans="1:13" ht="15.75" customHeight="1">
      <c r="A865" s="3"/>
      <c r="M865" s="2"/>
    </row>
    <row r="866" spans="1:13" ht="15.75" customHeight="1">
      <c r="A866" s="3"/>
      <c r="M866" s="2"/>
    </row>
    <row r="867" spans="1:13" ht="15.75" customHeight="1">
      <c r="A867" s="3"/>
      <c r="M867" s="2"/>
    </row>
    <row r="868" spans="1:13" ht="15.75" customHeight="1">
      <c r="A868" s="3"/>
      <c r="M868" s="2"/>
    </row>
    <row r="869" spans="1:13" ht="15.75" customHeight="1">
      <c r="A869" s="3"/>
      <c r="M869" s="2"/>
    </row>
    <row r="870" spans="1:13" ht="15.75" customHeight="1">
      <c r="A870" s="3"/>
      <c r="M870" s="2"/>
    </row>
    <row r="871" spans="1:13" ht="15.75" customHeight="1">
      <c r="A871" s="3"/>
      <c r="M871" s="2"/>
    </row>
    <row r="872" spans="1:13" ht="15.75" customHeight="1">
      <c r="A872" s="3"/>
      <c r="M872" s="2"/>
    </row>
    <row r="873" spans="1:13" ht="15.75" customHeight="1">
      <c r="A873" s="3"/>
      <c r="M873" s="2"/>
    </row>
    <row r="874" spans="1:13" ht="15.75" customHeight="1">
      <c r="A874" s="3"/>
      <c r="M874" s="2"/>
    </row>
    <row r="875" spans="1:13" ht="15.75" customHeight="1">
      <c r="A875" s="3"/>
      <c r="M875" s="2"/>
    </row>
    <row r="876" spans="1:13" ht="15.75" customHeight="1">
      <c r="A876" s="3"/>
      <c r="M876" s="2"/>
    </row>
    <row r="877" spans="1:13" ht="15.75" customHeight="1">
      <c r="A877" s="3"/>
      <c r="M877" s="2"/>
    </row>
    <row r="878" spans="1:13" ht="15.75" customHeight="1">
      <c r="A878" s="3"/>
      <c r="M878" s="2"/>
    </row>
    <row r="879" spans="1:13" ht="15.75" customHeight="1">
      <c r="A879" s="3"/>
      <c r="M879" s="2"/>
    </row>
    <row r="880" spans="1:13" ht="15.75" customHeight="1">
      <c r="A880" s="3"/>
      <c r="M880" s="2"/>
    </row>
    <row r="881" spans="1:13" ht="15.75" customHeight="1">
      <c r="A881" s="3"/>
      <c r="M881" s="2"/>
    </row>
    <row r="882" spans="1:13" ht="15.75" customHeight="1">
      <c r="A882" s="3"/>
      <c r="M882" s="2"/>
    </row>
    <row r="883" spans="1:13" ht="15.75" customHeight="1">
      <c r="A883" s="3"/>
      <c r="M883" s="2"/>
    </row>
    <row r="884" spans="1:13" ht="15.75" customHeight="1">
      <c r="A884" s="3"/>
      <c r="M884" s="2"/>
    </row>
    <row r="885" spans="1:13" ht="15.75" customHeight="1">
      <c r="A885" s="3"/>
      <c r="M885" s="2"/>
    </row>
    <row r="886" spans="1:13" ht="15.75" customHeight="1">
      <c r="A886" s="3"/>
      <c r="M886" s="2"/>
    </row>
    <row r="887" spans="1:13" ht="15.75" customHeight="1">
      <c r="A887" s="3"/>
      <c r="M887" s="2"/>
    </row>
    <row r="888" spans="1:13" ht="15.75" customHeight="1">
      <c r="A888" s="3"/>
      <c r="M888" s="2"/>
    </row>
    <row r="889" spans="1:13" ht="15.75" customHeight="1">
      <c r="A889" s="3"/>
      <c r="M889" s="2"/>
    </row>
    <row r="890" spans="1:13" ht="15.75" customHeight="1">
      <c r="A890" s="3"/>
      <c r="M890" s="2"/>
    </row>
    <row r="891" spans="1:13" ht="15.75" customHeight="1">
      <c r="A891" s="3"/>
      <c r="M891" s="2"/>
    </row>
    <row r="892" spans="1:13" ht="15.75" customHeight="1">
      <c r="A892" s="3"/>
      <c r="M892" s="2"/>
    </row>
    <row r="893" spans="1:13" ht="15.75" customHeight="1">
      <c r="A893" s="3"/>
      <c r="M893" s="2"/>
    </row>
    <row r="894" spans="1:13" ht="15.75" customHeight="1">
      <c r="A894" s="3"/>
      <c r="M894" s="2"/>
    </row>
    <row r="895" spans="1:13" ht="15.75" customHeight="1">
      <c r="A895" s="3"/>
      <c r="M895" s="2"/>
    </row>
    <row r="896" spans="1:13" ht="15.75" customHeight="1">
      <c r="A896" s="3"/>
      <c r="M896" s="2"/>
    </row>
    <row r="897" spans="1:13" ht="15.75" customHeight="1">
      <c r="A897" s="3"/>
      <c r="M897" s="2"/>
    </row>
    <row r="898" spans="1:13" ht="15.75" customHeight="1">
      <c r="A898" s="3"/>
      <c r="M898" s="2"/>
    </row>
    <row r="899" spans="1:13" ht="15.75" customHeight="1">
      <c r="A899" s="3"/>
      <c r="M899" s="2"/>
    </row>
    <row r="900" spans="1:13" ht="15.75" customHeight="1">
      <c r="A900" s="3"/>
      <c r="M900" s="2"/>
    </row>
    <row r="901" spans="1:13" ht="15.75" customHeight="1">
      <c r="A901" s="3"/>
      <c r="M901" s="2"/>
    </row>
    <row r="902" spans="1:13" ht="15.75" customHeight="1">
      <c r="A902" s="3"/>
      <c r="M902" s="2"/>
    </row>
    <row r="903" spans="1:13" ht="15.75" customHeight="1">
      <c r="A903" s="3"/>
      <c r="M903" s="2"/>
    </row>
    <row r="904" spans="1:13" ht="15.75" customHeight="1">
      <c r="A904" s="3"/>
      <c r="M904" s="2"/>
    </row>
    <row r="905" spans="1:13" ht="15.75" customHeight="1">
      <c r="A905" s="3"/>
      <c r="M905" s="2"/>
    </row>
    <row r="906" spans="1:13" ht="15.75" customHeight="1">
      <c r="A906" s="3"/>
      <c r="M906" s="2"/>
    </row>
    <row r="907" spans="1:13" ht="15.75" customHeight="1">
      <c r="A907" s="3"/>
      <c r="M907" s="2"/>
    </row>
    <row r="908" spans="1:13" ht="15.75" customHeight="1">
      <c r="A908" s="3"/>
      <c r="M908" s="2"/>
    </row>
    <row r="909" spans="1:13" ht="15.75" customHeight="1">
      <c r="A909" s="3"/>
      <c r="M909" s="2"/>
    </row>
    <row r="910" spans="1:13" ht="15.75" customHeight="1">
      <c r="A910" s="3"/>
      <c r="M910" s="2"/>
    </row>
    <row r="911" spans="1:13" ht="15.75" customHeight="1">
      <c r="A911" s="3"/>
      <c r="M911" s="2"/>
    </row>
    <row r="912" spans="1:13" ht="15.75" customHeight="1">
      <c r="A912" s="3"/>
      <c r="M912" s="2"/>
    </row>
    <row r="913" spans="1:13" ht="15.75" customHeight="1">
      <c r="A913" s="3"/>
      <c r="M913" s="2"/>
    </row>
    <row r="914" spans="1:13" ht="15.75" customHeight="1">
      <c r="A914" s="3"/>
      <c r="M914" s="2"/>
    </row>
    <row r="915" spans="1:13" ht="15.75" customHeight="1">
      <c r="A915" s="3"/>
      <c r="M915" s="2"/>
    </row>
    <row r="916" spans="1:13" ht="15.75" customHeight="1">
      <c r="A916" s="3"/>
      <c r="M916" s="2"/>
    </row>
    <row r="917" spans="1:13" ht="15.75" customHeight="1">
      <c r="A917" s="3"/>
      <c r="M917" s="2"/>
    </row>
    <row r="918" spans="1:13" ht="15.75" customHeight="1">
      <c r="A918" s="3"/>
      <c r="M918" s="2"/>
    </row>
    <row r="919" spans="1:13" ht="15.75" customHeight="1">
      <c r="A919" s="3"/>
      <c r="M919" s="2"/>
    </row>
    <row r="920" spans="1:13" ht="15.75" customHeight="1">
      <c r="A920" s="3"/>
      <c r="M920" s="2"/>
    </row>
    <row r="921" spans="1:13" ht="15.75" customHeight="1">
      <c r="A921" s="3"/>
      <c r="M921" s="2"/>
    </row>
    <row r="922" spans="1:13" ht="15.75" customHeight="1">
      <c r="A922" s="3"/>
      <c r="M922" s="2"/>
    </row>
    <row r="923" spans="1:13" ht="15.75" customHeight="1">
      <c r="A923" s="3"/>
      <c r="M923" s="2"/>
    </row>
    <row r="924" spans="1:13" ht="15.75" customHeight="1">
      <c r="A924" s="3"/>
      <c r="M924" s="2"/>
    </row>
    <row r="925" spans="1:13" ht="15.75" customHeight="1">
      <c r="A925" s="3"/>
      <c r="M925" s="2"/>
    </row>
    <row r="926" spans="1:13" ht="15.75" customHeight="1">
      <c r="A926" s="3"/>
      <c r="M926" s="2"/>
    </row>
    <row r="927" spans="1:13" ht="15.75" customHeight="1">
      <c r="A927" s="3"/>
      <c r="M927" s="2"/>
    </row>
    <row r="928" spans="1:13" ht="15.75" customHeight="1">
      <c r="A928" s="3"/>
      <c r="M928" s="2"/>
    </row>
    <row r="929" spans="1:13" ht="15.75" customHeight="1">
      <c r="A929" s="3"/>
      <c r="M929" s="2"/>
    </row>
    <row r="930" spans="1:13" ht="15.75" customHeight="1">
      <c r="A930" s="3"/>
      <c r="M930" s="2"/>
    </row>
    <row r="931" spans="1:13" ht="15.75" customHeight="1">
      <c r="A931" s="3"/>
      <c r="M931" s="2"/>
    </row>
    <row r="932" spans="1:13" ht="15.75" customHeight="1">
      <c r="A932" s="3"/>
      <c r="M932" s="2"/>
    </row>
    <row r="933" spans="1:13" ht="15.75" customHeight="1">
      <c r="A933" s="3"/>
      <c r="M933" s="2"/>
    </row>
    <row r="934" spans="1:13" ht="15.75" customHeight="1">
      <c r="A934" s="3"/>
      <c r="M934" s="2"/>
    </row>
    <row r="935" spans="1:13" ht="15.75" customHeight="1">
      <c r="A935" s="3"/>
      <c r="M935" s="2"/>
    </row>
    <row r="936" spans="1:13" ht="15.75" customHeight="1">
      <c r="A936" s="3"/>
      <c r="M936" s="2"/>
    </row>
    <row r="937" spans="1:13" ht="15.75" customHeight="1">
      <c r="A937" s="3"/>
      <c r="M937" s="2"/>
    </row>
    <row r="938" spans="1:13" ht="15.75" customHeight="1">
      <c r="A938" s="3"/>
      <c r="M938" s="2"/>
    </row>
    <row r="939" spans="1:13" ht="15.75" customHeight="1">
      <c r="A939" s="3"/>
      <c r="M939" s="2"/>
    </row>
    <row r="940" spans="1:13" ht="15.75" customHeight="1">
      <c r="A940" s="3"/>
      <c r="M940" s="2"/>
    </row>
    <row r="941" spans="1:13" ht="15.75" customHeight="1">
      <c r="A941" s="3"/>
      <c r="M941" s="2"/>
    </row>
    <row r="942" spans="1:13" ht="15.75" customHeight="1">
      <c r="A942" s="3"/>
      <c r="M942" s="2"/>
    </row>
    <row r="943" spans="1:13" ht="15.75" customHeight="1">
      <c r="A943" s="3"/>
      <c r="M943" s="2"/>
    </row>
    <row r="944" spans="1:13" ht="15.75" customHeight="1">
      <c r="A944" s="3"/>
      <c r="M944" s="2"/>
    </row>
    <row r="945" spans="1:13" ht="15.75" customHeight="1">
      <c r="A945" s="3"/>
      <c r="M945" s="2"/>
    </row>
    <row r="946" spans="1:13" ht="15.75" customHeight="1">
      <c r="A946" s="3"/>
      <c r="M946" s="2"/>
    </row>
    <row r="947" spans="1:13" ht="15.75" customHeight="1">
      <c r="A947" s="3"/>
      <c r="M947" s="2"/>
    </row>
    <row r="948" spans="1:13" ht="15.75" customHeight="1">
      <c r="A948" s="3"/>
      <c r="M948" s="2"/>
    </row>
    <row r="949" spans="1:13" ht="15.75" customHeight="1">
      <c r="A949" s="3"/>
      <c r="M949" s="2"/>
    </row>
    <row r="950" spans="1:13" ht="15.75" customHeight="1">
      <c r="A950" s="3"/>
      <c r="M950" s="2"/>
    </row>
    <row r="951" spans="1:13" ht="15.75" customHeight="1">
      <c r="A951" s="3"/>
      <c r="M951" s="2"/>
    </row>
    <row r="952" spans="1:13" ht="15.75" customHeight="1">
      <c r="A952" s="3"/>
      <c r="M952" s="2"/>
    </row>
    <row r="953" spans="1:13" ht="15.75" customHeight="1">
      <c r="A953" s="3"/>
      <c r="M953" s="2"/>
    </row>
    <row r="954" spans="1:13" ht="15.75" customHeight="1">
      <c r="A954" s="3"/>
      <c r="M954" s="2"/>
    </row>
    <row r="955" spans="1:13" ht="15.75" customHeight="1">
      <c r="A955" s="3"/>
      <c r="M955" s="2"/>
    </row>
    <row r="956" spans="1:13" ht="15.75" customHeight="1">
      <c r="A956" s="3"/>
      <c r="M956" s="2"/>
    </row>
    <row r="957" spans="1:13" ht="15.75" customHeight="1">
      <c r="A957" s="3"/>
      <c r="M957" s="2"/>
    </row>
    <row r="958" spans="1:13" ht="15.75" customHeight="1">
      <c r="A958" s="3"/>
      <c r="M958" s="2"/>
    </row>
    <row r="959" spans="1:13" ht="15.75" customHeight="1">
      <c r="A959" s="3"/>
      <c r="M959" s="2"/>
    </row>
    <row r="960" spans="1:13" ht="15.75" customHeight="1">
      <c r="A960" s="3"/>
      <c r="M960" s="2"/>
    </row>
    <row r="961" spans="1:13" ht="15.75" customHeight="1">
      <c r="A961" s="3"/>
      <c r="M961" s="2"/>
    </row>
    <row r="962" spans="1:13" ht="15.75" customHeight="1">
      <c r="A962" s="3"/>
      <c r="M962" s="2"/>
    </row>
    <row r="963" spans="1:13" ht="15.75" customHeight="1">
      <c r="A963" s="3"/>
      <c r="M963" s="2"/>
    </row>
    <row r="964" spans="1:13" ht="15.75" customHeight="1">
      <c r="A964" s="3"/>
      <c r="M964" s="2"/>
    </row>
    <row r="965" spans="1:13" ht="15.75" customHeight="1">
      <c r="A965" s="3"/>
      <c r="M965" s="2"/>
    </row>
    <row r="966" spans="1:13" ht="15.75" customHeight="1">
      <c r="A966" s="3"/>
      <c r="M966" s="2"/>
    </row>
    <row r="967" spans="1:13" ht="15.75" customHeight="1">
      <c r="A967" s="3"/>
      <c r="M967" s="2"/>
    </row>
    <row r="968" spans="1:13" ht="15.75" customHeight="1">
      <c r="A968" s="3"/>
      <c r="M968" s="2"/>
    </row>
    <row r="969" spans="1:13" ht="15.75" customHeight="1">
      <c r="A969" s="3"/>
      <c r="M969" s="2"/>
    </row>
    <row r="970" spans="1:13" ht="15.75" customHeight="1">
      <c r="A970" s="3"/>
      <c r="M970" s="2"/>
    </row>
    <row r="971" spans="1:13" ht="15.75" customHeight="1">
      <c r="A971" s="3"/>
      <c r="M971" s="2"/>
    </row>
    <row r="972" spans="1:13" ht="15.75" customHeight="1">
      <c r="A972" s="3"/>
      <c r="M972" s="2"/>
    </row>
    <row r="973" spans="1:13" ht="15.75" customHeight="1">
      <c r="A973" s="3"/>
      <c r="M973" s="2"/>
    </row>
    <row r="974" spans="1:13" ht="15.75" customHeight="1">
      <c r="A974" s="3"/>
      <c r="M974" s="2"/>
    </row>
    <row r="975" spans="1:13" ht="15.75" customHeight="1">
      <c r="A975" s="3"/>
      <c r="M975" s="2"/>
    </row>
    <row r="976" spans="1:13" ht="15.75" customHeight="1">
      <c r="A976" s="3"/>
      <c r="M976" s="2"/>
    </row>
    <row r="977" spans="1:13" ht="15.75" customHeight="1">
      <c r="A977" s="3"/>
      <c r="M977" s="2"/>
    </row>
    <row r="978" spans="1:13" ht="15.75" customHeight="1">
      <c r="A978" s="3"/>
      <c r="M978" s="2"/>
    </row>
    <row r="979" spans="1:13" ht="15.75" customHeight="1">
      <c r="A979" s="3"/>
      <c r="M979" s="2"/>
    </row>
    <row r="980" spans="1:13" ht="15.75" customHeight="1">
      <c r="A980" s="3"/>
      <c r="M980" s="2"/>
    </row>
    <row r="981" spans="1:13" ht="15.75" customHeight="1">
      <c r="A981" s="3"/>
      <c r="M981" s="2"/>
    </row>
    <row r="982" spans="1:13" ht="15.75" customHeight="1">
      <c r="A982" s="3"/>
      <c r="M982" s="2"/>
    </row>
    <row r="983" spans="1:13" ht="15.75" customHeight="1">
      <c r="A983" s="3"/>
      <c r="M983" s="2"/>
    </row>
    <row r="984" spans="1:13" ht="15.75" customHeight="1">
      <c r="A984" s="3"/>
      <c r="M984" s="2"/>
    </row>
    <row r="985" spans="1:13" ht="15.75" customHeight="1">
      <c r="A985" s="3"/>
      <c r="M985" s="2"/>
    </row>
    <row r="986" spans="1:13" ht="15.75" customHeight="1">
      <c r="A986" s="3"/>
      <c r="M986" s="2"/>
    </row>
    <row r="987" spans="1:13" ht="15.75" customHeight="1">
      <c r="A987" s="3"/>
      <c r="M987" s="2"/>
    </row>
    <row r="988" spans="1:13" ht="15.75" customHeight="1">
      <c r="A988" s="3"/>
      <c r="M988" s="2"/>
    </row>
    <row r="989" spans="1:13" ht="15.75" customHeight="1">
      <c r="A989" s="3"/>
      <c r="M989" s="2"/>
    </row>
    <row r="990" spans="1:13" ht="15.75" customHeight="1">
      <c r="A990" s="3"/>
      <c r="M990" s="2"/>
    </row>
    <row r="991" spans="1:13" ht="15.75" customHeight="1">
      <c r="A991" s="3"/>
      <c r="M991" s="2"/>
    </row>
    <row r="992" spans="1:13" ht="15.75" customHeight="1">
      <c r="A992" s="3"/>
      <c r="M992" s="2"/>
    </row>
    <row r="993" spans="1:13" ht="15.75" customHeight="1">
      <c r="A993" s="3"/>
      <c r="M993" s="2"/>
    </row>
    <row r="994" spans="1:13" ht="15.75" customHeight="1">
      <c r="A994" s="3"/>
      <c r="M994" s="2"/>
    </row>
    <row r="995" spans="1:13" ht="15.75" customHeight="1">
      <c r="A995" s="3"/>
      <c r="M995" s="2"/>
    </row>
    <row r="996" spans="1:13" ht="15.75" customHeight="1">
      <c r="A996" s="3"/>
      <c r="M996" s="2"/>
    </row>
    <row r="997" spans="1:13" ht="15.75" customHeight="1">
      <c r="A997" s="3"/>
      <c r="M997" s="2"/>
    </row>
    <row r="998" spans="1:13" ht="15.75" customHeight="1">
      <c r="A998" s="3"/>
      <c r="M998" s="2"/>
    </row>
    <row r="999" spans="1:13" ht="15.75" customHeight="1">
      <c r="A999" s="3"/>
      <c r="M999" s="2"/>
    </row>
    <row r="1000" spans="1:13" ht="15.75" customHeight="1">
      <c r="A1000" s="3"/>
      <c r="M1000" s="2"/>
    </row>
    <row r="1001" spans="1:13" ht="15.75" customHeight="1">
      <c r="A1001" s="3"/>
      <c r="M1001" s="2"/>
    </row>
    <row r="1002" spans="1:13" ht="15.75" customHeight="1">
      <c r="A1002" s="3"/>
      <c r="M1002" s="2"/>
    </row>
    <row r="1003" spans="1:13" ht="15.75" customHeight="1">
      <c r="A1003" s="3"/>
      <c r="M1003" s="2"/>
    </row>
    <row r="1004" spans="1:13" ht="15.75" customHeight="1">
      <c r="A1004" s="3"/>
      <c r="M1004" s="2"/>
    </row>
    <row r="1005" spans="1:13" ht="15.75" customHeight="1">
      <c r="A1005" s="3"/>
      <c r="M1005" s="2"/>
    </row>
    <row r="1006" spans="1:13" ht="15.75" customHeight="1">
      <c r="A1006" s="3"/>
      <c r="M1006" s="2"/>
    </row>
    <row r="1007" spans="1:13" ht="15.75" customHeight="1">
      <c r="A1007" s="3"/>
      <c r="M1007" s="2"/>
    </row>
    <row r="1008" spans="1:13" ht="15.75" customHeight="1">
      <c r="A1008" s="3"/>
      <c r="M1008" s="2"/>
    </row>
    <row r="1009" spans="1:13" ht="15.75" customHeight="1">
      <c r="A1009" s="3"/>
      <c r="M1009" s="2"/>
    </row>
    <row r="1010" spans="1:13" ht="15.75" customHeight="1">
      <c r="A1010" s="3"/>
      <c r="M1010" s="2"/>
    </row>
    <row r="1011" spans="1:13" ht="15.75" customHeight="1">
      <c r="A1011" s="3"/>
      <c r="M1011" s="2"/>
    </row>
    <row r="1012" spans="1:13" ht="15.75" customHeight="1">
      <c r="A1012" s="3"/>
      <c r="M1012" s="2"/>
    </row>
    <row r="1013" spans="1:13" ht="15.75" customHeight="1">
      <c r="A1013" s="3"/>
      <c r="M1013" s="2"/>
    </row>
    <row r="1014" spans="1:13" ht="15.75" customHeight="1">
      <c r="A1014" s="3"/>
      <c r="M1014" s="2"/>
    </row>
    <row r="1015" spans="1:13" ht="15.75" customHeight="1">
      <c r="A1015" s="3"/>
      <c r="M1015" s="2"/>
    </row>
    <row r="1016" spans="1:13" ht="15.75" customHeight="1">
      <c r="A1016" s="3"/>
      <c r="M1016" s="2"/>
    </row>
    <row r="1017" spans="1:13" ht="15.75" customHeight="1">
      <c r="A1017" s="3"/>
      <c r="M1017" s="2"/>
    </row>
    <row r="1018" spans="1:13" ht="15.75" customHeight="1">
      <c r="A1018" s="3"/>
      <c r="M1018" s="2"/>
    </row>
    <row r="1019" spans="1:13" ht="15.75" customHeight="1">
      <c r="A1019" s="3"/>
      <c r="M1019" s="2"/>
    </row>
    <row r="1020" spans="1:13" ht="15.75" customHeight="1">
      <c r="A1020" s="3"/>
      <c r="M1020" s="2"/>
    </row>
    <row r="1021" spans="1:13" ht="15.75" customHeight="1">
      <c r="A1021" s="3"/>
      <c r="M1021" s="2"/>
    </row>
    <row r="1022" spans="1:13" ht="15.75" customHeight="1">
      <c r="A1022" s="3"/>
      <c r="M1022" s="2"/>
    </row>
    <row r="1023" spans="1:13" ht="15.75" customHeight="1">
      <c r="A1023" s="3"/>
      <c r="M1023" s="2"/>
    </row>
    <row r="1024" spans="1:13" ht="15.75" customHeight="1">
      <c r="A1024" s="3"/>
      <c r="M1024" s="2"/>
    </row>
    <row r="1025" spans="1:13" ht="15.75" customHeight="1">
      <c r="A1025" s="3"/>
      <c r="M1025" s="2"/>
    </row>
    <row r="1026" spans="1:13" ht="15.75" customHeight="1">
      <c r="A1026" s="3"/>
      <c r="M1026" s="2"/>
    </row>
    <row r="1027" spans="1:13" ht="15.75" customHeight="1">
      <c r="A1027" s="3"/>
      <c r="M1027" s="2"/>
    </row>
    <row r="1028" spans="1:13" ht="15.75" customHeight="1">
      <c r="A1028" s="3"/>
      <c r="M1028" s="2"/>
    </row>
    <row r="1029" spans="1:13" ht="15.75" customHeight="1">
      <c r="A1029" s="3"/>
      <c r="M1029" s="2"/>
    </row>
    <row r="1030" spans="1:13" ht="15.75" customHeight="1">
      <c r="A1030" s="3"/>
      <c r="M1030" s="2"/>
    </row>
    <row r="1031" spans="1:13" ht="15.75" customHeight="1">
      <c r="A1031" s="3"/>
      <c r="M1031" s="2"/>
    </row>
    <row r="1032" spans="1:13" ht="15.75" customHeight="1">
      <c r="A1032" s="3"/>
      <c r="M1032" s="2"/>
    </row>
    <row r="1033" spans="1:13" ht="15.75" customHeight="1">
      <c r="A1033" s="3"/>
      <c r="M1033" s="2"/>
    </row>
    <row r="1034" spans="1:13" ht="15.75" customHeight="1">
      <c r="A1034" s="3"/>
      <c r="M1034" s="2"/>
    </row>
    <row r="1035" spans="1:13" ht="15.75" customHeight="1">
      <c r="A1035" s="3"/>
      <c r="M1035" s="2"/>
    </row>
    <row r="1036" spans="1:13" ht="15.75" customHeight="1">
      <c r="A1036" s="3"/>
      <c r="M1036" s="2"/>
    </row>
    <row r="1037" spans="1:13" ht="15.75" customHeight="1">
      <c r="A1037" s="3"/>
      <c r="M1037" s="2"/>
    </row>
    <row r="1038" spans="1:13" ht="15.75" customHeight="1">
      <c r="A1038" s="3"/>
      <c r="M1038" s="2"/>
    </row>
    <row r="1039" spans="1:13" ht="15.75" customHeight="1">
      <c r="A1039" s="3"/>
      <c r="M1039" s="2"/>
    </row>
    <row r="1040" spans="1:13" ht="15.75" customHeight="1">
      <c r="A1040" s="3"/>
      <c r="M1040" s="2"/>
    </row>
    <row r="1041" spans="1:13" ht="15.75" customHeight="1">
      <c r="A1041" s="3"/>
      <c r="M1041" s="2"/>
    </row>
    <row r="1042" spans="1:13" ht="15.75" customHeight="1">
      <c r="A1042" s="3"/>
      <c r="M1042" s="2"/>
    </row>
    <row r="1043" spans="1:13" ht="15.75" customHeight="1">
      <c r="A1043" s="3"/>
      <c r="M1043" s="2"/>
    </row>
    <row r="1044" spans="1:13" ht="15.75" customHeight="1">
      <c r="A1044" s="3"/>
      <c r="M1044" s="2"/>
    </row>
    <row r="1045" spans="1:13" ht="15.75" customHeight="1">
      <c r="A1045" s="3"/>
      <c r="M1045" s="2"/>
    </row>
    <row r="1046" spans="1:13" ht="15.75" customHeight="1">
      <c r="A1046" s="3"/>
      <c r="M1046" s="2"/>
    </row>
    <row r="1047" spans="1:13" ht="15.75" customHeight="1">
      <c r="A1047" s="3"/>
      <c r="M1047" s="2"/>
    </row>
    <row r="1048" spans="1:13" ht="15.75" customHeight="1">
      <c r="A1048" s="3"/>
      <c r="M1048" s="2"/>
    </row>
    <row r="1049" spans="1:13" ht="15.75" customHeight="1">
      <c r="A1049" s="3"/>
      <c r="M1049" s="2"/>
    </row>
    <row r="1050" spans="1:13" ht="15.75" customHeight="1">
      <c r="A1050" s="3"/>
      <c r="M1050" s="2"/>
    </row>
    <row r="1051" spans="1:13" ht="15.75" customHeight="1">
      <c r="A1051" s="3"/>
      <c r="M1051" s="2"/>
    </row>
    <row r="1052" spans="1:13" ht="15.75" customHeight="1">
      <c r="A1052" s="3"/>
      <c r="M1052" s="2"/>
    </row>
    <row r="1053" spans="1:13" ht="15.75" customHeight="1">
      <c r="A1053" s="3"/>
      <c r="M1053" s="2"/>
    </row>
    <row r="1054" spans="1:13" ht="15.75" customHeight="1">
      <c r="A1054" s="3"/>
      <c r="M1054" s="2"/>
    </row>
    <row r="1055" spans="1:13" ht="15.75" customHeight="1">
      <c r="A1055" s="3"/>
      <c r="M1055" s="2"/>
    </row>
    <row r="1056" spans="1:13" ht="15.75" customHeight="1">
      <c r="A1056" s="3"/>
      <c r="M1056" s="2"/>
    </row>
    <row r="1057" spans="1:13" ht="15.75" customHeight="1">
      <c r="A1057" s="3"/>
      <c r="M1057" s="2"/>
    </row>
    <row r="1058" spans="1:13" ht="15.75" customHeight="1">
      <c r="A1058" s="3"/>
      <c r="M1058" s="2"/>
    </row>
    <row r="1059" spans="1:13" ht="15.75" customHeight="1">
      <c r="A1059" s="3"/>
      <c r="M1059" s="2"/>
    </row>
    <row r="1060" spans="1:13" ht="15.75" customHeight="1">
      <c r="A1060" s="3"/>
      <c r="M1060" s="2"/>
    </row>
    <row r="1061" spans="1:13" ht="15.75" customHeight="1">
      <c r="A1061" s="3"/>
      <c r="M1061" s="2"/>
    </row>
    <row r="1062" spans="1:13" ht="15.75" customHeight="1">
      <c r="A1062" s="3"/>
      <c r="M1062" s="2"/>
    </row>
    <row r="1063" spans="1:13" ht="15.75" customHeight="1">
      <c r="A1063" s="3"/>
      <c r="M1063" s="2"/>
    </row>
    <row r="1064" spans="1:13" ht="15.75" customHeight="1">
      <c r="A1064" s="3"/>
      <c r="M1064" s="2"/>
    </row>
    <row r="1065" spans="1:13" ht="15.75" customHeight="1">
      <c r="A1065" s="3"/>
      <c r="M1065" s="2"/>
    </row>
    <row r="1066" spans="1:13" ht="15.75" customHeight="1">
      <c r="A1066" s="3"/>
      <c r="M1066" s="2"/>
    </row>
    <row r="1067" spans="1:13" ht="15.75" customHeight="1">
      <c r="A1067" s="3"/>
      <c r="M1067" s="2"/>
    </row>
    <row r="1068" spans="1:13" ht="15.75" customHeight="1">
      <c r="A1068" s="3"/>
      <c r="M1068" s="2"/>
    </row>
    <row r="1069" spans="1:13" ht="15.75" customHeight="1">
      <c r="A1069" s="3"/>
      <c r="M1069" s="2"/>
    </row>
    <row r="1070" spans="1:13" ht="15.75" customHeight="1">
      <c r="A1070" s="3"/>
      <c r="M1070" s="2"/>
    </row>
    <row r="1071" spans="1:13" ht="15.75" customHeight="1">
      <c r="A1071" s="3"/>
      <c r="M1071" s="2"/>
    </row>
    <row r="1072" spans="1:13" ht="15.75" customHeight="1">
      <c r="A1072" s="3"/>
      <c r="M1072" s="2"/>
    </row>
    <row r="1073" spans="1:13" ht="15.75" customHeight="1">
      <c r="A1073" s="3"/>
      <c r="M1073" s="2"/>
    </row>
    <row r="1074" spans="1:13" ht="15.75" customHeight="1">
      <c r="A1074" s="3"/>
      <c r="M1074" s="2"/>
    </row>
    <row r="1075" spans="1:13" ht="15.75" customHeight="1">
      <c r="A1075" s="3"/>
      <c r="M1075" s="2"/>
    </row>
    <row r="1076" spans="1:13" ht="15.75" customHeight="1">
      <c r="A1076" s="3"/>
      <c r="M1076" s="2"/>
    </row>
    <row r="1077" spans="1:13" ht="15.75" customHeight="1">
      <c r="A1077" s="3"/>
      <c r="M1077" s="2"/>
    </row>
    <row r="1078" spans="1:13" ht="15.75" customHeight="1">
      <c r="A1078" s="3"/>
      <c r="M1078" s="2"/>
    </row>
    <row r="1079" spans="1:13" ht="15.75" customHeight="1">
      <c r="A1079" s="3"/>
      <c r="M1079" s="2"/>
    </row>
    <row r="1080" spans="1:13" ht="15.75" customHeight="1">
      <c r="A1080" s="3"/>
      <c r="M1080" s="2"/>
    </row>
    <row r="1081" spans="1:13" ht="15.75" customHeight="1">
      <c r="A1081" s="3"/>
      <c r="M1081" s="2"/>
    </row>
    <row r="1082" spans="1:13" ht="15.75" customHeight="1">
      <c r="A1082" s="3"/>
      <c r="M1082" s="2"/>
    </row>
    <row r="1083" spans="1:13" ht="15.75" customHeight="1">
      <c r="A1083" s="3"/>
      <c r="M1083" s="2"/>
    </row>
    <row r="1084" spans="1:13" ht="15.75" customHeight="1">
      <c r="A1084" s="3"/>
      <c r="M1084" s="2"/>
    </row>
    <row r="1085" spans="1:13" ht="15.75" customHeight="1">
      <c r="A1085" s="3"/>
      <c r="M1085" s="2"/>
    </row>
    <row r="1086" spans="1:13" ht="15.75" customHeight="1">
      <c r="A1086" s="3"/>
      <c r="M1086" s="2"/>
    </row>
    <row r="1087" spans="1:13" ht="15.75" customHeight="1">
      <c r="A1087" s="3"/>
      <c r="M1087" s="2"/>
    </row>
    <row r="1088" spans="1:13" ht="15.75" customHeight="1">
      <c r="A1088" s="3"/>
      <c r="M1088" s="2"/>
    </row>
    <row r="1089" spans="1:13" ht="15.75" customHeight="1">
      <c r="A1089" s="3"/>
      <c r="M1089" s="2"/>
    </row>
    <row r="1090" spans="1:13" ht="15.75" customHeight="1">
      <c r="A1090" s="3"/>
      <c r="M1090" s="2"/>
    </row>
    <row r="1091" spans="1:13" ht="15.75" customHeight="1">
      <c r="A1091" s="3"/>
      <c r="M1091" s="2"/>
    </row>
    <row r="1092" spans="1:13" ht="15.75" customHeight="1">
      <c r="A1092" s="3"/>
      <c r="M1092" s="2"/>
    </row>
    <row r="1093" spans="1:13" ht="15.75" customHeight="1">
      <c r="A1093" s="3"/>
      <c r="M1093" s="2"/>
    </row>
    <row r="1094" spans="1:13" ht="15.75" customHeight="1">
      <c r="A1094" s="3"/>
      <c r="M1094" s="2"/>
    </row>
    <row r="1095" spans="1:13" ht="15.75" customHeight="1">
      <c r="A1095" s="3"/>
      <c r="M1095" s="2"/>
    </row>
    <row r="1096" spans="1:13" ht="15.75" customHeight="1">
      <c r="A1096" s="3"/>
      <c r="M1096" s="2"/>
    </row>
    <row r="1097" spans="1:13" ht="15.75" customHeight="1">
      <c r="A1097" s="3"/>
      <c r="M1097" s="2"/>
    </row>
    <row r="1098" spans="1:13" ht="15.75" customHeight="1">
      <c r="A1098" s="3"/>
      <c r="M1098" s="2"/>
    </row>
    <row r="1099" spans="1:13" ht="15.75" customHeight="1">
      <c r="A1099" s="3"/>
      <c r="M1099" s="2"/>
    </row>
    <row r="1100" spans="1:13" ht="15.75" customHeight="1">
      <c r="A1100" s="3"/>
      <c r="M1100" s="2"/>
    </row>
    <row r="1101" spans="1:13" ht="15.75" customHeight="1">
      <c r="A1101" s="3"/>
      <c r="M1101" s="2"/>
    </row>
    <row r="1102" spans="1:13" ht="15.75" customHeight="1">
      <c r="A1102" s="3"/>
      <c r="M1102" s="2"/>
    </row>
    <row r="1103" spans="1:13" ht="15.75" customHeight="1">
      <c r="A1103" s="3"/>
      <c r="M1103" s="2"/>
    </row>
    <row r="1104" spans="1:13" ht="15.75" customHeight="1">
      <c r="A1104" s="3"/>
      <c r="M1104" s="2"/>
    </row>
    <row r="1105" spans="1:13" ht="15.75" customHeight="1">
      <c r="A1105" s="3"/>
      <c r="M1105" s="2"/>
    </row>
    <row r="1106" spans="1:13" ht="15.75" customHeight="1">
      <c r="A1106" s="3"/>
      <c r="M1106" s="2"/>
    </row>
    <row r="1107" spans="1:13" ht="15.75" customHeight="1">
      <c r="A1107" s="3"/>
      <c r="M1107" s="2"/>
    </row>
    <row r="1108" spans="1:13" ht="15.75" customHeight="1">
      <c r="A1108" s="3"/>
      <c r="M1108" s="2"/>
    </row>
    <row r="1109" spans="1:13" ht="15.75" customHeight="1">
      <c r="A1109" s="3"/>
      <c r="M1109" s="2"/>
    </row>
    <row r="1110" spans="1:13" ht="15.75" customHeight="1">
      <c r="A1110" s="3"/>
      <c r="M1110" s="2"/>
    </row>
    <row r="1111" spans="1:13" ht="15.75" customHeight="1">
      <c r="A1111" s="3"/>
      <c r="M1111" s="2"/>
    </row>
    <row r="1112" spans="1:13" ht="15.75" customHeight="1">
      <c r="A1112" s="3"/>
      <c r="M1112" s="2"/>
    </row>
    <row r="1113" spans="1:13" ht="15.75" customHeight="1">
      <c r="A1113" s="3"/>
      <c r="M1113" s="2"/>
    </row>
    <row r="1114" spans="1:13" ht="15.75" customHeight="1">
      <c r="A1114" s="3"/>
      <c r="M1114" s="2"/>
    </row>
    <row r="1115" spans="1:13" ht="15.75" customHeight="1">
      <c r="A1115" s="3"/>
      <c r="M1115" s="2"/>
    </row>
    <row r="1116" spans="1:13" ht="15.75" customHeight="1">
      <c r="A1116" s="3"/>
      <c r="M1116" s="2"/>
    </row>
    <row r="1117" spans="1:13" ht="15.75" customHeight="1">
      <c r="A1117" s="3"/>
      <c r="M1117" s="2"/>
    </row>
    <row r="1118" spans="1:13" ht="15.75" customHeight="1">
      <c r="A1118" s="3"/>
      <c r="M1118" s="2"/>
    </row>
    <row r="1119" spans="1:13" ht="15.75" customHeight="1">
      <c r="A1119" s="3"/>
      <c r="M1119" s="2"/>
    </row>
    <row r="1120" spans="1:13" ht="15.75" customHeight="1">
      <c r="A1120" s="3"/>
      <c r="M1120" s="2"/>
    </row>
    <row r="1121" spans="1:13" ht="15.75" customHeight="1">
      <c r="A1121" s="3"/>
      <c r="M1121" s="2"/>
    </row>
    <row r="1122" spans="1:13" ht="15.75" customHeight="1">
      <c r="A1122" s="3"/>
      <c r="M1122" s="2"/>
    </row>
    <row r="1123" spans="1:13" ht="15.75" customHeight="1">
      <c r="A1123" s="3"/>
      <c r="M1123" s="2"/>
    </row>
    <row r="1124" spans="1:13" ht="15.75" customHeight="1">
      <c r="A1124" s="3"/>
      <c r="M1124" s="2"/>
    </row>
    <row r="1125" spans="1:13" ht="15.75" customHeight="1">
      <c r="A1125" s="3"/>
      <c r="M1125" s="2"/>
    </row>
    <row r="1126" spans="1:13" ht="15.75" customHeight="1">
      <c r="A1126" s="3"/>
      <c r="M1126" s="2"/>
    </row>
    <row r="1127" spans="1:13" ht="15.75" customHeight="1">
      <c r="A1127" s="3"/>
      <c r="M1127" s="2"/>
    </row>
    <row r="1128" spans="1:13" ht="15.75" customHeight="1">
      <c r="A1128" s="3"/>
      <c r="M1128" s="2"/>
    </row>
    <row r="1129" spans="1:13" ht="15.75" customHeight="1">
      <c r="A1129" s="3"/>
      <c r="M1129" s="2"/>
    </row>
    <row r="1130" spans="1:13" ht="15.75" customHeight="1">
      <c r="A1130" s="3"/>
      <c r="M1130" s="2"/>
    </row>
    <row r="1131" spans="1:13" ht="15.75" customHeight="1">
      <c r="A1131" s="3"/>
      <c r="M1131" s="2"/>
    </row>
    <row r="1132" spans="1:13" ht="15.75" customHeight="1">
      <c r="A1132" s="3"/>
      <c r="M1132" s="2"/>
    </row>
    <row r="1133" spans="1:13" ht="15.75" customHeight="1">
      <c r="A1133" s="3"/>
      <c r="M1133" s="2"/>
    </row>
    <row r="1134" spans="1:13" ht="15.75" customHeight="1">
      <c r="A1134" s="3"/>
      <c r="M1134" s="2"/>
    </row>
    <row r="1135" spans="1:13" ht="15.75" customHeight="1">
      <c r="A1135" s="3"/>
      <c r="M1135" s="2"/>
    </row>
    <row r="1136" spans="1:13" ht="15.75" customHeight="1">
      <c r="A1136" s="3"/>
      <c r="M1136" s="2"/>
    </row>
    <row r="1137" spans="1:13" ht="15.75" customHeight="1">
      <c r="A1137" s="3"/>
      <c r="M1137" s="2"/>
    </row>
    <row r="1138" spans="1:13" ht="15.75" customHeight="1">
      <c r="A1138" s="3"/>
      <c r="M1138" s="2"/>
    </row>
    <row r="1139" spans="1:13" ht="15.75" customHeight="1">
      <c r="A1139" s="3"/>
      <c r="M1139" s="2"/>
    </row>
    <row r="1140" spans="1:13" ht="15.75" customHeight="1">
      <c r="A1140" s="3"/>
      <c r="M1140" s="2"/>
    </row>
  </sheetData>
  <mergeCells count="164">
    <mergeCell ref="E95:E98"/>
    <mergeCell ref="BE95:BJ95"/>
    <mergeCell ref="BD127:BI127"/>
    <mergeCell ref="I24:K26"/>
    <mergeCell ref="L24:L25"/>
    <mergeCell ref="N24:Q24"/>
    <mergeCell ref="BP187:BQ187"/>
    <mergeCell ref="D72:D75"/>
    <mergeCell ref="AA55:AF55"/>
    <mergeCell ref="E55:E58"/>
    <mergeCell ref="F55:F58"/>
    <mergeCell ref="G55:G57"/>
    <mergeCell ref="H55:H58"/>
    <mergeCell ref="I55:K57"/>
    <mergeCell ref="L55:L56"/>
    <mergeCell ref="N55:T55"/>
    <mergeCell ref="U55:Z55"/>
    <mergeCell ref="D55:D58"/>
    <mergeCell ref="AR72:AW72"/>
    <mergeCell ref="U95:Z95"/>
    <mergeCell ref="AA95:AF95"/>
    <mergeCell ref="AG95:AL95"/>
    <mergeCell ref="AM95:AR95"/>
    <mergeCell ref="AS95:AX95"/>
    <mergeCell ref="BE168:BJ168"/>
    <mergeCell ref="B168:B171"/>
    <mergeCell ref="E168:E171"/>
    <mergeCell ref="F168:F171"/>
    <mergeCell ref="G168:G170"/>
    <mergeCell ref="H168:H171"/>
    <mergeCell ref="I168:K170"/>
    <mergeCell ref="N168:T168"/>
    <mergeCell ref="U168:Z168"/>
    <mergeCell ref="AA168:AF168"/>
    <mergeCell ref="AG168:AL168"/>
    <mergeCell ref="AM168:AR168"/>
    <mergeCell ref="AS168:AX168"/>
    <mergeCell ref="AY168:BD168"/>
    <mergeCell ref="R2:T2"/>
    <mergeCell ref="B127:B130"/>
    <mergeCell ref="E127:E130"/>
    <mergeCell ref="F127:F130"/>
    <mergeCell ref="G127:G129"/>
    <mergeCell ref="H127:H130"/>
    <mergeCell ref="I127:K129"/>
    <mergeCell ref="B116:B119"/>
    <mergeCell ref="E116:E119"/>
    <mergeCell ref="F116:F119"/>
    <mergeCell ref="G116:G118"/>
    <mergeCell ref="H116:H119"/>
    <mergeCell ref="I116:K118"/>
    <mergeCell ref="L116:L117"/>
    <mergeCell ref="N116:T116"/>
    <mergeCell ref="N95:T95"/>
    <mergeCell ref="B107:B110"/>
    <mergeCell ref="E107:E110"/>
    <mergeCell ref="F107:F110"/>
    <mergeCell ref="G107:G109"/>
    <mergeCell ref="F95:F98"/>
    <mergeCell ref="B95:B98"/>
    <mergeCell ref="G95:G97"/>
    <mergeCell ref="B55:B58"/>
    <mergeCell ref="BD144:BI144"/>
    <mergeCell ref="E144:E147"/>
    <mergeCell ref="F144:F147"/>
    <mergeCell ref="G144:G146"/>
    <mergeCell ref="H144:H147"/>
    <mergeCell ref="I144:K146"/>
    <mergeCell ref="N144:P144"/>
    <mergeCell ref="Q144:S144"/>
    <mergeCell ref="T144:Y144"/>
    <mergeCell ref="Z144:AE144"/>
    <mergeCell ref="AF144:AK144"/>
    <mergeCell ref="AL144:AQ144"/>
    <mergeCell ref="AR144:AW144"/>
    <mergeCell ref="AF127:AK127"/>
    <mergeCell ref="AL127:AQ127"/>
    <mergeCell ref="AR127:AW127"/>
    <mergeCell ref="B144:B147"/>
    <mergeCell ref="M127:M128"/>
    <mergeCell ref="N127:S127"/>
    <mergeCell ref="M145:M146"/>
    <mergeCell ref="AX127:BC127"/>
    <mergeCell ref="AX144:BC144"/>
    <mergeCell ref="T127:Y127"/>
    <mergeCell ref="Z127:AE127"/>
    <mergeCell ref="AR191:AW191"/>
    <mergeCell ref="AX191:BC191"/>
    <mergeCell ref="BE191:BJ191"/>
    <mergeCell ref="B191:B194"/>
    <mergeCell ref="E191:E194"/>
    <mergeCell ref="F191:F194"/>
    <mergeCell ref="G191:G193"/>
    <mergeCell ref="H191:H194"/>
    <mergeCell ref="I191:K193"/>
    <mergeCell ref="N191:P191"/>
    <mergeCell ref="Q191:S191"/>
    <mergeCell ref="T191:Y191"/>
    <mergeCell ref="Z191:AE191"/>
    <mergeCell ref="AF191:AK191"/>
    <mergeCell ref="AL191:AQ191"/>
    <mergeCell ref="AF72:AK72"/>
    <mergeCell ref="AL72:AQ72"/>
    <mergeCell ref="H107:H110"/>
    <mergeCell ref="I107:K109"/>
    <mergeCell ref="L107:L108"/>
    <mergeCell ref="BL108:BL109"/>
    <mergeCell ref="AY116:BD116"/>
    <mergeCell ref="U116:Z116"/>
    <mergeCell ref="AA116:AF116"/>
    <mergeCell ref="AY107:BD107"/>
    <mergeCell ref="H95:H98"/>
    <mergeCell ref="I95:K97"/>
    <mergeCell ref="N107:T107"/>
    <mergeCell ref="L95:L96"/>
    <mergeCell ref="AY95:BD95"/>
    <mergeCell ref="AG116:AL116"/>
    <mergeCell ref="AM116:AR116"/>
    <mergeCell ref="AS116:AX116"/>
    <mergeCell ref="U107:Z107"/>
    <mergeCell ref="AA107:AF107"/>
    <mergeCell ref="AG107:AL107"/>
    <mergeCell ref="AM107:AR107"/>
    <mergeCell ref="AS107:AX107"/>
    <mergeCell ref="BE107:BJ107"/>
    <mergeCell ref="AF36:AK36"/>
    <mergeCell ref="AL36:AQ36"/>
    <mergeCell ref="AR36:AW36"/>
    <mergeCell ref="AX36:BD36"/>
    <mergeCell ref="M37:M38"/>
    <mergeCell ref="B36:B39"/>
    <mergeCell ref="E36:E39"/>
    <mergeCell ref="F36:F39"/>
    <mergeCell ref="G36:G38"/>
    <mergeCell ref="H36:H39"/>
    <mergeCell ref="I36:K38"/>
    <mergeCell ref="N36:P36"/>
    <mergeCell ref="Q36:S36"/>
    <mergeCell ref="T36:Y36"/>
    <mergeCell ref="D36:D39"/>
    <mergeCell ref="F72:F75"/>
    <mergeCell ref="I72:K74"/>
    <mergeCell ref="M72:M73"/>
    <mergeCell ref="N72:S72"/>
    <mergeCell ref="T72:Y72"/>
    <mergeCell ref="Z72:AE72"/>
    <mergeCell ref="N13:S13"/>
    <mergeCell ref="B13:B16"/>
    <mergeCell ref="D13:D16"/>
    <mergeCell ref="E13:E16"/>
    <mergeCell ref="F13:F16"/>
    <mergeCell ref="G13:G15"/>
    <mergeCell ref="H13:H16"/>
    <mergeCell ref="I13:K15"/>
    <mergeCell ref="L13:L14"/>
    <mergeCell ref="Z36:AE36"/>
    <mergeCell ref="B72:B75"/>
    <mergeCell ref="B24:B27"/>
    <mergeCell ref="D24:D27"/>
    <mergeCell ref="E24:E27"/>
    <mergeCell ref="F24:F27"/>
    <mergeCell ref="G24:G26"/>
    <mergeCell ref="H24:H27"/>
    <mergeCell ref="E72:E75"/>
  </mergeCells>
  <conditionalFormatting sqref="N124:BK124 AT120:BF120 AP120:AR120 Z99:AC102 Z103 N120:AN120 AE99 AB99:AD103 AF100:BK100 Z104:BK104 AF103:BK103 AE101:BK102 N136:BJ140 N134:V135 X135:BJ135 X134:AA134 N133:AA133 AC133:BJ134 N131:BJ132 AH99 AT99:BK99 AJ99:AL99">
    <cfRule type="cellIs" dxfId="348" priority="51" operator="lessThan">
      <formula>8</formula>
    </cfRule>
    <cfRule type="cellIs" dxfId="347" priority="58" operator="lessThan">
      <formula>10</formula>
    </cfRule>
  </conditionalFormatting>
  <conditionalFormatting sqref="N148:BT164">
    <cfRule type="cellIs" dxfId="346" priority="52" operator="lessThan">
      <formula>8</formula>
    </cfRule>
    <cfRule type="cellIs" dxfId="345" priority="57" operator="lessThan">
      <formula>10</formula>
    </cfRule>
  </conditionalFormatting>
  <conditionalFormatting sqref="N172:BK187">
    <cfRule type="cellIs" dxfId="344" priority="53" operator="lessThan">
      <formula>8</formula>
    </cfRule>
    <cfRule type="cellIs" dxfId="343" priority="56" operator="lessThan">
      <formula>10</formula>
    </cfRule>
  </conditionalFormatting>
  <conditionalFormatting sqref="N195:BK204">
    <cfRule type="cellIs" dxfId="342" priority="54" operator="lessThan">
      <formula>8</formula>
    </cfRule>
    <cfRule type="cellIs" dxfId="341" priority="55" operator="lessThan">
      <formula>10</formula>
    </cfRule>
  </conditionalFormatting>
  <conditionalFormatting sqref="BG120:BG121">
    <cfRule type="cellIs" dxfId="340" priority="49" operator="lessThan">
      <formula>8</formula>
    </cfRule>
    <cfRule type="cellIs" dxfId="339" priority="50" operator="lessThan">
      <formula>10</formula>
    </cfRule>
  </conditionalFormatting>
  <conditionalFormatting sqref="N99:Y104">
    <cfRule type="cellIs" dxfId="338" priority="43" operator="lessThan">
      <formula>8</formula>
    </cfRule>
    <cfRule type="cellIs" dxfId="337" priority="44" operator="lessThan">
      <formula>10</formula>
    </cfRule>
  </conditionalFormatting>
  <conditionalFormatting sqref="N111:BK111 N112:AD112 AT112:BK112 BL111:BL112">
    <cfRule type="cellIs" dxfId="336" priority="39" operator="lessThan">
      <formula>8</formula>
    </cfRule>
    <cfRule type="cellIs" dxfId="335" priority="40" operator="lessThan">
      <formula>10</formula>
    </cfRule>
  </conditionalFormatting>
  <conditionalFormatting sqref="AF91:AV91">
    <cfRule type="cellIs" dxfId="334" priority="37" operator="lessThan">
      <formula>8</formula>
    </cfRule>
    <cfRule type="cellIs" dxfId="333" priority="38" operator="lessThan">
      <formula>10</formula>
    </cfRule>
  </conditionalFormatting>
  <conditionalFormatting sqref="AS40:BD40 N41:BD52 BE39:BF39 BE51:BG52 O54:P54">
    <cfRule type="cellIs" dxfId="332" priority="33" operator="lessThan">
      <formula>8</formula>
    </cfRule>
    <cfRule type="cellIs" dxfId="331" priority="36" operator="lessThan">
      <formula>10</formula>
    </cfRule>
  </conditionalFormatting>
  <conditionalFormatting sqref="N40:AQ40">
    <cfRule type="cellIs" dxfId="330" priority="34" operator="lessThan">
      <formula>8</formula>
    </cfRule>
    <cfRule type="cellIs" dxfId="329" priority="35" operator="lessThan">
      <formula>10</formula>
    </cfRule>
  </conditionalFormatting>
  <conditionalFormatting sqref="W134:W135">
    <cfRule type="cellIs" dxfId="328" priority="31" operator="lessThan">
      <formula>8</formula>
    </cfRule>
    <cfRule type="cellIs" dxfId="327" priority="32" operator="lessThan">
      <formula>10</formula>
    </cfRule>
  </conditionalFormatting>
  <conditionalFormatting sqref="AB133:AB134">
    <cfRule type="cellIs" dxfId="326" priority="29" operator="lessThan">
      <formula>8</formula>
    </cfRule>
    <cfRule type="cellIs" dxfId="325" priority="30" operator="lessThan">
      <formula>10</formula>
    </cfRule>
  </conditionalFormatting>
  <conditionalFormatting sqref="Q60">
    <cfRule type="cellIs" dxfId="324" priority="27" operator="lessThan">
      <formula>8</formula>
    </cfRule>
    <cfRule type="cellIs" dxfId="323" priority="28" operator="lessThan">
      <formula>10</formula>
    </cfRule>
  </conditionalFormatting>
  <conditionalFormatting sqref="S60">
    <cfRule type="cellIs" dxfId="322" priority="25" operator="lessThan">
      <formula>8</formula>
    </cfRule>
    <cfRule type="cellIs" dxfId="321" priority="26" operator="lessThan">
      <formula>10</formula>
    </cfRule>
  </conditionalFormatting>
  <conditionalFormatting sqref="U60">
    <cfRule type="cellIs" dxfId="320" priority="23" operator="lessThan">
      <formula>8</formula>
    </cfRule>
    <cfRule type="cellIs" dxfId="319" priority="24" operator="lessThan">
      <formula>10</formula>
    </cfRule>
  </conditionalFormatting>
  <conditionalFormatting sqref="V60">
    <cfRule type="cellIs" dxfId="318" priority="21" operator="lessThan">
      <formula>8</formula>
    </cfRule>
    <cfRule type="cellIs" dxfId="317" priority="22" operator="lessThan">
      <formula>10</formula>
    </cfRule>
  </conditionalFormatting>
  <conditionalFormatting sqref="X59:X60">
    <cfRule type="cellIs" dxfId="316" priority="19" operator="lessThan">
      <formula>8</formula>
    </cfRule>
    <cfRule type="cellIs" dxfId="315" priority="20" operator="lessThan">
      <formula>10</formula>
    </cfRule>
  </conditionalFormatting>
  <conditionalFormatting sqref="AF99:AG99">
    <cfRule type="cellIs" dxfId="314" priority="17" operator="lessThan">
      <formula>8</formula>
    </cfRule>
    <cfRule type="cellIs" dxfId="313" priority="18" operator="lessThan">
      <formula>10</formula>
    </cfRule>
  </conditionalFormatting>
  <conditionalFormatting sqref="AI99">
    <cfRule type="cellIs" dxfId="312" priority="15" operator="lessThan">
      <formula>8</formula>
    </cfRule>
    <cfRule type="cellIs" dxfId="311" priority="16" operator="lessThan">
      <formula>10</formula>
    </cfRule>
  </conditionalFormatting>
  <conditionalFormatting sqref="AM99:AS99">
    <cfRule type="cellIs" dxfId="310" priority="13" operator="lessThan">
      <formula>8</formula>
    </cfRule>
    <cfRule type="cellIs" dxfId="309" priority="14" operator="lessThan">
      <formula>10</formula>
    </cfRule>
  </conditionalFormatting>
  <conditionalFormatting sqref="X65">
    <cfRule type="cellIs" dxfId="308" priority="11" operator="lessThan">
      <formula>8</formula>
    </cfRule>
    <cfRule type="cellIs" dxfId="307" priority="12" operator="lessThan">
      <formula>10</formula>
    </cfRule>
  </conditionalFormatting>
  <conditionalFormatting sqref="V65">
    <cfRule type="cellIs" dxfId="306" priority="5" operator="lessThan">
      <formula>8</formula>
    </cfRule>
    <cfRule type="cellIs" dxfId="305" priority="6" operator="lessThan">
      <formula>10</formula>
    </cfRule>
  </conditionalFormatting>
  <conditionalFormatting sqref="X66">
    <cfRule type="cellIs" dxfId="304" priority="3" operator="lessThan">
      <formula>8</formula>
    </cfRule>
    <cfRule type="cellIs" dxfId="303" priority="4" operator="lessThan">
      <formula>10</formula>
    </cfRule>
  </conditionalFormatting>
  <conditionalFormatting sqref="N29:T32 V31:V32">
    <cfRule type="cellIs" dxfId="302" priority="1" operator="lessThan">
      <formula>8</formula>
    </cfRule>
    <cfRule type="cellIs" dxfId="301" priority="2" operator="lessThan">
      <formula>10</formula>
    </cfRule>
  </conditionalFormatting>
  <dataValidations disablePrompts="1" count="1">
    <dataValidation type="custom" allowBlank="1" showErrorMessage="1" sqref="E136 E148 E154 E121 E78 E40 E43" xr:uid="{00000000-0002-0000-0000-000000000000}">
      <formula1>EQ(LEN(E40),(18))</formula1>
    </dataValidation>
  </dataValidations>
  <hyperlinks>
    <hyperlink ref="N128" r:id="rId1" xr:uid="{00000000-0004-0000-0000-000000000000}"/>
    <hyperlink ref="O128" r:id="rId2" xr:uid="{00000000-0004-0000-0000-000001000000}"/>
    <hyperlink ref="P128" r:id="rId3" xr:uid="{00000000-0004-0000-0000-000002000000}"/>
    <hyperlink ref="Q128" r:id="rId4" xr:uid="{00000000-0004-0000-0000-000003000000}"/>
    <hyperlink ref="R128" r:id="rId5" xr:uid="{00000000-0004-0000-0000-000004000000}"/>
    <hyperlink ref="S128" r:id="rId6" xr:uid="{00000000-0004-0000-0000-000005000000}"/>
    <hyperlink ref="O145" r:id="rId7" xr:uid="{00000000-0004-0000-0000-000007000000}"/>
    <hyperlink ref="P145" r:id="rId8" xr:uid="{00000000-0004-0000-0000-000008000000}"/>
    <hyperlink ref="AK145" r:id="rId9" xr:uid="{00000000-0004-0000-0000-000009000000}"/>
    <hyperlink ref="AL145" r:id="rId10" xr:uid="{00000000-0004-0000-0000-00000A000000}"/>
    <hyperlink ref="AM145" r:id="rId11" xr:uid="{00000000-0004-0000-0000-00000B000000}"/>
    <hyperlink ref="AN145" r:id="rId12" xr:uid="{00000000-0004-0000-0000-00000C000000}"/>
    <hyperlink ref="AO145" r:id="rId13" xr:uid="{00000000-0004-0000-0000-00000D000000}"/>
    <hyperlink ref="AP145" r:id="rId14" xr:uid="{00000000-0004-0000-0000-00000E000000}"/>
    <hyperlink ref="BF145" r:id="rId15" xr:uid="{00000000-0004-0000-0000-00000F000000}"/>
    <hyperlink ref="BL147" r:id="rId16" xr:uid="{00000000-0004-0000-0000-000010000000}"/>
    <hyperlink ref="BQ147" r:id="rId17" xr:uid="{00000000-0004-0000-0000-000011000000}"/>
    <hyperlink ref="AN169" r:id="rId18" xr:uid="{00000000-0004-0000-0000-000012000000}"/>
    <hyperlink ref="BH169" r:id="rId19" xr:uid="{00000000-0004-0000-0000-000013000000}"/>
    <hyperlink ref="BI169" r:id="rId20" xr:uid="{00000000-0004-0000-0000-000014000000}"/>
    <hyperlink ref="BK169" r:id="rId21" xr:uid="{00000000-0004-0000-0000-000015000000}"/>
    <hyperlink ref="AJ192" r:id="rId22" xr:uid="{00000000-0004-0000-0000-000016000000}"/>
    <hyperlink ref="AO192" r:id="rId23" xr:uid="{00000000-0004-0000-0000-000017000000}"/>
    <hyperlink ref="AQ192" r:id="rId24" xr:uid="{00000000-0004-0000-0000-000018000000}"/>
    <hyperlink ref="AX192" r:id="rId25" xr:uid="{00000000-0004-0000-0000-000019000000}"/>
    <hyperlink ref="AY192" r:id="rId26" xr:uid="{00000000-0004-0000-0000-00001A000000}"/>
    <hyperlink ref="AZ192" r:id="rId27" xr:uid="{00000000-0004-0000-0000-00001B000000}"/>
    <hyperlink ref="BA192" r:id="rId28" xr:uid="{00000000-0004-0000-0000-00001C000000}"/>
    <hyperlink ref="BB192" r:id="rId29" xr:uid="{00000000-0004-0000-0000-00001D000000}"/>
    <hyperlink ref="BC192" r:id="rId30" xr:uid="{00000000-0004-0000-0000-00001E000000}"/>
    <hyperlink ref="BF192" r:id="rId31" xr:uid="{00000000-0004-0000-0000-00001F000000}"/>
    <hyperlink ref="BG192" r:id="rId32" xr:uid="{00000000-0004-0000-0000-000020000000}"/>
    <hyperlink ref="BH192" r:id="rId33" xr:uid="{00000000-0004-0000-0000-000021000000}"/>
    <hyperlink ref="BI192" r:id="rId34" xr:uid="{00000000-0004-0000-0000-000022000000}"/>
    <hyperlink ref="N73" r:id="rId35" xr:uid="{A483A824-DDD6-41AF-9166-D30505E01485}"/>
    <hyperlink ref="O73" r:id="rId36" xr:uid="{B8081FFA-FCCA-4EA7-8F5E-68FB662D6469}"/>
    <hyperlink ref="P73" r:id="rId37" xr:uid="{0CA37697-F034-41FD-B3C0-602DCEE3E342}"/>
    <hyperlink ref="Q73" r:id="rId38" xr:uid="{EFB6B211-6D2A-4B79-8626-87462AD3A3DB}"/>
    <hyperlink ref="R73" r:id="rId39" xr:uid="{5E6B45CA-1CF0-4910-8597-E9F2AD4AA62B}"/>
    <hyperlink ref="S73" r:id="rId40" xr:uid="{7320E3B2-D237-4A9A-860E-B2758CD746FD}"/>
    <hyperlink ref="U73" r:id="rId41" xr:uid="{E39F77B7-0667-4983-8D84-A42097B3A7D3}"/>
    <hyperlink ref="V73" r:id="rId42" xr:uid="{9B805209-87A8-45C2-99EC-9E73A9292BDA}"/>
    <hyperlink ref="T73" r:id="rId43" xr:uid="{177B63C7-DC92-4AA6-A729-988793C11331}"/>
    <hyperlink ref="W73" r:id="rId44" xr:uid="{22C6FBFF-C91B-4AF5-A726-887FDC3E36C7}"/>
    <hyperlink ref="X73" r:id="rId45" display="https://classroom.google.com/c/NTEzOTA3MTE1Njcw?cjc=ysdpkq4" xr:uid="{BFDFE701-14F3-48F3-8C4D-CC963350B8B9}"/>
    <hyperlink ref="Y73" r:id="rId46" xr:uid="{1642297B-E965-4DA0-BC58-A119C97BA1AF}"/>
    <hyperlink ref="AB73" r:id="rId47" xr:uid="{62C3A1F2-9179-4174-95B1-7F094116959E}"/>
    <hyperlink ref="AA73" r:id="rId48" xr:uid="{6C215D70-ADB4-4FE9-B6E8-2B7838B77A70}"/>
    <hyperlink ref="Z73" r:id="rId49" xr:uid="{06A8BF41-4430-4A40-8561-73C4115D8407}"/>
    <hyperlink ref="AC73" r:id="rId50" xr:uid="{73E0CC40-7227-497B-B761-27C890B23196}"/>
    <hyperlink ref="AD73" r:id="rId51" xr:uid="{983A4DED-16B8-437B-8C44-272BA3E449B0}"/>
    <hyperlink ref="AE73" r:id="rId52" xr:uid="{42062A01-CC4C-4DDF-8AB0-08FE299A05D1}"/>
    <hyperlink ref="AF73" r:id="rId53" xr:uid="{00F82FE1-EF6A-419B-B305-4A7945327D24}"/>
    <hyperlink ref="AG73" r:id="rId54" xr:uid="{B7F45A6C-2DE3-463A-AF0E-D6AAD007F739}"/>
    <hyperlink ref="AH73" r:id="rId55" xr:uid="{0B4564D0-DA1D-4999-B4BF-202BA7BEFD2C}"/>
    <hyperlink ref="AI73" r:id="rId56" xr:uid="{4906B1FE-E455-4E83-8E85-D05777F6E7C0}"/>
    <hyperlink ref="AL73" r:id="rId57" xr:uid="{79F227C2-FA71-4F7A-A60F-E4C72CBB5911}"/>
    <hyperlink ref="AW73" r:id="rId58" xr:uid="{A47FAE52-9BE4-482C-BEA0-CC2A54E3230D}"/>
    <hyperlink ref="AS73" r:id="rId59" xr:uid="{8391D1B1-08F6-4F31-8004-0657C1A36E61}"/>
    <hyperlink ref="O37" r:id="rId60" xr:uid="{C130A6DA-0576-43F9-91F5-BDD3CEC6FA08}"/>
    <hyperlink ref="P37" r:id="rId61" xr:uid="{DA464B3F-354F-4C9B-9FC6-47AF4D9FE2FE}"/>
    <hyperlink ref="AK37" r:id="rId62" xr:uid="{3855A46A-61D6-46A0-989F-009E7F0F2DCE}"/>
    <hyperlink ref="AL37" r:id="rId63" xr:uid="{3D7C5259-4B99-4CB3-8ADF-2982F199C564}"/>
    <hyperlink ref="AM37" r:id="rId64" xr:uid="{34AF719D-593C-4FE0-806E-B115D506F61A}"/>
    <hyperlink ref="AN37" r:id="rId65" xr:uid="{4F4CB6F8-F7AF-4A3D-AFDB-90B8C7214350}"/>
    <hyperlink ref="AO37" r:id="rId66" xr:uid="{53741117-1DBD-42C1-AF46-B347945C8CC2}"/>
    <hyperlink ref="AP37" r:id="rId67" xr:uid="{B30064DA-9AED-48D1-B931-31FF770F23B6}"/>
    <hyperlink ref="AR37" r:id="rId68" xr:uid="{46C0A13A-2056-45D9-A588-004E6A9216EF}"/>
    <hyperlink ref="AS37" r:id="rId69" xr:uid="{B20D32B8-314F-4A56-9C25-9D8EBD3D8ED1}"/>
    <hyperlink ref="AT37" r:id="rId70" xr:uid="{B2C54BBC-8B3D-4514-90B4-8D8D19907C1F}"/>
    <hyperlink ref="AU37" r:id="rId71" xr:uid="{CDCA3A1F-C09A-4FFD-AD56-A366AB18E850}"/>
    <hyperlink ref="AV37" r:id="rId72" xr:uid="{809862DD-D3F5-4EC9-9C72-D158466BA850}"/>
    <hyperlink ref="AW37" r:id="rId73" xr:uid="{8E2A6559-1449-4542-B1DF-8D61178B8029}"/>
    <hyperlink ref="AY37" r:id="rId74" xr:uid="{141BB6CC-6C40-468C-890A-BF9D6AC70069}"/>
    <hyperlink ref="AZ37" r:id="rId75" xr:uid="{7372BDD8-F064-433F-9B67-2AC3EDC29C4B}"/>
    <hyperlink ref="BA37" r:id="rId76" xr:uid="{623950C4-946C-40C5-AEDF-B65950ED291C}"/>
    <hyperlink ref="BB37" r:id="rId77" xr:uid="{4797A37E-B72E-4B21-BCC2-C67381C1FA6D}"/>
    <hyperlink ref="BD37" r:id="rId78" xr:uid="{A5EF658E-0BDC-4381-87F4-E65193D87F85}"/>
    <hyperlink ref="Z37" r:id="rId79" xr:uid="{C156B8F5-51D9-4863-BFA0-F3EF8F9C5FDA}"/>
    <hyperlink ref="BE37" r:id="rId80" xr:uid="{3B25AA9C-26EC-4271-91E1-56C10B8F3521}"/>
    <hyperlink ref="BF37" r:id="rId81" xr:uid="{7B912296-F882-4F50-B4BA-C272212133F0}"/>
    <hyperlink ref="BG37" r:id="rId82" xr:uid="{C885D7A9-C331-495E-82E3-4C0550F577C3}"/>
    <hyperlink ref="Q37" r:id="rId83" xr:uid="{C31B8894-2FE2-41B6-920A-7D550F46E24E}"/>
    <hyperlink ref="T37" r:id="rId84" xr:uid="{D7B61115-624E-453F-A7E3-24A916500189}"/>
    <hyperlink ref="U37" r:id="rId85" xr:uid="{8029105B-99BA-4030-BC72-9969A69CB7E0}"/>
    <hyperlink ref="V37" r:id="rId86" xr:uid="{BFF2727C-74A3-41B5-BC4E-E26889BF25F7}"/>
    <hyperlink ref="P56" r:id="rId87" xr:uid="{0284708D-413B-46AA-A1AF-DE2DD670314B}"/>
    <hyperlink ref="O56" r:id="rId88" xr:uid="{3F58204A-6033-4212-BE40-CA7580618796}"/>
    <hyperlink ref="AZ73" r:id="rId89" xr:uid="{E7DEF1CB-6860-49CF-87A6-E832D9F80B68}"/>
    <hyperlink ref="AY73" r:id="rId90" xr:uid="{808C2492-FA03-49BA-999D-671D6B5020E9}"/>
    <hyperlink ref="AA96" r:id="rId91" xr:uid="{2A4202C3-85AD-4103-9A84-AEE4CEAE3C76}"/>
    <hyperlink ref="Q56" r:id="rId92" xr:uid="{DEA42061-BC3E-4DC2-9954-B9AFE7B4EDC2}"/>
    <hyperlink ref="R56" r:id="rId93" xr:uid="{6B91EE6B-E85D-45EC-8FD8-0922038AF63B}"/>
    <hyperlink ref="S56" r:id="rId94" xr:uid="{EB59A080-5FF2-497D-B459-87DE637F1E11}"/>
    <hyperlink ref="BB73" r:id="rId95" xr:uid="{8C92BCA5-DF09-48A5-98DB-9A79BCEC3E99}"/>
    <hyperlink ref="BC73" r:id="rId96" xr:uid="{71A7F24C-C5D4-465D-A7C0-833BD4200EB2}"/>
    <hyperlink ref="T56" r:id="rId97" xr:uid="{0DBA6542-BD3A-4C03-88E0-2A334BC41BCD}"/>
    <hyperlink ref="U56" r:id="rId98" xr:uid="{2F191284-1010-4915-8A9C-7523DD8900B7}"/>
    <hyperlink ref="V56" r:id="rId99" xr:uid="{59FC1B48-624A-4E96-8F84-2FE77C2D0DD6}"/>
    <hyperlink ref="W56" r:id="rId100" xr:uid="{39398B7C-0CF0-4ADF-BC1E-35F6C1EEFEA4}"/>
    <hyperlink ref="BD73" r:id="rId101" xr:uid="{3B38F87D-4722-4976-8918-268BD71C2815}"/>
    <hyperlink ref="BE73" r:id="rId102" xr:uid="{44C0704B-F219-46CC-BAF2-E7D469460886}"/>
    <hyperlink ref="BF73" r:id="rId103" xr:uid="{50BD3E0E-8D0E-46E7-B6D9-63E18E60CD16}"/>
    <hyperlink ref="X56" r:id="rId104" xr:uid="{655C511F-1C5A-4E46-8FAC-AAEC6F97AE58}"/>
    <hyperlink ref="Y56" r:id="rId105" xr:uid="{24AC8CCA-F325-4B5A-AD43-0A963DD61018}"/>
    <hyperlink ref="Z56" r:id="rId106" xr:uid="{CD066AAD-7218-483E-9A22-3F4A84D8B7A0}"/>
    <hyperlink ref="AA56" r:id="rId107" xr:uid="{F0FB2BCE-CB0A-4C6D-8D22-EE89130F69B8}"/>
    <hyperlink ref="AB56" r:id="rId108" xr:uid="{38B2BC48-49F7-4C2F-9065-F6A81DD6C8CD}"/>
    <hyperlink ref="AC56" r:id="rId109" xr:uid="{EFFD7BDE-53C3-40BE-8D5C-C566834A9978}"/>
    <hyperlink ref="AD56" r:id="rId110" xr:uid="{9B834103-00DA-4C2E-A5AA-BE0E0290EB11}"/>
    <hyperlink ref="AE56" r:id="rId111" xr:uid="{2BCCEB5A-B55A-4CAA-94F6-CBD3EE8CED73}"/>
    <hyperlink ref="AF56" r:id="rId112" xr:uid="{406144A9-9A26-4057-A795-8FD58DA5F13B}"/>
    <hyperlink ref="AG56" r:id="rId113" xr:uid="{E76AB3DA-D3B5-4326-BEF3-9ADFB2222903}"/>
    <hyperlink ref="BG73" r:id="rId114" xr:uid="{BFB84F17-55C4-4D1C-A41F-7BA1C9E44194}"/>
    <hyperlink ref="BH73" r:id="rId115" xr:uid="{C7B0C98D-18C8-4EB7-A687-6F9E6C81F4D1}"/>
    <hyperlink ref="BI73" r:id="rId116" xr:uid="{5581C3FD-B3A9-4209-8AEE-84FDD78B69A8}"/>
    <hyperlink ref="BJ73" r:id="rId117" xr:uid="{81DB877C-B42A-42F6-A85B-0C95D07FD514}"/>
    <hyperlink ref="BK73" r:id="rId118" xr:uid="{99839D46-3EFE-4FA8-A9CF-2F8A6E99939D}"/>
    <hyperlink ref="BL73" r:id="rId119" xr:uid="{3969498E-FC5B-43AA-9D10-B0BB8BB1078B}"/>
    <hyperlink ref="BM73" r:id="rId120" xr:uid="{FC0CE04A-082D-45F1-ADE0-314C0AA7A0E0}"/>
    <hyperlink ref="T26" r:id="rId121" location="gid=2035156564" xr:uid="{8FA3C9DA-1954-48A2-B212-9F38021BD1C0}"/>
    <hyperlink ref="U26" r:id="rId122" location="gid=2035156564" xr:uid="{59D80B2B-CC18-4FEE-8A81-6C1B695E4A8A}"/>
  </hyperlinks>
  <pageMargins left="0.7" right="0.7" top="0.75" bottom="0.75" header="0" footer="0"/>
  <pageSetup orientation="portrait" r:id="rId123"/>
  <legacyDrawing r:id="rId12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FF00"/>
  </sheetPr>
  <dimension ref="A2:AW1086"/>
  <sheetViews>
    <sheetView zoomScaleNormal="100" workbookViewId="0">
      <selection activeCell="F13" sqref="F13:F16"/>
    </sheetView>
  </sheetViews>
  <sheetFormatPr baseColWidth="10" defaultColWidth="14.42578125" defaultRowHeight="15" customHeight="1"/>
  <cols>
    <col min="1" max="1" width="12" customWidth="1"/>
    <col min="2" max="2" width="5.85546875" customWidth="1"/>
    <col min="3" max="3" width="10.5703125" customWidth="1"/>
    <col min="4" max="4" width="9.28515625" customWidth="1"/>
    <col min="5" max="5" width="22.7109375" customWidth="1"/>
    <col min="6" max="6" width="22.42578125" customWidth="1"/>
    <col min="7" max="7" width="47.42578125" customWidth="1"/>
    <col min="8" max="8" width="8.140625" customWidth="1"/>
    <col min="9" max="9" width="5.5703125" customWidth="1"/>
    <col min="10" max="10" width="6.28515625" customWidth="1"/>
    <col min="11" max="11" width="5" bestFit="1" customWidth="1"/>
    <col min="12" max="12" width="13.5703125" style="299" bestFit="1" customWidth="1"/>
    <col min="13" max="13" width="18.7109375" customWidth="1"/>
    <col min="14" max="14" width="18.5703125" customWidth="1"/>
    <col min="15" max="15" width="17.5703125" customWidth="1"/>
    <col min="16" max="17" width="17.28515625" customWidth="1"/>
    <col min="18" max="18" width="18" customWidth="1"/>
    <col min="19" max="19" width="17.7109375" customWidth="1"/>
    <col min="20" max="31" width="15" customWidth="1"/>
    <col min="32" max="32" width="15.5703125" customWidth="1"/>
    <col min="33" max="33" width="15.140625" customWidth="1"/>
    <col min="34" max="34" width="15.28515625" customWidth="1"/>
    <col min="35" max="35" width="16.42578125" customWidth="1"/>
    <col min="36" max="36" width="19.28515625" customWidth="1"/>
    <col min="37" max="37" width="15.28515625" customWidth="1"/>
    <col min="38" max="38" width="17.28515625" customWidth="1"/>
    <col min="39" max="39" width="17" customWidth="1"/>
    <col min="40" max="40" width="18.5703125" customWidth="1"/>
    <col min="41" max="43" width="10.5703125" customWidth="1"/>
  </cols>
  <sheetData>
    <row r="2" spans="1:37" ht="15" customHeight="1">
      <c r="B2" s="4" t="s">
        <v>0</v>
      </c>
    </row>
    <row r="3" spans="1:37" ht="15" customHeight="1">
      <c r="B3" s="5"/>
      <c r="C3" t="s">
        <v>2</v>
      </c>
    </row>
    <row r="4" spans="1:37">
      <c r="B4" s="7"/>
      <c r="C4" s="2" t="s">
        <v>4</v>
      </c>
      <c r="D4" s="2"/>
      <c r="E4" s="890"/>
      <c r="G4" s="889"/>
      <c r="H4" s="3197" t="s">
        <v>208</v>
      </c>
      <c r="I4" s="3194" t="s">
        <v>5434</v>
      </c>
    </row>
    <row r="5" spans="1:37">
      <c r="B5" s="1239"/>
      <c r="C5" s="2"/>
      <c r="D5" s="2"/>
      <c r="E5" s="701"/>
      <c r="G5" s="643"/>
      <c r="H5" s="701"/>
    </row>
    <row r="6" spans="1:37" ht="21">
      <c r="B6" s="701"/>
      <c r="C6" s="3040" t="s">
        <v>5015</v>
      </c>
      <c r="D6" s="2"/>
      <c r="E6" s="701"/>
      <c r="G6" s="643"/>
      <c r="H6" s="701"/>
    </row>
    <row r="7" spans="1:37" ht="18">
      <c r="C7" s="1821" t="s">
        <v>4300</v>
      </c>
    </row>
    <row r="8" spans="1:37" ht="21">
      <c r="C8" s="3195" t="s">
        <v>5433</v>
      </c>
      <c r="D8" s="3196"/>
      <c r="E8" s="1544"/>
    </row>
    <row r="9" spans="1:37" ht="18">
      <c r="C9" s="1821"/>
    </row>
    <row r="10" spans="1:37" ht="18">
      <c r="C10" s="1821"/>
    </row>
    <row r="11" spans="1:37">
      <c r="A11" s="4141" t="s">
        <v>1640</v>
      </c>
      <c r="B11" s="4142"/>
      <c r="C11" s="4142"/>
      <c r="D11" s="4142"/>
      <c r="E11" s="4142"/>
      <c r="F11" s="4142"/>
    </row>
    <row r="12" spans="1:37" ht="15.75" thickBot="1">
      <c r="A12" s="4142"/>
      <c r="B12" s="4142"/>
      <c r="C12" s="4142"/>
      <c r="D12" s="4142"/>
      <c r="E12" s="4142"/>
      <c r="F12" s="4142"/>
      <c r="N12" s="3902">
        <v>45901</v>
      </c>
      <c r="O12" s="3903">
        <v>45931</v>
      </c>
      <c r="P12" s="3902">
        <v>45962</v>
      </c>
      <c r="Q12" s="3902">
        <v>45992</v>
      </c>
      <c r="R12" s="3903">
        <v>46023</v>
      </c>
      <c r="S12" s="3902">
        <v>46054</v>
      </c>
      <c r="T12" s="3902">
        <v>46082</v>
      </c>
      <c r="U12" s="3903">
        <v>46113</v>
      </c>
      <c r="V12" s="3902">
        <v>46143</v>
      </c>
      <c r="W12" s="3902">
        <v>46174</v>
      </c>
      <c r="X12" s="3903">
        <v>46204</v>
      </c>
      <c r="Y12" s="3902">
        <v>46235</v>
      </c>
      <c r="Z12" s="3902">
        <v>46266</v>
      </c>
      <c r="AA12" s="3903">
        <v>46296</v>
      </c>
      <c r="AB12" s="3902">
        <v>46327</v>
      </c>
      <c r="AC12" s="3902">
        <v>46357</v>
      </c>
      <c r="AD12" s="3903">
        <v>46388</v>
      </c>
      <c r="AE12" s="3902">
        <v>46419</v>
      </c>
      <c r="AF12" s="3902">
        <v>46447</v>
      </c>
      <c r="AG12" s="3903">
        <v>46478</v>
      </c>
      <c r="AH12" s="3902">
        <v>46508</v>
      </c>
      <c r="AI12" s="3902">
        <v>46539</v>
      </c>
      <c r="AJ12" s="3903">
        <v>46569</v>
      </c>
      <c r="AK12" s="3902">
        <v>46600</v>
      </c>
    </row>
    <row r="13" spans="1:37" ht="15.75" thickBot="1">
      <c r="A13" s="1546"/>
      <c r="B13" s="4083" t="s">
        <v>5</v>
      </c>
      <c r="C13" s="1548" t="s">
        <v>1630</v>
      </c>
      <c r="D13" s="4085" t="s">
        <v>3866</v>
      </c>
      <c r="E13" s="4085" t="s">
        <v>6</v>
      </c>
      <c r="F13" s="4085" t="s">
        <v>7</v>
      </c>
      <c r="G13" s="4098" t="s">
        <v>8</v>
      </c>
      <c r="H13" s="4099" t="s">
        <v>9</v>
      </c>
      <c r="I13" s="4086" t="s">
        <v>10</v>
      </c>
      <c r="J13" s="4087"/>
      <c r="K13" s="4087"/>
      <c r="L13" s="4374"/>
      <c r="M13" s="1549"/>
      <c r="N13" s="4071" t="s">
        <v>2575</v>
      </c>
      <c r="O13" s="4072"/>
      <c r="P13" s="4072"/>
      <c r="Q13" s="4073"/>
      <c r="R13" s="4071"/>
      <c r="S13" s="4072"/>
      <c r="T13" s="4072"/>
      <c r="U13" s="4073"/>
      <c r="V13" s="4071"/>
      <c r="W13" s="4072"/>
      <c r="X13" s="4072"/>
      <c r="Y13" s="4073"/>
      <c r="Z13" s="4071"/>
      <c r="AA13" s="4072"/>
      <c r="AB13" s="4072"/>
      <c r="AC13" s="4073"/>
      <c r="AD13" s="4071"/>
      <c r="AE13" s="4072"/>
      <c r="AF13" s="4072"/>
      <c r="AG13" s="4073"/>
      <c r="AH13" s="4071"/>
      <c r="AI13" s="4072"/>
      <c r="AJ13" s="4072"/>
      <c r="AK13" s="4073"/>
    </row>
    <row r="14" spans="1:37" ht="15.75" thickBot="1">
      <c r="A14" s="1546"/>
      <c r="B14" s="4075"/>
      <c r="C14" s="1548" t="s">
        <v>1843</v>
      </c>
      <c r="D14" s="4075"/>
      <c r="E14" s="4075"/>
      <c r="F14" s="4075"/>
      <c r="G14" s="4075"/>
      <c r="H14" s="4075"/>
      <c r="I14" s="4087"/>
      <c r="J14" s="4088"/>
      <c r="K14" s="4087"/>
      <c r="L14" s="4375"/>
      <c r="M14" s="1552" t="s">
        <v>1149</v>
      </c>
      <c r="N14" s="1553"/>
      <c r="O14" s="1554"/>
      <c r="P14" s="1554"/>
      <c r="Q14" s="1554"/>
      <c r="R14" s="1554"/>
      <c r="S14" s="1554"/>
      <c r="T14" s="1554"/>
      <c r="U14" s="1554"/>
      <c r="V14" s="1554"/>
      <c r="W14" s="1554"/>
      <c r="X14" s="1554"/>
      <c r="Y14" s="1554"/>
      <c r="Z14" s="1554"/>
      <c r="AA14" s="1554"/>
      <c r="AB14" s="1554"/>
      <c r="AC14" s="1554"/>
      <c r="AD14" s="1554"/>
      <c r="AE14" s="1554"/>
      <c r="AF14" s="1554"/>
      <c r="AG14" s="1554"/>
      <c r="AH14" s="1554"/>
      <c r="AI14" s="1554"/>
      <c r="AJ14" s="1554"/>
      <c r="AK14" s="1554"/>
    </row>
    <row r="15" spans="1:37" ht="23.25" thickBot="1">
      <c r="A15" s="1562" t="s">
        <v>27</v>
      </c>
      <c r="B15" s="4075"/>
      <c r="C15" s="1547"/>
      <c r="D15" s="4075"/>
      <c r="E15" s="4075"/>
      <c r="F15" s="4075"/>
      <c r="G15" s="4075"/>
      <c r="H15" s="4075"/>
      <c r="I15" s="4087"/>
      <c r="J15" s="4087"/>
      <c r="K15" s="4087"/>
      <c r="L15" s="3919"/>
      <c r="M15" s="1552" t="s">
        <v>1728</v>
      </c>
      <c r="N15" s="1563" t="s">
        <v>579</v>
      </c>
      <c r="O15" s="1563" t="s">
        <v>577</v>
      </c>
      <c r="P15" s="1563" t="s">
        <v>577</v>
      </c>
      <c r="Q15" s="1563" t="s">
        <v>565</v>
      </c>
      <c r="R15" s="1563" t="s">
        <v>576</v>
      </c>
      <c r="S15" s="1563" t="s">
        <v>574</v>
      </c>
      <c r="T15" s="1563" t="s">
        <v>573</v>
      </c>
      <c r="U15" s="1563" t="s">
        <v>4347</v>
      </c>
      <c r="V15" s="1563" t="s">
        <v>571</v>
      </c>
      <c r="W15" s="1563" t="s">
        <v>572</v>
      </c>
      <c r="X15" s="1563" t="s">
        <v>572</v>
      </c>
      <c r="Y15" s="1563" t="s">
        <v>4859</v>
      </c>
      <c r="Z15" s="1563" t="s">
        <v>572</v>
      </c>
      <c r="AA15" s="1563" t="s">
        <v>568</v>
      </c>
      <c r="AB15" s="1563" t="s">
        <v>567</v>
      </c>
      <c r="AC15" s="1563" t="s">
        <v>566</v>
      </c>
      <c r="AD15" s="1563" t="s">
        <v>575</v>
      </c>
      <c r="AE15" s="1563" t="s">
        <v>576</v>
      </c>
      <c r="AF15" s="1563" t="s">
        <v>578</v>
      </c>
      <c r="AG15" s="1563" t="s">
        <v>579</v>
      </c>
      <c r="AH15" s="1563" t="s">
        <v>579</v>
      </c>
      <c r="AI15" s="1563" t="s">
        <v>577</v>
      </c>
      <c r="AJ15" s="1563"/>
      <c r="AK15" s="1563"/>
    </row>
    <row r="16" spans="1:37" ht="36.75" thickBot="1">
      <c r="A16" s="1548" t="s">
        <v>4178</v>
      </c>
      <c r="B16" s="4084"/>
      <c r="C16" s="1564" t="s">
        <v>3882</v>
      </c>
      <c r="D16" s="4084"/>
      <c r="E16" s="4084"/>
      <c r="F16" s="4084"/>
      <c r="G16" s="1565" t="s">
        <v>78</v>
      </c>
      <c r="H16" s="4084"/>
      <c r="I16" s="1566" t="s">
        <v>79</v>
      </c>
      <c r="J16" s="1566" t="s">
        <v>80</v>
      </c>
      <c r="K16" s="1566" t="s">
        <v>81</v>
      </c>
      <c r="L16" s="3951" t="s">
        <v>1759</v>
      </c>
      <c r="M16" s="1568" t="s">
        <v>27</v>
      </c>
      <c r="N16" s="1569" t="s">
        <v>4865</v>
      </c>
      <c r="O16" s="1569" t="s">
        <v>4866</v>
      </c>
      <c r="P16" s="1569" t="s">
        <v>5513</v>
      </c>
      <c r="Q16" s="1569" t="s">
        <v>5514</v>
      </c>
      <c r="R16" s="1569" t="s">
        <v>5515</v>
      </c>
      <c r="S16" s="1569" t="s">
        <v>5516</v>
      </c>
      <c r="T16" s="1569" t="s">
        <v>5517</v>
      </c>
      <c r="U16" s="1570" t="s">
        <v>649</v>
      </c>
      <c r="V16" s="1569" t="s">
        <v>650</v>
      </c>
      <c r="W16" s="1569" t="s">
        <v>4320</v>
      </c>
      <c r="X16" s="1569" t="s">
        <v>3664</v>
      </c>
      <c r="Y16" s="1570" t="s">
        <v>3665</v>
      </c>
      <c r="Z16" s="1569" t="s">
        <v>3539</v>
      </c>
      <c r="AA16" s="1569" t="s">
        <v>610</v>
      </c>
      <c r="AB16" s="1569" t="s">
        <v>4913</v>
      </c>
      <c r="AC16" s="1570" t="s">
        <v>4914</v>
      </c>
      <c r="AD16" s="1569" t="s">
        <v>4915</v>
      </c>
      <c r="AE16" s="1569" t="s">
        <v>4863</v>
      </c>
      <c r="AF16" s="1569" t="s">
        <v>4916</v>
      </c>
      <c r="AG16" s="1570" t="s">
        <v>4864</v>
      </c>
      <c r="AH16" s="1569" t="s">
        <v>4865</v>
      </c>
      <c r="AI16" s="1569" t="s">
        <v>4866</v>
      </c>
      <c r="AJ16" s="1569"/>
      <c r="AK16" s="1570"/>
    </row>
    <row r="17" spans="1:37" ht="15.75">
      <c r="A17" s="1546"/>
      <c r="B17" s="1574">
        <v>1</v>
      </c>
      <c r="C17" s="3897">
        <f>_xlfn.XLOOKUP($D17, Tabla3[No.], Tabla3[FECHA DE INICIO (PRIMERA CLASE CALENDARIO)]," ")</f>
        <v>45933</v>
      </c>
      <c r="D17" s="1576">
        <v>882</v>
      </c>
      <c r="E17" s="1577" t="str">
        <f>_xlfn.XLOOKUP($D17,  Tabla3[No.],  Tabla3[CURP], " ")</f>
        <v>PEAA761031HCHRLL08</v>
      </c>
      <c r="F17" s="1578">
        <f>_xlfn.XLOOKUP($D17,  Tabla3[No.],  Tabla3[Matrícula Of. SEQ], " ")</f>
        <v>0</v>
      </c>
      <c r="G17" s="1579" t="str">
        <f>IFERROR(VLOOKUP(D17,Tabla3[],5,FALSE),"")</f>
        <v>PEREZ ALANIS ALFREDO SERGIO</v>
      </c>
      <c r="H17" s="1580" t="str">
        <f>MID($E17,11,1)</f>
        <v>H</v>
      </c>
      <c r="I17" s="1580" t="str">
        <f>MID($E17,5,2)</f>
        <v>76</v>
      </c>
      <c r="J17" s="1580" t="str">
        <f>MID($E17,7,2)</f>
        <v>10</v>
      </c>
      <c r="K17" s="1580" t="str">
        <f>MID($E17,9,2)</f>
        <v>31</v>
      </c>
      <c r="L17" s="3920" t="str">
        <f>_xlfn.XLOOKUP($D17,  Tabla3[No.],  Tabla3[ESTATUS ACADÉMICO], " ")</f>
        <v>VIGENTE</v>
      </c>
      <c r="M17" s="3898" t="str">
        <f>_xlfn.XLOOKUP($D17,  Tabla3[No.],  Tabla3[Grupo de clase], " ")</f>
        <v>MD07C</v>
      </c>
      <c r="N17" s="1583">
        <v>9</v>
      </c>
      <c r="O17" s="1583">
        <v>10</v>
      </c>
      <c r="P17" s="1583"/>
      <c r="Q17" s="1580"/>
      <c r="R17" s="1583"/>
      <c r="S17" s="1583"/>
      <c r="T17" s="1583"/>
      <c r="U17" s="1584"/>
      <c r="V17" s="1583"/>
      <c r="W17" s="1583"/>
      <c r="X17" s="1583"/>
      <c r="Y17" s="1584"/>
      <c r="Z17" s="1583"/>
      <c r="AA17" s="1583"/>
      <c r="AB17" s="1583"/>
      <c r="AC17" s="1584"/>
      <c r="AD17" s="1583"/>
      <c r="AE17" s="1583"/>
      <c r="AF17" s="1583"/>
      <c r="AG17" s="1584"/>
      <c r="AH17" s="1583"/>
      <c r="AI17" s="1583"/>
      <c r="AJ17" s="1583"/>
      <c r="AK17" s="1584"/>
    </row>
    <row r="18" spans="1:37" ht="15.75">
      <c r="A18" s="1546"/>
      <c r="B18" s="1599">
        <v>2</v>
      </c>
      <c r="C18" s="3897">
        <f>_xlfn.XLOOKUP($D18, Tabla3[No.], Tabla3[FECHA DE INICIO (PRIMERA CLASE CALENDARIO)]," ")</f>
        <v>45947</v>
      </c>
      <c r="D18" s="1601">
        <v>883</v>
      </c>
      <c r="E18" s="1602" t="str">
        <f>_xlfn.XLOOKUP($D18,  Tabla3[No.],  Tabla3[CURP], " ")</f>
        <v>GAIE730303MCLLLL09</v>
      </c>
      <c r="F18" s="1603" t="str">
        <f>_xlfn.XLOOKUP($D18,  Tabla3[No.],  Tabla3[Matrícula Of. SEQ], " ")</f>
        <v>A DISTANCIA</v>
      </c>
      <c r="G18" s="1604" t="str">
        <f>IFERROR(VLOOKUP(D18,Tabla3[],5,FALSE),"")</f>
        <v>GALVAN ILLADES ELIZABETH</v>
      </c>
      <c r="H18" s="1605" t="str">
        <f t="shared" ref="H18:H26" si="0">MID($E18,11,1)</f>
        <v>M</v>
      </c>
      <c r="I18" s="1605" t="str">
        <f t="shared" ref="I18:I26" si="1">MID($E18,5,2)</f>
        <v>73</v>
      </c>
      <c r="J18" s="1605" t="str">
        <f t="shared" ref="J18:J26" si="2">MID($E18,7,2)</f>
        <v>03</v>
      </c>
      <c r="K18" s="1605" t="str">
        <f t="shared" ref="K18:K26" si="3">MID($E18,9,2)</f>
        <v>03</v>
      </c>
      <c r="L18" s="3818" t="str">
        <f>_xlfn.XLOOKUP($D18,  Tabla3[No.],  Tabla3[ESTATUS ACADÉMICO], " ")</f>
        <v>VIGENTE</v>
      </c>
      <c r="M18" s="2060" t="str">
        <f>_xlfn.XLOOKUP($D18,  Tabla3[No.],  Tabla3[Grupo de clase], " ")</f>
        <v>MDO07</v>
      </c>
      <c r="N18" s="1608" t="s">
        <v>135</v>
      </c>
      <c r="O18" s="1608">
        <v>10</v>
      </c>
      <c r="P18" s="1608"/>
      <c r="Q18" s="1605"/>
      <c r="R18" s="1608"/>
      <c r="S18" s="1608"/>
      <c r="T18" s="1608"/>
      <c r="U18" s="1609"/>
      <c r="V18" s="1608"/>
      <c r="W18" s="1608"/>
      <c r="X18" s="1608"/>
      <c r="Y18" s="1609"/>
      <c r="Z18" s="1608"/>
      <c r="AA18" s="1608"/>
      <c r="AB18" s="1608"/>
      <c r="AC18" s="1609"/>
      <c r="AD18" s="1608"/>
      <c r="AE18" s="1608"/>
      <c r="AF18" s="1608"/>
      <c r="AG18" s="1609"/>
      <c r="AH18" s="1608"/>
      <c r="AI18" s="1608"/>
      <c r="AJ18" s="1608"/>
      <c r="AK18" s="1609"/>
    </row>
    <row r="19" spans="1:37" ht="15.75">
      <c r="A19" s="1546"/>
      <c r="B19" s="1599">
        <v>3</v>
      </c>
      <c r="C19" s="3897">
        <f>_xlfn.XLOOKUP($D19, Tabla3[No.], Tabla3[FECHA DE INICIO (PRIMERA CLASE CALENDARIO)]," ")</f>
        <v>45975</v>
      </c>
      <c r="D19" s="1601">
        <v>884</v>
      </c>
      <c r="E19" s="1602" t="str">
        <f>_xlfn.XLOOKUP($D19,  Tabla3[No.],  Tabla3[CURP], " ")</f>
        <v>DURN870205MCMXZR06</v>
      </c>
      <c r="F19" s="1603" t="str">
        <f>_xlfn.XLOOKUP($D19,  Tabla3[No.],  Tabla3[Matrícula Of. SEQ], " ")</f>
        <v>64MD07C-01</v>
      </c>
      <c r="G19" s="1604" t="str">
        <f>IFERROR(VLOOKUP(D19,Tabla3[],5,FALSE),"")</f>
        <v>DUEÑAS RUIZ NORMA PATRICIA</v>
      </c>
      <c r="H19" s="1605" t="str">
        <f t="shared" si="0"/>
        <v>M</v>
      </c>
      <c r="I19" s="1605" t="str">
        <f t="shared" si="1"/>
        <v>87</v>
      </c>
      <c r="J19" s="1605" t="str">
        <f t="shared" si="2"/>
        <v>02</v>
      </c>
      <c r="K19" s="1605" t="str">
        <f t="shared" si="3"/>
        <v>05</v>
      </c>
      <c r="L19" s="3818" t="str">
        <f>_xlfn.XLOOKUP($D19,  Tabla3[No.],  Tabla3[ESTATUS ACADÉMICO], " ")</f>
        <v>VIGENTE</v>
      </c>
      <c r="M19" s="2060" t="str">
        <f>_xlfn.XLOOKUP($D19,  Tabla3[No.],  Tabla3[Grupo de clase], " ")</f>
        <v>MD07C</v>
      </c>
      <c r="N19" s="1608" t="s">
        <v>135</v>
      </c>
      <c r="O19" s="1608" t="s">
        <v>135</v>
      </c>
      <c r="P19" s="1608"/>
      <c r="Q19" s="1605"/>
      <c r="R19" s="1608"/>
      <c r="S19" s="1608"/>
      <c r="T19" s="1608"/>
      <c r="U19" s="1609"/>
      <c r="V19" s="1608"/>
      <c r="W19" s="1608"/>
      <c r="X19" s="1608"/>
      <c r="Y19" s="1609"/>
      <c r="Z19" s="1608"/>
      <c r="AA19" s="1608"/>
      <c r="AB19" s="1608"/>
      <c r="AC19" s="1609"/>
      <c r="AD19" s="1608"/>
      <c r="AE19" s="1608"/>
      <c r="AF19" s="1608"/>
      <c r="AG19" s="1609"/>
      <c r="AH19" s="1608"/>
      <c r="AI19" s="1608"/>
      <c r="AJ19" s="1608"/>
      <c r="AK19" s="1609"/>
    </row>
    <row r="20" spans="1:37" ht="15.75">
      <c r="A20" s="1546"/>
      <c r="B20" s="1599">
        <v>4</v>
      </c>
      <c r="C20" s="3897" t="str">
        <f>_xlfn.XLOOKUP($D20, Tabla3[No.], Tabla3[FECHA DE INICIO (PRIMERA CLASE CALENDARIO)]," ")</f>
        <v xml:space="preserve"> </v>
      </c>
      <c r="D20" s="1601"/>
      <c r="E20" s="1602" t="str">
        <f>_xlfn.XLOOKUP($D20,  Tabla3[No.],  Tabla3[CURP], " ")</f>
        <v xml:space="preserve"> </v>
      </c>
      <c r="F20" s="1603" t="str">
        <f>_xlfn.XLOOKUP($D20,  Tabla3[No.],  Tabla3[Matrícula Of. SEQ], " ")</f>
        <v xml:space="preserve"> </v>
      </c>
      <c r="G20" s="1604" t="str">
        <f>IFERROR(VLOOKUP(D20,Tabla3[],5,FALSE),"")</f>
        <v/>
      </c>
      <c r="H20" s="1605" t="str">
        <f t="shared" si="0"/>
        <v/>
      </c>
      <c r="I20" s="1605" t="str">
        <f t="shared" si="1"/>
        <v/>
      </c>
      <c r="J20" s="1605" t="str">
        <f t="shared" si="2"/>
        <v/>
      </c>
      <c r="K20" s="1605" t="str">
        <f t="shared" si="3"/>
        <v/>
      </c>
      <c r="L20" s="3818" t="str">
        <f>_xlfn.XLOOKUP($D20,  Tabla3[No.],  Tabla3[ESTATUS ACADÉMICO], " ")</f>
        <v xml:space="preserve"> </v>
      </c>
      <c r="M20" s="2060" t="str">
        <f>_xlfn.XLOOKUP($D20,  Tabla3[No.],  Tabla3[Grupo de clase], " ")</f>
        <v xml:space="preserve"> </v>
      </c>
      <c r="N20" s="1608" t="s">
        <v>135</v>
      </c>
      <c r="O20" s="1608" t="s">
        <v>135</v>
      </c>
      <c r="P20" s="1608"/>
      <c r="Q20" s="1605"/>
      <c r="R20" s="1608"/>
      <c r="S20" s="1608"/>
      <c r="T20" s="1608"/>
      <c r="U20" s="1609"/>
      <c r="V20" s="1608"/>
      <c r="W20" s="1608"/>
      <c r="X20" s="1608"/>
      <c r="Y20" s="1609"/>
      <c r="Z20" s="1608"/>
      <c r="AA20" s="1608"/>
      <c r="AB20" s="1608"/>
      <c r="AC20" s="1609"/>
      <c r="AD20" s="1608"/>
      <c r="AE20" s="1608"/>
      <c r="AF20" s="1608"/>
      <c r="AG20" s="1609"/>
      <c r="AH20" s="1608"/>
      <c r="AI20" s="1608"/>
      <c r="AJ20" s="1608"/>
      <c r="AK20" s="1609"/>
    </row>
    <row r="21" spans="1:37" ht="15.75">
      <c r="A21" s="1546"/>
      <c r="B21" s="1599">
        <v>5</v>
      </c>
      <c r="C21" s="1600" t="str">
        <f>_xlfn.XLOOKUP($D21, Tabla3[No.], Tabla3[FECHA DE INICIO (PRIMERA CLASE CALENDARIO)]," ")</f>
        <v xml:space="preserve"> </v>
      </c>
      <c r="D21" s="1601"/>
      <c r="E21" s="1602" t="str">
        <f>_xlfn.XLOOKUP($D21,  Tabla3[No.],  Tabla3[CURP], " ")</f>
        <v xml:space="preserve"> </v>
      </c>
      <c r="F21" s="1603" t="str">
        <f>_xlfn.XLOOKUP($D21,  Tabla3[No.],  Tabla3[Matrícula Of. SEQ], " ")</f>
        <v xml:space="preserve"> </v>
      </c>
      <c r="G21" s="1604" t="str">
        <f>IFERROR(VLOOKUP(D21,Tabla3[],5,FALSE),"")</f>
        <v/>
      </c>
      <c r="H21" s="1605" t="str">
        <f t="shared" si="0"/>
        <v/>
      </c>
      <c r="I21" s="1605" t="str">
        <f t="shared" si="1"/>
        <v/>
      </c>
      <c r="J21" s="1605" t="str">
        <f t="shared" si="2"/>
        <v/>
      </c>
      <c r="K21" s="1605" t="str">
        <f t="shared" si="3"/>
        <v/>
      </c>
      <c r="L21" s="3818" t="str">
        <f>_xlfn.XLOOKUP($D21,  Tabla3[No.],  Tabla3[ESTATUS ACADÉMICO], " ")</f>
        <v xml:space="preserve"> </v>
      </c>
      <c r="M21" s="2060" t="str">
        <f>_xlfn.XLOOKUP($D21,  Tabla3[No.],  Tabla3[Grupo de clase], " ")</f>
        <v xml:space="preserve"> </v>
      </c>
      <c r="N21" s="1608"/>
      <c r="O21" s="1608"/>
      <c r="P21" s="1608"/>
      <c r="Q21" s="1605"/>
      <c r="R21" s="1608"/>
      <c r="S21" s="1608"/>
      <c r="T21" s="1627"/>
      <c r="U21" s="1628"/>
      <c r="V21" s="1608"/>
      <c r="W21" s="1608"/>
      <c r="X21" s="1627"/>
      <c r="Y21" s="1628"/>
      <c r="Z21" s="1608"/>
      <c r="AA21" s="1608"/>
      <c r="AB21" s="1627"/>
      <c r="AC21" s="1628"/>
      <c r="AD21" s="1608"/>
      <c r="AE21" s="1608"/>
      <c r="AF21" s="1627"/>
      <c r="AG21" s="1628"/>
      <c r="AH21" s="1608"/>
      <c r="AI21" s="1608"/>
      <c r="AJ21" s="1627"/>
      <c r="AK21" s="1628"/>
    </row>
    <row r="22" spans="1:37" ht="15.75">
      <c r="A22" s="1546"/>
      <c r="B22" s="1599">
        <v>6</v>
      </c>
      <c r="C22" s="1600" t="str">
        <f>_xlfn.XLOOKUP($D22, Tabla3[No.], Tabla3[FECHA DE INICIO (PRIMERA CLASE CALENDARIO)]," ")</f>
        <v xml:space="preserve"> </v>
      </c>
      <c r="D22" s="1601"/>
      <c r="E22" s="1602" t="str">
        <f>_xlfn.XLOOKUP($D22,  Tabla3[No.],  Tabla3[CURP], " ")</f>
        <v xml:space="preserve"> </v>
      </c>
      <c r="F22" s="1603" t="str">
        <f>_xlfn.XLOOKUP($D22,  Tabla3[No.],  Tabla3[Matrícula Of. SEQ], " ")</f>
        <v xml:space="preserve"> </v>
      </c>
      <c r="G22" s="1604" t="str">
        <f>IFERROR(VLOOKUP(D22,Tabla3[],5,FALSE),"")</f>
        <v/>
      </c>
      <c r="H22" s="1605" t="str">
        <f t="shared" si="0"/>
        <v/>
      </c>
      <c r="I22" s="1605" t="str">
        <f t="shared" si="1"/>
        <v/>
      </c>
      <c r="J22" s="1605" t="str">
        <f t="shared" si="2"/>
        <v/>
      </c>
      <c r="K22" s="1605" t="str">
        <f t="shared" si="3"/>
        <v/>
      </c>
      <c r="L22" s="3818" t="str">
        <f>_xlfn.XLOOKUP($D22,  Tabla3[No.],  Tabla3[ESTATUS ACADÉMICO], " ")</f>
        <v xml:space="preserve"> </v>
      </c>
      <c r="M22" s="2060" t="str">
        <f>_xlfn.XLOOKUP($D22,  Tabla3[No.],  Tabla3[Grupo de clase], " ")</f>
        <v xml:space="preserve"> </v>
      </c>
      <c r="N22" s="1608"/>
      <c r="O22" s="1608"/>
      <c r="P22" s="1608"/>
      <c r="Q22" s="1605"/>
      <c r="R22" s="1608"/>
      <c r="S22" s="1608"/>
      <c r="T22" s="1608"/>
      <c r="U22" s="1609"/>
      <c r="V22" s="1608"/>
      <c r="W22" s="1608"/>
      <c r="X22" s="1608"/>
      <c r="Y22" s="1609"/>
      <c r="Z22" s="1608"/>
      <c r="AA22" s="1608"/>
      <c r="AB22" s="1608"/>
      <c r="AC22" s="1609"/>
      <c r="AD22" s="1608"/>
      <c r="AE22" s="1608"/>
      <c r="AF22" s="1608"/>
      <c r="AG22" s="1609"/>
      <c r="AH22" s="1608"/>
      <c r="AI22" s="1608"/>
      <c r="AJ22" s="1608"/>
      <c r="AK22" s="1609"/>
    </row>
    <row r="23" spans="1:37" ht="15.75">
      <c r="A23" s="1546"/>
      <c r="B23" s="1599">
        <v>7</v>
      </c>
      <c r="C23" s="1600" t="str">
        <f>_xlfn.XLOOKUP($D23, Tabla3[No.], Tabla3[FECHA DE INICIO (PRIMERA CLASE CALENDARIO)]," ")</f>
        <v xml:space="preserve"> </v>
      </c>
      <c r="D23" s="1601"/>
      <c r="E23" s="1602" t="str">
        <f>_xlfn.XLOOKUP($D23,  Tabla3[No.],  Tabla3[CURP], " ")</f>
        <v xml:space="preserve"> </v>
      </c>
      <c r="F23" s="1603" t="str">
        <f>_xlfn.XLOOKUP($D23,  Tabla3[No.],  Tabla3[Matrícula Of. SEQ], " ")</f>
        <v xml:space="preserve"> </v>
      </c>
      <c r="G23" s="1604" t="str">
        <f>IFERROR(VLOOKUP(D23,Tabla3[],5,FALSE),"")</f>
        <v/>
      </c>
      <c r="H23" s="1605" t="str">
        <f t="shared" si="0"/>
        <v/>
      </c>
      <c r="I23" s="1605" t="str">
        <f t="shared" si="1"/>
        <v/>
      </c>
      <c r="J23" s="1605" t="str">
        <f t="shared" si="2"/>
        <v/>
      </c>
      <c r="K23" s="1605" t="str">
        <f t="shared" si="3"/>
        <v/>
      </c>
      <c r="L23" s="3818" t="str">
        <f>_xlfn.XLOOKUP($D23,  Tabla3[No.],  Tabla3[ESTATUS ACADÉMICO], " ")</f>
        <v xml:space="preserve"> </v>
      </c>
      <c r="M23" s="2060" t="str">
        <f>_xlfn.XLOOKUP($D23,  Tabla3[No.],  Tabla3[Grupo de clase], " ")</f>
        <v xml:space="preserve"> </v>
      </c>
      <c r="N23" s="1608"/>
      <c r="O23" s="1608"/>
      <c r="P23" s="1608"/>
      <c r="Q23" s="1608"/>
      <c r="R23" s="1608"/>
      <c r="S23" s="1608"/>
      <c r="T23" s="1627"/>
      <c r="U23" s="1628"/>
      <c r="V23" s="1608"/>
      <c r="W23" s="1608"/>
      <c r="X23" s="1627"/>
      <c r="Y23" s="1628"/>
      <c r="Z23" s="1608"/>
      <c r="AA23" s="1608"/>
      <c r="AB23" s="1627"/>
      <c r="AC23" s="1628"/>
      <c r="AD23" s="1608"/>
      <c r="AE23" s="1608"/>
      <c r="AF23" s="1627"/>
      <c r="AG23" s="1628"/>
      <c r="AH23" s="1608"/>
      <c r="AI23" s="1608"/>
      <c r="AJ23" s="1627"/>
      <c r="AK23" s="1628"/>
    </row>
    <row r="24" spans="1:37" ht="15.75">
      <c r="A24" s="1546"/>
      <c r="B24" s="1599">
        <v>8</v>
      </c>
      <c r="C24" s="1600" t="str">
        <f>_xlfn.XLOOKUP($D24, Tabla3[No.], Tabla3[FECHA DE INICIO (PRIMERA CLASE CALENDARIO)]," ")</f>
        <v xml:space="preserve"> </v>
      </c>
      <c r="D24" s="1601"/>
      <c r="E24" s="1602" t="str">
        <f>_xlfn.XLOOKUP($D24,  Tabla3[No.],  Tabla3[CURP], " ")</f>
        <v xml:space="preserve"> </v>
      </c>
      <c r="F24" s="1603" t="str">
        <f>_xlfn.XLOOKUP($D24,  Tabla3[No.],  Tabla3[Matrícula Of. SEQ], " ")</f>
        <v xml:space="preserve"> </v>
      </c>
      <c r="G24" s="1604" t="str">
        <f>IFERROR(VLOOKUP(D24,Tabla3[],5,FALSE),"")</f>
        <v/>
      </c>
      <c r="H24" s="1605" t="str">
        <f t="shared" si="0"/>
        <v/>
      </c>
      <c r="I24" s="1605" t="str">
        <f t="shared" si="1"/>
        <v/>
      </c>
      <c r="J24" s="1605" t="str">
        <f t="shared" si="2"/>
        <v/>
      </c>
      <c r="K24" s="1605" t="str">
        <f t="shared" si="3"/>
        <v/>
      </c>
      <c r="L24" s="3818" t="str">
        <f>_xlfn.XLOOKUP($D24,  Tabla3[No.],  Tabla3[ESTATUS ACADÉMICO], " ")</f>
        <v xml:space="preserve"> </v>
      </c>
      <c r="M24" s="2060" t="str">
        <f>_xlfn.XLOOKUP($D24,  Tabla3[No.],  Tabla3[Grupo de clase], " ")</f>
        <v xml:space="preserve"> </v>
      </c>
      <c r="N24" s="1608"/>
      <c r="O24" s="1608"/>
      <c r="P24" s="1608"/>
      <c r="Q24" s="1608"/>
      <c r="R24" s="1608"/>
      <c r="S24" s="1608"/>
      <c r="T24" s="1608"/>
      <c r="U24" s="1632"/>
      <c r="V24" s="1608"/>
      <c r="W24" s="1608"/>
      <c r="X24" s="1608"/>
      <c r="Y24" s="1632"/>
      <c r="Z24" s="1608"/>
      <c r="AA24" s="1608"/>
      <c r="AB24" s="1608"/>
      <c r="AC24" s="1632"/>
      <c r="AD24" s="1608"/>
      <c r="AE24" s="1608"/>
      <c r="AF24" s="1608"/>
      <c r="AG24" s="1632"/>
      <c r="AH24" s="1608"/>
      <c r="AI24" s="1608"/>
      <c r="AJ24" s="1608"/>
      <c r="AK24" s="1632"/>
    </row>
    <row r="25" spans="1:37" ht="15.75">
      <c r="A25" s="1546"/>
      <c r="B25" s="1599">
        <v>9</v>
      </c>
      <c r="C25" s="1600" t="str">
        <f>_xlfn.XLOOKUP($D25, Tabla3[No.], Tabla3[FECHA DE INICIO (PRIMERA CLASE CALENDARIO)]," ")</f>
        <v xml:space="preserve"> </v>
      </c>
      <c r="D25" s="1601"/>
      <c r="E25" s="1602" t="str">
        <f>_xlfn.XLOOKUP($D25,  Tabla3[No.],  Tabla3[CURP], " ")</f>
        <v xml:space="preserve"> </v>
      </c>
      <c r="F25" s="1603" t="str">
        <f>_xlfn.XLOOKUP($D25,  Tabla3[No.],  Tabla3[Matrícula Of. SEQ], " ")</f>
        <v xml:space="preserve"> </v>
      </c>
      <c r="G25" s="1604" t="str">
        <f>IFERROR(VLOOKUP(D25,Tabla3[],5,FALSE),"")</f>
        <v/>
      </c>
      <c r="H25" s="1605" t="str">
        <f t="shared" si="0"/>
        <v/>
      </c>
      <c r="I25" s="1605" t="str">
        <f t="shared" si="1"/>
        <v/>
      </c>
      <c r="J25" s="1605" t="str">
        <f t="shared" si="2"/>
        <v/>
      </c>
      <c r="K25" s="1605" t="str">
        <f t="shared" si="3"/>
        <v/>
      </c>
      <c r="L25" s="3818" t="str">
        <f>_xlfn.XLOOKUP($D25,  Tabla3[No.],  Tabla3[ESTATUS ACADÉMICO], " ")</f>
        <v xml:space="preserve"> </v>
      </c>
      <c r="M25" s="2060" t="str">
        <f>_xlfn.XLOOKUP($D25,  Tabla3[No.],  Tabla3[Grupo de clase], " ")</f>
        <v xml:space="preserve"> </v>
      </c>
      <c r="N25" s="1608"/>
      <c r="O25" s="1608"/>
      <c r="P25" s="1608"/>
      <c r="Q25" s="1608"/>
      <c r="R25" s="1608"/>
      <c r="S25" s="1608"/>
      <c r="T25" s="1608"/>
      <c r="U25" s="1609"/>
      <c r="V25" s="1608"/>
      <c r="W25" s="1608"/>
      <c r="X25" s="1608"/>
      <c r="Y25" s="1609"/>
      <c r="Z25" s="1608"/>
      <c r="AA25" s="1608"/>
      <c r="AB25" s="1608"/>
      <c r="AC25" s="1609"/>
      <c r="AD25" s="1608"/>
      <c r="AE25" s="1608"/>
      <c r="AF25" s="1608"/>
      <c r="AG25" s="1609"/>
      <c r="AH25" s="1608"/>
      <c r="AI25" s="1608"/>
      <c r="AJ25" s="1608"/>
      <c r="AK25" s="1609"/>
    </row>
    <row r="26" spans="1:37" ht="15.75" thickBot="1">
      <c r="A26" s="1546"/>
      <c r="B26" s="1645">
        <v>10</v>
      </c>
      <c r="C26" s="1646" t="str">
        <f>_xlfn.XLOOKUP($D26, Tabla3[No.], Tabla3[FECHA DE INICIO (PRIMERA CLASE CALENDARIO)]," ")</f>
        <v xml:space="preserve"> </v>
      </c>
      <c r="D26" s="1647"/>
      <c r="E26" s="1648" t="str">
        <f>_xlfn.XLOOKUP($D26,  Tabla3[No.],  Tabla3[CURP], " ")</f>
        <v xml:space="preserve"> </v>
      </c>
      <c r="F26" s="1649" t="str">
        <f>_xlfn.XLOOKUP($D26,  Tabla3[No.],  Tabla3[Matrícula Of. SEQ], " ")</f>
        <v xml:space="preserve"> </v>
      </c>
      <c r="G26" s="3237" t="str">
        <f>IFERROR(VLOOKUP(D26,Tabla3[],5,FALSE),"")</f>
        <v/>
      </c>
      <c r="H26" s="1650" t="str">
        <f t="shared" si="0"/>
        <v/>
      </c>
      <c r="I26" s="1650" t="str">
        <f t="shared" si="1"/>
        <v/>
      </c>
      <c r="J26" s="1650" t="str">
        <f t="shared" si="2"/>
        <v/>
      </c>
      <c r="K26" s="1650" t="str">
        <f t="shared" si="3"/>
        <v/>
      </c>
      <c r="L26" s="3921" t="str">
        <f>_xlfn.XLOOKUP($D26,  Tabla3[No.],  Tabla3[ESTATUS ACADÉMICO], " ")</f>
        <v xml:space="preserve"> </v>
      </c>
      <c r="M26" s="3899" t="str">
        <f>_xlfn.XLOOKUP($D26,  Tabla3[No.],  Tabla3[Grupo de clase], " ")</f>
        <v xml:space="preserve"> </v>
      </c>
      <c r="N26" s="3749"/>
      <c r="O26" s="3749"/>
      <c r="P26" s="3749"/>
      <c r="Q26" s="3749"/>
      <c r="R26" s="3900"/>
      <c r="S26" s="3900"/>
      <c r="T26" s="3900"/>
      <c r="U26" s="3901"/>
      <c r="V26" s="3900"/>
      <c r="W26" s="3900"/>
      <c r="X26" s="3900"/>
      <c r="Y26" s="3901"/>
      <c r="Z26" s="3900"/>
      <c r="AA26" s="3900"/>
      <c r="AB26" s="3900"/>
      <c r="AC26" s="3901"/>
      <c r="AD26" s="3900"/>
      <c r="AE26" s="3900"/>
      <c r="AF26" s="3900"/>
      <c r="AG26" s="3901"/>
      <c r="AH26" s="3900"/>
      <c r="AI26" s="3900"/>
      <c r="AJ26" s="3900"/>
      <c r="AK26" s="3901"/>
    </row>
    <row r="27" spans="1:37" ht="18">
      <c r="C27" s="1821"/>
    </row>
    <row r="28" spans="1:37">
      <c r="A28" s="4141" t="s">
        <v>5518</v>
      </c>
      <c r="B28" s="4142"/>
      <c r="C28" s="4142"/>
      <c r="D28" s="4142"/>
      <c r="E28" s="4142"/>
      <c r="F28" s="4142"/>
    </row>
    <row r="29" spans="1:37" ht="15.75" thickBot="1">
      <c r="A29" s="4142"/>
      <c r="B29" s="4142"/>
      <c r="C29" s="4142"/>
      <c r="D29" s="4142"/>
      <c r="E29" s="4142"/>
      <c r="F29" s="4142"/>
      <c r="G29" s="1544"/>
      <c r="H29" s="1544"/>
      <c r="I29" s="1544"/>
      <c r="J29" s="1544"/>
      <c r="K29" s="1544"/>
      <c r="L29" s="3358"/>
      <c r="M29" s="1544"/>
      <c r="N29" s="1544"/>
      <c r="O29" s="1544"/>
      <c r="P29" s="3886"/>
      <c r="Q29" s="3886"/>
      <c r="R29" s="3886"/>
      <c r="S29" s="3886"/>
      <c r="T29" s="3886"/>
      <c r="U29" s="3886"/>
      <c r="V29" s="3886"/>
      <c r="W29" s="3886"/>
      <c r="X29" s="3886"/>
      <c r="Y29" s="3886"/>
    </row>
    <row r="30" spans="1:37" ht="131.25" customHeight="1" thickBot="1">
      <c r="A30" s="1546"/>
      <c r="B30" s="4089" t="s">
        <v>5</v>
      </c>
      <c r="C30" s="4376" t="s">
        <v>2825</v>
      </c>
      <c r="D30" s="4091" t="s">
        <v>3866</v>
      </c>
      <c r="E30" s="4091" t="s">
        <v>6</v>
      </c>
      <c r="F30" s="4091" t="s">
        <v>7</v>
      </c>
      <c r="G30" s="4093" t="s">
        <v>8</v>
      </c>
      <c r="H30" s="4096" t="s">
        <v>9</v>
      </c>
      <c r="I30" s="4086" t="s">
        <v>10</v>
      </c>
      <c r="J30" s="4087"/>
      <c r="K30" s="4087"/>
      <c r="L30" s="4185"/>
      <c r="M30" s="1613"/>
      <c r="N30" s="3853" t="s">
        <v>5103</v>
      </c>
      <c r="O30" s="3853" t="s">
        <v>5106</v>
      </c>
      <c r="P30" s="3853" t="s">
        <v>5497</v>
      </c>
      <c r="Q30" s="3853" t="s">
        <v>5498</v>
      </c>
      <c r="R30" s="3853" t="s">
        <v>5499</v>
      </c>
      <c r="S30" s="3853" t="s">
        <v>5500</v>
      </c>
      <c r="T30" s="3853" t="s">
        <v>5501</v>
      </c>
      <c r="U30" s="3853" t="s">
        <v>5502</v>
      </c>
      <c r="V30" s="2262"/>
    </row>
    <row r="31" spans="1:37" ht="24" thickBot="1">
      <c r="A31" s="1546"/>
      <c r="B31" s="4090"/>
      <c r="C31" s="4377"/>
      <c r="D31" s="4092"/>
      <c r="E31" s="4092"/>
      <c r="F31" s="4092"/>
      <c r="G31" s="4094"/>
      <c r="H31" s="4097"/>
      <c r="I31" s="4087"/>
      <c r="J31" s="4088"/>
      <c r="K31" s="4087"/>
      <c r="L31" s="4186"/>
      <c r="M31" s="3012"/>
      <c r="N31" s="3854" t="s">
        <v>5519</v>
      </c>
      <c r="O31" s="3855" t="s">
        <v>5520</v>
      </c>
      <c r="P31" s="3854" t="s">
        <v>5521</v>
      </c>
      <c r="Q31" s="3855" t="s">
        <v>5522</v>
      </c>
      <c r="R31" s="3855" t="s">
        <v>5523</v>
      </c>
      <c r="S31" s="3855" t="s">
        <v>5524</v>
      </c>
      <c r="T31" s="3856" t="s">
        <v>5525</v>
      </c>
      <c r="U31" s="3856" t="s">
        <v>453</v>
      </c>
      <c r="V31" s="1637"/>
    </row>
    <row r="32" spans="1:37" ht="24" thickBot="1">
      <c r="A32" s="1562" t="s">
        <v>27</v>
      </c>
      <c r="B32" s="4090"/>
      <c r="C32" s="4089" t="s">
        <v>3882</v>
      </c>
      <c r="D32" s="4092"/>
      <c r="E32" s="4092"/>
      <c r="F32" s="4092"/>
      <c r="G32" s="4095"/>
      <c r="H32" s="4097"/>
      <c r="I32" s="4087"/>
      <c r="J32" s="4087"/>
      <c r="K32" s="4087"/>
      <c r="L32" s="3922"/>
      <c r="M32" s="3012"/>
      <c r="N32" s="3857" t="s">
        <v>5526</v>
      </c>
      <c r="O32" s="1288" t="s">
        <v>5503</v>
      </c>
      <c r="P32" s="3857" t="s">
        <v>5503</v>
      </c>
      <c r="Q32" s="1288" t="s">
        <v>5503</v>
      </c>
      <c r="R32" s="1288" t="s">
        <v>5503</v>
      </c>
      <c r="S32" s="3855" t="s">
        <v>3578</v>
      </c>
      <c r="T32" s="3855" t="s">
        <v>5504</v>
      </c>
      <c r="U32" s="3858"/>
      <c r="V32" s="3017"/>
    </row>
    <row r="33" spans="1:29" ht="79.5" thickBot="1">
      <c r="A33" s="1548" t="s">
        <v>5484</v>
      </c>
      <c r="B33" s="4090"/>
      <c r="C33" s="4090"/>
      <c r="D33" s="4092"/>
      <c r="E33" s="4092"/>
      <c r="F33" s="4092"/>
      <c r="G33" s="1565" t="s">
        <v>78</v>
      </c>
      <c r="H33" s="4097"/>
      <c r="I33" s="1566" t="s">
        <v>79</v>
      </c>
      <c r="J33" s="1566" t="s">
        <v>80</v>
      </c>
      <c r="K33" s="1566" t="s">
        <v>81</v>
      </c>
      <c r="L33" s="3952" t="s">
        <v>1759</v>
      </c>
      <c r="M33" s="3012" t="s">
        <v>1657</v>
      </c>
      <c r="N33" s="3883" t="s">
        <v>5527</v>
      </c>
      <c r="O33" s="3884" t="s">
        <v>5528</v>
      </c>
      <c r="P33" s="3883" t="s">
        <v>5505</v>
      </c>
      <c r="Q33" s="3884" t="s">
        <v>5506</v>
      </c>
      <c r="R33" s="3885" t="s">
        <v>5507</v>
      </c>
      <c r="S33" s="3885" t="s">
        <v>5508</v>
      </c>
      <c r="T33" s="3885" t="s">
        <v>5509</v>
      </c>
      <c r="U33" s="3885" t="s">
        <v>5510</v>
      </c>
      <c r="V33" s="3851"/>
    </row>
    <row r="34" spans="1:29" ht="15.75">
      <c r="A34" s="1546">
        <v>844</v>
      </c>
      <c r="B34" s="1659">
        <v>2</v>
      </c>
      <c r="C34" s="3897">
        <f>_xlfn.XLOOKUP($D34, Tabla3[No.], Tabla3[FECHA DE INICIO (PRIMERA CLASE CALENDARIO)]," ")</f>
        <v>45744</v>
      </c>
      <c r="D34" s="1660">
        <v>844</v>
      </c>
      <c r="E34" s="1602" t="str">
        <f>_xlfn.XLOOKUP($D34,  Tabla3[No.],  Tabla3[CURP], " ")</f>
        <v>GUGW821106HGT</v>
      </c>
      <c r="F34" s="1603" t="str">
        <f>_xlfn.XLOOKUP($D34,  Tabla3[No.],  Tabla3[Matrícula Of. SEQ], " ")</f>
        <v>64MDP05B-02</v>
      </c>
      <c r="G34" s="1604" t="str">
        <f>IFERROR(VLOOKUP(D34,Tabla3[],5,FALSE),"")</f>
        <v>GUZMAN GARCIA WERNER ALEXSANDER</v>
      </c>
      <c r="H34" s="1660" t="str">
        <f>MID($E34,11,1)</f>
        <v>H</v>
      </c>
      <c r="I34" s="1660" t="str">
        <f>MID($E34,5,2)</f>
        <v>82</v>
      </c>
      <c r="J34" s="1660" t="str">
        <f>MID($E34,7,2)</f>
        <v>11</v>
      </c>
      <c r="K34" s="1660" t="str">
        <f>MID($E34,9,2)</f>
        <v>06</v>
      </c>
      <c r="L34" s="3818" t="str">
        <f>_xlfn.XLOOKUP($D34,  Tabla3[No.],  Tabla3[ESTATUS ACADÉMICO], " ")</f>
        <v>VIGENTE</v>
      </c>
      <c r="M34" s="2060" t="str">
        <f>_xlfn.XLOOKUP($D34,  Tabla3[No.],  Tabla3[Grupo de clase], " ")</f>
        <v>MDP04CG</v>
      </c>
      <c r="N34" s="4025">
        <v>9.6</v>
      </c>
      <c r="O34" s="4025">
        <v>9.6</v>
      </c>
      <c r="P34" s="1608">
        <v>9.5</v>
      </c>
      <c r="Q34" s="1608">
        <v>9.4</v>
      </c>
      <c r="R34" s="1608">
        <v>9.4</v>
      </c>
      <c r="S34" s="1608">
        <v>9.5</v>
      </c>
      <c r="T34" s="1608">
        <v>9.5</v>
      </c>
      <c r="U34" s="1608">
        <v>9.6</v>
      </c>
      <c r="V34" s="1608"/>
    </row>
    <row r="35" spans="1:29" ht="15.75">
      <c r="A35" s="1546">
        <v>845</v>
      </c>
      <c r="B35" s="1659">
        <v>1</v>
      </c>
      <c r="C35" s="3897">
        <f>_xlfn.XLOOKUP($D35, Tabla3[No.], Tabla3[FECHA DE INICIO (PRIMERA CLASE CALENDARIO)]," ")</f>
        <v>45744</v>
      </c>
      <c r="D35" s="1660">
        <v>845</v>
      </c>
      <c r="E35" s="1602" t="str">
        <f>_xlfn.XLOOKUP($D35,  Tabla3[No.],  Tabla3[CURP], " ")</f>
        <v>RENS730608MGT</v>
      </c>
      <c r="F35" s="1603" t="str">
        <f>_xlfn.XLOOKUP($D35,  Tabla3[No.],  Tabla3[Matrícula Of. SEQ], " ")</f>
        <v>64MDP05B-03</v>
      </c>
      <c r="G35" s="1604" t="str">
        <f>IFERROR(VLOOKUP(D35,Tabla3[],5,FALSE),"")</f>
        <v>REYES NAJARRO SANDRA PATRICIA</v>
      </c>
      <c r="H35" s="1660" t="str">
        <f t="shared" ref="H35:H40" si="4">MID($E35,11,1)</f>
        <v>M</v>
      </c>
      <c r="I35" s="1660" t="str">
        <f t="shared" ref="I35:I40" si="5">MID($E35,5,2)</f>
        <v>73</v>
      </c>
      <c r="J35" s="1660" t="str">
        <f t="shared" ref="J35:J40" si="6">MID($E35,7,2)</f>
        <v>06</v>
      </c>
      <c r="K35" s="1660" t="str">
        <f t="shared" ref="K35:K40" si="7">MID($E35,9,2)</f>
        <v>08</v>
      </c>
      <c r="L35" s="3818" t="str">
        <f>_xlfn.XLOOKUP($D35,  Tabla3[No.],  Tabla3[ESTATUS ACADÉMICO], " ")</f>
        <v>VIGENTE</v>
      </c>
      <c r="M35" s="2060" t="str">
        <f>_xlfn.XLOOKUP($D35,  Tabla3[No.],  Tabla3[Grupo de clase], " ")</f>
        <v>MDP04CG</v>
      </c>
      <c r="N35" s="4025">
        <v>9.6</v>
      </c>
      <c r="O35" s="4025">
        <v>9.6</v>
      </c>
      <c r="P35" s="1608">
        <v>9.5</v>
      </c>
      <c r="Q35" s="1608">
        <v>9.4</v>
      </c>
      <c r="R35" s="1608">
        <v>9.4</v>
      </c>
      <c r="S35" s="1608">
        <v>9.5</v>
      </c>
      <c r="T35" s="1608">
        <v>9.5</v>
      </c>
      <c r="U35" s="1608">
        <v>9.6</v>
      </c>
      <c r="V35" s="1608"/>
    </row>
    <row r="36" spans="1:29" ht="15.75">
      <c r="A36" s="1546">
        <v>853</v>
      </c>
      <c r="B36" s="1659">
        <v>3</v>
      </c>
      <c r="C36" s="3897">
        <f>_xlfn.XLOOKUP($D36, Tabla3[No.], Tabla3[FECHA DE INICIO (PRIMERA CLASE CALENDARIO)]," ")</f>
        <v>45693</v>
      </c>
      <c r="D36" s="1660">
        <v>853</v>
      </c>
      <c r="E36" s="1602" t="str">
        <f>_xlfn.XLOOKUP($D36,  Tabla3[No.],  Tabla3[CURP], " ")</f>
        <v>VIAY920127MGT</v>
      </c>
      <c r="F36" s="1603" t="str">
        <f>_xlfn.XLOOKUP($D36,  Tabla3[No.],  Tabla3[Matrícula Of. SEQ], " ")</f>
        <v>64MDP05B-05</v>
      </c>
      <c r="G36" s="1604" t="str">
        <f>IFERROR(VLOOKUP(D36,Tabla3[],5,FALSE),"")</f>
        <v>VIANA ARREOLA YOSELIN LORENA</v>
      </c>
      <c r="H36" s="1660" t="str">
        <f t="shared" si="4"/>
        <v>M</v>
      </c>
      <c r="I36" s="1660" t="str">
        <f t="shared" si="5"/>
        <v>92</v>
      </c>
      <c r="J36" s="1660" t="str">
        <f t="shared" si="6"/>
        <v>01</v>
      </c>
      <c r="K36" s="1660" t="str">
        <f t="shared" si="7"/>
        <v>27</v>
      </c>
      <c r="L36" s="3818" t="str">
        <f>_xlfn.XLOOKUP($D36,  Tabla3[No.],  Tabla3[ESTATUS ACADÉMICO], " ")</f>
        <v>VIGENTE</v>
      </c>
      <c r="M36" s="2060" t="str">
        <f>_xlfn.XLOOKUP($D36,  Tabla3[No.],  Tabla3[Grupo de clase], " ")</f>
        <v>MDP04CG</v>
      </c>
      <c r="N36" s="4025" t="s">
        <v>136</v>
      </c>
      <c r="O36" s="4025" t="s">
        <v>136</v>
      </c>
      <c r="P36" s="2889">
        <v>9.5</v>
      </c>
      <c r="Q36" s="2889">
        <v>9.4</v>
      </c>
      <c r="R36" s="2889">
        <v>9.4</v>
      </c>
      <c r="S36" s="2889">
        <v>9.5</v>
      </c>
      <c r="T36" s="2889">
        <v>9.5</v>
      </c>
      <c r="U36" s="2889">
        <v>9.6</v>
      </c>
      <c r="V36" s="1608"/>
    </row>
    <row r="37" spans="1:29" ht="15.75">
      <c r="A37" s="1546">
        <v>858</v>
      </c>
      <c r="B37" s="1659">
        <v>4</v>
      </c>
      <c r="C37" s="3897">
        <f>_xlfn.XLOOKUP($D37, Tabla3[No.], Tabla3[FECHA DE INICIO (PRIMERA CLASE CALENDARIO)]," ")</f>
        <v>45793</v>
      </c>
      <c r="D37" s="1660">
        <v>858</v>
      </c>
      <c r="E37" s="1602" t="str">
        <f>_xlfn.XLOOKUP($D37,  Tabla3[No.],  Tabla3[CURP], " ")</f>
        <v>GAME781124HGT</v>
      </c>
      <c r="F37" s="1603" t="str">
        <f>_xlfn.XLOOKUP($D37,  Tabla3[No.],  Tabla3[Matrícula Of. SEQ], " ")</f>
        <v>64MDP05C-01</v>
      </c>
      <c r="G37" s="1604" t="str">
        <f>IFERROR(VLOOKUP(D37,Tabla3[],5,FALSE),"")</f>
        <v>GARCIA MORALES EMERSON LEAO GABRIEL</v>
      </c>
      <c r="H37" s="1660" t="str">
        <f t="shared" si="4"/>
        <v>H</v>
      </c>
      <c r="I37" s="1660" t="str">
        <f t="shared" si="5"/>
        <v>78</v>
      </c>
      <c r="J37" s="1660" t="str">
        <f t="shared" si="6"/>
        <v>11</v>
      </c>
      <c r="K37" s="1660" t="str">
        <f t="shared" si="7"/>
        <v>24</v>
      </c>
      <c r="L37" s="3818" t="str">
        <f>_xlfn.XLOOKUP($D37,  Tabla3[No.],  Tabla3[ESTATUS ACADÉMICO], " ")</f>
        <v>VIGENTE</v>
      </c>
      <c r="M37" s="2060" t="str">
        <f>_xlfn.XLOOKUP($D37,  Tabla3[No.],  Tabla3[Grupo de clase], " ")</f>
        <v>MDP04CG</v>
      </c>
      <c r="N37" s="4025" t="s">
        <v>136</v>
      </c>
      <c r="O37" s="4025" t="s">
        <v>136</v>
      </c>
      <c r="P37" s="1608">
        <v>9.5</v>
      </c>
      <c r="Q37" s="1608">
        <v>9.4</v>
      </c>
      <c r="R37" s="1608">
        <v>9.4</v>
      </c>
      <c r="S37" s="1608">
        <v>9.5</v>
      </c>
      <c r="T37" s="1608">
        <v>9.5</v>
      </c>
      <c r="U37" s="1608">
        <v>9.6</v>
      </c>
      <c r="V37" s="1608"/>
    </row>
    <row r="38" spans="1:29" ht="15.75">
      <c r="A38" s="1546">
        <v>879</v>
      </c>
      <c r="B38" s="1659">
        <v>5</v>
      </c>
      <c r="C38" s="3897">
        <f>_xlfn.XLOOKUP($D38, Tabla3[No.], Tabla3[FECHA DE INICIO (PRIMERA CLASE CALENDARIO)]," ")</f>
        <v>45905</v>
      </c>
      <c r="D38" s="1660">
        <v>879</v>
      </c>
      <c r="E38" s="1602" t="str">
        <f>_xlfn.XLOOKUP($D38,  Tabla3[No.],  Tabla3[CURP], " ")</f>
        <v>DIME571002MGT</v>
      </c>
      <c r="F38" s="1603">
        <f>_xlfn.XLOOKUP($D38,  Tabla3[No.],  Tabla3[Matrícula Of. SEQ], " ")</f>
        <v>0</v>
      </c>
      <c r="G38" s="1604" t="str">
        <f>IFERROR(VLOOKUP(D38,Tabla3[],5,FALSE),"")</f>
        <v>DIAZ MIRNA ELIZABETH</v>
      </c>
      <c r="H38" s="1660" t="str">
        <f t="shared" si="4"/>
        <v>M</v>
      </c>
      <c r="I38" s="1660" t="str">
        <f t="shared" si="5"/>
        <v>57</v>
      </c>
      <c r="J38" s="1660" t="str">
        <f t="shared" si="6"/>
        <v>10</v>
      </c>
      <c r="K38" s="1660" t="str">
        <f t="shared" si="7"/>
        <v>02</v>
      </c>
      <c r="L38" s="3818" t="str">
        <f>_xlfn.XLOOKUP($D38,  Tabla3[No.],  Tabla3[ESTATUS ACADÉMICO], " ")</f>
        <v>VIGENTE</v>
      </c>
      <c r="M38" s="2060" t="str">
        <f>_xlfn.XLOOKUP($D38,  Tabla3[No.],  Tabla3[Grupo de clase], " ")</f>
        <v>MDP 04G</v>
      </c>
      <c r="N38" s="4025" t="s">
        <v>136</v>
      </c>
      <c r="O38" s="4025" t="s">
        <v>136</v>
      </c>
      <c r="P38" s="1608" t="s">
        <v>136</v>
      </c>
      <c r="Q38" s="1608" t="s">
        <v>136</v>
      </c>
      <c r="R38" s="1608" t="s">
        <v>136</v>
      </c>
      <c r="S38" s="1608" t="s">
        <v>136</v>
      </c>
      <c r="T38" s="1608">
        <v>9.5</v>
      </c>
      <c r="U38" s="1627">
        <v>9.6</v>
      </c>
      <c r="V38" s="1627"/>
    </row>
    <row r="39" spans="1:29" ht="15.75">
      <c r="A39" s="1546"/>
      <c r="B39" s="1659">
        <v>6</v>
      </c>
      <c r="C39" s="1600" t="str">
        <f>_xlfn.XLOOKUP($D39, Tabla3[No.], Tabla3[FECHA DE INICIO (PRIMERA CLASE CALENDARIO)]," ")</f>
        <v xml:space="preserve"> </v>
      </c>
      <c r="D39" s="1660"/>
      <c r="E39" s="1602" t="str">
        <f>_xlfn.XLOOKUP($D39,  Tabla3[No.],  Tabla3[CURP], " ")</f>
        <v xml:space="preserve"> </v>
      </c>
      <c r="F39" s="1603" t="str">
        <f>_xlfn.XLOOKUP($D39,  Tabla3[No.],  Tabla3[Matrícula Of. SEQ], " ")</f>
        <v xml:space="preserve"> </v>
      </c>
      <c r="G39" s="1604" t="str">
        <f>IFERROR(VLOOKUP(D39,Tabla3[],5,FALSE),"")</f>
        <v/>
      </c>
      <c r="H39" s="1660" t="str">
        <f t="shared" si="4"/>
        <v/>
      </c>
      <c r="I39" s="1660" t="str">
        <f t="shared" si="5"/>
        <v/>
      </c>
      <c r="J39" s="1660" t="str">
        <f t="shared" si="6"/>
        <v/>
      </c>
      <c r="K39" s="1660" t="str">
        <f t="shared" si="7"/>
        <v/>
      </c>
      <c r="L39" s="3818" t="str">
        <f>_xlfn.XLOOKUP($D39,  Tabla3[No.],  Tabla3[ESTATUS ACADÉMICO], " ")</f>
        <v xml:space="preserve"> </v>
      </c>
      <c r="M39" s="2060" t="str">
        <f>_xlfn.XLOOKUP($D39,  Tabla3[No.],  Tabla3[Grupo de clase], " ")</f>
        <v xml:space="preserve"> </v>
      </c>
      <c r="N39" s="4025"/>
      <c r="O39" s="4025"/>
      <c r="P39" s="1608"/>
      <c r="Q39" s="1608"/>
      <c r="R39" s="1608"/>
      <c r="S39" s="1608"/>
      <c r="T39" s="1608"/>
      <c r="U39" s="1608"/>
      <c r="V39" s="1608"/>
    </row>
    <row r="40" spans="1:29" ht="16.5" thickBot="1">
      <c r="A40" s="1546"/>
      <c r="B40" s="1661">
        <v>7</v>
      </c>
      <c r="C40" s="1646" t="str">
        <f>_xlfn.XLOOKUP($D40, Tabla3[No.], Tabla3[FECHA DE INICIO (PRIMERA CLASE CALENDARIO)]," ")</f>
        <v xml:space="preserve"> </v>
      </c>
      <c r="D40" s="1662"/>
      <c r="E40" s="1648" t="str">
        <f>_xlfn.XLOOKUP($D40,  Tabla3[No.],  Tabla3[CURP], " ")</f>
        <v xml:space="preserve"> </v>
      </c>
      <c r="F40" s="1649" t="str">
        <f>_xlfn.XLOOKUP($D40,  Tabla3[No.],  Tabla3[Matrícula Of. SEQ], " ")</f>
        <v xml:space="preserve"> </v>
      </c>
      <c r="G40" s="3237" t="str">
        <f>IFERROR(VLOOKUP(D40,Tabla3[],5,FALSE),"")</f>
        <v/>
      </c>
      <c r="H40" s="1662" t="str">
        <f t="shared" si="4"/>
        <v/>
      </c>
      <c r="I40" s="1662" t="str">
        <f t="shared" si="5"/>
        <v/>
      </c>
      <c r="J40" s="1662" t="str">
        <f t="shared" si="6"/>
        <v/>
      </c>
      <c r="K40" s="1662" t="str">
        <f t="shared" si="7"/>
        <v/>
      </c>
      <c r="L40" s="3921" t="str">
        <f>_xlfn.XLOOKUP($D40,  Tabla3[No.],  Tabla3[ESTATUS ACADÉMICO], " ")</f>
        <v xml:space="preserve"> </v>
      </c>
      <c r="M40" s="2060" t="str">
        <f>_xlfn.XLOOKUP($D40,  Tabla3[No.],  Tabla3[Grupo de clase], " ")</f>
        <v xml:space="preserve"> </v>
      </c>
      <c r="N40" s="4025"/>
      <c r="O40" s="4025"/>
      <c r="P40" s="1608"/>
      <c r="Q40" s="1608"/>
      <c r="R40" s="1608"/>
      <c r="S40" s="1608"/>
      <c r="T40" s="1608"/>
      <c r="U40" s="1627"/>
      <c r="V40" s="1627"/>
    </row>
    <row r="41" spans="1:29" ht="18">
      <c r="C41" s="1821"/>
    </row>
    <row r="42" spans="1:29" ht="15.75" thickBot="1">
      <c r="A42" s="4141" t="s">
        <v>5494</v>
      </c>
      <c r="B42" s="4142"/>
      <c r="C42" s="4142"/>
      <c r="D42" s="4142"/>
      <c r="E42" s="4142"/>
      <c r="F42" s="4142"/>
    </row>
    <row r="43" spans="1:29" ht="15.75" thickBot="1">
      <c r="A43" s="4142"/>
      <c r="B43" s="4142"/>
      <c r="C43" s="4142"/>
      <c r="D43" s="4142"/>
      <c r="E43" s="4142"/>
      <c r="F43" s="4142"/>
      <c r="G43" s="1544"/>
      <c r="H43" s="1544"/>
      <c r="I43" s="1544"/>
      <c r="J43" s="1544"/>
      <c r="K43" s="1544"/>
      <c r="L43" s="3358"/>
      <c r="M43" s="1544"/>
      <c r="N43" s="3991">
        <v>45658</v>
      </c>
      <c r="O43" s="3992">
        <v>45689</v>
      </c>
      <c r="P43" s="3992">
        <v>45717</v>
      </c>
      <c r="Q43" s="3993">
        <v>45748</v>
      </c>
      <c r="R43" s="3991">
        <v>45778</v>
      </c>
      <c r="S43" s="3992">
        <v>45809</v>
      </c>
      <c r="T43" s="3992">
        <v>45839</v>
      </c>
      <c r="U43" s="3993">
        <v>45870</v>
      </c>
      <c r="V43" s="3991">
        <v>45901</v>
      </c>
      <c r="W43" s="3992">
        <v>45931</v>
      </c>
      <c r="X43" s="3992">
        <v>45962</v>
      </c>
      <c r="Y43" s="3993">
        <v>45992</v>
      </c>
      <c r="Z43" s="3991">
        <v>46023</v>
      </c>
      <c r="AA43" s="3992">
        <v>46054</v>
      </c>
      <c r="AB43" s="3992">
        <v>46082</v>
      </c>
      <c r="AC43" s="3993">
        <v>46113</v>
      </c>
    </row>
    <row r="44" spans="1:29" ht="57" customHeight="1" thickBot="1">
      <c r="A44" s="4139" t="s">
        <v>27</v>
      </c>
      <c r="B44" s="4112"/>
      <c r="C44" s="645" t="s">
        <v>4867</v>
      </c>
      <c r="D44" s="4085" t="s">
        <v>4868</v>
      </c>
      <c r="E44" s="4100" t="s">
        <v>6</v>
      </c>
      <c r="F44" s="4100" t="s">
        <v>7</v>
      </c>
      <c r="G44" s="4120" t="s">
        <v>8</v>
      </c>
      <c r="H44" s="4121" t="s">
        <v>9</v>
      </c>
      <c r="I44" s="4362" t="s">
        <v>10</v>
      </c>
      <c r="J44" s="4363"/>
      <c r="K44" s="4362"/>
      <c r="L44" s="3907"/>
      <c r="M44" s="1234" t="s">
        <v>1149</v>
      </c>
      <c r="N44" s="3994" t="s">
        <v>5431</v>
      </c>
      <c r="O44" s="3990" t="s">
        <v>5431</v>
      </c>
      <c r="P44" s="3990" t="s">
        <v>5431</v>
      </c>
      <c r="Q44" s="3995" t="s">
        <v>5431</v>
      </c>
      <c r="R44" s="3994" t="s">
        <v>5431</v>
      </c>
      <c r="S44" s="3990" t="s">
        <v>5431</v>
      </c>
      <c r="T44" s="3990" t="s">
        <v>5431</v>
      </c>
      <c r="U44" s="3995" t="s">
        <v>5431</v>
      </c>
      <c r="V44" s="3994"/>
      <c r="W44" s="3990"/>
      <c r="X44" s="3990"/>
      <c r="Y44" s="3995"/>
      <c r="Z44" s="3994"/>
      <c r="AA44" s="3990"/>
      <c r="AB44" s="3990"/>
      <c r="AC44" s="3995"/>
    </row>
    <row r="45" spans="1:29" ht="16.5" thickBot="1">
      <c r="A45" s="4140"/>
      <c r="B45" s="4112"/>
      <c r="C45" s="2279"/>
      <c r="D45" s="4085"/>
      <c r="E45" s="4100"/>
      <c r="F45" s="4100"/>
      <c r="G45" s="4120"/>
      <c r="H45" s="4121"/>
      <c r="I45" s="4362"/>
      <c r="J45" s="4362"/>
      <c r="K45" s="4362"/>
      <c r="L45" s="2280"/>
      <c r="M45" s="2281" t="s">
        <v>1728</v>
      </c>
      <c r="N45" s="3996" t="s">
        <v>5432</v>
      </c>
      <c r="O45" s="1608" t="s">
        <v>4464</v>
      </c>
      <c r="P45" s="1608" t="s">
        <v>3958</v>
      </c>
      <c r="Q45" s="1609" t="s">
        <v>4466</v>
      </c>
      <c r="R45" s="3996" t="s">
        <v>4467</v>
      </c>
      <c r="S45" s="1608" t="s">
        <v>4467</v>
      </c>
      <c r="T45" s="1608" t="s">
        <v>4472</v>
      </c>
      <c r="U45" s="1609" t="s">
        <v>4464</v>
      </c>
      <c r="V45" s="3996" t="s">
        <v>4978</v>
      </c>
      <c r="W45" s="1608" t="s">
        <v>4479</v>
      </c>
      <c r="X45" s="1608" t="s">
        <v>4980</v>
      </c>
      <c r="Y45" s="1609" t="s">
        <v>4476</v>
      </c>
      <c r="Z45" s="3996"/>
      <c r="AA45" s="1608"/>
      <c r="AB45" s="1608"/>
      <c r="AC45" s="1609"/>
    </row>
    <row r="46" spans="1:29" ht="52.5" customHeight="1" thickBot="1">
      <c r="A46" s="3918" t="s">
        <v>5430</v>
      </c>
      <c r="B46" s="4112"/>
      <c r="C46" s="1547" t="s">
        <v>3882</v>
      </c>
      <c r="D46" s="4085"/>
      <c r="E46" s="4100"/>
      <c r="F46" s="4100"/>
      <c r="G46" s="2284" t="s">
        <v>78</v>
      </c>
      <c r="H46" s="4121"/>
      <c r="I46" s="3825" t="s">
        <v>79</v>
      </c>
      <c r="J46" s="3825" t="s">
        <v>80</v>
      </c>
      <c r="K46" s="3825" t="s">
        <v>81</v>
      </c>
      <c r="L46" s="3953" t="s">
        <v>1759</v>
      </c>
      <c r="M46" s="3826" t="s">
        <v>27</v>
      </c>
      <c r="N46" s="3997" t="s">
        <v>4801</v>
      </c>
      <c r="O46" s="3905" t="s">
        <v>4463</v>
      </c>
      <c r="P46" s="3905" t="s">
        <v>4465</v>
      </c>
      <c r="Q46" s="3998" t="s">
        <v>4906</v>
      </c>
      <c r="R46" s="3997" t="s">
        <v>4701</v>
      </c>
      <c r="S46" s="3905" t="s">
        <v>5511</v>
      </c>
      <c r="T46" s="3905" t="s">
        <v>5512</v>
      </c>
      <c r="U46" s="3998" t="s">
        <v>4700</v>
      </c>
      <c r="V46" s="3997" t="s">
        <v>3607</v>
      </c>
      <c r="W46" s="3905" t="s">
        <v>3608</v>
      </c>
      <c r="X46" s="3905" t="s">
        <v>4979</v>
      </c>
      <c r="Y46" s="3998" t="s">
        <v>4475</v>
      </c>
      <c r="Z46" s="3997"/>
      <c r="AA46" s="3905"/>
      <c r="AB46" s="3905"/>
      <c r="AC46" s="3998"/>
    </row>
    <row r="47" spans="1:29" s="627" customFormat="1" ht="12.75">
      <c r="A47" s="1442"/>
      <c r="B47" s="3877">
        <v>1</v>
      </c>
      <c r="C47" s="3878">
        <f>_xlfn.XLOOKUP($E47,Tabla3[CURP],Tabla3[FECHA DE INICIO (PRIMERA CLASE CALENDARIO)]," ")</f>
        <v>45667</v>
      </c>
      <c r="D47" s="3879">
        <v>811</v>
      </c>
      <c r="E47" s="3880" t="str">
        <f>_xlfn.XLOOKUP($D47,  Tabla3[No.],  Tabla3[CURP], " ")</f>
        <v>BABJ910131HCCLRV07</v>
      </c>
      <c r="F47" s="3881" t="str">
        <f>_xlfn.XLOOKUP($E47, Tabla3[CURP], Tabla3[Matrícula Of. SEQ])</f>
        <v>64MDP05A-02</v>
      </c>
      <c r="G47" s="3877" t="str">
        <f>IFERROR(VLOOKUP(D47,Tabla3[],5,FALSE),"")</f>
        <v>BALAN BURGOS JAVIER ERNESTO</v>
      </c>
      <c r="H47" s="3877" t="str">
        <f>MID($E47,11,1)</f>
        <v>H</v>
      </c>
      <c r="I47" s="3877" t="str">
        <f>MID($E47,5,2)</f>
        <v>91</v>
      </c>
      <c r="J47" s="3877" t="str">
        <f>MID($E47,7,2)</f>
        <v>01</v>
      </c>
      <c r="K47" s="3877" t="str">
        <f>MID($E47,9,2)</f>
        <v>31</v>
      </c>
      <c r="L47" s="3954" t="str">
        <f>_xlfn.XLOOKUP($E47,Tabla3[CURP],Tabla3[ESTATUS ACADÉMICO]," ")</f>
        <v>BAJA DEFINITIVA</v>
      </c>
      <c r="M47" s="3906" t="str">
        <f>IF(E47&lt;&gt;"", $A$60,"")</f>
        <v>MD06C/MD06D</v>
      </c>
      <c r="N47" s="3999">
        <v>10</v>
      </c>
      <c r="O47" s="3812">
        <v>10</v>
      </c>
      <c r="P47" s="3812">
        <v>10</v>
      </c>
      <c r="Q47" s="4000">
        <v>10</v>
      </c>
      <c r="R47" s="3999">
        <v>0</v>
      </c>
      <c r="S47" s="3812">
        <v>0</v>
      </c>
      <c r="T47" s="3812">
        <v>0</v>
      </c>
      <c r="U47" s="4000">
        <v>0</v>
      </c>
      <c r="V47" s="3999">
        <v>0</v>
      </c>
      <c r="W47" s="3812">
        <v>0</v>
      </c>
      <c r="X47" s="3812"/>
      <c r="Y47" s="4000"/>
      <c r="Z47" s="3999"/>
      <c r="AA47" s="3812"/>
      <c r="AB47" s="3812"/>
      <c r="AC47" s="4000"/>
    </row>
    <row r="48" spans="1:29" s="627" customFormat="1" ht="12.75">
      <c r="A48" s="1305"/>
      <c r="B48" s="3836">
        <v>1</v>
      </c>
      <c r="C48" s="3837">
        <v>45674</v>
      </c>
      <c r="D48" s="3838">
        <v>820</v>
      </c>
      <c r="E48" s="3806" t="str">
        <f>_xlfn.XLOOKUP($D48,  Tabla3[No.],  Tabla3[CURP], " ")</f>
        <v>GOGF741017MVZNLR02</v>
      </c>
      <c r="F48" s="3839" t="str">
        <f>_xlfn.XLOOKUP($E48, Tabla3[CURP], Tabla3[Matrícula Of. SEQ])</f>
        <v>64LD04AB-03</v>
      </c>
      <c r="G48" s="1304" t="str">
        <f>IFERROR(VLOOKUP(D48,Tabla3[],5,FALSE),"")</f>
        <v>GONZALEZ GLENNIE MARIA FERNANDA</v>
      </c>
      <c r="H48" s="1305" t="str">
        <f>MID($E48,11,1)</f>
        <v>M</v>
      </c>
      <c r="I48" s="1305" t="str">
        <f>MID($E48,5,2)</f>
        <v>74</v>
      </c>
      <c r="J48" s="1305" t="str">
        <f>MID($E48,7,2)</f>
        <v>10</v>
      </c>
      <c r="K48" s="1305" t="str">
        <f>MID($E48,9,2)</f>
        <v>17</v>
      </c>
      <c r="L48" s="3924" t="s">
        <v>1761</v>
      </c>
      <c r="M48" s="3904" t="str">
        <f>IF(E48&lt;&gt;"", $A$60,"")</f>
        <v>MD06C/MD06D</v>
      </c>
      <c r="N48" s="3999">
        <v>10</v>
      </c>
      <c r="O48" s="3840">
        <v>9.5500000000000007</v>
      </c>
      <c r="P48" s="3840">
        <v>10</v>
      </c>
      <c r="Q48" s="4001">
        <v>10</v>
      </c>
      <c r="R48" s="3999">
        <v>10</v>
      </c>
      <c r="S48" s="3840">
        <v>10</v>
      </c>
      <c r="T48" s="3840">
        <v>10</v>
      </c>
      <c r="U48" s="4001">
        <v>10</v>
      </c>
      <c r="V48" s="3999">
        <v>10</v>
      </c>
      <c r="W48" s="3840">
        <v>10</v>
      </c>
      <c r="X48" s="3840"/>
      <c r="Y48" s="4001"/>
      <c r="Z48" s="3999"/>
      <c r="AA48" s="3840"/>
      <c r="AB48" s="3840"/>
      <c r="AC48" s="4001"/>
    </row>
    <row r="49" spans="1:43" s="627" customFormat="1" ht="12.75">
      <c r="A49" s="3840"/>
      <c r="B49" s="3836">
        <v>1</v>
      </c>
      <c r="C49" s="3837">
        <f>_xlfn.XLOOKUP($E49,Tabla3[CURP],Tabla3[FECHA DE INICIO (PRIMERA CLASE CALENDARIO)]," ")</f>
        <v>45800</v>
      </c>
      <c r="D49" s="3838">
        <v>855</v>
      </c>
      <c r="E49" s="3806" t="str">
        <f>_xlfn.XLOOKUP($D49,  Tabla3[No.],  Tabla3[CURP], " ")</f>
        <v>ROSR860104MYNMLY02</v>
      </c>
      <c r="F49" s="3839" t="str">
        <f>_xlfn.XLOOKUP($E49, Tabla3[CURP], Tabla3[Matrícula Of. SEQ])</f>
        <v>64MDP05C-02</v>
      </c>
      <c r="G49" s="1304" t="str">
        <f>IFERROR(VLOOKUP(D49,Tabla3[],5,FALSE),"")</f>
        <v>ROMERO SILVEIRA REYNA BEATRIZ</v>
      </c>
      <c r="H49" s="1305" t="str">
        <f>MID($E49,11,1)</f>
        <v>M</v>
      </c>
      <c r="I49" s="1305" t="str">
        <f>MID($E49,5,2)</f>
        <v>86</v>
      </c>
      <c r="J49" s="1305" t="str">
        <f>MID($E49,7,2)</f>
        <v>01</v>
      </c>
      <c r="K49" s="1305" t="str">
        <f>MID($E49,9,2)</f>
        <v>04</v>
      </c>
      <c r="L49" s="3924" t="str">
        <f>_xlfn.XLOOKUP($E49,Tabla3[CURP],Tabla3[ESTATUS ACADÉMICO]," ")</f>
        <v>VIGENTE</v>
      </c>
      <c r="M49" s="3904" t="str">
        <f>IF(E49&lt;&gt;"", $A$60,"")</f>
        <v>MD06C/MD06D</v>
      </c>
      <c r="N49" s="4002" t="s">
        <v>135</v>
      </c>
      <c r="O49" s="3812" t="s">
        <v>135</v>
      </c>
      <c r="P49" s="3840" t="s">
        <v>135</v>
      </c>
      <c r="Q49" s="4001" t="s">
        <v>135</v>
      </c>
      <c r="R49" s="4002">
        <v>10</v>
      </c>
      <c r="S49" s="3812">
        <v>9</v>
      </c>
      <c r="T49" s="3840">
        <v>9</v>
      </c>
      <c r="U49" s="4001">
        <v>10</v>
      </c>
      <c r="V49" s="4002">
        <v>10</v>
      </c>
      <c r="W49" s="3812">
        <v>10</v>
      </c>
      <c r="X49" s="3840"/>
      <c r="Y49" s="4001"/>
      <c r="Z49" s="4002"/>
      <c r="AA49" s="3812"/>
      <c r="AB49" s="3840"/>
      <c r="AC49" s="4001"/>
    </row>
    <row r="50" spans="1:43" s="627" customFormat="1" ht="12.75">
      <c r="A50" s="1442"/>
      <c r="B50" s="3877">
        <v>1</v>
      </c>
      <c r="C50" s="3878">
        <f>_xlfn.XLOOKUP($E50,Tabla3[CURP],Tabla3[FECHA DE INICIO (PRIMERA CLASE CALENDARIO)]," ")</f>
        <v>45870</v>
      </c>
      <c r="D50" s="3879">
        <v>871</v>
      </c>
      <c r="E50" s="3880" t="str">
        <f>_xlfn.XLOOKUP($D50,  Tabla3[No.],  Tabla3[CURP], " ")</f>
        <v>TEHJ910311HQRHRS07</v>
      </c>
      <c r="F50" s="3881">
        <f>_xlfn.XLOOKUP($E50, Tabla3[CURP], Tabla3[Matrícula Of. SEQ])</f>
        <v>0</v>
      </c>
      <c r="G50" s="3882" t="str">
        <f>IFERROR(VLOOKUP(D50,Tabla3[],5,FALSE),"")</f>
        <v>THE HERNANDEZ JOSUE RAFAEL</v>
      </c>
      <c r="H50" s="3882" t="str">
        <f>MID($E50,11,1)</f>
        <v>H</v>
      </c>
      <c r="I50" s="3882" t="str">
        <f>MID($E50,5,2)</f>
        <v>91</v>
      </c>
      <c r="J50" s="3882" t="str">
        <f>MID($E50,7,2)</f>
        <v>03</v>
      </c>
      <c r="K50" s="3882" t="str">
        <f>MID($E50,9,2)</f>
        <v>11</v>
      </c>
      <c r="L50" s="3926" t="str">
        <f>_xlfn.XLOOKUP($E50,Tabla3[CURP],Tabla3[ESTATUS ACADÉMICO]," ")</f>
        <v xml:space="preserve">BAJA </v>
      </c>
      <c r="M50" s="3904" t="str">
        <f>IF(E50&lt;&gt;"", $A$60,"")</f>
        <v>MD06C/MD06D</v>
      </c>
      <c r="N50" s="4002" t="s">
        <v>135</v>
      </c>
      <c r="O50" s="3812" t="s">
        <v>135</v>
      </c>
      <c r="P50" s="3812" t="s">
        <v>135</v>
      </c>
      <c r="Q50" s="4000" t="s">
        <v>135</v>
      </c>
      <c r="R50" s="4002" t="s">
        <v>135</v>
      </c>
      <c r="S50" s="3812" t="s">
        <v>135</v>
      </c>
      <c r="T50" s="3812" t="s">
        <v>135</v>
      </c>
      <c r="U50" s="4000">
        <v>8</v>
      </c>
      <c r="V50" s="4002">
        <v>8.6</v>
      </c>
      <c r="W50" s="3812">
        <v>0</v>
      </c>
      <c r="X50" s="3812"/>
      <c r="Y50" s="4000"/>
      <c r="Z50" s="4002"/>
      <c r="AA50" s="3812"/>
      <c r="AB50" s="3812"/>
      <c r="AC50" s="4000"/>
    </row>
    <row r="51" spans="1:43" s="627" customFormat="1" ht="13.5" thickBot="1">
      <c r="A51" s="1442"/>
      <c r="B51" s="3877">
        <v>1</v>
      </c>
      <c r="C51" s="3878">
        <f>_xlfn.XLOOKUP($E51,Tabla3[CURP],Tabla3[FECHA DE INICIO (PRIMERA CLASE CALENDARIO)]," ")</f>
        <v>45905</v>
      </c>
      <c r="D51" s="3879">
        <v>878</v>
      </c>
      <c r="E51" s="3880" t="str">
        <f>_xlfn.XLOOKUP($D51,  Tabla3[No.],  Tabla3[CURP], " ")</f>
        <v>SARF640209HDFNXR04</v>
      </c>
      <c r="F51" s="3881">
        <f>_xlfn.XLOOKUP($E51, Tabla3[CURP], Tabla3[Matrícula Of. SEQ])</f>
        <v>0</v>
      </c>
      <c r="G51" s="3882" t="str">
        <f>IFERROR(VLOOKUP(D51,Tabla3[],5,FALSE),"")</f>
        <v>SANCHEZ DEL RIO FRANCISCO JAVIER</v>
      </c>
      <c r="H51" s="3882" t="str">
        <f>MID($E51,11,1)</f>
        <v>H</v>
      </c>
      <c r="I51" s="3882" t="str">
        <f>MID($E51,5,2)</f>
        <v>64</v>
      </c>
      <c r="J51" s="3882" t="str">
        <f>MID($E51,7,2)</f>
        <v>02</v>
      </c>
      <c r="K51" s="3882" t="str">
        <f>MID($E51,9,2)</f>
        <v>09</v>
      </c>
      <c r="L51" s="3926" t="str">
        <f>_xlfn.XLOOKUP($E51,Tabla3[CURP],Tabla3[ESTATUS ACADÉMICO]," ")</f>
        <v>VIGENTE</v>
      </c>
      <c r="M51" s="3904" t="str">
        <f>IF(E51&lt;&gt;"", $A$60,"")</f>
        <v>MD06C/MD06D</v>
      </c>
      <c r="N51" s="4003" t="s">
        <v>135</v>
      </c>
      <c r="O51" s="4004" t="s">
        <v>135</v>
      </c>
      <c r="P51" s="4004" t="s">
        <v>135</v>
      </c>
      <c r="Q51" s="4005" t="s">
        <v>135</v>
      </c>
      <c r="R51" s="4003" t="s">
        <v>135</v>
      </c>
      <c r="S51" s="4004" t="s">
        <v>135</v>
      </c>
      <c r="T51" s="4004" t="s">
        <v>135</v>
      </c>
      <c r="U51" s="4005" t="s">
        <v>135</v>
      </c>
      <c r="V51" s="4003">
        <v>10</v>
      </c>
      <c r="W51" s="4004">
        <v>0</v>
      </c>
      <c r="X51" s="4004"/>
      <c r="Y51" s="4005"/>
      <c r="Z51" s="4003"/>
      <c r="AA51" s="4004"/>
      <c r="AB51" s="4004"/>
      <c r="AC51" s="4005"/>
    </row>
    <row r="52" spans="1:43" ht="18">
      <c r="C52" s="1821"/>
    </row>
    <row r="53" spans="1:43">
      <c r="B53" s="701"/>
      <c r="C53" s="2"/>
      <c r="D53" s="2"/>
      <c r="E53" s="701"/>
      <c r="G53" s="643"/>
      <c r="H53" s="701"/>
    </row>
    <row r="54" spans="1:43">
      <c r="B54" s="701"/>
      <c r="C54" s="2"/>
      <c r="D54" s="2"/>
      <c r="E54" s="701"/>
      <c r="G54" s="643"/>
      <c r="H54" s="701"/>
    </row>
    <row r="55" spans="1:43" s="700" customFormat="1" ht="25.5" customHeight="1">
      <c r="A55" s="4141" t="s">
        <v>1640</v>
      </c>
      <c r="B55" s="4142"/>
      <c r="C55" s="4142"/>
      <c r="D55" s="4142"/>
      <c r="E55" s="4142"/>
      <c r="F55" s="4142"/>
      <c r="G55" s="643"/>
      <c r="H55" s="701"/>
      <c r="L55" s="1266"/>
    </row>
    <row r="56" spans="1:43" s="700" customFormat="1" ht="15.75" thickBot="1">
      <c r="A56" s="4142"/>
      <c r="B56" s="4142"/>
      <c r="C56" s="4142"/>
      <c r="D56" s="4142"/>
      <c r="E56" s="4142"/>
      <c r="F56" s="4142"/>
      <c r="G56" s="643"/>
      <c r="H56" s="701"/>
      <c r="L56" s="1266"/>
    </row>
    <row r="57" spans="1:43" s="2304" customFormat="1" ht="15.75" customHeight="1" thickBot="1">
      <c r="A57" s="2305"/>
      <c r="B57" s="2306"/>
      <c r="C57" s="2306"/>
      <c r="D57" s="2306"/>
      <c r="L57" s="3955"/>
      <c r="M57" s="1117"/>
      <c r="N57" s="4026">
        <v>45292</v>
      </c>
      <c r="O57" s="4027">
        <v>45323</v>
      </c>
      <c r="P57" s="4027">
        <v>45352</v>
      </c>
      <c r="Q57" s="4028">
        <v>45383</v>
      </c>
      <c r="R57" s="4026">
        <v>45413</v>
      </c>
      <c r="S57" s="4027">
        <v>45444</v>
      </c>
      <c r="T57" s="4029">
        <v>45474</v>
      </c>
      <c r="U57" s="4030">
        <v>45505</v>
      </c>
      <c r="V57" s="4031">
        <v>45536</v>
      </c>
      <c r="W57" s="4029">
        <v>45566</v>
      </c>
      <c r="X57" s="4032">
        <v>45597</v>
      </c>
      <c r="Y57" s="4033">
        <v>45627</v>
      </c>
      <c r="Z57" s="4034">
        <v>45658</v>
      </c>
      <c r="AA57" s="4032">
        <v>45689</v>
      </c>
      <c r="AB57" s="4032">
        <v>45717</v>
      </c>
      <c r="AC57" s="4033">
        <v>45748</v>
      </c>
      <c r="AD57" s="4034">
        <v>45778</v>
      </c>
      <c r="AE57" s="4032">
        <v>45809</v>
      </c>
      <c r="AF57" s="4036">
        <v>45839</v>
      </c>
      <c r="AG57" s="4037">
        <v>45870</v>
      </c>
      <c r="AH57" s="4035">
        <v>45901</v>
      </c>
      <c r="AI57" s="4024">
        <v>45931</v>
      </c>
      <c r="AL57" s="700"/>
      <c r="AM57" s="700"/>
      <c r="AN57" s="700"/>
      <c r="AO57" s="700"/>
      <c r="AP57" s="700"/>
      <c r="AQ57" s="700"/>
    </row>
    <row r="58" spans="1:43" s="700" customFormat="1" ht="45.75" customHeight="1" thickBot="1">
      <c r="A58" s="643"/>
      <c r="B58" s="4119"/>
      <c r="C58" s="2300" t="s">
        <v>4867</v>
      </c>
      <c r="D58" s="4091" t="s">
        <v>4868</v>
      </c>
      <c r="E58" s="4364" t="s">
        <v>6</v>
      </c>
      <c r="F58" s="4364" t="s">
        <v>7</v>
      </c>
      <c r="G58" s="4367" t="s">
        <v>8</v>
      </c>
      <c r="H58" s="4369" t="s">
        <v>9</v>
      </c>
      <c r="I58" s="4362" t="s">
        <v>10</v>
      </c>
      <c r="J58" s="4363"/>
      <c r="K58" s="4362"/>
      <c r="L58" s="4143"/>
      <c r="M58" s="2301" t="s">
        <v>1149</v>
      </c>
      <c r="N58" s="2302" t="s">
        <v>3658</v>
      </c>
      <c r="O58" s="2303" t="s">
        <v>3658</v>
      </c>
      <c r="P58" s="2303" t="s">
        <v>3858</v>
      </c>
      <c r="Q58" s="2303" t="s">
        <v>3658</v>
      </c>
      <c r="R58" s="2303" t="s">
        <v>5158</v>
      </c>
      <c r="S58" s="2303" t="s">
        <v>4305</v>
      </c>
      <c r="T58" s="2303" t="s">
        <v>4305</v>
      </c>
      <c r="U58" s="2303" t="s">
        <v>4305</v>
      </c>
      <c r="V58" s="2303" t="s">
        <v>4305</v>
      </c>
      <c r="W58" s="2303" t="s">
        <v>4305</v>
      </c>
      <c r="X58" s="2303" t="s">
        <v>4305</v>
      </c>
      <c r="Y58" s="2303" t="s">
        <v>4305</v>
      </c>
      <c r="Z58" s="2303" t="s">
        <v>4799</v>
      </c>
      <c r="AA58" s="3208" t="s">
        <v>4305</v>
      </c>
      <c r="AB58" s="2980" t="s">
        <v>4971</v>
      </c>
      <c r="AC58" s="2980" t="s">
        <v>5014</v>
      </c>
      <c r="AD58" s="1140"/>
      <c r="AE58" s="1140"/>
      <c r="AF58" s="1140"/>
      <c r="AG58" s="1140"/>
      <c r="AH58" s="1140"/>
      <c r="AI58" s="1140"/>
    </row>
    <row r="59" spans="1:43" s="627" customFormat="1" ht="22.5" customHeight="1" thickBot="1">
      <c r="A59" s="2278" t="s">
        <v>27</v>
      </c>
      <c r="B59" s="4310"/>
      <c r="C59" s="2279"/>
      <c r="D59" s="4092"/>
      <c r="E59" s="4365"/>
      <c r="F59" s="4365"/>
      <c r="G59" s="4368"/>
      <c r="H59" s="4370"/>
      <c r="I59" s="4362"/>
      <c r="J59" s="4362"/>
      <c r="K59" s="4362"/>
      <c r="L59" s="4144"/>
      <c r="M59" s="2281" t="s">
        <v>1728</v>
      </c>
      <c r="N59" s="2282" t="s">
        <v>4911</v>
      </c>
      <c r="O59" s="2282" t="s">
        <v>577</v>
      </c>
      <c r="P59" s="2282" t="s">
        <v>4912</v>
      </c>
      <c r="Q59" s="2282" t="s">
        <v>565</v>
      </c>
      <c r="R59" s="2282" t="s">
        <v>576</v>
      </c>
      <c r="S59" s="2282" t="s">
        <v>576</v>
      </c>
      <c r="T59" s="2282" t="s">
        <v>573</v>
      </c>
      <c r="U59" s="2282" t="s">
        <v>4347</v>
      </c>
      <c r="V59" s="2282" t="s">
        <v>571</v>
      </c>
      <c r="W59" s="2282" t="s">
        <v>572</v>
      </c>
      <c r="X59" s="2282" t="s">
        <v>572</v>
      </c>
      <c r="Y59" s="2282" t="s">
        <v>4859</v>
      </c>
      <c r="Z59" s="2282" t="s">
        <v>572</v>
      </c>
      <c r="AA59" s="2282" t="s">
        <v>568</v>
      </c>
      <c r="AB59" s="2282" t="s">
        <v>567</v>
      </c>
      <c r="AC59" s="2282" t="s">
        <v>566</v>
      </c>
      <c r="AD59" s="2282" t="s">
        <v>575</v>
      </c>
      <c r="AE59" s="2282" t="s">
        <v>576</v>
      </c>
      <c r="AF59" s="2282" t="s">
        <v>578</v>
      </c>
      <c r="AG59" s="2282" t="s">
        <v>579</v>
      </c>
      <c r="AH59" s="2282" t="s">
        <v>579</v>
      </c>
      <c r="AI59" s="2282" t="s">
        <v>577</v>
      </c>
    </row>
    <row r="60" spans="1:43" s="2285" customFormat="1" ht="55.5" customHeight="1" thickBot="1">
      <c r="A60" s="2283" t="s">
        <v>3860</v>
      </c>
      <c r="B60" s="4311"/>
      <c r="C60" s="1547" t="s">
        <v>3882</v>
      </c>
      <c r="D60" s="4155"/>
      <c r="E60" s="4366"/>
      <c r="F60" s="4366"/>
      <c r="G60" s="2284" t="s">
        <v>78</v>
      </c>
      <c r="H60" s="4371"/>
      <c r="I60" s="3825" t="s">
        <v>79</v>
      </c>
      <c r="J60" s="3825" t="s">
        <v>80</v>
      </c>
      <c r="K60" s="3825" t="s">
        <v>81</v>
      </c>
      <c r="L60" s="3953" t="s">
        <v>1759</v>
      </c>
      <c r="M60" s="3826" t="s">
        <v>27</v>
      </c>
      <c r="N60" s="3827" t="s">
        <v>3857</v>
      </c>
      <c r="O60" s="3827" t="s">
        <v>3659</v>
      </c>
      <c r="P60" s="3827" t="s">
        <v>3660</v>
      </c>
      <c r="Q60" s="3827" t="s">
        <v>3859</v>
      </c>
      <c r="R60" s="3828" t="s">
        <v>3662</v>
      </c>
      <c r="S60" s="3828" t="s">
        <v>3998</v>
      </c>
      <c r="T60" s="3828" t="s">
        <v>3999</v>
      </c>
      <c r="U60" s="3829" t="s">
        <v>649</v>
      </c>
      <c r="V60" s="3830" t="s">
        <v>650</v>
      </c>
      <c r="W60" s="3830" t="s">
        <v>4320</v>
      </c>
      <c r="X60" s="3830" t="s">
        <v>3664</v>
      </c>
      <c r="Y60" s="3830" t="s">
        <v>3665</v>
      </c>
      <c r="Z60" s="3831" t="s">
        <v>3539</v>
      </c>
      <c r="AA60" s="3832" t="s">
        <v>610</v>
      </c>
      <c r="AB60" s="3831" t="s">
        <v>4913</v>
      </c>
      <c r="AC60" s="3832" t="s">
        <v>4914</v>
      </c>
      <c r="AD60" s="3833" t="s">
        <v>4915</v>
      </c>
      <c r="AE60" s="3833" t="s">
        <v>4863</v>
      </c>
      <c r="AF60" s="3833" t="s">
        <v>4916</v>
      </c>
      <c r="AG60" s="3833" t="s">
        <v>4864</v>
      </c>
      <c r="AH60" s="3834" t="s">
        <v>4865</v>
      </c>
      <c r="AI60" s="3835" t="s">
        <v>4866</v>
      </c>
    </row>
    <row r="61" spans="1:43" s="2277" customFormat="1" ht="15.75">
      <c r="A61" s="3887"/>
      <c r="B61" s="3888">
        <v>1</v>
      </c>
      <c r="C61" s="3889">
        <f>_xlfn.XLOOKUP($E61,Tabla3[CURP],Tabla3[FECHA DE INICIO (PRIMERA CLASE CALENDARIO)]," ")</f>
        <v>45366</v>
      </c>
      <c r="D61" s="3890">
        <v>685</v>
      </c>
      <c r="E61" s="3891" t="str">
        <f>_xlfn.XLOOKUP($D61,  Tabla3[No.],  Tabla3[CURP], " ")</f>
        <v>ROSJ580426HCSBLL04</v>
      </c>
      <c r="F61" s="3888" t="str">
        <f>_xlfn.XLOOKUP($E61, Tabla3[CURP], Tabla3[Matrícula Of. SEQ])</f>
        <v>64MD07B-04</v>
      </c>
      <c r="G61" s="3809" t="str">
        <f>IFERROR(VLOOKUP(D61,Tabla3[],5,FALSE),"")</f>
        <v>ROBLES SOLIS JULIO CESAR</v>
      </c>
      <c r="H61" s="3892" t="str">
        <f>MID($E61,11,1)</f>
        <v>H</v>
      </c>
      <c r="I61" s="3892" t="str">
        <f>MID($E61,5,2)</f>
        <v>58</v>
      </c>
      <c r="J61" s="3892" t="str">
        <f>MID($E61,7,2)</f>
        <v>04</v>
      </c>
      <c r="K61" s="3892" t="str">
        <f>MID($E61,9,2)</f>
        <v>26</v>
      </c>
      <c r="L61" s="3923" t="str">
        <f>_xlfn.XLOOKUP($E61,Tabla3[CURP],Tabla3[ESTATUS ACADÉMICO]," ")</f>
        <v>EGRESADO</v>
      </c>
      <c r="M61" s="3824" t="str">
        <f>IF(E61&lt;&gt;"", $A$60,"")</f>
        <v>MD06C/MD06D</v>
      </c>
      <c r="N61" s="3893" t="s">
        <v>135</v>
      </c>
      <c r="O61" s="3893" t="s">
        <v>135</v>
      </c>
      <c r="P61" s="3894">
        <v>10</v>
      </c>
      <c r="Q61" s="3895">
        <v>9</v>
      </c>
      <c r="R61" s="3893">
        <v>9</v>
      </c>
      <c r="S61" s="3893">
        <v>10</v>
      </c>
      <c r="T61" s="3894">
        <v>10</v>
      </c>
      <c r="U61" s="3895">
        <v>10</v>
      </c>
      <c r="V61" s="3893">
        <v>10</v>
      </c>
      <c r="W61" s="3893">
        <v>9.8000000000000007</v>
      </c>
      <c r="X61" s="3894">
        <v>9.6999999999999993</v>
      </c>
      <c r="Y61" s="3895">
        <v>10</v>
      </c>
      <c r="Z61" s="3896">
        <v>10</v>
      </c>
      <c r="AA61" s="3896">
        <v>10</v>
      </c>
      <c r="AB61" s="3896">
        <v>9</v>
      </c>
      <c r="AC61" s="3896">
        <v>10</v>
      </c>
      <c r="AD61" s="3896">
        <v>9</v>
      </c>
      <c r="AE61" s="3896">
        <v>10</v>
      </c>
      <c r="AF61" s="3896">
        <v>10</v>
      </c>
      <c r="AG61" s="3896">
        <v>9</v>
      </c>
      <c r="AH61" s="3896">
        <v>9.6999999999999993</v>
      </c>
      <c r="AI61" s="3896">
        <v>9</v>
      </c>
    </row>
    <row r="62" spans="1:43" s="2277" customFormat="1" ht="15" customHeight="1">
      <c r="A62" s="4006"/>
      <c r="B62" s="4007">
        <v>4</v>
      </c>
      <c r="C62" s="4008">
        <f>_xlfn.XLOOKUP($E62,Tabla3[CURP],Tabla3[FECHA DE INICIO (PRIMERA CLASE CALENDARIO)]," ")</f>
        <v>45366</v>
      </c>
      <c r="D62" s="4009">
        <f>_xlfn.XLOOKUP($E62, Tabla3[CURP], Tabla3[No.])</f>
        <v>693</v>
      </c>
      <c r="E62" s="3811" t="s">
        <v>3837</v>
      </c>
      <c r="F62" s="4007" t="str">
        <f>_xlfn.XLOOKUP($E62, Tabla3[CURP], Tabla3[Matrícula Of. SEQ])</f>
        <v>64MD07B-03</v>
      </c>
      <c r="G62" s="4010" t="str">
        <f>IFERROR(VLOOKUP(D62,Tabla3[],5,FALSE),"")</f>
        <v>GUZMAN MAGALLON JUAN MANUEL</v>
      </c>
      <c r="H62" s="4011" t="str">
        <f t="shared" ref="H62:H72" si="8">MID($E62,11,1)</f>
        <v>H</v>
      </c>
      <c r="I62" s="4011" t="str">
        <f t="shared" ref="I62:I72" si="9">MID($E62,5,2)</f>
        <v>79</v>
      </c>
      <c r="J62" s="4011" t="str">
        <f t="shared" ref="J62:J72" si="10">MID($E62,7,2)</f>
        <v>11</v>
      </c>
      <c r="K62" s="4011" t="str">
        <f t="shared" ref="K62:K72" si="11">MID($E62,9,2)</f>
        <v>26</v>
      </c>
      <c r="L62" s="4012" t="str">
        <f>_xlfn.XLOOKUP($E62,Tabla3[CURP],Tabla3[ESTATUS ACADÉMICO]," ")</f>
        <v>BAJA TEMPORAL</v>
      </c>
      <c r="M62" s="3198" t="str">
        <f t="shared" ref="M62:M72" si="12">IF(E62&lt;&gt;"", $A$60,"")</f>
        <v>MD06C/MD06D</v>
      </c>
      <c r="N62" s="1795" t="s">
        <v>135</v>
      </c>
      <c r="O62" s="1795" t="s">
        <v>135</v>
      </c>
      <c r="P62" s="2263">
        <v>10</v>
      </c>
      <c r="Q62" s="1300">
        <v>9</v>
      </c>
      <c r="R62" s="1529">
        <v>9</v>
      </c>
      <c r="S62" s="1300">
        <v>10</v>
      </c>
      <c r="T62" s="1300">
        <v>10</v>
      </c>
      <c r="U62" s="1300">
        <v>10</v>
      </c>
      <c r="V62" s="1529">
        <v>10</v>
      </c>
      <c r="W62" s="1300">
        <v>9.8000000000000007</v>
      </c>
      <c r="X62" s="2263">
        <v>9</v>
      </c>
      <c r="Y62" s="1300">
        <v>10</v>
      </c>
      <c r="Z62" s="1379">
        <v>10</v>
      </c>
      <c r="AA62" s="1379">
        <v>9</v>
      </c>
      <c r="AB62" s="1379">
        <v>9.5</v>
      </c>
      <c r="AC62" s="1379">
        <v>10</v>
      </c>
      <c r="AD62" s="1379">
        <v>9</v>
      </c>
      <c r="AE62" s="1379">
        <v>9</v>
      </c>
      <c r="AF62" s="1379">
        <v>9</v>
      </c>
      <c r="AG62" s="1379">
        <v>9</v>
      </c>
      <c r="AH62" s="1379">
        <v>9</v>
      </c>
      <c r="AI62" s="1379"/>
    </row>
    <row r="63" spans="1:43" s="2277" customFormat="1" ht="15" customHeight="1">
      <c r="A63" s="4006"/>
      <c r="B63" s="4007">
        <v>5</v>
      </c>
      <c r="C63" s="4008">
        <f>_xlfn.XLOOKUP($E63,Tabla3[CURP],Tabla3[FECHA DE INICIO (PRIMERA CLASE CALENDARIO)]," ")</f>
        <v>45366</v>
      </c>
      <c r="D63" s="4009">
        <f>_xlfn.XLOOKUP($E63, Tabla3[CURP], Tabla3[No.])</f>
        <v>694</v>
      </c>
      <c r="E63" s="3811" t="s">
        <v>3327</v>
      </c>
      <c r="F63" s="4007" t="str">
        <f>_xlfn.XLOOKUP($E63, Tabla3[CURP], Tabla3[Matrícula Of. SEQ])</f>
        <v>64MD07B-01</v>
      </c>
      <c r="G63" s="4010" t="str">
        <f>IFERROR(VLOOKUP(D63,Tabla3[],5,FALSE),"")</f>
        <v>ESTRADA CALIXTO ZEREIDA DE JESUS</v>
      </c>
      <c r="H63" s="4011" t="str">
        <f t="shared" si="8"/>
        <v>M</v>
      </c>
      <c r="I63" s="4011" t="str">
        <f t="shared" si="9"/>
        <v>91</v>
      </c>
      <c r="J63" s="4011" t="str">
        <f t="shared" si="10"/>
        <v>03</v>
      </c>
      <c r="K63" s="4011" t="str">
        <f t="shared" si="11"/>
        <v>09</v>
      </c>
      <c r="L63" s="4012" t="str">
        <f>_xlfn.XLOOKUP($E63,Tabla3[CURP],Tabla3[ESTATUS ACADÉMICO]," ")</f>
        <v>BAJA TEMPORAL</v>
      </c>
      <c r="M63" s="3198" t="str">
        <f t="shared" si="12"/>
        <v>MD06C/MD06D</v>
      </c>
      <c r="N63" s="1795" t="s">
        <v>135</v>
      </c>
      <c r="O63" s="1795" t="s">
        <v>135</v>
      </c>
      <c r="P63" s="2263">
        <v>10</v>
      </c>
      <c r="Q63" s="1300">
        <v>9</v>
      </c>
      <c r="R63" s="1529">
        <v>9</v>
      </c>
      <c r="S63" s="1300">
        <v>10</v>
      </c>
      <c r="T63" s="1300">
        <v>10</v>
      </c>
      <c r="U63" s="1300">
        <v>10</v>
      </c>
      <c r="V63" s="1529">
        <v>10</v>
      </c>
      <c r="W63" s="1300">
        <v>9.8000000000000007</v>
      </c>
      <c r="X63" s="2263">
        <v>9</v>
      </c>
      <c r="Y63" s="1300">
        <v>10</v>
      </c>
      <c r="Z63" s="1379">
        <v>10</v>
      </c>
      <c r="AA63" s="1379">
        <v>9</v>
      </c>
      <c r="AB63" s="1379">
        <v>9.5</v>
      </c>
      <c r="AC63" s="1379">
        <v>10</v>
      </c>
      <c r="AD63" s="1379">
        <v>9</v>
      </c>
      <c r="AE63" s="1379">
        <v>9</v>
      </c>
      <c r="AF63" s="1379">
        <v>9</v>
      </c>
      <c r="AG63" s="1379">
        <v>9</v>
      </c>
      <c r="AH63" s="1379">
        <v>9</v>
      </c>
      <c r="AI63" s="1379"/>
    </row>
    <row r="64" spans="1:43" s="2277" customFormat="1" ht="15.75">
      <c r="A64" s="3382"/>
      <c r="B64" s="3807">
        <v>6</v>
      </c>
      <c r="C64" s="3820">
        <f>_xlfn.XLOOKUP($E64,Tabla3[CURP],Tabla3[FECHA DE INICIO (PRIMERA CLASE CALENDARIO)]," ")</f>
        <v>45310</v>
      </c>
      <c r="D64" s="3821">
        <f>_xlfn.XLOOKUP($E64, Tabla3[CURP], Tabla3[No.])</f>
        <v>657</v>
      </c>
      <c r="E64" s="3808" t="s">
        <v>3447</v>
      </c>
      <c r="F64" s="3807" t="str">
        <f>_xlfn.XLOOKUP($E64, Tabla3[CURP], Tabla3[Matrícula Of. SEQ])</f>
        <v>64MD07A-04</v>
      </c>
      <c r="G64" s="3809" t="str">
        <f>IFERROR(VLOOKUP(D64,Tabla3[],5,FALSE),"")</f>
        <v>HERNANDEZ ALCANTARA LORENA MIREYA</v>
      </c>
      <c r="H64" s="3804" t="str">
        <f t="shared" si="8"/>
        <v>M</v>
      </c>
      <c r="I64" s="3804" t="str">
        <f t="shared" si="9"/>
        <v>76</v>
      </c>
      <c r="J64" s="3804" t="str">
        <f t="shared" si="10"/>
        <v>07</v>
      </c>
      <c r="K64" s="3804" t="str">
        <f t="shared" si="11"/>
        <v>05</v>
      </c>
      <c r="L64" s="3925" t="str">
        <f>_xlfn.XLOOKUP($E64,Tabla3[CURP],Tabla3[ESTATUS ACADÉMICO]," ")</f>
        <v>EGRESADO</v>
      </c>
      <c r="M64" s="3198" t="str">
        <f t="shared" si="12"/>
        <v>MD06C/MD06D</v>
      </c>
      <c r="N64" s="3340">
        <v>10</v>
      </c>
      <c r="O64" s="3340">
        <v>10</v>
      </c>
      <c r="P64" s="3340">
        <v>10</v>
      </c>
      <c r="Q64" s="3805">
        <v>9</v>
      </c>
      <c r="R64" s="3340">
        <v>10</v>
      </c>
      <c r="S64" s="3340">
        <v>10</v>
      </c>
      <c r="T64" s="3340">
        <v>10</v>
      </c>
      <c r="U64" s="3340">
        <v>10</v>
      </c>
      <c r="V64" s="3340">
        <v>10</v>
      </c>
      <c r="W64" s="3340">
        <v>10</v>
      </c>
      <c r="X64" s="3340">
        <v>10</v>
      </c>
      <c r="Y64" s="3805">
        <v>10</v>
      </c>
      <c r="Z64" s="3382">
        <v>10</v>
      </c>
      <c r="AA64" s="3382">
        <v>10</v>
      </c>
      <c r="AB64" s="3382">
        <v>10</v>
      </c>
      <c r="AC64" s="3382">
        <v>10</v>
      </c>
      <c r="AD64" s="3382">
        <v>10</v>
      </c>
      <c r="AE64" s="3382">
        <v>10</v>
      </c>
      <c r="AF64" s="3382">
        <v>9</v>
      </c>
      <c r="AG64" s="3382">
        <v>10</v>
      </c>
      <c r="AH64" s="3382"/>
      <c r="AI64" s="3382"/>
    </row>
    <row r="65" spans="1:39" s="2277" customFormat="1" ht="15.75">
      <c r="A65" s="3382"/>
      <c r="B65" s="3807">
        <v>7</v>
      </c>
      <c r="C65" s="3820">
        <f>_xlfn.XLOOKUP($E65,Tabla3[CURP],Tabla3[FECHA DE INICIO (PRIMERA CLASE CALENDARIO)]," ")</f>
        <v>45310</v>
      </c>
      <c r="D65" s="3821">
        <f>_xlfn.XLOOKUP($E65, Tabla3[CURP], Tabla3[No.])</f>
        <v>647</v>
      </c>
      <c r="E65" s="3808" t="s">
        <v>3419</v>
      </c>
      <c r="F65" s="3807" t="str">
        <f>_xlfn.XLOOKUP($E65, Tabla3[CURP], Tabla3[Matrícula Of. SEQ])</f>
        <v>64MD07A-03</v>
      </c>
      <c r="G65" s="3807" t="str">
        <f>IFERROR(VLOOKUP(D65,Tabla3[],5,FALSE),"")</f>
        <v>HERNANDEZ ALCANTARA ANABEL</v>
      </c>
      <c r="H65" s="3804" t="str">
        <f t="shared" si="8"/>
        <v>M</v>
      </c>
      <c r="I65" s="3804" t="str">
        <f t="shared" si="9"/>
        <v>78</v>
      </c>
      <c r="J65" s="3804" t="str">
        <f t="shared" si="10"/>
        <v>10</v>
      </c>
      <c r="K65" s="3804" t="str">
        <f t="shared" si="11"/>
        <v>01</v>
      </c>
      <c r="L65" s="3925" t="str">
        <f>_xlfn.XLOOKUP($E65,Tabla3[CURP],Tabla3[ESTATUS ACADÉMICO]," ")</f>
        <v>EGRESADO</v>
      </c>
      <c r="M65" s="3198" t="str">
        <f t="shared" si="12"/>
        <v>MD06C/MD06D</v>
      </c>
      <c r="N65" s="3340">
        <v>10</v>
      </c>
      <c r="O65" s="3340">
        <v>10</v>
      </c>
      <c r="P65" s="3340">
        <v>10</v>
      </c>
      <c r="Q65" s="3805">
        <v>9</v>
      </c>
      <c r="R65" s="3340">
        <v>10</v>
      </c>
      <c r="S65" s="3340">
        <v>10</v>
      </c>
      <c r="T65" s="3340">
        <v>10</v>
      </c>
      <c r="U65" s="3340">
        <v>10</v>
      </c>
      <c r="V65" s="3340">
        <v>10</v>
      </c>
      <c r="W65" s="3340">
        <v>10</v>
      </c>
      <c r="X65" s="3340">
        <v>10</v>
      </c>
      <c r="Y65" s="3805">
        <v>10</v>
      </c>
      <c r="Z65" s="3382">
        <v>10</v>
      </c>
      <c r="AA65" s="3382">
        <v>10</v>
      </c>
      <c r="AB65" s="3382">
        <v>10</v>
      </c>
      <c r="AC65" s="3382">
        <v>10</v>
      </c>
      <c r="AD65" s="3382">
        <v>10</v>
      </c>
      <c r="AE65" s="3382">
        <v>10</v>
      </c>
      <c r="AF65" s="3382">
        <v>10</v>
      </c>
      <c r="AG65" s="3382">
        <v>10</v>
      </c>
      <c r="AH65" s="3382"/>
      <c r="AI65" s="3382"/>
    </row>
    <row r="66" spans="1:39" s="2277" customFormat="1" ht="15.75">
      <c r="A66" s="3382"/>
      <c r="B66" s="3807">
        <v>9</v>
      </c>
      <c r="C66" s="3820">
        <f>_xlfn.XLOOKUP($E66,Tabla3[CURP],Tabla3[FECHA DE INICIO (PRIMERA CLASE CALENDARIO)]," ")</f>
        <v>45310</v>
      </c>
      <c r="D66" s="3821">
        <f>_xlfn.XLOOKUP($E66, Tabla3[CURP], Tabla3[No.])</f>
        <v>655</v>
      </c>
      <c r="E66" s="3808" t="s">
        <v>3437</v>
      </c>
      <c r="F66" s="3807" t="str">
        <f>_xlfn.XLOOKUP($E66, Tabla3[CURP], Tabla3[Matrícula Of. SEQ])</f>
        <v>64MD07A-05</v>
      </c>
      <c r="G66" s="3807" t="str">
        <f>IFERROR(VLOOKUP(D66,Tabla3[],5,FALSE),"")</f>
        <v>JIMENEZ VERA HERNANDEZ ROCIO GUADALUPE</v>
      </c>
      <c r="H66" s="3804" t="str">
        <f t="shared" si="8"/>
        <v>M</v>
      </c>
      <c r="I66" s="3804" t="str">
        <f t="shared" si="9"/>
        <v>72</v>
      </c>
      <c r="J66" s="3804" t="str">
        <f t="shared" si="10"/>
        <v>06</v>
      </c>
      <c r="K66" s="3804" t="str">
        <f t="shared" si="11"/>
        <v>28</v>
      </c>
      <c r="L66" s="3925" t="str">
        <f>_xlfn.XLOOKUP($E66,Tabla3[CURP],Tabla3[ESTATUS ACADÉMICO]," ")</f>
        <v>EGRESADO</v>
      </c>
      <c r="M66" s="3198" t="str">
        <f t="shared" si="12"/>
        <v>MD06C/MD06D</v>
      </c>
      <c r="N66" s="3340">
        <v>7</v>
      </c>
      <c r="O66" s="3340">
        <v>10</v>
      </c>
      <c r="P66" s="3340">
        <v>10</v>
      </c>
      <c r="Q66" s="3805">
        <v>9.5</v>
      </c>
      <c r="R66" s="3340">
        <v>10</v>
      </c>
      <c r="S66" s="3340">
        <v>10</v>
      </c>
      <c r="T66" s="3340">
        <v>10</v>
      </c>
      <c r="U66" s="3340">
        <v>10</v>
      </c>
      <c r="V66" s="3340">
        <v>10</v>
      </c>
      <c r="W66" s="3340">
        <v>9.8000000000000007</v>
      </c>
      <c r="X66" s="3340">
        <v>9</v>
      </c>
      <c r="Y66" s="3805">
        <v>8.5</v>
      </c>
      <c r="Z66" s="3382">
        <v>10</v>
      </c>
      <c r="AA66" s="3382">
        <v>10</v>
      </c>
      <c r="AB66" s="3382">
        <v>9</v>
      </c>
      <c r="AC66" s="3382">
        <v>10</v>
      </c>
      <c r="AD66" s="3382">
        <v>9</v>
      </c>
      <c r="AE66" s="3382">
        <v>9</v>
      </c>
      <c r="AF66" s="3382">
        <v>9</v>
      </c>
      <c r="AG66" s="3382">
        <v>9</v>
      </c>
      <c r="AH66" s="3382"/>
      <c r="AI66" s="3382"/>
    </row>
    <row r="67" spans="1:39" s="2277" customFormat="1" ht="15.75">
      <c r="A67" s="3382"/>
      <c r="B67" s="3807">
        <v>10</v>
      </c>
      <c r="C67" s="3820">
        <f>_xlfn.XLOOKUP($E67,Tabla3[CURP],Tabla3[FECHA DE INICIO (PRIMERA CLASE CALENDARIO)]," ")</f>
        <v>45310</v>
      </c>
      <c r="D67" s="3821">
        <f>_xlfn.XLOOKUP($E67, Tabla3[CURP], Tabla3[No.])</f>
        <v>652</v>
      </c>
      <c r="E67" s="3808" t="s">
        <v>3430</v>
      </c>
      <c r="F67" s="3807" t="str">
        <f>_xlfn.XLOOKUP($E67, Tabla3[CURP], Tabla3[Matrícula Of. SEQ])</f>
        <v>64MD07A-01</v>
      </c>
      <c r="G67" s="3807" t="str">
        <f>IFERROR(VLOOKUP(D67,Tabla3[],5,FALSE),"")</f>
        <v>DOMINGUEZ JAIN EVA</v>
      </c>
      <c r="H67" s="3804" t="str">
        <f t="shared" si="8"/>
        <v>M</v>
      </c>
      <c r="I67" s="3804" t="str">
        <f t="shared" si="9"/>
        <v>77</v>
      </c>
      <c r="J67" s="3804" t="str">
        <f t="shared" si="10"/>
        <v>05</v>
      </c>
      <c r="K67" s="3804" t="str">
        <f t="shared" si="11"/>
        <v>28</v>
      </c>
      <c r="L67" s="3925" t="str">
        <f>_xlfn.XLOOKUP($E67,Tabla3[CURP],Tabla3[ESTATUS ACADÉMICO]," ")</f>
        <v>EGRESADO</v>
      </c>
      <c r="M67" s="3198" t="str">
        <f t="shared" si="12"/>
        <v>MD06C/MD06D</v>
      </c>
      <c r="N67" s="3340">
        <v>9</v>
      </c>
      <c r="O67" s="3340">
        <v>10</v>
      </c>
      <c r="P67" s="3340">
        <v>10</v>
      </c>
      <c r="Q67" s="3805">
        <v>9</v>
      </c>
      <c r="R67" s="3340">
        <v>9</v>
      </c>
      <c r="S67" s="3805">
        <v>10</v>
      </c>
      <c r="T67" s="3805">
        <v>10</v>
      </c>
      <c r="U67" s="3805">
        <v>10</v>
      </c>
      <c r="V67" s="3340">
        <v>10</v>
      </c>
      <c r="W67" s="3340">
        <v>9.6999999999999993</v>
      </c>
      <c r="X67" s="3340">
        <v>9</v>
      </c>
      <c r="Y67" s="3805">
        <v>9</v>
      </c>
      <c r="Z67" s="3382">
        <v>10</v>
      </c>
      <c r="AA67" s="3382">
        <v>10</v>
      </c>
      <c r="AB67" s="3382">
        <v>9.4</v>
      </c>
      <c r="AC67" s="3382">
        <v>10</v>
      </c>
      <c r="AD67" s="3382">
        <v>9</v>
      </c>
      <c r="AE67" s="3382">
        <v>10</v>
      </c>
      <c r="AF67" s="3382">
        <v>10</v>
      </c>
      <c r="AG67" s="3382">
        <v>9</v>
      </c>
      <c r="AH67" s="3382"/>
      <c r="AI67" s="3382"/>
    </row>
    <row r="68" spans="1:39" s="2277" customFormat="1" ht="15" customHeight="1">
      <c r="A68" s="3224"/>
      <c r="B68" s="3810">
        <v>3</v>
      </c>
      <c r="C68" s="3822">
        <f>_xlfn.XLOOKUP($E68,Tabla3[CURP],Tabla3[FECHA DE INICIO (PRIMERA CLASE CALENDARIO)]," ")</f>
        <v>45366</v>
      </c>
      <c r="D68" s="3815">
        <f>_xlfn.XLOOKUP($E68, Tabla3[CURP], Tabla3[No.])</f>
        <v>691</v>
      </c>
      <c r="E68" s="3811" t="s">
        <v>328</v>
      </c>
      <c r="F68" s="3810" t="str">
        <f>_xlfn.XLOOKUP($E68, Tabla3[CURP], Tabla3[Matrícula Of. SEQ])</f>
        <v>64MD07B-05</v>
      </c>
      <c r="G68" s="3810" t="str">
        <f>IFERROR(VLOOKUP(D68,Tabla3[],5,FALSE),"")</f>
        <v xml:space="preserve">VIDAL GUAL MANUELA DE ATOCHA </v>
      </c>
      <c r="H68" s="3225" t="str">
        <f t="shared" si="8"/>
        <v>M</v>
      </c>
      <c r="I68" s="3225" t="str">
        <f t="shared" si="9"/>
        <v>71</v>
      </c>
      <c r="J68" s="3225" t="str">
        <f t="shared" si="10"/>
        <v>01</v>
      </c>
      <c r="K68" s="3225" t="str">
        <f t="shared" si="11"/>
        <v>29</v>
      </c>
      <c r="L68" s="3926" t="str">
        <f>_xlfn.XLOOKUP($E68,Tabla3[CURP],Tabla3[ESTATUS ACADÉMICO]," ")</f>
        <v>BAJA TEMPORAL</v>
      </c>
      <c r="M68" s="3223" t="str">
        <f t="shared" si="12"/>
        <v>MD06C/MD06D</v>
      </c>
      <c r="N68" s="2286" t="s">
        <v>135</v>
      </c>
      <c r="O68" s="2286" t="s">
        <v>135</v>
      </c>
      <c r="P68" s="2286">
        <v>10</v>
      </c>
      <c r="Q68" s="3226">
        <v>9</v>
      </c>
      <c r="R68" s="2286">
        <v>8</v>
      </c>
      <c r="S68" s="2286">
        <v>10</v>
      </c>
      <c r="T68" s="2286">
        <v>10</v>
      </c>
      <c r="U68" s="3226">
        <v>0</v>
      </c>
      <c r="V68" s="3226">
        <v>0</v>
      </c>
      <c r="W68" s="3226">
        <v>0</v>
      </c>
      <c r="X68" s="2286">
        <v>8.5</v>
      </c>
      <c r="Y68" s="3226">
        <v>0</v>
      </c>
      <c r="Z68" s="3224"/>
      <c r="AA68" s="3224"/>
      <c r="AB68" s="3224"/>
      <c r="AC68" s="3224"/>
      <c r="AD68" s="3224"/>
      <c r="AE68" s="3224"/>
      <c r="AF68" s="3224"/>
      <c r="AG68" s="3227"/>
      <c r="AH68" s="3224"/>
      <c r="AI68" s="3224"/>
    </row>
    <row r="69" spans="1:39" s="2277" customFormat="1" ht="15.75">
      <c r="A69" s="3224"/>
      <c r="B69" s="3810">
        <v>8</v>
      </c>
      <c r="C69" s="3822">
        <f>_xlfn.XLOOKUP($E69,Tabla3[CURP],Tabla3[FECHA DE INICIO (PRIMERA CLASE CALENDARIO)]," ")</f>
        <v>45310</v>
      </c>
      <c r="D69" s="3815">
        <f>_xlfn.XLOOKUP($E69, Tabla3[CURP], Tabla3[No.])</f>
        <v>656</v>
      </c>
      <c r="E69" s="3811" t="s">
        <v>3442</v>
      </c>
      <c r="F69" s="3810" t="str">
        <f>_xlfn.XLOOKUP($E69, Tabla3[CURP], Tabla3[Matrícula Of. SEQ])</f>
        <v>64MD07A-02</v>
      </c>
      <c r="G69" s="3810" t="str">
        <f>IFERROR(VLOOKUP(D69,Tabla3[],5,FALSE),"")</f>
        <v>GARCIA CARRILLO CARLA IRENE</v>
      </c>
      <c r="H69" s="3225" t="str">
        <f t="shared" si="8"/>
        <v>M</v>
      </c>
      <c r="I69" s="3225" t="str">
        <f t="shared" si="9"/>
        <v>79</v>
      </c>
      <c r="J69" s="3225" t="str">
        <f t="shared" si="10"/>
        <v>10</v>
      </c>
      <c r="K69" s="3225" t="str">
        <f t="shared" si="11"/>
        <v>27</v>
      </c>
      <c r="L69" s="3926" t="str">
        <f>_xlfn.XLOOKUP($E69,Tabla3[CURP],Tabla3[ESTATUS ACADÉMICO]," ")</f>
        <v>BAJA TEMPORAL</v>
      </c>
      <c r="M69" s="3223" t="str">
        <f t="shared" si="12"/>
        <v>MD06C/MD06D</v>
      </c>
      <c r="N69" s="2286">
        <v>8.5</v>
      </c>
      <c r="O69" s="2286">
        <v>10</v>
      </c>
      <c r="P69" s="2286">
        <v>10</v>
      </c>
      <c r="Q69" s="3226">
        <v>9</v>
      </c>
      <c r="R69" s="2286">
        <v>8</v>
      </c>
      <c r="S69" s="2286"/>
      <c r="T69" s="2286"/>
      <c r="U69" s="3226"/>
      <c r="V69" s="2286"/>
      <c r="W69" s="2286"/>
      <c r="X69" s="2286"/>
      <c r="Y69" s="3226"/>
      <c r="Z69" s="3224"/>
      <c r="AA69" s="3224"/>
      <c r="AB69" s="3224"/>
      <c r="AC69" s="3224"/>
      <c r="AD69" s="3224"/>
      <c r="AE69" s="3224"/>
      <c r="AF69" s="3224"/>
      <c r="AG69" s="3224"/>
      <c r="AH69" s="3224"/>
      <c r="AI69" s="3224"/>
    </row>
    <row r="70" spans="1:39" s="2277" customFormat="1" ht="15.75">
      <c r="A70" s="3224"/>
      <c r="B70" s="3810">
        <v>2</v>
      </c>
      <c r="C70" s="3822">
        <f>_xlfn.XLOOKUP($E70,Tabla3[CURP],Tabla3[FECHA DE INICIO (PRIMERA CLASE CALENDARIO)]," ")</f>
        <v>45366</v>
      </c>
      <c r="D70" s="3815">
        <f>_xlfn.XLOOKUP($E70, Tabla3[CURP], Tabla3[No.])</f>
        <v>686</v>
      </c>
      <c r="E70" s="3811" t="s">
        <v>3817</v>
      </c>
      <c r="F70" s="3810" t="str">
        <f>_xlfn.XLOOKUP($E70, Tabla3[CURP], Tabla3[Matrícula Of. SEQ])</f>
        <v>64MD07B-02</v>
      </c>
      <c r="G70" s="3810" t="str">
        <f>IFERROR(VLOOKUP(D70,Tabla3[],5,FALSE),"")</f>
        <v>GOMEZ GARCIA DANIEL ALEJANDRO</v>
      </c>
      <c r="H70" s="3225" t="str">
        <f t="shared" si="8"/>
        <v>H</v>
      </c>
      <c r="I70" s="3225" t="str">
        <f t="shared" si="9"/>
        <v>92</v>
      </c>
      <c r="J70" s="3225" t="str">
        <f t="shared" si="10"/>
        <v>07</v>
      </c>
      <c r="K70" s="3225" t="str">
        <f t="shared" si="11"/>
        <v>01</v>
      </c>
      <c r="L70" s="3926" t="str">
        <f>_xlfn.XLOOKUP($E70,Tabla3[CURP],Tabla3[ESTATUS ACADÉMICO]," ")</f>
        <v>BAJA DEFINITIVA</v>
      </c>
      <c r="M70" s="3223" t="str">
        <f t="shared" si="12"/>
        <v>MD06C/MD06D</v>
      </c>
      <c r="N70" s="2286" t="s">
        <v>135</v>
      </c>
      <c r="O70" s="2286" t="s">
        <v>135</v>
      </c>
      <c r="P70" s="2286">
        <v>10</v>
      </c>
      <c r="Q70" s="3226">
        <v>9</v>
      </c>
      <c r="R70" s="2286">
        <v>8</v>
      </c>
      <c r="S70" s="2286"/>
      <c r="T70" s="2286"/>
      <c r="U70" s="3226"/>
      <c r="V70" s="2286"/>
      <c r="W70" s="2286"/>
      <c r="X70" s="2286"/>
      <c r="Y70" s="3226"/>
      <c r="Z70" s="3224"/>
      <c r="AA70" s="3224"/>
      <c r="AB70" s="3224"/>
      <c r="AC70" s="3224"/>
      <c r="AD70" s="3224"/>
      <c r="AE70" s="3224"/>
      <c r="AF70" s="3224"/>
      <c r="AG70" s="3224"/>
      <c r="AH70" s="3224"/>
      <c r="AI70" s="3224"/>
    </row>
    <row r="71" spans="1:39" s="2277" customFormat="1" ht="15.75">
      <c r="A71" s="1432"/>
      <c r="B71" s="3807">
        <v>11</v>
      </c>
      <c r="C71" s="3820">
        <f>_xlfn.XLOOKUP($E71,Tabla3[CURP],Tabla3[FECHA DE INICIO (PRIMERA CLASE CALENDARIO)]," ")</f>
        <v>44737</v>
      </c>
      <c r="D71" s="3821">
        <f>_xlfn.XLOOKUP($E71, Tabla3[CURP], Tabla3[No.])</f>
        <v>413</v>
      </c>
      <c r="E71" s="3808" t="s">
        <v>2746</v>
      </c>
      <c r="F71" s="3807" t="str">
        <f>_xlfn.XLOOKUP($E71, Tabla3[CURP], Tabla3[Matrícula Of. SEQ])</f>
        <v>64LD05A-01</v>
      </c>
      <c r="G71" s="3807" t="str">
        <f>IFERROR(VLOOKUP(D71,Tabla3[],5,FALSE),"")</f>
        <v>UUH CHI CESAR</v>
      </c>
      <c r="H71" s="3804" t="str">
        <f t="shared" si="8"/>
        <v>H</v>
      </c>
      <c r="I71" s="3804" t="str">
        <f t="shared" si="9"/>
        <v>78</v>
      </c>
      <c r="J71" s="3804" t="str">
        <f t="shared" si="10"/>
        <v>04</v>
      </c>
      <c r="K71" s="3804" t="str">
        <f t="shared" si="11"/>
        <v>08</v>
      </c>
      <c r="L71" s="3925" t="str">
        <f>_xlfn.XLOOKUP($E71,Tabla3[CURP],Tabla3[ESTATUS ACADÉMICO]," ")</f>
        <v>EGRESADO</v>
      </c>
      <c r="M71" s="3198" t="str">
        <f t="shared" si="12"/>
        <v>MD06C/MD06D</v>
      </c>
      <c r="N71" s="2773">
        <v>8</v>
      </c>
      <c r="O71" s="2773">
        <v>8</v>
      </c>
      <c r="P71" s="1306">
        <v>10</v>
      </c>
      <c r="Q71" s="3805">
        <v>9</v>
      </c>
      <c r="R71" s="3340">
        <v>8</v>
      </c>
      <c r="S71" s="1306"/>
      <c r="T71" s="1306"/>
      <c r="U71" s="1306"/>
      <c r="V71" s="1306"/>
      <c r="W71" s="1306"/>
      <c r="X71" s="1306"/>
      <c r="Y71" s="1306"/>
      <c r="Z71" s="1306"/>
      <c r="AA71" s="1306"/>
      <c r="AB71" s="1306"/>
      <c r="AC71" s="1306"/>
      <c r="AD71" s="1306"/>
      <c r="AE71" s="1306"/>
      <c r="AF71" s="1306"/>
      <c r="AG71" s="1306"/>
      <c r="AH71" s="1306"/>
      <c r="AI71" s="1306"/>
    </row>
    <row r="72" spans="1:39" s="2277" customFormat="1" ht="15.75">
      <c r="A72" s="1379"/>
      <c r="B72" s="3810">
        <v>11</v>
      </c>
      <c r="C72" s="3822">
        <f>_xlfn.XLOOKUP($E72,Tabla3[CURP],Tabla3[FECHA DE INICIO (PRIMERA CLASE CALENDARIO)]," ")</f>
        <v>45310</v>
      </c>
      <c r="D72" s="3815">
        <f>_xlfn.XLOOKUP($E72, Tabla3[CURP], Tabla3[No.])</f>
        <v>656</v>
      </c>
      <c r="E72" s="3814" t="s">
        <v>3442</v>
      </c>
      <c r="F72" s="3810" t="str">
        <f>_xlfn.XLOOKUP($E72, Tabla3[CURP], Tabla3[Matrícula Of. SEQ])</f>
        <v>64MD07A-02</v>
      </c>
      <c r="G72" s="3810" t="str">
        <f>IFERROR(VLOOKUP(D72,Tabla3[],5,FALSE),"")</f>
        <v>GARCIA CARRILLO CARLA IRENE</v>
      </c>
      <c r="H72" s="3225" t="str">
        <f t="shared" si="8"/>
        <v>M</v>
      </c>
      <c r="I72" s="3225" t="str">
        <f t="shared" si="9"/>
        <v>79</v>
      </c>
      <c r="J72" s="3225" t="str">
        <f t="shared" si="10"/>
        <v>10</v>
      </c>
      <c r="K72" s="3225" t="str">
        <f t="shared" si="11"/>
        <v>27</v>
      </c>
      <c r="L72" s="3926" t="str">
        <f>_xlfn.XLOOKUP($E72,Tabla3[CURP],Tabla3[ESTATUS ACADÉMICO]," ")</f>
        <v>BAJA TEMPORAL</v>
      </c>
      <c r="M72" s="3229" t="str">
        <f t="shared" si="12"/>
        <v>MD06C/MD06D</v>
      </c>
      <c r="N72" s="2788">
        <v>8</v>
      </c>
      <c r="O72" s="2788">
        <v>8</v>
      </c>
      <c r="P72" s="3224">
        <v>10</v>
      </c>
      <c r="Q72" s="3226">
        <v>9</v>
      </c>
      <c r="R72" s="2286">
        <v>8</v>
      </c>
      <c r="S72" s="3224"/>
      <c r="T72" s="3224"/>
      <c r="U72" s="3224"/>
      <c r="V72" s="3224"/>
      <c r="W72" s="3224"/>
      <c r="X72" s="3224"/>
      <c r="Y72" s="3224"/>
      <c r="Z72" s="3224"/>
      <c r="AA72" s="3224"/>
      <c r="AB72" s="3224"/>
      <c r="AC72" s="3224"/>
      <c r="AD72" s="3224"/>
      <c r="AE72" s="3224"/>
      <c r="AF72" s="3224"/>
      <c r="AG72" s="3224"/>
      <c r="AH72" s="3224"/>
      <c r="AI72" s="3224"/>
    </row>
    <row r="73" spans="1:39" s="2277" customFormat="1" ht="15.75">
      <c r="A73" s="1379"/>
      <c r="B73" s="3810">
        <v>13</v>
      </c>
      <c r="C73" s="3822">
        <f>_xlfn.XLOOKUP($E73,Tabla3[CURP],Tabla3[FECHA DE INICIO (PRIMERA CLASE CALENDARIO)]," ")</f>
        <v>45520</v>
      </c>
      <c r="D73" s="3815">
        <v>759</v>
      </c>
      <c r="E73" s="3823" t="s">
        <v>4176</v>
      </c>
      <c r="F73" s="3810" t="str">
        <f>_xlfn.XLOOKUP($E73, Tabla3[CURP], Tabla3[Matrícula Of. SEQ])</f>
        <v>espera</v>
      </c>
      <c r="G73" s="3813" t="s">
        <v>4306</v>
      </c>
      <c r="H73" s="2963" t="str">
        <f>MID($E73,11,1)</f>
        <v>M</v>
      </c>
      <c r="I73" s="2963" t="str">
        <f>MID(E73,5,2)</f>
        <v>97</v>
      </c>
      <c r="J73" s="2963" t="str">
        <f>MID(E73,7,2)</f>
        <v>02</v>
      </c>
      <c r="K73" s="2963" t="str">
        <f>MID(E73,9,2)</f>
        <v>03</v>
      </c>
      <c r="L73" s="3927" t="str">
        <f>_xlfn.XLOOKUP($E73,Tabla3[CURP],Tabla3[ESTATUS ACADÉMICO]," ")</f>
        <v>BAJA TEMPORAL</v>
      </c>
      <c r="M73" s="3229" t="str">
        <f>IF(E73&lt;&gt;"", $A$60,"")</f>
        <v>MD06C/MD06D</v>
      </c>
      <c r="N73" s="2964" t="s">
        <v>135</v>
      </c>
      <c r="O73" s="2964" t="s">
        <v>135</v>
      </c>
      <c r="P73" s="2964" t="s">
        <v>135</v>
      </c>
      <c r="Q73" s="2964" t="s">
        <v>135</v>
      </c>
      <c r="R73" s="2964" t="s">
        <v>135</v>
      </c>
      <c r="S73" s="2964" t="s">
        <v>135</v>
      </c>
      <c r="T73" s="2964" t="s">
        <v>135</v>
      </c>
      <c r="U73" s="2965">
        <v>10</v>
      </c>
      <c r="V73" s="2966">
        <v>10</v>
      </c>
      <c r="W73" s="2964" t="s">
        <v>135</v>
      </c>
      <c r="X73" s="2964" t="s">
        <v>135</v>
      </c>
      <c r="Y73" s="3228"/>
      <c r="Z73" s="3228"/>
      <c r="AA73" s="3228" t="s">
        <v>4435</v>
      </c>
      <c r="AB73" s="3228"/>
      <c r="AC73" s="3228"/>
      <c r="AD73" s="3228"/>
      <c r="AE73" s="2967"/>
      <c r="AF73" s="2967"/>
      <c r="AG73" s="2967"/>
      <c r="AH73" s="2967"/>
      <c r="AI73" s="2967"/>
    </row>
    <row r="74" spans="1:39" s="2277" customFormat="1">
      <c r="A74" s="1350"/>
      <c r="B74" s="3814">
        <v>14</v>
      </c>
      <c r="C74" s="3822">
        <f>_xlfn.XLOOKUP($E74,Tabla3[CURP],Tabla3[FECHA DE INICIO (PRIMERA CLASE CALENDARIO)]," ")</f>
        <v>45723</v>
      </c>
      <c r="D74" s="3815">
        <v>830</v>
      </c>
      <c r="E74" s="3816" t="str">
        <f>_xlfn.XLOOKUP($D74,  Tabla3[No.],  Tabla3[CURP], " ")</f>
        <v>MAPG860627HOCRPN03</v>
      </c>
      <c r="F74" s="3816" t="str">
        <f>_xlfn.XLOOKUP($D74,  Tabla3[No.],  Tabla3[Matrícula Of. SEQ], " ")</f>
        <v>BAJA</v>
      </c>
      <c r="G74" s="3816" t="str">
        <f>IFERROR(VLOOKUP(D74,Tabla3[],5,FALSE),"")</f>
        <v>MARTINEZ POPOCA GONZALO MARCELO</v>
      </c>
      <c r="H74" s="3222" t="str">
        <f>MID($E74,11,1)</f>
        <v>H</v>
      </c>
      <c r="I74" s="3222" t="str">
        <f>MID(E74,5,2)</f>
        <v>86</v>
      </c>
      <c r="J74" s="3222" t="str">
        <f>MID(E74,7,2)</f>
        <v>06</v>
      </c>
      <c r="K74" s="3222" t="str">
        <f>MID(E74,9,2)</f>
        <v>27</v>
      </c>
      <c r="L74" s="3926" t="str">
        <f>_xlfn.XLOOKUP($E74,Tabla3[CURP],Tabla3[ESTATUS ACADÉMICO]," ")</f>
        <v>BAJA TEMPORAL</v>
      </c>
      <c r="M74" s="3223" t="str">
        <f>IF(E74&lt;&gt;"", $A$60,"")</f>
        <v>MD06C/MD06D</v>
      </c>
      <c r="N74" s="3224" t="s">
        <v>135</v>
      </c>
      <c r="O74" s="3224" t="s">
        <v>135</v>
      </c>
      <c r="P74" s="3224" t="s">
        <v>135</v>
      </c>
      <c r="Q74" s="3224" t="s">
        <v>135</v>
      </c>
      <c r="R74" s="3224" t="s">
        <v>135</v>
      </c>
      <c r="S74" s="3224" t="s">
        <v>135</v>
      </c>
      <c r="T74" s="3224" t="s">
        <v>135</v>
      </c>
      <c r="U74" s="3224"/>
      <c r="V74" s="3224"/>
      <c r="W74" s="3224"/>
      <c r="X74" s="3224"/>
      <c r="Y74" s="3224"/>
      <c r="Z74" s="3224"/>
      <c r="AA74" s="3224"/>
      <c r="AB74" s="3224">
        <v>0</v>
      </c>
      <c r="AC74" s="3224"/>
      <c r="AD74" s="3224"/>
      <c r="AE74" s="3224"/>
      <c r="AF74" s="3224"/>
      <c r="AG74" s="3224"/>
      <c r="AH74" s="3224"/>
      <c r="AI74" s="3224"/>
    </row>
    <row r="75" spans="1:39" s="2277" customFormat="1">
      <c r="A75" s="1350"/>
      <c r="B75" s="3812">
        <v>15</v>
      </c>
      <c r="C75" s="3819">
        <v>45839</v>
      </c>
      <c r="D75" s="3817">
        <v>865</v>
      </c>
      <c r="E75" s="3818" t="str">
        <f>_xlfn.XLOOKUP($D75,  Tabla3[No.],  Tabla3[CURP], " ")</f>
        <v>RORD541007HSPCYV00</v>
      </c>
      <c r="F75" s="3818" t="str">
        <f>_xlfn.XLOOKUP($D75,  Tabla3[No.],  Tabla3[Matrícula Of. SEQ], " ")</f>
        <v>64LD06C-02</v>
      </c>
      <c r="G75" s="3818" t="str">
        <f>IFERROR(VLOOKUP(D75,Tabla3[],5,FALSE),"")</f>
        <v>ROCHA REYES DAVID</v>
      </c>
      <c r="H75" s="2979" t="str">
        <f>MID($E75,11,1)</f>
        <v>H</v>
      </c>
      <c r="I75" s="2979" t="str">
        <f>MID(E75,5,2)</f>
        <v>54</v>
      </c>
      <c r="J75" s="2979" t="str">
        <f>MID(E75,7,2)</f>
        <v>10</v>
      </c>
      <c r="K75" s="2979" t="str">
        <f>MID(E75,9,2)</f>
        <v>07</v>
      </c>
      <c r="L75" s="3924" t="str">
        <f>_xlfn.XLOOKUP($E75,Tabla3[CURP],Tabla3[ESTATUS ACADÉMICO]," ")</f>
        <v>VIGENTE</v>
      </c>
      <c r="M75" s="2240" t="str">
        <f>IF(E75&lt;&gt;"", $A$60,"")</f>
        <v>MD06C/MD06D</v>
      </c>
      <c r="N75" s="1379" t="s">
        <v>135</v>
      </c>
      <c r="O75" s="1379" t="s">
        <v>135</v>
      </c>
      <c r="P75" s="1379" t="s">
        <v>135</v>
      </c>
      <c r="Q75" s="1379" t="s">
        <v>135</v>
      </c>
      <c r="R75" s="1379" t="s">
        <v>135</v>
      </c>
      <c r="S75" s="1379" t="s">
        <v>135</v>
      </c>
      <c r="T75" s="1379" t="s">
        <v>135</v>
      </c>
      <c r="U75" s="1379"/>
      <c r="V75" s="1379"/>
      <c r="W75" s="1379" t="s">
        <v>135</v>
      </c>
      <c r="X75" s="1379" t="s">
        <v>135</v>
      </c>
      <c r="Y75" s="1379" t="s">
        <v>135</v>
      </c>
      <c r="Z75" s="1379"/>
      <c r="AA75" s="1379" t="s">
        <v>135</v>
      </c>
      <c r="AB75" s="1379" t="s">
        <v>135</v>
      </c>
      <c r="AC75" s="1379" t="s">
        <v>135</v>
      </c>
      <c r="AD75" s="1379"/>
      <c r="AE75" s="1379" t="s">
        <v>135</v>
      </c>
      <c r="AF75" s="1379"/>
      <c r="AG75" s="1379"/>
      <c r="AH75" s="1379"/>
      <c r="AI75" s="1379"/>
    </row>
    <row r="76" spans="1:39"/>
    <row r="77" spans="1:39">
      <c r="C77" s="2"/>
      <c r="D77" s="2"/>
    </row>
    <row r="78" spans="1:39">
      <c r="C78" s="2"/>
      <c r="D78" s="2"/>
      <c r="E78" s="701"/>
      <c r="G78" s="643"/>
      <c r="H78" s="701"/>
    </row>
    <row r="79" spans="1:39" ht="15.75" thickBot="1">
      <c r="C79" s="2"/>
      <c r="D79" s="2"/>
      <c r="E79" s="701"/>
      <c r="G79" s="643"/>
      <c r="H79" s="701"/>
    </row>
    <row r="80" spans="1:39" ht="16.5" thickBot="1">
      <c r="A80" s="2408"/>
      <c r="B80" s="4229" t="s">
        <v>5</v>
      </c>
      <c r="C80" s="2409"/>
      <c r="D80" s="2410"/>
      <c r="E80" s="4173" t="s">
        <v>6</v>
      </c>
      <c r="F80" s="4173" t="s">
        <v>7</v>
      </c>
      <c r="G80" s="4294" t="s">
        <v>8</v>
      </c>
      <c r="H80" s="4170" t="s">
        <v>9</v>
      </c>
      <c r="I80" s="4168" t="s">
        <v>10</v>
      </c>
      <c r="J80" s="4224"/>
      <c r="K80" s="4224"/>
      <c r="L80" s="4164"/>
      <c r="M80" s="2411"/>
      <c r="N80" s="2412">
        <v>45200</v>
      </c>
      <c r="O80" s="2412">
        <v>45231</v>
      </c>
      <c r="P80" s="2412">
        <v>45261</v>
      </c>
      <c r="Q80" s="2412">
        <v>45292</v>
      </c>
      <c r="R80" s="2412">
        <v>45323</v>
      </c>
      <c r="S80" s="2412">
        <v>45352</v>
      </c>
      <c r="T80" s="2412">
        <v>45383</v>
      </c>
      <c r="U80" s="2412">
        <v>45413</v>
      </c>
      <c r="V80" s="2412"/>
      <c r="W80" s="2412"/>
      <c r="X80" s="2412"/>
      <c r="Y80" s="2412">
        <v>45444</v>
      </c>
      <c r="Z80" s="2412">
        <v>45474</v>
      </c>
      <c r="AA80" s="2412">
        <v>45505</v>
      </c>
      <c r="AB80" s="2412">
        <v>45536</v>
      </c>
      <c r="AC80" s="2412">
        <v>45566</v>
      </c>
      <c r="AD80" s="2413"/>
      <c r="AE80" s="2412">
        <v>45597</v>
      </c>
      <c r="AF80" s="2412">
        <v>45627</v>
      </c>
      <c r="AG80" s="2412">
        <v>45658</v>
      </c>
      <c r="AH80" s="2412">
        <v>45689</v>
      </c>
      <c r="AI80" s="2412">
        <v>45717</v>
      </c>
      <c r="AJ80" s="2412">
        <v>45748</v>
      </c>
      <c r="AK80" s="2412">
        <v>45778</v>
      </c>
      <c r="AL80" s="907">
        <v>45809</v>
      </c>
      <c r="AM80" s="907">
        <v>45839</v>
      </c>
    </row>
    <row r="81" spans="1:39" ht="105.75" thickBot="1">
      <c r="A81" s="2408"/>
      <c r="B81" s="4288"/>
      <c r="C81" s="2409" t="s">
        <v>1843</v>
      </c>
      <c r="D81" s="2414"/>
      <c r="E81" s="4230"/>
      <c r="F81" s="4230"/>
      <c r="G81" s="4295"/>
      <c r="H81" s="4171"/>
      <c r="I81" s="4224"/>
      <c r="J81" s="4225"/>
      <c r="K81" s="4224"/>
      <c r="L81" s="4165"/>
      <c r="M81" s="2416" t="s">
        <v>1149</v>
      </c>
      <c r="N81" s="2417" t="s">
        <v>3658</v>
      </c>
      <c r="O81" s="2417" t="s">
        <v>3658</v>
      </c>
      <c r="P81" s="2417" t="s">
        <v>3658</v>
      </c>
      <c r="Q81" s="2417" t="s">
        <v>4305</v>
      </c>
      <c r="R81" s="2417" t="s">
        <v>4305</v>
      </c>
      <c r="S81" s="2417" t="s">
        <v>4305</v>
      </c>
      <c r="T81" s="2417" t="s">
        <v>4305</v>
      </c>
      <c r="U81" s="2417" t="s">
        <v>4305</v>
      </c>
      <c r="V81" s="2417"/>
      <c r="W81" s="2417"/>
      <c r="X81" s="2417"/>
      <c r="Y81" s="2417" t="s">
        <v>4305</v>
      </c>
      <c r="Z81" s="2417" t="s">
        <v>4305</v>
      </c>
      <c r="AA81" s="2417" t="s">
        <v>4305</v>
      </c>
      <c r="AB81" s="2417" t="s">
        <v>4305</v>
      </c>
      <c r="AC81" s="2417" t="s">
        <v>4305</v>
      </c>
      <c r="AD81" s="2417" t="s">
        <v>4305</v>
      </c>
      <c r="AE81" s="2417" t="s">
        <v>4305</v>
      </c>
      <c r="AF81" s="2417" t="s">
        <v>4305</v>
      </c>
      <c r="AG81" s="2417" t="s">
        <v>4305</v>
      </c>
      <c r="AH81" s="2417" t="s">
        <v>4305</v>
      </c>
      <c r="AI81" s="2417" t="s">
        <v>4305</v>
      </c>
      <c r="AJ81" s="2417" t="s">
        <v>4305</v>
      </c>
      <c r="AK81" s="2418"/>
      <c r="AL81" s="3122" t="s">
        <v>5375</v>
      </c>
      <c r="AM81" s="744"/>
    </row>
    <row r="82" spans="1:39" ht="26.25" customHeight="1" thickBot="1">
      <c r="A82" s="2419" t="s">
        <v>27</v>
      </c>
      <c r="B82" s="4288"/>
      <c r="C82" s="2420"/>
      <c r="D82" s="1669"/>
      <c r="E82" s="4230"/>
      <c r="F82" s="4230"/>
      <c r="G82" s="4296"/>
      <c r="H82" s="4171"/>
      <c r="I82" s="4224"/>
      <c r="J82" s="4224"/>
      <c r="K82" s="4224"/>
      <c r="L82" s="2280"/>
      <c r="M82" s="2416" t="s">
        <v>1728</v>
      </c>
      <c r="N82" s="2421" t="s">
        <v>576</v>
      </c>
      <c r="O82" s="2421" t="s">
        <v>578</v>
      </c>
      <c r="P82" s="2421" t="s">
        <v>579</v>
      </c>
      <c r="Q82" s="2421" t="s">
        <v>579</v>
      </c>
      <c r="R82" s="2421" t="s">
        <v>577</v>
      </c>
      <c r="S82" s="2421" t="s">
        <v>577</v>
      </c>
      <c r="T82" s="2421" t="s">
        <v>565</v>
      </c>
      <c r="U82" s="2421" t="s">
        <v>576</v>
      </c>
      <c r="V82" s="2421"/>
      <c r="W82" s="2421"/>
      <c r="X82" s="2421"/>
      <c r="Y82" s="2421" t="s">
        <v>576</v>
      </c>
      <c r="Z82" s="2421" t="s">
        <v>573</v>
      </c>
      <c r="AA82" s="2421" t="s">
        <v>4347</v>
      </c>
      <c r="AB82" s="2421" t="s">
        <v>571</v>
      </c>
      <c r="AC82" s="2421" t="s">
        <v>4859</v>
      </c>
      <c r="AD82" s="2421"/>
      <c r="AE82" s="2421" t="s">
        <v>4859</v>
      </c>
      <c r="AF82" s="2421" t="s">
        <v>4859</v>
      </c>
      <c r="AG82" s="2421" t="s">
        <v>4859</v>
      </c>
      <c r="AH82" s="2421" t="s">
        <v>4860</v>
      </c>
      <c r="AI82" s="2421" t="s">
        <v>4861</v>
      </c>
      <c r="AJ82" s="2421" t="s">
        <v>566</v>
      </c>
      <c r="AK82" s="2421" t="s">
        <v>575</v>
      </c>
      <c r="AL82" s="744"/>
      <c r="AM82" s="744"/>
    </row>
    <row r="83" spans="1:39" ht="105.75" thickBot="1">
      <c r="A83" s="2409" t="s">
        <v>3461</v>
      </c>
      <c r="B83" s="4288"/>
      <c r="C83" s="1309" t="s">
        <v>3668</v>
      </c>
      <c r="D83" s="1669"/>
      <c r="E83" s="4230"/>
      <c r="F83" s="4230"/>
      <c r="G83" s="2735" t="s">
        <v>78</v>
      </c>
      <c r="H83" s="4171"/>
      <c r="I83" s="2451" t="s">
        <v>79</v>
      </c>
      <c r="J83" s="2451" t="s">
        <v>80</v>
      </c>
      <c r="K83" s="2451" t="s">
        <v>81</v>
      </c>
      <c r="L83" s="3956" t="s">
        <v>1759</v>
      </c>
      <c r="M83" s="3611" t="s">
        <v>27</v>
      </c>
      <c r="N83" s="2423" t="s">
        <v>3669</v>
      </c>
      <c r="O83" s="2423" t="s">
        <v>102</v>
      </c>
      <c r="P83" s="2424" t="s">
        <v>3670</v>
      </c>
      <c r="Q83" s="2425" t="s">
        <v>3671</v>
      </c>
      <c r="R83" s="2425" t="s">
        <v>3659</v>
      </c>
      <c r="S83" s="2425" t="s">
        <v>3660</v>
      </c>
      <c r="T83" s="2426" t="s">
        <v>3661</v>
      </c>
      <c r="U83" s="2427" t="s">
        <v>4379</v>
      </c>
      <c r="V83" s="2427"/>
      <c r="W83" s="2427"/>
      <c r="X83" s="2427"/>
      <c r="Y83" s="2427" t="s">
        <v>4378</v>
      </c>
      <c r="Z83" s="2427" t="s">
        <v>288</v>
      </c>
      <c r="AA83" s="2427" t="s">
        <v>649</v>
      </c>
      <c r="AB83" s="2428" t="s">
        <v>650</v>
      </c>
      <c r="AC83" s="2428" t="s">
        <v>92</v>
      </c>
      <c r="AD83" s="2429" t="s">
        <v>3663</v>
      </c>
      <c r="AE83" s="2430" t="s">
        <v>3664</v>
      </c>
      <c r="AF83" s="2431" t="s">
        <v>3665</v>
      </c>
      <c r="AG83" s="2431" t="s">
        <v>3539</v>
      </c>
      <c r="AH83" s="2431" t="s">
        <v>610</v>
      </c>
      <c r="AI83" s="2431" t="s">
        <v>3666</v>
      </c>
      <c r="AJ83" s="2432" t="s">
        <v>3667</v>
      </c>
      <c r="AK83" s="2432" t="s">
        <v>4862</v>
      </c>
      <c r="AL83" s="3612" t="s">
        <v>654</v>
      </c>
      <c r="AM83" s="1296"/>
    </row>
    <row r="84" spans="1:39" ht="15.75">
      <c r="A84" s="463"/>
      <c r="B84" s="3613">
        <v>1</v>
      </c>
      <c r="C84" s="3614">
        <f>_xlfn.XLOOKUP($E84, Tabla3[CURP], Tabla3[FECHA DE INICIO (PRIMERA CLASE CALENDARIO)]," ")</f>
        <v>45219</v>
      </c>
      <c r="D84" s="2404">
        <f>_xlfn.XLOOKUP($F84, Tabla3[Matrícula Of. SEQ], Tabla3[No.])</f>
        <v>596</v>
      </c>
      <c r="E84" s="3615" t="s">
        <v>3273</v>
      </c>
      <c r="F84" s="3616" t="str">
        <f>_xlfn.XLOOKUP($E84, Tabla3[CURP], Tabla3[Matrícula Of. SEQ])</f>
        <v>64MD06E-02</v>
      </c>
      <c r="G84" s="3616" t="str">
        <f>IFERROR(VLOOKUP(D84,Tabla3[],5,FALSE),"")</f>
        <v>RAMIREZ BLANCO CONNY</v>
      </c>
      <c r="H84" s="3616" t="str">
        <f t="shared" ref="H84:H85" si="13">MID($E84,11,1)</f>
        <v>M</v>
      </c>
      <c r="I84" s="3616" t="str">
        <f t="shared" ref="I84:I85" si="14">MID($E84,5,2)</f>
        <v>91</v>
      </c>
      <c r="J84" s="3616" t="str">
        <f t="shared" ref="J84:J85" si="15">MID($E84,7,2)</f>
        <v>02</v>
      </c>
      <c r="K84" s="3616" t="str">
        <f t="shared" ref="K84:K85" si="16">MID($E84,9,2)</f>
        <v>24</v>
      </c>
      <c r="L84" s="3928" t="str">
        <f>_xlfn.XLOOKUP($E84, Tabla3[CURP], Tabla3[ESTATUS ACADÉMICO]," ")</f>
        <v>EGRESADO</v>
      </c>
      <c r="M84" s="3617" t="s">
        <v>3461</v>
      </c>
      <c r="N84" s="3616">
        <v>10</v>
      </c>
      <c r="O84" s="3616">
        <v>9</v>
      </c>
      <c r="P84" s="3616">
        <v>8</v>
      </c>
      <c r="Q84" s="3616">
        <v>8</v>
      </c>
      <c r="R84" s="3616">
        <v>10</v>
      </c>
      <c r="S84" s="3616">
        <v>10</v>
      </c>
      <c r="T84" s="3616">
        <v>10</v>
      </c>
      <c r="U84" s="3616">
        <v>10</v>
      </c>
      <c r="V84" s="3616"/>
      <c r="W84" s="3616"/>
      <c r="X84" s="3616"/>
      <c r="Y84" s="3616">
        <v>10</v>
      </c>
      <c r="Z84" s="3616">
        <v>10</v>
      </c>
      <c r="AA84" s="3618">
        <v>9</v>
      </c>
      <c r="AB84" s="3618">
        <v>9.8000000000000007</v>
      </c>
      <c r="AC84" s="3618">
        <v>9</v>
      </c>
      <c r="AD84" s="3618" t="s">
        <v>135</v>
      </c>
      <c r="AE84" s="3618">
        <v>9.6999999999999993</v>
      </c>
      <c r="AF84" s="3616">
        <v>10</v>
      </c>
      <c r="AG84" s="3618">
        <v>10</v>
      </c>
      <c r="AH84" s="3618">
        <v>10</v>
      </c>
      <c r="AI84" s="3618">
        <v>10</v>
      </c>
      <c r="AJ84" s="3618">
        <v>10</v>
      </c>
      <c r="AK84" s="3619">
        <f>AVERAGE(N84:AJ84)</f>
        <v>9.6052631578947363</v>
      </c>
      <c r="AL84" s="3203"/>
      <c r="AM84" s="3620"/>
    </row>
    <row r="85" spans="1:39" ht="15.75">
      <c r="A85" s="463"/>
      <c r="B85" s="3621">
        <v>2</v>
      </c>
      <c r="C85" s="2405">
        <f>_xlfn.XLOOKUP($E85, Tabla3[CURP], Tabla3[FECHA DE INICIO (PRIMERA CLASE CALENDARIO)]," ")</f>
        <v>45219</v>
      </c>
      <c r="D85" s="2771">
        <f>_xlfn.XLOOKUP($F85, Tabla3[Matrícula Of. SEQ], Tabla3[No.])</f>
        <v>610</v>
      </c>
      <c r="E85" s="2403" t="s">
        <v>3314</v>
      </c>
      <c r="F85" s="1231" t="str">
        <f>_xlfn.XLOOKUP($E85, Tabla3[CURP], Tabla3[Matrícula Of. SEQ])</f>
        <v>64MD06E-01</v>
      </c>
      <c r="G85" s="1231" t="str">
        <f>IFERROR(VLOOKUP(D85,Tabla3[],5,FALSE),"")</f>
        <v>LARIOS CHAVEZ RAMON ADRIAN</v>
      </c>
      <c r="H85" s="1231" t="str">
        <f t="shared" si="13"/>
        <v>H</v>
      </c>
      <c r="I85" s="1231" t="str">
        <f t="shared" si="14"/>
        <v>83</v>
      </c>
      <c r="J85" s="1231" t="str">
        <f t="shared" si="15"/>
        <v>10</v>
      </c>
      <c r="K85" s="1231" t="str">
        <f t="shared" si="16"/>
        <v>29</v>
      </c>
      <c r="L85" s="3929" t="str">
        <f>_xlfn.XLOOKUP($E85, Tabla3[CURP], Tabla3[ESTATUS ACADÉMICO]," ")</f>
        <v>EGRESADO</v>
      </c>
      <c r="M85" s="2457" t="s">
        <v>3461</v>
      </c>
      <c r="N85" s="1231">
        <v>10</v>
      </c>
      <c r="O85" s="1231">
        <v>10</v>
      </c>
      <c r="P85" s="1231">
        <v>10</v>
      </c>
      <c r="Q85" s="1231">
        <v>10</v>
      </c>
      <c r="R85" s="1231">
        <v>10</v>
      </c>
      <c r="S85" s="1231">
        <v>10</v>
      </c>
      <c r="T85" s="1231">
        <v>10</v>
      </c>
      <c r="U85" s="1231">
        <v>10</v>
      </c>
      <c r="V85" s="1231">
        <v>10</v>
      </c>
      <c r="W85" s="1231">
        <v>10</v>
      </c>
      <c r="X85" s="1231">
        <v>10</v>
      </c>
      <c r="Y85" s="1231">
        <v>10</v>
      </c>
      <c r="Z85" s="1231">
        <v>10</v>
      </c>
      <c r="AA85" s="1231">
        <v>10</v>
      </c>
      <c r="AB85" s="1231">
        <v>10</v>
      </c>
      <c r="AC85" s="1231">
        <v>10</v>
      </c>
      <c r="AD85" s="1231">
        <v>10</v>
      </c>
      <c r="AE85" s="1231">
        <v>10</v>
      </c>
      <c r="AF85" s="1231">
        <v>10</v>
      </c>
      <c r="AG85" s="1231">
        <v>10</v>
      </c>
      <c r="AH85" s="1231">
        <v>10</v>
      </c>
      <c r="AI85" s="1231">
        <v>10</v>
      </c>
      <c r="AJ85" s="1231">
        <v>10</v>
      </c>
      <c r="AK85" s="1231">
        <v>10</v>
      </c>
      <c r="AL85" s="744"/>
      <c r="AM85" s="3246"/>
    </row>
    <row r="86" spans="1:39" ht="16.5" thickBot="1">
      <c r="A86" s="2406"/>
      <c r="B86" s="3622">
        <v>6</v>
      </c>
      <c r="C86" s="3623">
        <v>45047</v>
      </c>
      <c r="D86" s="3624">
        <f>_xlfn.XLOOKUP($F86, Tabla3[Matrícula Of. SEQ], Tabla3[No.])</f>
        <v>53</v>
      </c>
      <c r="E86" s="3625" t="s">
        <v>317</v>
      </c>
      <c r="F86" s="3626" t="str">
        <f>_xlfn.XLOOKUP($E86, Tabla3[CURP], Tabla3[Matrícula Of. SEQ])</f>
        <v>64LD03A2-10</v>
      </c>
      <c r="G86" s="3627" t="str">
        <f>IFERROR(VLOOKUP(D86,Tabla3[],5,FALSE),"")</f>
        <v>HUICOCHEA MUÑOZ URI OSMAR</v>
      </c>
      <c r="H86" s="3626" t="str">
        <f>MID($E86,11,1)</f>
        <v>H</v>
      </c>
      <c r="I86" s="3626" t="str">
        <f>MID($E86,5,2)</f>
        <v>98</v>
      </c>
      <c r="J86" s="3626" t="str">
        <f>MID($E86,7,2)</f>
        <v>12</v>
      </c>
      <c r="K86" s="3626" t="str">
        <f>MID($E86,9,2)</f>
        <v>18</v>
      </c>
      <c r="L86" s="3930" t="str">
        <f>_xlfn.XLOOKUP($E86, Tabla3[CURP], Tabla3[ESTATUS ACADÉMICO]," ")</f>
        <v>EGRESADO</v>
      </c>
      <c r="M86" s="3628" t="s">
        <v>3461</v>
      </c>
      <c r="N86" s="3629">
        <v>9</v>
      </c>
      <c r="O86" s="3625">
        <v>5</v>
      </c>
      <c r="P86" s="3626">
        <v>9.9</v>
      </c>
      <c r="Q86" s="3625">
        <v>10</v>
      </c>
      <c r="R86" s="3630"/>
      <c r="S86" s="3625"/>
      <c r="T86" s="3625"/>
      <c r="U86" s="3625">
        <v>0</v>
      </c>
      <c r="V86" s="3625"/>
      <c r="W86" s="3625"/>
      <c r="X86" s="3625"/>
      <c r="Y86" s="3625"/>
      <c r="Z86" s="3625"/>
      <c r="AA86" s="3631"/>
      <c r="AB86" s="3625"/>
      <c r="AC86" s="3625"/>
      <c r="AD86" s="3625"/>
      <c r="AE86" s="3625"/>
      <c r="AF86" s="3630"/>
      <c r="AG86" s="3630"/>
      <c r="AH86" s="3630">
        <v>8.8000000000000007</v>
      </c>
      <c r="AI86" s="3630">
        <v>9.4</v>
      </c>
      <c r="AJ86" s="3630" t="s">
        <v>5140</v>
      </c>
      <c r="AK86" s="3632" t="s">
        <v>5140</v>
      </c>
      <c r="AL86" s="3250">
        <v>10</v>
      </c>
      <c r="AM86" s="3633"/>
    </row>
    <row r="87" spans="1:39" ht="15.75">
      <c r="B87" s="1362"/>
      <c r="C87" s="2287"/>
      <c r="D87" s="1983"/>
      <c r="E87" s="1310"/>
      <c r="F87" s="2288"/>
      <c r="G87" s="2288"/>
      <c r="H87" s="1362"/>
      <c r="I87" s="1362"/>
      <c r="J87" s="1362"/>
      <c r="K87" s="1362"/>
      <c r="L87" s="3931"/>
      <c r="M87" s="2252"/>
      <c r="N87" s="2289"/>
      <c r="O87" s="2290"/>
      <c r="P87" s="1268"/>
      <c r="Q87" s="2290"/>
      <c r="R87" s="2291"/>
      <c r="S87" s="2290"/>
      <c r="T87" s="2290"/>
      <c r="U87" s="2290"/>
      <c r="V87" s="2290"/>
      <c r="W87" s="2290"/>
      <c r="X87" s="2290"/>
      <c r="Y87" s="2290"/>
      <c r="Z87" s="2290"/>
      <c r="AA87" s="2291"/>
      <c r="AB87" s="2290"/>
      <c r="AC87" s="2290"/>
      <c r="AD87" s="2290"/>
      <c r="AE87" s="2290"/>
      <c r="AF87" s="2291"/>
      <c r="AG87" s="2291"/>
      <c r="AH87" s="2291"/>
      <c r="AI87" s="2291"/>
      <c r="AJ87" s="2291"/>
      <c r="AK87" s="700"/>
    </row>
    <row r="88" spans="1:39" ht="15.75">
      <c r="B88" s="1362"/>
      <c r="C88" s="2287"/>
      <c r="D88" s="1983"/>
      <c r="E88" s="1310"/>
      <c r="F88" s="2288"/>
      <c r="G88" s="2288"/>
      <c r="H88" s="1362"/>
      <c r="I88" s="1362"/>
      <c r="J88" s="1362"/>
      <c r="K88" s="1362"/>
      <c r="L88" s="3931"/>
      <c r="M88" s="2252"/>
      <c r="N88" s="2289"/>
      <c r="O88" s="2290"/>
      <c r="P88" s="1268"/>
      <c r="Q88" s="2290"/>
      <c r="R88" s="2291"/>
      <c r="S88" s="2290"/>
      <c r="T88" s="2290"/>
      <c r="U88" s="2290"/>
      <c r="V88" s="2290"/>
      <c r="W88" s="2290"/>
      <c r="X88" s="2290"/>
      <c r="Y88" s="2290"/>
      <c r="Z88" s="2290"/>
      <c r="AA88" s="2291"/>
      <c r="AB88" s="2290"/>
      <c r="AC88" s="2290"/>
      <c r="AD88" s="2290"/>
      <c r="AE88" s="2290"/>
      <c r="AF88" s="2291"/>
      <c r="AG88" s="2291"/>
      <c r="AH88" s="2291"/>
      <c r="AI88" s="2291"/>
      <c r="AJ88" s="2291"/>
      <c r="AK88" s="700"/>
    </row>
    <row r="89" spans="1:39" ht="16.5" thickBot="1">
      <c r="B89" s="3"/>
      <c r="C89" s="2"/>
      <c r="D89" s="2"/>
      <c r="E89" s="187"/>
      <c r="F89" s="188"/>
      <c r="G89" s="187"/>
      <c r="H89" s="206"/>
      <c r="I89" s="2436"/>
      <c r="J89" s="2436"/>
      <c r="K89" s="2436"/>
      <c r="L89" s="3932"/>
      <c r="M89" s="2437">
        <v>44562</v>
      </c>
      <c r="N89" s="206" t="s">
        <v>674</v>
      </c>
      <c r="O89" s="206" t="s">
        <v>445</v>
      </c>
      <c r="P89" s="2406" t="s">
        <v>446</v>
      </c>
      <c r="Q89" s="206" t="s">
        <v>447</v>
      </c>
      <c r="R89" s="206" t="s">
        <v>448</v>
      </c>
      <c r="S89" s="206" t="s">
        <v>449</v>
      </c>
      <c r="T89" s="206" t="s">
        <v>450</v>
      </c>
      <c r="U89" s="206" t="s">
        <v>451</v>
      </c>
      <c r="V89" s="206" t="s">
        <v>4337</v>
      </c>
      <c r="W89" s="206" t="s">
        <v>452</v>
      </c>
      <c r="X89" s="206" t="s">
        <v>453</v>
      </c>
      <c r="Y89" s="206" t="s">
        <v>454</v>
      </c>
      <c r="Z89" s="206" t="s">
        <v>937</v>
      </c>
      <c r="AA89" s="206" t="s">
        <v>674</v>
      </c>
      <c r="AB89" s="206" t="s">
        <v>445</v>
      </c>
      <c r="AC89" s="206" t="s">
        <v>446</v>
      </c>
      <c r="AD89" s="206" t="s">
        <v>447</v>
      </c>
      <c r="AE89" s="206" t="s">
        <v>448</v>
      </c>
      <c r="AF89" s="206" t="s">
        <v>449</v>
      </c>
      <c r="AG89" s="206" t="s">
        <v>450</v>
      </c>
      <c r="AH89" s="206" t="s">
        <v>451</v>
      </c>
      <c r="AI89" s="206" t="s">
        <v>452</v>
      </c>
      <c r="AJ89" s="2406"/>
    </row>
    <row r="90" spans="1:39" ht="16.5" thickBot="1">
      <c r="A90" s="2406"/>
      <c r="B90" s="4228" t="s">
        <v>5</v>
      </c>
      <c r="C90" s="2409" t="s">
        <v>459</v>
      </c>
      <c r="D90" s="2409"/>
      <c r="E90" s="4172" t="s">
        <v>6</v>
      </c>
      <c r="F90" s="4172" t="s">
        <v>7</v>
      </c>
      <c r="G90" s="4176" t="s">
        <v>8</v>
      </c>
      <c r="H90" s="4169" t="s">
        <v>9</v>
      </c>
      <c r="I90" s="4168" t="s">
        <v>10</v>
      </c>
      <c r="J90" s="4168"/>
      <c r="K90" s="4168"/>
      <c r="L90" s="3957"/>
      <c r="M90" s="4215" t="s">
        <v>1149</v>
      </c>
      <c r="N90" s="2439" t="s">
        <v>455</v>
      </c>
      <c r="O90" s="2440" t="s">
        <v>456</v>
      </c>
      <c r="P90" s="2440" t="s">
        <v>457</v>
      </c>
      <c r="Q90" s="2440" t="s">
        <v>458</v>
      </c>
      <c r="R90" s="2440" t="s">
        <v>458</v>
      </c>
      <c r="S90" s="2440"/>
      <c r="T90" s="2440"/>
      <c r="U90" s="2440"/>
      <c r="V90" s="2440"/>
      <c r="W90" s="2440"/>
      <c r="X90" s="2440"/>
      <c r="Y90" s="2440"/>
      <c r="Z90" s="2440"/>
      <c r="AA90" s="2440"/>
      <c r="AB90" s="2440"/>
      <c r="AC90" s="2440"/>
      <c r="AD90" s="2440"/>
      <c r="AE90" s="2440"/>
      <c r="AF90" s="2440"/>
      <c r="AG90" s="2440"/>
      <c r="AH90" s="2440"/>
      <c r="AI90" s="2440"/>
      <c r="AJ90" s="206"/>
    </row>
    <row r="91" spans="1:39" ht="79.5" thickBot="1">
      <c r="A91" s="2433" t="s">
        <v>27</v>
      </c>
      <c r="B91" s="4228"/>
      <c r="C91" s="2409"/>
      <c r="D91" s="2409"/>
      <c r="E91" s="4172"/>
      <c r="F91" s="4172"/>
      <c r="G91" s="4176"/>
      <c r="H91" s="4169"/>
      <c r="I91" s="4168"/>
      <c r="J91" s="4168"/>
      <c r="K91" s="4168"/>
      <c r="L91" s="3957"/>
      <c r="M91" s="4215"/>
      <c r="N91" s="2441" t="s">
        <v>460</v>
      </c>
      <c r="O91" s="2442" t="s">
        <v>461</v>
      </c>
      <c r="P91" s="2442" t="s">
        <v>462</v>
      </c>
      <c r="Q91" s="2443" t="s">
        <v>463</v>
      </c>
      <c r="R91" s="2443" t="s">
        <v>463</v>
      </c>
      <c r="S91" s="2443" t="s">
        <v>4329</v>
      </c>
      <c r="T91" s="4211" t="s">
        <v>4339</v>
      </c>
      <c r="U91" s="2443" t="s">
        <v>4329</v>
      </c>
      <c r="V91" s="2443" t="s">
        <v>4338</v>
      </c>
      <c r="W91" s="2439"/>
      <c r="X91" s="2439"/>
      <c r="Y91" s="2439"/>
      <c r="Z91" s="2439"/>
      <c r="AA91" s="2439"/>
      <c r="AB91" s="2439"/>
      <c r="AC91" s="2439"/>
      <c r="AD91" s="2439"/>
      <c r="AE91" s="2439"/>
      <c r="AF91" s="2439"/>
      <c r="AG91" s="2439"/>
      <c r="AH91" s="2439"/>
      <c r="AI91" s="2439"/>
      <c r="AJ91" s="206"/>
    </row>
    <row r="92" spans="1:39" ht="63.75" thickBot="1">
      <c r="A92" s="2434" t="s">
        <v>459</v>
      </c>
      <c r="B92" s="4228"/>
      <c r="C92" s="2420" t="s">
        <v>464</v>
      </c>
      <c r="D92" s="2420"/>
      <c r="E92" s="4172"/>
      <c r="F92" s="4172"/>
      <c r="G92" s="4176"/>
      <c r="H92" s="4169"/>
      <c r="I92" s="4168"/>
      <c r="J92" s="4168"/>
      <c r="K92" s="4168"/>
      <c r="L92" s="3957"/>
      <c r="M92" s="2420" t="s">
        <v>1728</v>
      </c>
      <c r="N92" s="2444" t="s">
        <v>465</v>
      </c>
      <c r="O92" s="2444" t="s">
        <v>466</v>
      </c>
      <c r="P92" s="2444" t="s">
        <v>467</v>
      </c>
      <c r="Q92" s="2444" t="s">
        <v>468</v>
      </c>
      <c r="R92" s="2445" t="s">
        <v>469</v>
      </c>
      <c r="S92" s="2445" t="s">
        <v>470</v>
      </c>
      <c r="T92" s="4212"/>
      <c r="U92" s="2445" t="s">
        <v>471</v>
      </c>
      <c r="V92" s="2445" t="s">
        <v>4340</v>
      </c>
      <c r="W92" s="2446" t="s">
        <v>4332</v>
      </c>
      <c r="X92" s="2446" t="s">
        <v>4333</v>
      </c>
      <c r="Y92" s="2446" t="s">
        <v>4341</v>
      </c>
      <c r="Z92" s="2446" t="s">
        <v>4342</v>
      </c>
      <c r="AA92" s="2447" t="s">
        <v>4343</v>
      </c>
      <c r="AB92" s="2447" t="s">
        <v>4344</v>
      </c>
      <c r="AC92" s="2447" t="s">
        <v>4345</v>
      </c>
      <c r="AD92" s="2447" t="s">
        <v>4346</v>
      </c>
      <c r="AE92" s="2448" t="s">
        <v>4347</v>
      </c>
      <c r="AF92" s="2448" t="s">
        <v>4348</v>
      </c>
      <c r="AG92" s="2448" t="s">
        <v>4349</v>
      </c>
      <c r="AH92" s="2448" t="s">
        <v>4350</v>
      </c>
      <c r="AI92" s="2449" t="s">
        <v>4351</v>
      </c>
      <c r="AJ92" s="2450" t="s">
        <v>1394</v>
      </c>
    </row>
    <row r="93" spans="1:39" ht="79.5" thickBot="1">
      <c r="A93" s="2406" t="s">
        <v>1639</v>
      </c>
      <c r="B93" s="4229"/>
      <c r="C93" s="1309" t="s">
        <v>263</v>
      </c>
      <c r="D93" s="1309"/>
      <c r="E93" s="4173"/>
      <c r="F93" s="4173"/>
      <c r="G93" s="2435" t="s">
        <v>78</v>
      </c>
      <c r="H93" s="4170"/>
      <c r="I93" s="2451" t="s">
        <v>79</v>
      </c>
      <c r="J93" s="2451" t="s">
        <v>80</v>
      </c>
      <c r="K93" s="2451" t="s">
        <v>81</v>
      </c>
      <c r="L93" s="3956" t="s">
        <v>1759</v>
      </c>
      <c r="M93" s="1309" t="s">
        <v>409</v>
      </c>
      <c r="N93" s="2452" t="s">
        <v>472</v>
      </c>
      <c r="O93" s="2452" t="s">
        <v>473</v>
      </c>
      <c r="P93" s="2452" t="s">
        <v>474</v>
      </c>
      <c r="Q93" s="2452" t="s">
        <v>475</v>
      </c>
      <c r="R93" s="2445" t="s">
        <v>476</v>
      </c>
      <c r="S93" s="2453" t="s">
        <v>4335</v>
      </c>
      <c r="T93" s="4212"/>
      <c r="U93" s="2453" t="s">
        <v>4336</v>
      </c>
      <c r="V93" s="2453" t="s">
        <v>3662</v>
      </c>
      <c r="W93" s="2446" t="s">
        <v>4330</v>
      </c>
      <c r="X93" s="2446" t="s">
        <v>649</v>
      </c>
      <c r="Y93" s="2446" t="s">
        <v>650</v>
      </c>
      <c r="Z93" s="2446" t="s">
        <v>92</v>
      </c>
      <c r="AA93" s="2447" t="s">
        <v>4331</v>
      </c>
      <c r="AB93" s="2447" t="s">
        <v>3664</v>
      </c>
      <c r="AC93" s="2447" t="s">
        <v>3665</v>
      </c>
      <c r="AD93" s="2447" t="s">
        <v>3539</v>
      </c>
      <c r="AE93" s="2448" t="s">
        <v>610</v>
      </c>
      <c r="AF93" s="2448" t="s">
        <v>4334</v>
      </c>
      <c r="AG93" s="2448" t="s">
        <v>4327</v>
      </c>
      <c r="AH93" s="2448" t="s">
        <v>4328</v>
      </c>
      <c r="AI93" s="2449" t="s">
        <v>4328</v>
      </c>
      <c r="AJ93" s="2406"/>
    </row>
    <row r="94" spans="1:39" ht="16.5" thickBot="1">
      <c r="A94" s="2298" t="s">
        <v>1621</v>
      </c>
      <c r="B94" s="2469">
        <v>1</v>
      </c>
      <c r="C94" s="2470">
        <v>44562</v>
      </c>
      <c r="D94" s="2404">
        <f>_xlfn.XLOOKUP($F94, Tabla3[Matrícula Of. SEQ], Tabla3[No.])</f>
        <v>301</v>
      </c>
      <c r="E94" s="2471" t="s">
        <v>478</v>
      </c>
      <c r="F94" s="2263" t="str">
        <f>_xlfn.XLOOKUP($E94, Tabla3[CURP], Tabla3[Matrícula Of. SEQ])</f>
        <v>64MD05B-01</v>
      </c>
      <c r="G94" s="2472" t="str">
        <f>IFERROR(VLOOKUP(D94,Tabla3[],5,FALSE),"")</f>
        <v xml:space="preserve">ARIZMENDI SANDOVAL MAGALY MARISOL </v>
      </c>
      <c r="H94" s="2263" t="str">
        <f t="shared" ref="H94:H100" si="17">(MID(E94,11,1))</f>
        <v>H</v>
      </c>
      <c r="I94" s="2263" t="str">
        <f t="shared" ref="I94:I105" si="18">(MID(E94,5,2))</f>
        <v>76</v>
      </c>
      <c r="J94" s="2263" t="str">
        <f t="shared" ref="J94:J105" si="19">(MID(E94,7,2))</f>
        <v>11</v>
      </c>
      <c r="K94" s="2263" t="str">
        <f t="shared" ref="K94:K105" si="20">(MID(E94,9,2))</f>
        <v>06</v>
      </c>
      <c r="L94" s="1380"/>
      <c r="M94" s="2248" t="s">
        <v>479</v>
      </c>
      <c r="N94" s="2454">
        <v>0</v>
      </c>
      <c r="O94" s="2455">
        <v>9.6999999999999993</v>
      </c>
      <c r="P94" s="2455">
        <v>9</v>
      </c>
      <c r="Q94" s="2455">
        <v>0</v>
      </c>
      <c r="R94" s="2456">
        <v>0</v>
      </c>
      <c r="S94" s="2457" t="s">
        <v>1679</v>
      </c>
      <c r="T94" s="4212"/>
      <c r="U94" s="2457" t="s">
        <v>1679</v>
      </c>
      <c r="V94" s="2457" t="s">
        <v>1679</v>
      </c>
      <c r="W94" s="2457" t="s">
        <v>1679</v>
      </c>
      <c r="X94" s="2457" t="s">
        <v>1679</v>
      </c>
      <c r="Y94" s="2457" t="s">
        <v>1679</v>
      </c>
      <c r="Z94" s="2457"/>
      <c r="AA94" s="2457"/>
      <c r="AB94" s="2457"/>
      <c r="AC94" s="2457"/>
      <c r="AD94" s="2457"/>
      <c r="AE94" s="2457"/>
      <c r="AF94" s="2457"/>
      <c r="AG94" s="2457"/>
      <c r="AH94" s="2457"/>
      <c r="AI94" s="2457"/>
      <c r="AJ94" s="463"/>
    </row>
    <row r="95" spans="1:39" ht="16.5" thickBot="1">
      <c r="A95" s="2298" t="s">
        <v>1621</v>
      </c>
      <c r="B95" s="2469">
        <v>2</v>
      </c>
      <c r="C95" s="2470">
        <v>44638</v>
      </c>
      <c r="D95" s="2404">
        <f>_xlfn.XLOOKUP($F95, Tabla3[Matrícula Of. SEQ], Tabla3[No.])</f>
        <v>360</v>
      </c>
      <c r="E95" s="2471" t="s">
        <v>480</v>
      </c>
      <c r="F95" s="2263" t="str">
        <f>_xlfn.XLOOKUP($E95, Tabla3[CURP], Tabla3[Matrícula Of. SEQ])</f>
        <v>64MD06A-02</v>
      </c>
      <c r="G95" s="2472" t="str">
        <f>IFERROR(VLOOKUP(D95,Tabla3[],5,FALSE),"")</f>
        <v>ALDANA QUIJANO FELIPE DE JESUS</v>
      </c>
      <c r="H95" s="2263" t="str">
        <f t="shared" si="17"/>
        <v>H</v>
      </c>
      <c r="I95" s="2263" t="str">
        <f t="shared" si="18"/>
        <v>80</v>
      </c>
      <c r="J95" s="2263" t="str">
        <f t="shared" si="19"/>
        <v>02</v>
      </c>
      <c r="K95" s="2263" t="str">
        <f t="shared" si="20"/>
        <v>29</v>
      </c>
      <c r="L95" s="1380"/>
      <c r="M95" s="2248" t="s">
        <v>479</v>
      </c>
      <c r="N95" s="2458"/>
      <c r="O95" s="2981"/>
      <c r="P95" s="2459">
        <v>9</v>
      </c>
      <c r="Q95" s="2460">
        <v>0</v>
      </c>
      <c r="R95" s="2461">
        <v>0</v>
      </c>
      <c r="S95" s="2457" t="s">
        <v>1679</v>
      </c>
      <c r="T95" s="4212"/>
      <c r="U95" s="2457" t="s">
        <v>1679</v>
      </c>
      <c r="V95" s="2457" t="s">
        <v>1679</v>
      </c>
      <c r="W95" s="2457" t="s">
        <v>1679</v>
      </c>
      <c r="X95" s="2457" t="s">
        <v>1679</v>
      </c>
      <c r="Y95" s="2457" t="s">
        <v>1679</v>
      </c>
      <c r="Z95" s="2457"/>
      <c r="AA95" s="2457"/>
      <c r="AB95" s="2457"/>
      <c r="AC95" s="2457"/>
      <c r="AD95" s="2457"/>
      <c r="AE95" s="2457"/>
      <c r="AF95" s="2457"/>
      <c r="AG95" s="2457"/>
      <c r="AH95" s="2457"/>
      <c r="AI95" s="2457"/>
      <c r="AJ95" s="463"/>
    </row>
    <row r="96" spans="1:39" ht="16.5" thickBot="1">
      <c r="A96" s="2298" t="s">
        <v>1621</v>
      </c>
      <c r="B96" s="2469">
        <v>3</v>
      </c>
      <c r="C96" s="2470">
        <v>44562</v>
      </c>
      <c r="D96" s="2404">
        <f>_xlfn.XLOOKUP($F96, Tabla3[Matrícula Of. SEQ], Tabla3[No.])</f>
        <v>187</v>
      </c>
      <c r="E96" s="2473" t="s">
        <v>482</v>
      </c>
      <c r="F96" s="2263" t="str">
        <f>_xlfn.XLOOKUP($E96, Tabla3[CURP], Tabla3[Matrícula Of. SEQ])</f>
        <v>64MD06A-03</v>
      </c>
      <c r="G96" s="2472" t="str">
        <f>IFERROR(VLOOKUP(D96,Tabla3[],5,FALSE),"")</f>
        <v xml:space="preserve">LETRAS DIAZ ALMA ITZEL </v>
      </c>
      <c r="H96" s="2263" t="str">
        <f t="shared" si="17"/>
        <v>H</v>
      </c>
      <c r="I96" s="2263" t="str">
        <f t="shared" si="18"/>
        <v>87</v>
      </c>
      <c r="J96" s="2263" t="str">
        <f t="shared" si="19"/>
        <v>02</v>
      </c>
      <c r="K96" s="2263" t="str">
        <f t="shared" si="20"/>
        <v>25</v>
      </c>
      <c r="L96" s="1380"/>
      <c r="M96" s="2248" t="s">
        <v>479</v>
      </c>
      <c r="N96" s="2462">
        <v>10</v>
      </c>
      <c r="O96" s="2982">
        <v>9.6999999999999993</v>
      </c>
      <c r="P96" s="2463">
        <v>9.8000000000000007</v>
      </c>
      <c r="Q96" s="2464">
        <v>3.2</v>
      </c>
      <c r="R96" s="2465">
        <v>3.2</v>
      </c>
      <c r="S96" s="2457" t="s">
        <v>1679</v>
      </c>
      <c r="T96" s="4212"/>
      <c r="U96" s="2457" t="s">
        <v>1679</v>
      </c>
      <c r="V96" s="2457" t="s">
        <v>1679</v>
      </c>
      <c r="W96" s="2457" t="s">
        <v>1679</v>
      </c>
      <c r="X96" s="2457" t="s">
        <v>1679</v>
      </c>
      <c r="Y96" s="2457" t="s">
        <v>1679</v>
      </c>
      <c r="Z96" s="2457"/>
      <c r="AA96" s="2457"/>
      <c r="AB96" s="2457"/>
      <c r="AC96" s="2457"/>
      <c r="AD96" s="2457"/>
      <c r="AE96" s="2457"/>
      <c r="AF96" s="2457"/>
      <c r="AG96" s="2457"/>
      <c r="AH96" s="2457"/>
      <c r="AI96" s="2457"/>
      <c r="AJ96" s="2406"/>
    </row>
    <row r="97" spans="1:36" ht="16.5" thickBot="1">
      <c r="A97" s="2298" t="s">
        <v>1621</v>
      </c>
      <c r="B97" s="2469">
        <v>4</v>
      </c>
      <c r="C97" s="2470">
        <v>44638</v>
      </c>
      <c r="D97" s="2404">
        <f>_xlfn.XLOOKUP($F97, Tabla3[Matrícula Of. SEQ], Tabla3[No.])</f>
        <v>310</v>
      </c>
      <c r="E97" s="2474" t="s">
        <v>484</v>
      </c>
      <c r="F97" s="2263" t="str">
        <f>_xlfn.XLOOKUP($E97, Tabla3[CURP], Tabla3[Matrícula Of. SEQ])</f>
        <v>64MD06A-04</v>
      </c>
      <c r="G97" s="2472" t="str">
        <f>IFERROR(VLOOKUP(D97,Tabla3[],5,FALSE),"")</f>
        <v>MENDOZA CARREÑO VERONICA EDITH</v>
      </c>
      <c r="H97" s="2263" t="str">
        <f t="shared" si="17"/>
        <v>M</v>
      </c>
      <c r="I97" s="2263" t="str">
        <f t="shared" si="18"/>
        <v>79</v>
      </c>
      <c r="J97" s="2263" t="str">
        <f t="shared" si="19"/>
        <v>07</v>
      </c>
      <c r="K97" s="2263" t="str">
        <f t="shared" si="20"/>
        <v>08</v>
      </c>
      <c r="L97" s="1380"/>
      <c r="M97" s="2248" t="s">
        <v>479</v>
      </c>
      <c r="N97" s="2458"/>
      <c r="O97" s="2981"/>
      <c r="P97" s="2463">
        <v>9.8000000000000007</v>
      </c>
      <c r="Q97" s="2464">
        <v>7.8</v>
      </c>
      <c r="R97" s="2465">
        <v>7.8</v>
      </c>
      <c r="S97" s="2457" t="s">
        <v>1679</v>
      </c>
      <c r="T97" s="4212"/>
      <c r="U97" s="2457" t="s">
        <v>1679</v>
      </c>
      <c r="V97" s="2457" t="s">
        <v>1679</v>
      </c>
      <c r="W97" s="2457" t="s">
        <v>1679</v>
      </c>
      <c r="X97" s="2457" t="s">
        <v>1679</v>
      </c>
      <c r="Y97" s="2457" t="s">
        <v>1679</v>
      </c>
      <c r="Z97" s="2457"/>
      <c r="AA97" s="2457"/>
      <c r="AB97" s="2457"/>
      <c r="AC97" s="2457"/>
      <c r="AD97" s="2457"/>
      <c r="AE97" s="2457"/>
      <c r="AF97" s="2457"/>
      <c r="AG97" s="2457"/>
      <c r="AH97" s="2457"/>
      <c r="AI97" s="2457"/>
      <c r="AJ97" s="206"/>
    </row>
    <row r="98" spans="1:36" ht="16.5" thickBot="1">
      <c r="A98" s="2298" t="s">
        <v>1621</v>
      </c>
      <c r="B98" s="2469">
        <v>5</v>
      </c>
      <c r="C98" s="2470">
        <v>44593</v>
      </c>
      <c r="D98" s="2404">
        <f>_xlfn.XLOOKUP($F98, Tabla3[Matrícula Of. SEQ], Tabla3[No.])</f>
        <v>187</v>
      </c>
      <c r="E98" s="2475" t="s">
        <v>486</v>
      </c>
      <c r="F98" s="2263" t="str">
        <f>_xlfn.XLOOKUP($E98, Tabla3[CURP], Tabla3[Matrícula Of. SEQ])</f>
        <v>64MD06A-03</v>
      </c>
      <c r="G98" s="2472" t="str">
        <f>IFERROR(VLOOKUP(D98,Tabla3[],5,FALSE),"")</f>
        <v xml:space="preserve">LETRAS DIAZ ALMA ITZEL </v>
      </c>
      <c r="H98" s="2263" t="str">
        <f t="shared" si="17"/>
        <v>M</v>
      </c>
      <c r="I98" s="2263" t="str">
        <f t="shared" si="18"/>
        <v>95</v>
      </c>
      <c r="J98" s="2263" t="str">
        <f t="shared" si="19"/>
        <v>03</v>
      </c>
      <c r="K98" s="2263" t="str">
        <f t="shared" si="20"/>
        <v>05</v>
      </c>
      <c r="L98" s="1380"/>
      <c r="M98" s="2248" t="s">
        <v>479</v>
      </c>
      <c r="N98" s="2458"/>
      <c r="O98" s="2982">
        <v>9.6</v>
      </c>
      <c r="P98" s="2463">
        <v>9.8000000000000007</v>
      </c>
      <c r="Q98" s="2464">
        <v>8.8000000000000007</v>
      </c>
      <c r="R98" s="2465">
        <v>8.8000000000000007</v>
      </c>
      <c r="S98" s="2457" t="s">
        <v>1679</v>
      </c>
      <c r="T98" s="4212"/>
      <c r="U98" s="2457" t="s">
        <v>1679</v>
      </c>
      <c r="V98" s="2457" t="s">
        <v>1679</v>
      </c>
      <c r="W98" s="2457" t="s">
        <v>1679</v>
      </c>
      <c r="X98" s="2457" t="s">
        <v>1679</v>
      </c>
      <c r="Y98" s="2457" t="s">
        <v>1679</v>
      </c>
      <c r="Z98" s="2457"/>
      <c r="AA98" s="2457"/>
      <c r="AB98" s="2457"/>
      <c r="AC98" s="2457"/>
      <c r="AD98" s="2457"/>
      <c r="AE98" s="2457"/>
      <c r="AF98" s="2457"/>
      <c r="AG98" s="2457"/>
      <c r="AH98" s="2457"/>
      <c r="AI98" s="2457"/>
      <c r="AJ98" s="2406"/>
    </row>
    <row r="99" spans="1:36" ht="16.5" thickBot="1">
      <c r="A99" s="2298" t="s">
        <v>1621</v>
      </c>
      <c r="B99" s="2469">
        <v>6</v>
      </c>
      <c r="C99" s="2470">
        <v>44562</v>
      </c>
      <c r="D99" s="2404">
        <f>_xlfn.XLOOKUP($F99, Tabla3[Matrícula Of. SEQ], Tabla3[No.])</f>
        <v>310</v>
      </c>
      <c r="E99" s="2473" t="s">
        <v>487</v>
      </c>
      <c r="F99" s="2263" t="str">
        <f>_xlfn.XLOOKUP($E99, Tabla3[CURP], Tabla3[Matrícula Of. SEQ])</f>
        <v>64MD06A-04</v>
      </c>
      <c r="G99" s="2472" t="str">
        <f>IFERROR(VLOOKUP(D99,Tabla3[],5,FALSE),"")</f>
        <v>MENDOZA CARREÑO VERONICA EDITH</v>
      </c>
      <c r="H99" s="2263" t="str">
        <f t="shared" si="17"/>
        <v>M</v>
      </c>
      <c r="I99" s="2263" t="str">
        <f t="shared" si="18"/>
        <v>70</v>
      </c>
      <c r="J99" s="2263" t="str">
        <f t="shared" si="19"/>
        <v>04</v>
      </c>
      <c r="K99" s="2263" t="str">
        <f t="shared" si="20"/>
        <v>22</v>
      </c>
      <c r="L99" s="1380"/>
      <c r="M99" s="2248" t="s">
        <v>479</v>
      </c>
      <c r="N99" s="2466">
        <v>10</v>
      </c>
      <c r="O99" s="2983">
        <v>9.6</v>
      </c>
      <c r="P99" s="287">
        <v>9</v>
      </c>
      <c r="Q99" s="2467">
        <v>0</v>
      </c>
      <c r="R99" s="2465">
        <v>0</v>
      </c>
      <c r="S99" s="2457" t="s">
        <v>1679</v>
      </c>
      <c r="T99" s="4212"/>
      <c r="U99" s="2457" t="s">
        <v>1679</v>
      </c>
      <c r="V99" s="2457" t="s">
        <v>1679</v>
      </c>
      <c r="W99" s="2457" t="s">
        <v>1679</v>
      </c>
      <c r="X99" s="2457" t="s">
        <v>1679</v>
      </c>
      <c r="Y99" s="2457" t="s">
        <v>1679</v>
      </c>
      <c r="Z99" s="2457"/>
      <c r="AA99" s="2457"/>
      <c r="AB99" s="2457"/>
      <c r="AC99" s="2457"/>
      <c r="AD99" s="2457"/>
      <c r="AE99" s="2457"/>
      <c r="AF99" s="2457"/>
      <c r="AG99" s="2457"/>
      <c r="AH99" s="2457"/>
      <c r="AI99" s="2457"/>
      <c r="AJ99" s="2406"/>
    </row>
    <row r="100" spans="1:36" ht="16.5" thickBot="1">
      <c r="A100" s="2298" t="s">
        <v>1621</v>
      </c>
      <c r="B100" s="2469">
        <v>7</v>
      </c>
      <c r="C100" s="2470">
        <v>44593</v>
      </c>
      <c r="D100" s="2404">
        <f>_xlfn.XLOOKUP($F100, Tabla3[Matrícula Of. SEQ], Tabla3[No.])</f>
        <v>36</v>
      </c>
      <c r="E100" s="2473" t="s">
        <v>490</v>
      </c>
      <c r="F100" s="2263" t="str">
        <f>_xlfn.XLOOKUP($E100, Tabla3[CURP], Tabla3[Matrícula Of. SEQ])</f>
        <v>64LD03A-14</v>
      </c>
      <c r="G100" s="2472" t="str">
        <f>IFERROR(VLOOKUP(D100,Tabla3[],5,FALSE),"")</f>
        <v xml:space="preserve">MORENO GARCIA ANGELICA JANETT </v>
      </c>
      <c r="H100" s="2263" t="str">
        <f t="shared" si="17"/>
        <v>M</v>
      </c>
      <c r="I100" s="2263" t="str">
        <f t="shared" si="18"/>
        <v>85</v>
      </c>
      <c r="J100" s="2263" t="str">
        <f t="shared" si="19"/>
        <v>12</v>
      </c>
      <c r="K100" s="2263" t="str">
        <f t="shared" si="20"/>
        <v>28</v>
      </c>
      <c r="L100" s="1380"/>
      <c r="M100" s="2248" t="s">
        <v>479</v>
      </c>
      <c r="N100" s="2466">
        <v>10</v>
      </c>
      <c r="O100" s="2984">
        <v>9.6</v>
      </c>
      <c r="P100" s="287">
        <v>9</v>
      </c>
      <c r="Q100" s="2467">
        <v>0</v>
      </c>
      <c r="R100" s="2465">
        <v>0</v>
      </c>
      <c r="S100" s="2457" t="s">
        <v>1679</v>
      </c>
      <c r="T100" s="4212"/>
      <c r="U100" s="2457" t="s">
        <v>1679</v>
      </c>
      <c r="V100" s="2457" t="s">
        <v>1679</v>
      </c>
      <c r="W100" s="2457" t="s">
        <v>1679</v>
      </c>
      <c r="X100" s="2457" t="s">
        <v>1679</v>
      </c>
      <c r="Y100" s="2457" t="s">
        <v>1679</v>
      </c>
      <c r="Z100" s="2457"/>
      <c r="AA100" s="2457"/>
      <c r="AB100" s="2457"/>
      <c r="AC100" s="2457"/>
      <c r="AD100" s="2457"/>
      <c r="AE100" s="2457"/>
      <c r="AF100" s="2457"/>
      <c r="AG100" s="2457"/>
      <c r="AH100" s="2457"/>
      <c r="AI100" s="2457"/>
      <c r="AJ100" s="2406"/>
    </row>
    <row r="101" spans="1:36" ht="18" customHeight="1" thickBot="1">
      <c r="A101" s="2298" t="s">
        <v>1621</v>
      </c>
      <c r="B101" s="2469">
        <v>8</v>
      </c>
      <c r="C101" s="2470">
        <v>44583</v>
      </c>
      <c r="D101" s="2404">
        <f>_xlfn.XLOOKUP($F101, Tabla3[Matrícula Of. SEQ], Tabla3[No.])</f>
        <v>311</v>
      </c>
      <c r="E101" s="2473" t="s">
        <v>491</v>
      </c>
      <c r="F101" s="2263" t="str">
        <f>_xlfn.XLOOKUP($E101, Tabla3[CURP], Tabla3[Matrícula Of. SEQ])</f>
        <v>64MD06A-05</v>
      </c>
      <c r="G101" s="2472" t="str">
        <f>IFERROR(VLOOKUP(D101,Tabla3[],5,FALSE),"")</f>
        <v>ORTIZ OCAMPO XOCHIQUETZAL</v>
      </c>
      <c r="H101" s="2441"/>
      <c r="I101" s="2263" t="str">
        <f t="shared" si="18"/>
        <v>89</v>
      </c>
      <c r="J101" s="2263" t="str">
        <f t="shared" si="19"/>
        <v>07</v>
      </c>
      <c r="K101" s="2263" t="str">
        <f t="shared" si="20"/>
        <v>08</v>
      </c>
      <c r="L101" s="1380"/>
      <c r="M101" s="2248" t="s">
        <v>479</v>
      </c>
      <c r="N101" s="2466">
        <v>10</v>
      </c>
      <c r="O101" s="2983">
        <v>9.6999999999999993</v>
      </c>
      <c r="P101" s="223">
        <v>9</v>
      </c>
      <c r="Q101" s="223">
        <v>10</v>
      </c>
      <c r="R101" s="2468">
        <v>10</v>
      </c>
      <c r="S101" s="2457" t="s">
        <v>1679</v>
      </c>
      <c r="T101" s="4212"/>
      <c r="U101" s="2457" t="s">
        <v>1679</v>
      </c>
      <c r="V101" s="2457" t="s">
        <v>1679</v>
      </c>
      <c r="W101" s="2457" t="s">
        <v>1679</v>
      </c>
      <c r="X101" s="2457" t="s">
        <v>1679</v>
      </c>
      <c r="Y101" s="2457" t="s">
        <v>1679</v>
      </c>
      <c r="Z101" s="2457"/>
      <c r="AA101" s="2457"/>
      <c r="AB101" s="2457"/>
      <c r="AC101" s="2457"/>
      <c r="AD101" s="2457"/>
      <c r="AE101" s="2457"/>
      <c r="AF101" s="2457"/>
      <c r="AG101" s="2457"/>
      <c r="AH101" s="2457"/>
      <c r="AI101" s="2457"/>
      <c r="AJ101" s="206"/>
    </row>
    <row r="102" spans="1:36" ht="16.5" thickBot="1">
      <c r="A102" s="2298" t="s">
        <v>1621</v>
      </c>
      <c r="B102" s="2469">
        <v>9</v>
      </c>
      <c r="C102" s="2470">
        <v>44593</v>
      </c>
      <c r="D102" s="2404">
        <f>_xlfn.XLOOKUP($F102, Tabla3[Matrícula Of. SEQ], Tabla3[No.])</f>
        <v>321</v>
      </c>
      <c r="E102" s="2476" t="s">
        <v>494</v>
      </c>
      <c r="F102" s="2263" t="str">
        <f>_xlfn.XLOOKUP($E102, Tabla3[CURP], Tabla3[Matrícula Of. SEQ])</f>
        <v>64MD06A-10</v>
      </c>
      <c r="G102" s="2472" t="str">
        <f>IFERROR(VLOOKUP(D102,Tabla3[],5,FALSE),"")</f>
        <v>PEREZ ECHEVERRIA ALFONSO ANTONIO</v>
      </c>
      <c r="H102" s="2263" t="str">
        <f>(MID(E102,11,1))</f>
        <v>H</v>
      </c>
      <c r="I102" s="2263" t="str">
        <f t="shared" si="18"/>
        <v>68</v>
      </c>
      <c r="J102" s="2263" t="str">
        <f t="shared" si="19"/>
        <v>06</v>
      </c>
      <c r="K102" s="2263" t="str">
        <f t="shared" si="20"/>
        <v>13</v>
      </c>
      <c r="L102" s="1380"/>
      <c r="M102" s="2248" t="s">
        <v>479</v>
      </c>
      <c r="N102" s="2458"/>
      <c r="O102" s="2984">
        <v>9.4</v>
      </c>
      <c r="P102" s="223">
        <v>9</v>
      </c>
      <c r="Q102" s="223">
        <v>8.6</v>
      </c>
      <c r="R102" s="2468">
        <v>8.6</v>
      </c>
      <c r="S102" s="2248">
        <v>9</v>
      </c>
      <c r="T102" s="4212"/>
      <c r="U102" s="2248">
        <v>9</v>
      </c>
      <c r="V102" s="2248">
        <v>10</v>
      </c>
      <c r="W102" s="2248">
        <v>10</v>
      </c>
      <c r="X102" s="2248">
        <v>9</v>
      </c>
      <c r="Y102" s="2248">
        <v>10</v>
      </c>
      <c r="Z102" s="2248">
        <v>9</v>
      </c>
      <c r="AA102" s="2248">
        <v>9.4</v>
      </c>
      <c r="AB102" s="2248">
        <v>10</v>
      </c>
      <c r="AC102" s="2248">
        <v>10</v>
      </c>
      <c r="AD102" s="2248">
        <v>10</v>
      </c>
      <c r="AE102" s="2248">
        <v>10</v>
      </c>
      <c r="AF102" s="2248">
        <v>10</v>
      </c>
      <c r="AG102" s="2248">
        <v>8.6</v>
      </c>
      <c r="AH102" s="2248">
        <v>10</v>
      </c>
      <c r="AI102" s="2248">
        <v>9</v>
      </c>
      <c r="AJ102" s="206">
        <f>(O102+P102+Q102+R102+S102+U102+V102+W102+X102+Y102+Z102+AA102+AB102+AC102+AD102+AE102+AF102+AG102+AH102+AI102)/20</f>
        <v>9.43</v>
      </c>
    </row>
    <row r="103" spans="1:36" ht="16.5" thickBot="1">
      <c r="A103" s="2298" t="s">
        <v>1621</v>
      </c>
      <c r="B103" s="2469">
        <v>10</v>
      </c>
      <c r="C103" s="2470">
        <v>44593</v>
      </c>
      <c r="D103" s="2404">
        <f>_xlfn.XLOOKUP($F103, Tabla3[Matrícula Of. SEQ], Tabla3[No.])</f>
        <v>161</v>
      </c>
      <c r="E103" s="2473" t="s">
        <v>497</v>
      </c>
      <c r="F103" s="2263" t="str">
        <f>_xlfn.XLOOKUP($E103, Tabla3[CURP], Tabla3[Matrícula Of. SEQ])</f>
        <v>64MD06A-08</v>
      </c>
      <c r="G103" s="2472" t="str">
        <f>IFERROR(VLOOKUP(D103,Tabla3[],5,FALSE),"")</f>
        <v xml:space="preserve">MORENO GARCIA ANGELICA JANETT </v>
      </c>
      <c r="H103" s="2263" t="str">
        <f>(MID(E103,11,1))</f>
        <v>M</v>
      </c>
      <c r="I103" s="2263" t="str">
        <f t="shared" si="18"/>
        <v>91</v>
      </c>
      <c r="J103" s="2263" t="str">
        <f t="shared" si="19"/>
        <v>04</v>
      </c>
      <c r="K103" s="2263" t="str">
        <f t="shared" si="20"/>
        <v>08</v>
      </c>
      <c r="L103" s="1380"/>
      <c r="M103" s="2248" t="s">
        <v>479</v>
      </c>
      <c r="N103" s="2458"/>
      <c r="O103" s="2985">
        <v>9.6999999999999993</v>
      </c>
      <c r="P103" s="223">
        <v>9</v>
      </c>
      <c r="Q103" s="223">
        <v>8.8000000000000007</v>
      </c>
      <c r="R103" s="2468">
        <v>8.8000000000000007</v>
      </c>
      <c r="S103" s="2457" t="s">
        <v>1679</v>
      </c>
      <c r="T103" s="4212"/>
      <c r="U103" s="2457" t="s">
        <v>1679</v>
      </c>
      <c r="V103" s="2457" t="s">
        <v>1679</v>
      </c>
      <c r="W103" s="2457" t="s">
        <v>1679</v>
      </c>
      <c r="X103" s="2457" t="s">
        <v>1679</v>
      </c>
      <c r="Y103" s="2457" t="s">
        <v>1679</v>
      </c>
      <c r="Z103" s="2457"/>
      <c r="AA103" s="2457"/>
      <c r="AB103" s="2457"/>
      <c r="AC103" s="2457"/>
      <c r="AD103" s="2457"/>
      <c r="AE103" s="2457"/>
      <c r="AF103" s="2457"/>
      <c r="AG103" s="2457"/>
      <c r="AH103" s="2457"/>
      <c r="AI103" s="2457"/>
      <c r="AJ103" s="2406"/>
    </row>
    <row r="104" spans="1:36" ht="16.5" thickBot="1">
      <c r="A104" s="2298" t="s">
        <v>1621</v>
      </c>
      <c r="B104" s="2469">
        <v>11</v>
      </c>
      <c r="C104" s="2470">
        <v>44659</v>
      </c>
      <c r="D104" s="2404">
        <f>_xlfn.XLOOKUP($F104, Tabla3[Matrícula Of. SEQ], Tabla3[No.])</f>
        <v>366</v>
      </c>
      <c r="E104" s="2473" t="s">
        <v>500</v>
      </c>
      <c r="F104" s="2263" t="str">
        <f>_xlfn.XLOOKUP($E104, Tabla3[CURP], Tabla3[Matrícula Of. SEQ])</f>
        <v>64MD06A-11</v>
      </c>
      <c r="G104" s="2472" t="str">
        <f>IFERROR(VLOOKUP(D104,Tabla3[],5,FALSE),"")</f>
        <v>RODRIGUEZ VIVEROS OLIVIA</v>
      </c>
      <c r="H104" s="2263" t="str">
        <f>(MID(E104,11,1))</f>
        <v>M</v>
      </c>
      <c r="I104" s="2263" t="str">
        <f t="shared" si="18"/>
        <v>62</v>
      </c>
      <c r="J104" s="2263" t="str">
        <f t="shared" si="19"/>
        <v>02</v>
      </c>
      <c r="K104" s="2263" t="str">
        <f t="shared" si="20"/>
        <v>06</v>
      </c>
      <c r="L104" s="1380"/>
      <c r="M104" s="2248" t="s">
        <v>479</v>
      </c>
      <c r="N104" s="2458"/>
      <c r="O104" s="2981"/>
      <c r="P104" s="327"/>
      <c r="Q104" s="2406">
        <v>9.1</v>
      </c>
      <c r="R104" s="2468">
        <v>9.1</v>
      </c>
      <c r="S104" s="2457" t="s">
        <v>1679</v>
      </c>
      <c r="T104" s="4212"/>
      <c r="U104" s="2457" t="s">
        <v>1679</v>
      </c>
      <c r="V104" s="2457" t="s">
        <v>1679</v>
      </c>
      <c r="W104" s="2457" t="s">
        <v>1679</v>
      </c>
      <c r="X104" s="2457" t="s">
        <v>1679</v>
      </c>
      <c r="Y104" s="2457" t="s">
        <v>1679</v>
      </c>
      <c r="Z104" s="2457"/>
      <c r="AA104" s="2457"/>
      <c r="AB104" s="2457"/>
      <c r="AC104" s="2457"/>
      <c r="AD104" s="2457"/>
      <c r="AE104" s="2457"/>
      <c r="AF104" s="2457"/>
      <c r="AG104" s="2457"/>
      <c r="AH104" s="2457"/>
      <c r="AI104" s="2457"/>
      <c r="AJ104" s="2406"/>
    </row>
    <row r="105" spans="1:36" ht="16.5" thickBot="1">
      <c r="A105" s="2298" t="s">
        <v>1621</v>
      </c>
      <c r="B105" s="2469">
        <v>12</v>
      </c>
      <c r="C105" s="2470">
        <v>44593</v>
      </c>
      <c r="D105" s="2404">
        <f>_xlfn.XLOOKUP($F105, Tabla3[Matrícula Of. SEQ], Tabla3[No.])</f>
        <v>325</v>
      </c>
      <c r="E105" s="2473" t="s">
        <v>503</v>
      </c>
      <c r="F105" s="2263" t="str">
        <f>_xlfn.XLOOKUP($E105, Tabla3[CURP], Tabla3[Matrícula Of. SEQ])</f>
        <v>64MD06A-09</v>
      </c>
      <c r="G105" s="2472" t="str">
        <f>IFERROR(VLOOKUP(D105,Tabla3[],5,FALSE),"")</f>
        <v>SANCHEZ CATZIM GLENDY MARGARITA</v>
      </c>
      <c r="H105" s="2263" t="str">
        <f>(MID(E105,11,1))</f>
        <v>M</v>
      </c>
      <c r="I105" s="2263" t="str">
        <f t="shared" si="18"/>
        <v>95</v>
      </c>
      <c r="J105" s="2263" t="str">
        <f t="shared" si="19"/>
        <v>09</v>
      </c>
      <c r="K105" s="2263" t="str">
        <f t="shared" si="20"/>
        <v>25</v>
      </c>
      <c r="L105" s="1380"/>
      <c r="M105" s="2248" t="s">
        <v>479</v>
      </c>
      <c r="N105" s="2458"/>
      <c r="O105" s="2984">
        <v>9.3000000000000007</v>
      </c>
      <c r="P105" s="287">
        <v>9</v>
      </c>
      <c r="Q105" s="287">
        <v>8.8000000000000007</v>
      </c>
      <c r="R105" s="2465">
        <v>8.8000000000000007</v>
      </c>
      <c r="S105" s="2457" t="s">
        <v>1679</v>
      </c>
      <c r="T105" s="4213"/>
      <c r="U105" s="2457" t="s">
        <v>1679</v>
      </c>
      <c r="V105" s="2457" t="s">
        <v>1679</v>
      </c>
      <c r="W105" s="2457" t="s">
        <v>1679</v>
      </c>
      <c r="X105" s="2457" t="s">
        <v>1679</v>
      </c>
      <c r="Y105" s="2457" t="s">
        <v>1679</v>
      </c>
      <c r="Z105" s="2457"/>
      <c r="AA105" s="2457"/>
      <c r="AB105" s="2457"/>
      <c r="AC105" s="2457"/>
      <c r="AD105" s="2457"/>
      <c r="AE105" s="2457"/>
      <c r="AF105" s="2457"/>
      <c r="AG105" s="2457"/>
      <c r="AH105" s="2457"/>
      <c r="AI105" s="2457"/>
      <c r="AJ105" s="463"/>
    </row>
    <row r="106" spans="1:36"/>
    <row r="107" spans="1:36"/>
    <row r="108" spans="1:36" ht="15.75" thickBot="1"/>
    <row r="109" spans="1:36" s="2406" customFormat="1" ht="16.5" thickBot="1">
      <c r="B109" s="4228" t="s">
        <v>5</v>
      </c>
      <c r="C109" s="2409" t="s">
        <v>564</v>
      </c>
      <c r="D109" s="2409"/>
      <c r="E109" s="4172" t="s">
        <v>6</v>
      </c>
      <c r="F109" s="4172" t="s">
        <v>7</v>
      </c>
      <c r="G109" s="4176" t="s">
        <v>8</v>
      </c>
      <c r="H109" s="4169" t="s">
        <v>9</v>
      </c>
      <c r="I109" s="4168" t="s">
        <v>10</v>
      </c>
      <c r="J109" s="4168"/>
      <c r="K109" s="4168"/>
      <c r="L109" s="3957"/>
      <c r="M109" s="2477"/>
      <c r="N109" s="2478">
        <v>43862</v>
      </c>
      <c r="O109" s="2415"/>
      <c r="P109" s="2415"/>
      <c r="Q109" s="2479" t="s">
        <v>557</v>
      </c>
      <c r="R109" s="2480">
        <v>44367</v>
      </c>
      <c r="S109" s="2415"/>
      <c r="T109" s="2415"/>
      <c r="U109" s="2415"/>
      <c r="V109" s="2415"/>
      <c r="W109" s="2415"/>
      <c r="X109" s="2415"/>
      <c r="Y109" s="2479" t="s">
        <v>558</v>
      </c>
      <c r="Z109" s="2479" t="s">
        <v>559</v>
      </c>
      <c r="AA109" s="2440" t="s">
        <v>560</v>
      </c>
      <c r="AB109" s="2479" t="s">
        <v>561</v>
      </c>
      <c r="AC109" s="2415"/>
      <c r="AD109" s="2479" t="s">
        <v>449</v>
      </c>
      <c r="AE109" s="2479" t="s">
        <v>562</v>
      </c>
      <c r="AF109" s="2479" t="s">
        <v>451</v>
      </c>
      <c r="AG109" s="2479"/>
      <c r="AH109" s="2479"/>
      <c r="AI109" s="2479" t="s">
        <v>563</v>
      </c>
    </row>
    <row r="110" spans="1:36" s="2406" customFormat="1" ht="29.25" customHeight="1" thickBot="1">
      <c r="A110" s="2481" t="s">
        <v>27</v>
      </c>
      <c r="B110" s="4228"/>
      <c r="C110" s="2482"/>
      <c r="D110" s="2482"/>
      <c r="E110" s="4172"/>
      <c r="F110" s="4172"/>
      <c r="G110" s="4176"/>
      <c r="H110" s="4169"/>
      <c r="I110" s="4168"/>
      <c r="J110" s="4168"/>
      <c r="K110" s="4168"/>
      <c r="L110" s="3957"/>
      <c r="M110" s="2420" t="s">
        <v>1149</v>
      </c>
      <c r="N110" s="2483" t="s">
        <v>565</v>
      </c>
      <c r="O110" s="2483" t="s">
        <v>566</v>
      </c>
      <c r="P110" s="2483" t="s">
        <v>567</v>
      </c>
      <c r="Q110" s="2483" t="s">
        <v>568</v>
      </c>
      <c r="R110" s="2483" t="s">
        <v>569</v>
      </c>
      <c r="S110" s="2483" t="s">
        <v>570</v>
      </c>
      <c r="T110" s="2483" t="s">
        <v>571</v>
      </c>
      <c r="U110" s="2483" t="s">
        <v>572</v>
      </c>
      <c r="V110" s="2483" t="s">
        <v>572</v>
      </c>
      <c r="W110" s="2483" t="s">
        <v>572</v>
      </c>
      <c r="X110" s="2483" t="s">
        <v>573</v>
      </c>
      <c r="Y110" s="2483" t="s">
        <v>574</v>
      </c>
      <c r="Z110" s="2483" t="s">
        <v>575</v>
      </c>
      <c r="AA110" s="2483" t="s">
        <v>576</v>
      </c>
      <c r="AB110" s="2483" t="s">
        <v>577</v>
      </c>
      <c r="AC110" s="2483" t="s">
        <v>577</v>
      </c>
      <c r="AD110" s="2483" t="s">
        <v>578</v>
      </c>
      <c r="AE110" s="2483" t="s">
        <v>579</v>
      </c>
      <c r="AF110" s="2483" t="s">
        <v>579</v>
      </c>
      <c r="AG110" s="2483"/>
      <c r="AH110" s="2483"/>
      <c r="AI110" s="2483" t="s">
        <v>568</v>
      </c>
    </row>
    <row r="111" spans="1:36" s="2406" customFormat="1" ht="31.5" customHeight="1" thickBot="1">
      <c r="A111" s="2434" t="s">
        <v>564</v>
      </c>
      <c r="B111" s="4228"/>
      <c r="C111" s="2484" t="s">
        <v>580</v>
      </c>
      <c r="D111" s="2484"/>
      <c r="E111" s="4172"/>
      <c r="F111" s="4172"/>
      <c r="G111" s="4176"/>
      <c r="H111" s="4169"/>
      <c r="I111" s="4168"/>
      <c r="J111" s="4168"/>
      <c r="K111" s="4168"/>
      <c r="L111" s="3957"/>
      <c r="M111" s="2420" t="s">
        <v>1728</v>
      </c>
      <c r="N111" s="2485" t="s">
        <v>581</v>
      </c>
      <c r="O111" s="2485" t="s">
        <v>582</v>
      </c>
      <c r="P111" s="2485" t="s">
        <v>583</v>
      </c>
      <c r="Q111" s="2486" t="s">
        <v>584</v>
      </c>
      <c r="R111" s="2486" t="s">
        <v>585</v>
      </c>
      <c r="S111" s="2485" t="s">
        <v>586</v>
      </c>
      <c r="T111" s="2485"/>
      <c r="U111" s="2487" t="s">
        <v>587</v>
      </c>
      <c r="V111" s="2483"/>
      <c r="W111" s="2483"/>
      <c r="X111" s="2483"/>
      <c r="Y111" s="2483"/>
      <c r="Z111" s="2483" t="s">
        <v>588</v>
      </c>
      <c r="AA111" s="2483" t="s">
        <v>589</v>
      </c>
      <c r="AB111" s="2483" t="s">
        <v>590</v>
      </c>
      <c r="AC111" s="2483" t="s">
        <v>591</v>
      </c>
      <c r="AD111" s="2483" t="s">
        <v>592</v>
      </c>
      <c r="AE111" s="2483" t="s">
        <v>593</v>
      </c>
      <c r="AF111" s="2483" t="s">
        <v>593</v>
      </c>
      <c r="AG111" s="2483"/>
      <c r="AH111" s="2483"/>
      <c r="AI111" s="2483" t="s">
        <v>594</v>
      </c>
    </row>
    <row r="112" spans="1:36" s="2406" customFormat="1" ht="79.5" thickBot="1">
      <c r="A112" s="2406" t="s">
        <v>1639</v>
      </c>
      <c r="B112" s="4228"/>
      <c r="C112" s="2420" t="s">
        <v>263</v>
      </c>
      <c r="D112" s="2420"/>
      <c r="E112" s="4172"/>
      <c r="F112" s="4172"/>
      <c r="G112" s="2488" t="s">
        <v>78</v>
      </c>
      <c r="H112" s="4169"/>
      <c r="I112" s="2422" t="s">
        <v>79</v>
      </c>
      <c r="J112" s="2422" t="s">
        <v>80</v>
      </c>
      <c r="K112" s="2422" t="s">
        <v>81</v>
      </c>
      <c r="L112" s="3953" t="s">
        <v>1759</v>
      </c>
      <c r="M112" s="2420" t="s">
        <v>409</v>
      </c>
      <c r="N112" s="2489" t="s">
        <v>595</v>
      </c>
      <c r="O112" s="2489" t="s">
        <v>596</v>
      </c>
      <c r="P112" s="2489" t="s">
        <v>597</v>
      </c>
      <c r="Q112" s="2489" t="s">
        <v>598</v>
      </c>
      <c r="R112" s="2490" t="s">
        <v>599</v>
      </c>
      <c r="S112" s="2490" t="s">
        <v>600</v>
      </c>
      <c r="T112" s="2491" t="s">
        <v>92</v>
      </c>
      <c r="U112" s="2491" t="s">
        <v>601</v>
      </c>
      <c r="V112" s="2492" t="s">
        <v>602</v>
      </c>
      <c r="W112" s="2492" t="s">
        <v>603</v>
      </c>
      <c r="X112" s="2492" t="s">
        <v>604</v>
      </c>
      <c r="Y112" s="2492" t="s">
        <v>605</v>
      </c>
      <c r="Z112" s="2493" t="s">
        <v>606</v>
      </c>
      <c r="AA112" s="2493" t="s">
        <v>607</v>
      </c>
      <c r="AB112" s="2493" t="s">
        <v>608</v>
      </c>
      <c r="AC112" s="2493" t="s">
        <v>608</v>
      </c>
      <c r="AD112" s="2494" t="s">
        <v>102</v>
      </c>
      <c r="AE112" s="2494" t="s">
        <v>609</v>
      </c>
      <c r="AF112" s="2494" t="s">
        <v>609</v>
      </c>
      <c r="AG112" s="2494"/>
      <c r="AH112" s="2494"/>
      <c r="AI112" s="2494" t="s">
        <v>610</v>
      </c>
    </row>
    <row r="113" spans="1:38" s="2406" customFormat="1" ht="63">
      <c r="B113" s="2495"/>
      <c r="C113" s="2496"/>
      <c r="D113" s="2496"/>
      <c r="E113" s="2497"/>
      <c r="F113" s="2497"/>
      <c r="G113" s="2498"/>
      <c r="H113" s="2499"/>
      <c r="I113" s="2500"/>
      <c r="J113" s="2500"/>
      <c r="K113" s="2500"/>
      <c r="L113" s="3958"/>
      <c r="M113" s="2499"/>
      <c r="N113" s="2501"/>
      <c r="O113" s="2502"/>
      <c r="P113" s="2501"/>
      <c r="Q113" s="2502"/>
      <c r="R113" s="2503"/>
      <c r="S113" s="2503"/>
      <c r="T113" s="2501"/>
      <c r="U113" s="2501"/>
      <c r="V113" s="2501"/>
      <c r="W113" s="2501"/>
      <c r="X113" s="2501"/>
      <c r="Y113" s="2501"/>
      <c r="Z113" s="2504" t="s">
        <v>611</v>
      </c>
      <c r="AA113" s="2504" t="s">
        <v>612</v>
      </c>
      <c r="AB113" s="2504" t="s">
        <v>613</v>
      </c>
      <c r="AC113" s="2504" t="s">
        <v>614</v>
      </c>
      <c r="AD113" s="2505"/>
      <c r="AE113" s="2506" t="s">
        <v>615</v>
      </c>
      <c r="AF113" s="2507" t="s">
        <v>615</v>
      </c>
      <c r="AG113" s="2507"/>
      <c r="AH113" s="2507"/>
      <c r="AI113" s="2507" t="s">
        <v>616</v>
      </c>
    </row>
    <row r="114" spans="1:38" s="2406" customFormat="1" ht="15.75">
      <c r="A114" s="2298" t="s">
        <v>1621</v>
      </c>
      <c r="B114" s="287">
        <v>1</v>
      </c>
      <c r="C114" s="2508">
        <v>43952</v>
      </c>
      <c r="D114" s="2509">
        <v>93</v>
      </c>
      <c r="E114" s="223" t="s">
        <v>617</v>
      </c>
      <c r="F114" s="2510" t="s">
        <v>618</v>
      </c>
      <c r="G114" s="2472" t="str">
        <f>IFERROR(VLOOKUP(D114,Tabla3[],5,FALSE),"")</f>
        <v>GARCIA MAYA MILCA NOEMI</v>
      </c>
      <c r="H114" s="71" t="str">
        <f>MID(E114,11,1)</f>
        <v>M</v>
      </c>
      <c r="I114" s="71" t="str">
        <f>MID(E114,5,2)</f>
        <v>79</v>
      </c>
      <c r="J114" s="71" t="str">
        <f>MID(E114,7,2)</f>
        <v>10</v>
      </c>
      <c r="K114" s="71" t="str">
        <f>MID(E114,9,2)</f>
        <v>05</v>
      </c>
      <c r="L114" s="3933"/>
      <c r="M114" s="2511" t="s">
        <v>564</v>
      </c>
      <c r="N114" s="2512">
        <v>9</v>
      </c>
      <c r="O114" s="2513">
        <v>9</v>
      </c>
      <c r="P114" s="2514">
        <v>9</v>
      </c>
      <c r="Q114" s="2515" t="s">
        <v>620</v>
      </c>
      <c r="R114" s="2516">
        <v>9</v>
      </c>
      <c r="S114" s="2517">
        <v>43869</v>
      </c>
      <c r="T114" s="2518">
        <v>43960</v>
      </c>
      <c r="U114" s="223">
        <v>9.5</v>
      </c>
      <c r="V114" s="223">
        <v>8</v>
      </c>
      <c r="W114" s="223">
        <v>8</v>
      </c>
      <c r="X114" s="223">
        <v>9.4</v>
      </c>
      <c r="Y114" s="223">
        <v>9.6999999999999993</v>
      </c>
      <c r="Z114" s="2519">
        <v>9</v>
      </c>
      <c r="AA114" s="223">
        <v>9.1999999999999993</v>
      </c>
      <c r="AB114" s="223">
        <v>9.1999999999999993</v>
      </c>
      <c r="AC114" s="223">
        <v>9.1999999999999993</v>
      </c>
      <c r="AD114" s="2520">
        <v>9.8000000000000007</v>
      </c>
      <c r="AE114" s="2521">
        <v>9.8000000000000007</v>
      </c>
      <c r="AF114" s="2521">
        <v>9.8000000000000007</v>
      </c>
      <c r="AG114" s="2521"/>
      <c r="AH114" s="2521"/>
      <c r="AI114" s="2522">
        <v>9.4</v>
      </c>
    </row>
    <row r="115" spans="1:38" s="2406" customFormat="1" ht="15.75">
      <c r="A115" s="2298" t="s">
        <v>1621</v>
      </c>
      <c r="B115" s="287">
        <v>2</v>
      </c>
      <c r="C115" s="2508">
        <v>43862</v>
      </c>
      <c r="D115" s="2509">
        <v>135</v>
      </c>
      <c r="E115" s="223" t="s">
        <v>621</v>
      </c>
      <c r="F115" s="2510" t="s">
        <v>622</v>
      </c>
      <c r="G115" s="2472" t="str">
        <f>IFERROR(VLOOKUP(D115,Tabla3[],5,FALSE),"")</f>
        <v>PALMA TRACONIS OSCAR HUMBERTO</v>
      </c>
      <c r="H115" s="71" t="str">
        <f>MID(E115,11,1)</f>
        <v>H</v>
      </c>
      <c r="I115" s="71" t="str">
        <f>MID(E115,5,2)</f>
        <v>77</v>
      </c>
      <c r="J115" s="71" t="str">
        <f>MID(E115,7,2)</f>
        <v>04</v>
      </c>
      <c r="K115" s="71" t="str">
        <f>MID(E115,9,2)</f>
        <v>12</v>
      </c>
      <c r="L115" s="3933"/>
      <c r="M115" s="2511" t="s">
        <v>564</v>
      </c>
      <c r="N115" s="2522">
        <v>10</v>
      </c>
      <c r="O115" s="2522">
        <v>10</v>
      </c>
      <c r="P115" s="2523">
        <v>10</v>
      </c>
      <c r="Q115" s="2522">
        <v>8</v>
      </c>
      <c r="R115" s="2524">
        <v>9</v>
      </c>
      <c r="S115" s="2525">
        <v>8.5</v>
      </c>
      <c r="T115" s="2525">
        <v>9.1</v>
      </c>
      <c r="U115" s="2525">
        <v>9.1</v>
      </c>
      <c r="V115" s="2525">
        <v>9.6999999999999993</v>
      </c>
      <c r="W115" s="2525">
        <v>10</v>
      </c>
      <c r="X115" s="2525">
        <v>9.4</v>
      </c>
      <c r="Y115" s="2526">
        <v>9.1999999999999993</v>
      </c>
      <c r="Z115" s="2522">
        <v>10</v>
      </c>
      <c r="AA115" s="2522">
        <v>10</v>
      </c>
      <c r="AB115" s="2522">
        <v>10</v>
      </c>
      <c r="AC115" s="2522">
        <v>10</v>
      </c>
      <c r="AD115" s="2522">
        <v>9.6999999999999993</v>
      </c>
      <c r="AE115" s="2521">
        <v>9.8000000000000007</v>
      </c>
      <c r="AF115" s="2521">
        <v>9.8000000000000007</v>
      </c>
      <c r="AG115" s="2521"/>
      <c r="AH115" s="2521"/>
      <c r="AI115" s="2522">
        <v>9.1999999999999993</v>
      </c>
    </row>
    <row r="116" spans="1:38" s="2406" customFormat="1" ht="15.75">
      <c r="A116" s="2298" t="s">
        <v>1621</v>
      </c>
      <c r="B116" s="287">
        <v>3</v>
      </c>
      <c r="C116" s="2508">
        <v>44247</v>
      </c>
      <c r="D116" s="2509">
        <v>26</v>
      </c>
      <c r="E116" s="223" t="s">
        <v>624</v>
      </c>
      <c r="F116" s="2527" t="s">
        <v>625</v>
      </c>
      <c r="G116" s="2472" t="str">
        <f>IFERROR(VLOOKUP(D116,Tabla3[],5,FALSE),"")</f>
        <v xml:space="preserve">BASULTO  SOLIS ERIKA RAQUEL </v>
      </c>
      <c r="H116" s="71" t="str">
        <f>MID(E116,11,1)</f>
        <v>M</v>
      </c>
      <c r="I116" s="71" t="str">
        <f>MID(E116,5,2)</f>
        <v>74</v>
      </c>
      <c r="J116" s="71" t="str">
        <f>MID(E116,7,2)</f>
        <v>06</v>
      </c>
      <c r="K116" s="71" t="str">
        <f>MID(E116,9,2)</f>
        <v>01</v>
      </c>
      <c r="L116" s="3933"/>
      <c r="M116" s="2511" t="s">
        <v>564</v>
      </c>
      <c r="N116" s="2528">
        <v>9</v>
      </c>
      <c r="O116" s="2522">
        <v>10</v>
      </c>
      <c r="P116" s="2523">
        <v>9.5</v>
      </c>
      <c r="Q116" s="2522" t="s">
        <v>620</v>
      </c>
      <c r="R116" s="2529">
        <v>43899</v>
      </c>
      <c r="S116" s="2525">
        <v>9.4</v>
      </c>
      <c r="T116" s="2518">
        <v>44021</v>
      </c>
      <c r="U116" s="2522">
        <v>9.6999999999999993</v>
      </c>
      <c r="V116" s="2525">
        <v>8</v>
      </c>
      <c r="W116" s="2525">
        <v>9.4</v>
      </c>
      <c r="X116" s="2525">
        <v>10</v>
      </c>
      <c r="Y116" s="2522">
        <v>10</v>
      </c>
      <c r="Z116" s="2522">
        <v>10</v>
      </c>
      <c r="AA116" s="2522">
        <v>10</v>
      </c>
      <c r="AB116" s="2526"/>
      <c r="AC116" s="2526"/>
      <c r="AD116" s="2522">
        <v>10</v>
      </c>
      <c r="AE116" s="206">
        <v>9.6</v>
      </c>
      <c r="AF116" s="206">
        <v>9.6</v>
      </c>
      <c r="AG116" s="206"/>
      <c r="AH116" s="206"/>
      <c r="AI116" s="2530"/>
    </row>
    <row r="117" spans="1:38" s="2406" customFormat="1" ht="15.75">
      <c r="B117" s="2531">
        <v>4</v>
      </c>
      <c r="C117" s="2532">
        <v>43831</v>
      </c>
      <c r="D117" s="2533">
        <v>42</v>
      </c>
      <c r="E117" s="2534" t="s">
        <v>627</v>
      </c>
      <c r="F117" s="2535" t="s">
        <v>628</v>
      </c>
      <c r="G117" s="2472" t="str">
        <f>IFERROR(VLOOKUP(D117,Tabla3[],5,FALSE),"")</f>
        <v xml:space="preserve">TORRES SANCHEZ OSIEL </v>
      </c>
      <c r="H117" s="2531"/>
      <c r="I117" s="2531"/>
      <c r="J117" s="2531"/>
      <c r="K117" s="2531"/>
      <c r="L117" s="3934"/>
      <c r="M117" s="2531"/>
      <c r="N117" s="2536">
        <v>9</v>
      </c>
      <c r="O117" s="2537">
        <v>9.5</v>
      </c>
      <c r="P117" s="2538">
        <v>9.5</v>
      </c>
      <c r="Q117" s="2537" t="s">
        <v>620</v>
      </c>
      <c r="R117" s="2539">
        <v>44020</v>
      </c>
      <c r="S117" s="2537">
        <v>8</v>
      </c>
      <c r="T117" s="2540">
        <v>43899</v>
      </c>
      <c r="U117" s="2537">
        <v>9.3000000000000007</v>
      </c>
      <c r="V117" s="2541" t="s">
        <v>629</v>
      </c>
      <c r="W117" s="2541"/>
      <c r="X117" s="2541"/>
      <c r="Y117" s="2541"/>
      <c r="Z117" s="2541"/>
      <c r="AA117" s="2541"/>
      <c r="AB117" s="2541"/>
      <c r="AC117" s="2541"/>
      <c r="AD117" s="2541" t="s">
        <v>630</v>
      </c>
      <c r="AE117" s="2542"/>
      <c r="AF117" s="2541" t="s">
        <v>631</v>
      </c>
      <c r="AG117" s="2541"/>
      <c r="AH117" s="2541"/>
      <c r="AI117" s="2543"/>
    </row>
    <row r="118" spans="1:38" s="2406" customFormat="1" ht="15.75">
      <c r="A118" s="2406" t="s">
        <v>1764</v>
      </c>
      <c r="B118" s="287">
        <v>5</v>
      </c>
      <c r="C118" s="2544" t="s">
        <v>632</v>
      </c>
      <c r="D118" s="223">
        <v>269</v>
      </c>
      <c r="E118" s="223" t="s">
        <v>633</v>
      </c>
      <c r="F118" s="223" t="s">
        <v>622</v>
      </c>
      <c r="G118" s="2472" t="str">
        <f>IFERROR(VLOOKUP(D118,Tabla3[],5,FALSE),"")</f>
        <v>SANCHEZ RODRIGUEZ JOSE RAFAEL</v>
      </c>
      <c r="H118" s="223" t="s">
        <v>433</v>
      </c>
      <c r="I118" s="223" t="s">
        <v>636</v>
      </c>
      <c r="J118" s="223" t="s">
        <v>637</v>
      </c>
      <c r="K118" s="223" t="s">
        <v>638</v>
      </c>
      <c r="L118" s="216"/>
      <c r="M118" s="223" t="s">
        <v>635</v>
      </c>
      <c r="N118" s="223">
        <v>10</v>
      </c>
      <c r="O118" s="2522">
        <v>10</v>
      </c>
      <c r="P118" s="2523">
        <v>10</v>
      </c>
      <c r="Q118" s="2543"/>
      <c r="R118" s="223">
        <v>9</v>
      </c>
      <c r="S118" s="223">
        <v>9.1999999999999993</v>
      </c>
      <c r="T118" s="223">
        <v>9.1</v>
      </c>
      <c r="U118" s="223">
        <v>8.8000000000000007</v>
      </c>
      <c r="V118" s="223">
        <v>8.8000000000000007</v>
      </c>
      <c r="W118" s="223">
        <v>8.8000000000000007</v>
      </c>
      <c r="X118" s="223">
        <v>9.6</v>
      </c>
      <c r="Y118" s="223">
        <v>9.6</v>
      </c>
      <c r="Z118" s="223">
        <v>9.5</v>
      </c>
      <c r="AA118" s="223">
        <v>10</v>
      </c>
      <c r="AB118" s="223">
        <v>9.6</v>
      </c>
      <c r="AC118" s="223">
        <v>9.6</v>
      </c>
      <c r="AD118" s="223">
        <v>9.8000000000000007</v>
      </c>
      <c r="AE118" s="223">
        <v>9.8000000000000007</v>
      </c>
      <c r="AF118" s="223">
        <v>9.8000000000000007</v>
      </c>
      <c r="AG118" s="223"/>
      <c r="AH118" s="223"/>
      <c r="AI118" s="223">
        <v>9.6</v>
      </c>
    </row>
    <row r="119" spans="1:38" s="2406" customFormat="1" ht="15.75">
      <c r="C119" s="206" t="s">
        <v>639</v>
      </c>
      <c r="E119" s="206"/>
      <c r="L119" s="299"/>
      <c r="AL119" s="2545"/>
    </row>
    <row r="120" spans="1:38"/>
    <row r="121" spans="1:38"/>
    <row r="122" spans="1:38" ht="15.75" thickBot="1">
      <c r="M122" s="33">
        <v>43952</v>
      </c>
      <c r="N122" s="197">
        <v>44367</v>
      </c>
      <c r="V122" s="2" t="s">
        <v>558</v>
      </c>
      <c r="W122" s="2" t="s">
        <v>640</v>
      </c>
      <c r="X122" s="2" t="s">
        <v>560</v>
      </c>
      <c r="Y122" s="2" t="s">
        <v>561</v>
      </c>
      <c r="Z122" s="2" t="s">
        <v>641</v>
      </c>
      <c r="AD122" s="2" t="s">
        <v>642</v>
      </c>
      <c r="AF122" s="2" t="s">
        <v>454</v>
      </c>
      <c r="AG122" s="2"/>
      <c r="AH122" s="2"/>
    </row>
    <row r="123" spans="1:38" s="2406" customFormat="1" ht="16.5" thickBot="1">
      <c r="B123" s="4228" t="s">
        <v>5</v>
      </c>
      <c r="C123" s="2409" t="s">
        <v>645</v>
      </c>
      <c r="D123" s="2409"/>
      <c r="E123" s="4172" t="s">
        <v>6</v>
      </c>
      <c r="F123" s="4172" t="s">
        <v>7</v>
      </c>
      <c r="G123" s="4176" t="s">
        <v>8</v>
      </c>
      <c r="H123" s="4169" t="s">
        <v>9</v>
      </c>
      <c r="I123" s="4168" t="s">
        <v>10</v>
      </c>
      <c r="J123" s="4168"/>
      <c r="K123" s="4168"/>
      <c r="L123" s="3957"/>
      <c r="M123" s="2546"/>
      <c r="N123" s="2479">
        <v>1</v>
      </c>
      <c r="O123" s="2479">
        <v>2</v>
      </c>
      <c r="P123" s="2479">
        <v>3</v>
      </c>
      <c r="Q123" s="2479">
        <v>4</v>
      </c>
      <c r="R123" s="2479">
        <v>5</v>
      </c>
      <c r="S123" s="2479">
        <v>6</v>
      </c>
      <c r="T123" s="2479">
        <v>7</v>
      </c>
      <c r="U123" s="2479">
        <v>8</v>
      </c>
      <c r="V123" s="2479">
        <v>9</v>
      </c>
      <c r="W123" s="2479">
        <v>10</v>
      </c>
      <c r="X123" s="2479">
        <v>11</v>
      </c>
      <c r="Y123" s="2479">
        <v>12</v>
      </c>
      <c r="Z123" s="2479">
        <v>13</v>
      </c>
      <c r="AA123" s="2479">
        <v>14</v>
      </c>
      <c r="AB123" s="2440" t="s">
        <v>643</v>
      </c>
      <c r="AC123" s="2440" t="s">
        <v>644</v>
      </c>
      <c r="AD123" s="2479">
        <v>17</v>
      </c>
      <c r="AE123" s="2479">
        <v>18</v>
      </c>
      <c r="AF123" s="2479">
        <v>19</v>
      </c>
      <c r="AG123" s="2479"/>
      <c r="AH123" s="2479"/>
      <c r="AI123" s="2479">
        <v>20</v>
      </c>
    </row>
    <row r="124" spans="1:38" s="2406" customFormat="1" ht="32.25" thickBot="1">
      <c r="A124" s="2433" t="s">
        <v>27</v>
      </c>
      <c r="B124" s="4228"/>
      <c r="C124" s="2482"/>
      <c r="D124" s="2482"/>
      <c r="E124" s="4172"/>
      <c r="F124" s="4172"/>
      <c r="G124" s="4176"/>
      <c r="H124" s="4169"/>
      <c r="I124" s="4168"/>
      <c r="J124" s="4168"/>
      <c r="K124" s="4168"/>
      <c r="L124" s="3957"/>
      <c r="M124" s="2438" t="s">
        <v>1149</v>
      </c>
      <c r="N124" s="2415" t="s">
        <v>647</v>
      </c>
      <c r="O124" s="2439"/>
      <c r="P124" s="2439"/>
      <c r="Q124" s="2439"/>
      <c r="R124" s="2439"/>
      <c r="S124" s="2439"/>
      <c r="T124" s="2439"/>
      <c r="U124" s="2439"/>
      <c r="V124" s="2439"/>
      <c r="W124" s="2439"/>
      <c r="X124" s="2439"/>
      <c r="Y124" s="2439"/>
      <c r="Z124" s="2439"/>
      <c r="AA124" s="2439"/>
      <c r="AB124" s="2439"/>
      <c r="AC124" s="2439"/>
      <c r="AD124" s="2439"/>
      <c r="AE124" s="2439" t="s">
        <v>646</v>
      </c>
      <c r="AF124" s="2439"/>
      <c r="AG124" s="2439"/>
      <c r="AH124" s="2439"/>
      <c r="AI124" s="2439"/>
    </row>
    <row r="125" spans="1:38" s="2406" customFormat="1" ht="32.25" thickBot="1">
      <c r="A125" s="2434" t="s">
        <v>645</v>
      </c>
      <c r="B125" s="4228"/>
      <c r="C125" s="2484" t="s">
        <v>580</v>
      </c>
      <c r="D125" s="2484"/>
      <c r="E125" s="4172"/>
      <c r="F125" s="4172"/>
      <c r="G125" s="4176"/>
      <c r="H125" s="4169"/>
      <c r="I125" s="4168"/>
      <c r="J125" s="4168"/>
      <c r="K125" s="4168"/>
      <c r="L125" s="3957"/>
      <c r="M125" s="2420" t="s">
        <v>1728</v>
      </c>
      <c r="N125" s="2439" t="s">
        <v>567</v>
      </c>
      <c r="O125" s="2439" t="s">
        <v>648</v>
      </c>
      <c r="P125" s="2439" t="s">
        <v>586</v>
      </c>
      <c r="Q125" s="2439"/>
      <c r="R125" s="2547"/>
      <c r="S125" s="2439"/>
      <c r="T125" s="2439"/>
      <c r="U125" s="2439"/>
      <c r="V125" s="2547"/>
      <c r="W125" s="2439"/>
      <c r="X125" s="2439"/>
      <c r="Y125" s="2439"/>
      <c r="Z125" s="2483" t="s">
        <v>590</v>
      </c>
      <c r="AA125" s="2483" t="s">
        <v>591</v>
      </c>
      <c r="AB125" s="2483" t="s">
        <v>592</v>
      </c>
      <c r="AC125" s="2483" t="s">
        <v>593</v>
      </c>
      <c r="AD125" s="2483" t="s">
        <v>593</v>
      </c>
      <c r="AE125" s="2439"/>
      <c r="AF125" s="2439"/>
      <c r="AG125" s="2439"/>
      <c r="AH125" s="2439"/>
      <c r="AI125" s="2439"/>
    </row>
    <row r="126" spans="1:38" s="2406" customFormat="1" ht="79.5" thickBot="1">
      <c r="A126" s="2406" t="s">
        <v>1639</v>
      </c>
      <c r="B126" s="4228"/>
      <c r="C126" s="1309" t="s">
        <v>263</v>
      </c>
      <c r="D126" s="2420"/>
      <c r="E126" s="4173"/>
      <c r="F126" s="4173"/>
      <c r="G126" s="2488" t="s">
        <v>78</v>
      </c>
      <c r="H126" s="4169"/>
      <c r="I126" s="2422" t="s">
        <v>79</v>
      </c>
      <c r="J126" s="2422" t="s">
        <v>80</v>
      </c>
      <c r="K126" s="2422" t="s">
        <v>81</v>
      </c>
      <c r="L126" s="3953" t="s">
        <v>1759</v>
      </c>
      <c r="M126" s="2420" t="s">
        <v>409</v>
      </c>
      <c r="N126" s="2548" t="s">
        <v>595</v>
      </c>
      <c r="O126" s="2548" t="s">
        <v>649</v>
      </c>
      <c r="P126" s="2548" t="s">
        <v>650</v>
      </c>
      <c r="Q126" s="2548" t="s">
        <v>92</v>
      </c>
      <c r="R126" s="2549" t="s">
        <v>610</v>
      </c>
      <c r="S126" s="2549" t="s">
        <v>651</v>
      </c>
      <c r="T126" s="2549" t="s">
        <v>652</v>
      </c>
      <c r="U126" s="2549" t="s">
        <v>653</v>
      </c>
      <c r="V126" s="2550" t="s">
        <v>116</v>
      </c>
      <c r="W126" s="2550" t="s">
        <v>654</v>
      </c>
      <c r="X126" s="2551" t="s">
        <v>606</v>
      </c>
      <c r="Y126" s="2551" t="s">
        <v>607</v>
      </c>
      <c r="Z126" s="2552" t="s">
        <v>608</v>
      </c>
      <c r="AA126" s="2552" t="s">
        <v>608</v>
      </c>
      <c r="AB126" s="2552" t="s">
        <v>102</v>
      </c>
      <c r="AC126" s="2552" t="s">
        <v>655</v>
      </c>
      <c r="AD126" s="2553" t="s">
        <v>609</v>
      </c>
      <c r="AE126" s="2553" t="s">
        <v>610</v>
      </c>
      <c r="AF126" s="2553" t="s">
        <v>656</v>
      </c>
      <c r="AG126" s="2553"/>
      <c r="AH126" s="2553"/>
      <c r="AI126" s="2553" t="s">
        <v>657</v>
      </c>
    </row>
    <row r="127" spans="1:38" s="2406" customFormat="1" ht="15.75">
      <c r="B127" s="2628"/>
      <c r="C127" s="2242" t="str">
        <f>_xlfn.XLOOKUP($D127, Tabla3[No.], Tabla3[FECHA DE INICIO (PRIMERA CLASE CALENDARIO)]," ")</f>
        <v xml:space="preserve"> </v>
      </c>
      <c r="D127" s="2631"/>
      <c r="E127" s="2241" t="str">
        <f>_xlfn.XLOOKUP($D127,  Tabla3[No.],  Tabla3[CURP], " ")</f>
        <v xml:space="preserve"> </v>
      </c>
      <c r="F127" s="2243" t="str">
        <f>_xlfn.XLOOKUP($D127,  Tabla3[No.],  Tabla3[Matrícula Of. SEQ], " ")</f>
        <v xml:space="preserve"> </v>
      </c>
      <c r="G127" s="2629"/>
      <c r="H127" s="2554"/>
      <c r="I127" s="2554"/>
      <c r="J127" s="2554"/>
      <c r="K127" s="2554"/>
      <c r="L127" s="3935"/>
      <c r="M127" s="2555"/>
      <c r="N127" s="2556"/>
      <c r="O127" s="2557"/>
      <c r="P127" s="2558"/>
      <c r="Q127" s="2559"/>
      <c r="R127" s="2559"/>
      <c r="S127" s="2559"/>
      <c r="T127" s="2559"/>
      <c r="U127" s="2559"/>
      <c r="V127" s="2559"/>
      <c r="W127" s="2559"/>
      <c r="X127" s="2559"/>
      <c r="Y127" s="2559"/>
      <c r="Z127" s="2559"/>
      <c r="AA127" s="2559"/>
      <c r="AB127" s="2560"/>
      <c r="AC127" s="2560"/>
      <c r="AD127" s="2560"/>
      <c r="AE127" s="2560"/>
      <c r="AF127" s="2561"/>
      <c r="AG127" s="2561"/>
      <c r="AH127" s="2561"/>
      <c r="AI127" s="2562"/>
    </row>
    <row r="128" spans="1:38" s="2406" customFormat="1" ht="15.75">
      <c r="A128" s="2298" t="s">
        <v>1621</v>
      </c>
      <c r="B128" s="2465">
        <v>1</v>
      </c>
      <c r="C128" s="2242">
        <f>_xlfn.XLOOKUP($D128, Tabla3[No.], Tabla3[FECHA DE INICIO (PRIMERA CLASE CALENDARIO)]," ")</f>
        <v>43952</v>
      </c>
      <c r="D128" s="2632">
        <v>93</v>
      </c>
      <c r="E128" s="2241" t="str">
        <f>_xlfn.XLOOKUP($D128,  Tabla3[No.],  Tabla3[CURP], " ")</f>
        <v>GAMM791005MTCRYL07</v>
      </c>
      <c r="F128" s="2243" t="str">
        <f>_xlfn.XLOOKUP($D128,  Tabla3[No.],  Tabla3[Matrícula Of. SEQ], " ")</f>
        <v>64MD04B-01</v>
      </c>
      <c r="G128" s="2630" t="str">
        <f>IFERROR(VLOOKUP(D128,Tabla3[],5,FALSE),"")</f>
        <v>GARCIA MAYA MILCA NOEMI</v>
      </c>
      <c r="H128" s="71" t="str">
        <f>MID(E128,11,1)</f>
        <v>M</v>
      </c>
      <c r="I128" s="71" t="str">
        <f>MID(E128,5,2)</f>
        <v>79</v>
      </c>
      <c r="J128" s="71" t="str">
        <f>MID(E128,7,2)</f>
        <v>10</v>
      </c>
      <c r="K128" s="71" t="str">
        <f>MID(E128,9,2)</f>
        <v>05</v>
      </c>
      <c r="L128" s="3933"/>
      <c r="M128" s="2511" t="s">
        <v>564</v>
      </c>
      <c r="N128" s="2512">
        <v>9</v>
      </c>
      <c r="O128" s="2516">
        <v>9</v>
      </c>
      <c r="P128" s="2512">
        <v>9</v>
      </c>
      <c r="Q128" s="2519">
        <v>9</v>
      </c>
      <c r="R128" s="2519" t="s">
        <v>658</v>
      </c>
      <c r="S128" s="2519">
        <v>9.5</v>
      </c>
      <c r="T128" s="2519">
        <v>8</v>
      </c>
      <c r="U128" s="2519">
        <v>8</v>
      </c>
      <c r="V128" s="2519">
        <v>9.4</v>
      </c>
      <c r="W128" s="2519">
        <v>9.6999999999999993</v>
      </c>
      <c r="X128" s="2519">
        <v>9</v>
      </c>
      <c r="Y128" s="2519">
        <v>8.8000000000000007</v>
      </c>
      <c r="Z128" s="2519">
        <v>9</v>
      </c>
      <c r="AA128" s="2519">
        <v>9</v>
      </c>
      <c r="AB128" s="223">
        <v>8</v>
      </c>
      <c r="AC128" s="223">
        <v>9.3000000000000007</v>
      </c>
      <c r="AD128" s="223">
        <v>9.3000000000000007</v>
      </c>
      <c r="AE128" s="223"/>
      <c r="AF128" s="314">
        <v>9</v>
      </c>
      <c r="AG128" s="314"/>
      <c r="AH128" s="314"/>
      <c r="AI128" s="223"/>
    </row>
    <row r="129" spans="1:40" s="2406" customFormat="1" ht="15.75">
      <c r="A129" s="2298" t="s">
        <v>1621</v>
      </c>
      <c r="B129" s="2465">
        <v>2</v>
      </c>
      <c r="C129" s="2242">
        <f>_xlfn.XLOOKUP($D129, Tabla3[No.], Tabla3[FECHA DE INICIO (PRIMERA CLASE CALENDARIO)]," ")</f>
        <v>44075</v>
      </c>
      <c r="D129" s="2632">
        <v>99</v>
      </c>
      <c r="E129" s="2241" t="str">
        <f>_xlfn.XLOOKUP($D129,  Tabla3[No.],  Tabla3[CURP], " ")</f>
        <v>NILM990705HDFLZG05</v>
      </c>
      <c r="F129" s="2243" t="str">
        <f>_xlfn.XLOOKUP($D129,  Tabla3[No.],  Tabla3[Matrícula Of. SEQ], " ")</f>
        <v>64MD04B2-02</v>
      </c>
      <c r="G129" s="2630" t="str">
        <f>IFERROR(VLOOKUP(D129,Tabla3[],5,FALSE),"")</f>
        <v xml:space="preserve">NILA LOEZA  MIGUEL ANGEL 
</v>
      </c>
      <c r="H129" s="71" t="str">
        <f>MID(E129,11,1)</f>
        <v>H</v>
      </c>
      <c r="I129" s="71" t="str">
        <f>MID(E129,5,2)</f>
        <v>99</v>
      </c>
      <c r="J129" s="71" t="str">
        <f>MID(E129,7,2)</f>
        <v>07</v>
      </c>
      <c r="K129" s="71" t="str">
        <f>MID(E129,9,2)</f>
        <v>05</v>
      </c>
      <c r="L129" s="3933"/>
      <c r="M129" s="2511" t="s">
        <v>564</v>
      </c>
      <c r="N129" s="2514" t="s">
        <v>661</v>
      </c>
      <c r="O129" s="2514"/>
      <c r="P129" s="2514"/>
      <c r="Q129" s="2514">
        <v>9</v>
      </c>
      <c r="R129" s="2514">
        <v>9</v>
      </c>
      <c r="S129" s="2519">
        <v>9.3000000000000007</v>
      </c>
      <c r="T129" s="2519">
        <v>8</v>
      </c>
      <c r="U129" s="2519">
        <v>9.8000000000000007</v>
      </c>
      <c r="V129" s="2519">
        <v>9.5</v>
      </c>
      <c r="W129" s="2519">
        <v>9.6999999999999993</v>
      </c>
      <c r="X129" s="2519">
        <v>9.4</v>
      </c>
      <c r="Y129" s="2519">
        <v>8</v>
      </c>
      <c r="Z129" s="2519">
        <v>9.6999999999999993</v>
      </c>
      <c r="AA129" s="2519">
        <v>9.6999999999999993</v>
      </c>
      <c r="AB129" s="223">
        <v>0</v>
      </c>
      <c r="AC129" s="223">
        <v>9.1999999999999993</v>
      </c>
      <c r="AD129" s="223">
        <v>9.1999999999999993</v>
      </c>
      <c r="AE129" s="223"/>
      <c r="AF129" s="314">
        <v>9</v>
      </c>
      <c r="AG129" s="314"/>
      <c r="AH129" s="314"/>
      <c r="AI129" s="223"/>
    </row>
    <row r="130" spans="1:40" s="2406" customFormat="1" ht="15.75">
      <c r="A130" s="2298" t="s">
        <v>1621</v>
      </c>
      <c r="B130" s="2465">
        <v>3</v>
      </c>
      <c r="C130" s="2242">
        <f>_xlfn.XLOOKUP($D130, Tabla3[No.], Tabla3[FECHA DE INICIO (PRIMERA CLASE CALENDARIO)]," ")</f>
        <v>44228</v>
      </c>
      <c r="D130" s="2632">
        <v>333</v>
      </c>
      <c r="E130" s="2241" t="str">
        <f>_xlfn.XLOOKUP($D130,  Tabla3[No.],  Tabla3[CURP], " ")</f>
        <v>AAZM750428HDFLRS04</v>
      </c>
      <c r="F130" s="2243" t="str">
        <f>_xlfn.XLOOKUP($D130,  Tabla3[No.],  Tabla3[Matrícula Of. SEQ], " ")</f>
        <v>64MD04B2-01</v>
      </c>
      <c r="G130" s="2630" t="str">
        <f>IFERROR(VLOOKUP(D130,Tabla3[],5,FALSE),"")</f>
        <v>ALFARO ZERECERO  MOISES</v>
      </c>
      <c r="H130" s="71" t="str">
        <f>MID(E130,11,1)</f>
        <v>H</v>
      </c>
      <c r="I130" s="71" t="str">
        <f>MID(E130,5,2)</f>
        <v>75</v>
      </c>
      <c r="J130" s="71" t="str">
        <f>MID(E130,7,2)</f>
        <v>04</v>
      </c>
      <c r="K130" s="71" t="str">
        <f>MID(E130,9,2)</f>
        <v>28</v>
      </c>
      <c r="L130" s="3933"/>
      <c r="M130" s="2511" t="s">
        <v>564</v>
      </c>
      <c r="N130" s="2563" t="s">
        <v>661</v>
      </c>
      <c r="O130" s="2563"/>
      <c r="P130" s="2563"/>
      <c r="Q130" s="2563"/>
      <c r="R130" s="2564" t="s">
        <v>658</v>
      </c>
      <c r="S130" s="2563"/>
      <c r="T130" s="2519">
        <v>9.4</v>
      </c>
      <c r="U130" s="2519">
        <v>9.8000000000000007</v>
      </c>
      <c r="V130" s="2519">
        <v>10</v>
      </c>
      <c r="W130" s="2519">
        <v>10</v>
      </c>
      <c r="X130" s="2519">
        <v>10</v>
      </c>
      <c r="Y130" s="2519">
        <v>9.3000000000000007</v>
      </c>
      <c r="Z130" s="2519">
        <v>10</v>
      </c>
      <c r="AA130" s="2519">
        <v>10</v>
      </c>
      <c r="AB130" s="223">
        <v>8</v>
      </c>
      <c r="AC130" s="223">
        <v>9.6</v>
      </c>
      <c r="AD130" s="223">
        <v>9.6</v>
      </c>
      <c r="AE130" s="223">
        <v>9.1999999999999993</v>
      </c>
      <c r="AF130" s="314">
        <v>10</v>
      </c>
      <c r="AG130" s="314"/>
      <c r="AH130" s="314"/>
      <c r="AI130" s="223">
        <v>10</v>
      </c>
    </row>
    <row r="131" spans="1:40" s="2406" customFormat="1" ht="15.75">
      <c r="A131" s="2298" t="s">
        <v>1764</v>
      </c>
      <c r="B131" s="2465">
        <v>4</v>
      </c>
      <c r="C131" s="2242">
        <f>_xlfn.XLOOKUP($D131, Tabla3[No.], Tabla3[FECHA DE INICIO (PRIMERA CLASE CALENDARIO)]," ")</f>
        <v>44540</v>
      </c>
      <c r="D131" s="2632">
        <v>370</v>
      </c>
      <c r="E131" s="2241" t="str">
        <f>_xlfn.XLOOKUP($D131,  Tabla3[No.],  Tabla3[CURP], " ")</f>
        <v>MABN890408MQRRRN04</v>
      </c>
      <c r="F131" s="2243" t="str">
        <f>_xlfn.XLOOKUP($D131,  Tabla3[No.],  Tabla3[Matrícula Of. SEQ], " ")</f>
        <v>64MD04B2-04</v>
      </c>
      <c r="G131" s="2630" t="str">
        <f>IFERROR(VLOOKUP(D131,Tabla3[],5,FALSE),"")</f>
        <v xml:space="preserve">MARTINEZ BARRIOS NANCY ROBERTA </v>
      </c>
      <c r="H131" s="71" t="s">
        <v>432</v>
      </c>
      <c r="I131" s="71" t="s">
        <v>667</v>
      </c>
      <c r="J131" s="71" t="s">
        <v>668</v>
      </c>
      <c r="K131" s="71" t="s">
        <v>669</v>
      </c>
      <c r="L131" s="3935"/>
      <c r="M131" s="2566" t="s">
        <v>564</v>
      </c>
      <c r="N131" s="2543"/>
      <c r="O131" s="2543"/>
      <c r="P131" s="2543"/>
      <c r="Q131" s="2543"/>
      <c r="R131" s="2543"/>
      <c r="S131" s="2543"/>
      <c r="T131" s="2543"/>
      <c r="U131" s="2543"/>
      <c r="V131" s="2543"/>
      <c r="W131" s="2543"/>
      <c r="X131" s="2543"/>
      <c r="Y131" s="2543"/>
      <c r="Z131" s="2543"/>
      <c r="AA131" s="2543"/>
      <c r="AB131" s="2543"/>
      <c r="AC131" s="2543"/>
      <c r="AD131" s="2543"/>
      <c r="AE131" s="2543"/>
      <c r="AF131" s="2543"/>
      <c r="AG131" s="2543"/>
      <c r="AH131" s="2543"/>
      <c r="AI131" s="2543"/>
    </row>
    <row r="132" spans="1:40" s="2406" customFormat="1" ht="15.75">
      <c r="A132" s="2298" t="s">
        <v>1621</v>
      </c>
      <c r="B132" s="2468"/>
      <c r="C132" s="2242">
        <f>_xlfn.XLOOKUP($D132, Tabla3[No.], Tabla3[FECHA DE INICIO (PRIMERA CLASE CALENDARIO)]," ")</f>
        <v>0</v>
      </c>
      <c r="D132" s="2632">
        <v>51</v>
      </c>
      <c r="E132" s="2241" t="str">
        <f>_xlfn.XLOOKUP($D132,  Tabla3[No.],  Tabla3[CURP], " ")</f>
        <v>VAVM830303HYNLVN00</v>
      </c>
      <c r="F132" s="2243" t="str">
        <f>_xlfn.XLOOKUP($D132,  Tabla3[No.],  Tabla3[Matrícula Of. SEQ], " ")</f>
        <v>64MD03A1-06</v>
      </c>
      <c r="G132" s="2630" t="str">
        <f>IFERROR(VLOOKUP(D132,Tabla3[],5,FALSE),"")</f>
        <v>VALENZUELA VIVAS MANUEL JESUS</v>
      </c>
      <c r="H132" s="71" t="str">
        <f>MID(E132,11,1)</f>
        <v>H</v>
      </c>
      <c r="I132" s="71" t="str">
        <f>MID(E132,5,2)</f>
        <v>83</v>
      </c>
      <c r="J132" s="71" t="str">
        <f>MID(E132,7,2)</f>
        <v>03</v>
      </c>
      <c r="K132" s="71" t="str">
        <f>MID(E132,9,2)</f>
        <v>03</v>
      </c>
      <c r="L132" s="3933"/>
      <c r="M132" s="2511" t="s">
        <v>564</v>
      </c>
      <c r="N132" s="223">
        <v>9.5</v>
      </c>
      <c r="O132" s="223">
        <v>9.6</v>
      </c>
      <c r="P132" s="223">
        <v>10</v>
      </c>
      <c r="Q132" s="223">
        <v>9.5</v>
      </c>
      <c r="R132" s="223" t="s">
        <v>658</v>
      </c>
      <c r="S132" s="223">
        <v>9.5</v>
      </c>
      <c r="T132" s="223">
        <v>10</v>
      </c>
      <c r="U132" s="223">
        <v>9</v>
      </c>
      <c r="V132" s="223">
        <v>8</v>
      </c>
      <c r="W132" s="223">
        <v>9</v>
      </c>
      <c r="X132" s="223">
        <v>9.4</v>
      </c>
      <c r="Y132" s="223">
        <v>9.6999999999999993</v>
      </c>
      <c r="Z132" s="2567"/>
      <c r="AA132" s="2568" t="s">
        <v>629</v>
      </c>
      <c r="AB132" s="223"/>
      <c r="AC132" s="223"/>
      <c r="AD132" s="223"/>
      <c r="AE132" s="223"/>
      <c r="AF132" s="223"/>
      <c r="AG132" s="223"/>
      <c r="AH132" s="223"/>
      <c r="AI132" s="223"/>
    </row>
    <row r="133" spans="1:40" s="2406" customFormat="1" ht="15.75">
      <c r="L133" s="299"/>
      <c r="AH133" s="2569" t="s">
        <v>673</v>
      </c>
      <c r="AL133" s="206"/>
    </row>
    <row r="134" spans="1:40"/>
    <row r="135" spans="1:40"/>
    <row r="136" spans="1:40" s="2406" customFormat="1" ht="15.75">
      <c r="L136" s="299"/>
      <c r="AG136" s="2570"/>
      <c r="AH136" s="2570"/>
      <c r="AI136" s="2570"/>
      <c r="AJ136" s="2571"/>
      <c r="AK136" s="2571"/>
    </row>
    <row r="137" spans="1:40" s="2406" customFormat="1" ht="16.5" thickBot="1">
      <c r="L137" s="299"/>
      <c r="N137" s="2437">
        <v>44166</v>
      </c>
      <c r="O137" s="2437">
        <v>44197</v>
      </c>
      <c r="P137" s="2437">
        <v>44228</v>
      </c>
      <c r="Q137" s="2437">
        <v>44256</v>
      </c>
      <c r="R137" s="2437">
        <v>44287</v>
      </c>
      <c r="S137" s="2437">
        <v>44317</v>
      </c>
      <c r="T137" s="2437">
        <v>44348</v>
      </c>
      <c r="U137" s="2437">
        <v>44378</v>
      </c>
      <c r="V137" s="2437">
        <v>44409</v>
      </c>
      <c r="W137" s="2437">
        <v>44440</v>
      </c>
      <c r="X137" s="2437">
        <v>44470</v>
      </c>
      <c r="Y137" s="2437">
        <v>44501</v>
      </c>
      <c r="Z137" s="2437">
        <v>44531</v>
      </c>
      <c r="AA137" s="206" t="s">
        <v>674</v>
      </c>
      <c r="AB137" s="206" t="s">
        <v>445</v>
      </c>
      <c r="AC137" s="206" t="s">
        <v>446</v>
      </c>
      <c r="AD137" s="206" t="s">
        <v>447</v>
      </c>
      <c r="AE137" s="206" t="s">
        <v>448</v>
      </c>
      <c r="AF137" s="206" t="s">
        <v>449</v>
      </c>
      <c r="AG137" s="206"/>
      <c r="AH137" s="206"/>
      <c r="AI137" s="206" t="s">
        <v>450</v>
      </c>
    </row>
    <row r="138" spans="1:40" s="2406" customFormat="1" ht="32.25" thickBot="1">
      <c r="B138" s="4226" t="s">
        <v>5</v>
      </c>
      <c r="C138" s="2573" t="s">
        <v>755</v>
      </c>
      <c r="D138" s="2573"/>
      <c r="E138" s="4223" t="s">
        <v>6</v>
      </c>
      <c r="F138" s="4223" t="s">
        <v>7</v>
      </c>
      <c r="G138" s="4219" t="s">
        <v>8</v>
      </c>
      <c r="H138" s="4191" t="s">
        <v>9</v>
      </c>
      <c r="I138" s="4159" t="s">
        <v>10</v>
      </c>
      <c r="J138" s="4160"/>
      <c r="K138" s="4160"/>
      <c r="L138" s="3936"/>
      <c r="M138" s="2574"/>
      <c r="N138" s="2575" t="s">
        <v>647</v>
      </c>
      <c r="O138" s="2576" t="s">
        <v>675</v>
      </c>
      <c r="P138" s="2576" t="s">
        <v>676</v>
      </c>
      <c r="Q138" s="2576" t="s">
        <v>677</v>
      </c>
      <c r="R138" s="2576" t="s">
        <v>678</v>
      </c>
      <c r="S138" s="2576"/>
      <c r="T138" s="2576" t="s">
        <v>646</v>
      </c>
      <c r="U138" s="2576"/>
      <c r="V138" s="2576" t="s">
        <v>679</v>
      </c>
      <c r="W138" s="2576" t="s">
        <v>680</v>
      </c>
      <c r="X138" s="2576" t="s">
        <v>681</v>
      </c>
      <c r="Y138" s="2576" t="s">
        <v>682</v>
      </c>
      <c r="Z138" s="2576" t="s">
        <v>683</v>
      </c>
      <c r="AA138" s="2577" t="s">
        <v>684</v>
      </c>
      <c r="AB138" s="2576" t="s">
        <v>456</v>
      </c>
      <c r="AC138" s="2576" t="s">
        <v>685</v>
      </c>
      <c r="AD138" s="2576" t="s">
        <v>686</v>
      </c>
      <c r="AE138" s="2576" t="s">
        <v>686</v>
      </c>
      <c r="AF138" s="2576"/>
      <c r="AG138" s="2576"/>
      <c r="AH138" s="2576"/>
      <c r="AI138" s="2576"/>
      <c r="AJ138" s="223"/>
      <c r="AK138" s="223"/>
      <c r="AL138" s="223"/>
      <c r="AM138" s="223"/>
      <c r="AN138" s="206"/>
    </row>
    <row r="139" spans="1:40" s="2406" customFormat="1" ht="95.25" thickBot="1">
      <c r="A139" s="2433" t="s">
        <v>27</v>
      </c>
      <c r="B139" s="4160"/>
      <c r="C139" s="2574"/>
      <c r="D139" s="2574"/>
      <c r="E139" s="4160"/>
      <c r="F139" s="4160"/>
      <c r="G139" s="4160"/>
      <c r="H139" s="4160"/>
      <c r="I139" s="4160"/>
      <c r="J139" s="4192"/>
      <c r="K139" s="4160"/>
      <c r="L139" s="3936"/>
      <c r="M139" s="2578" t="s">
        <v>1149</v>
      </c>
      <c r="N139" s="2579" t="s">
        <v>687</v>
      </c>
      <c r="O139" s="2580" t="s">
        <v>688</v>
      </c>
      <c r="P139" s="2580" t="s">
        <v>689</v>
      </c>
      <c r="Q139" s="2580" t="s">
        <v>690</v>
      </c>
      <c r="R139" s="2581" t="s">
        <v>691</v>
      </c>
      <c r="S139" s="2581" t="s">
        <v>692</v>
      </c>
      <c r="T139" s="2582" t="s">
        <v>693</v>
      </c>
      <c r="U139" s="2583" t="s">
        <v>694</v>
      </c>
      <c r="V139" s="2584" t="s">
        <v>695</v>
      </c>
      <c r="W139" s="2584" t="s">
        <v>613</v>
      </c>
      <c r="X139" s="2585" t="s">
        <v>696</v>
      </c>
      <c r="Y139" s="2585"/>
      <c r="Z139" s="2586" t="s">
        <v>697</v>
      </c>
      <c r="AA139" s="2587" t="s">
        <v>698</v>
      </c>
      <c r="AB139" s="2588" t="s">
        <v>699</v>
      </c>
      <c r="AC139" s="2589" t="s">
        <v>462</v>
      </c>
      <c r="AD139" s="2577" t="s">
        <v>463</v>
      </c>
      <c r="AE139" s="2577" t="s">
        <v>463</v>
      </c>
      <c r="AF139" s="2590"/>
      <c r="AG139" s="2590"/>
      <c r="AH139" s="2590"/>
      <c r="AI139" s="2509"/>
      <c r="AJ139" s="223"/>
      <c r="AK139" s="223"/>
      <c r="AL139" s="223"/>
      <c r="AM139" s="223"/>
      <c r="AN139" s="206"/>
    </row>
    <row r="140" spans="1:40" s="2406" customFormat="1" ht="32.25" thickBot="1">
      <c r="A140" s="2434" t="s">
        <v>1730</v>
      </c>
      <c r="B140" s="4160"/>
      <c r="C140" s="2574"/>
      <c r="D140" s="2574"/>
      <c r="E140" s="4160"/>
      <c r="F140" s="4160"/>
      <c r="G140" s="4160"/>
      <c r="H140" s="4160"/>
      <c r="I140" s="4160"/>
      <c r="J140" s="4160"/>
      <c r="K140" s="4160"/>
      <c r="L140" s="3936"/>
      <c r="M140" s="2578" t="s">
        <v>1728</v>
      </c>
      <c r="N140" s="2575" t="s">
        <v>700</v>
      </c>
      <c r="O140" s="2576" t="s">
        <v>701</v>
      </c>
      <c r="P140" s="2576" t="s">
        <v>702</v>
      </c>
      <c r="Q140" s="2576" t="s">
        <v>703</v>
      </c>
      <c r="R140" s="2576" t="s">
        <v>704</v>
      </c>
      <c r="S140" s="2576" t="s">
        <v>705</v>
      </c>
      <c r="T140" s="2576" t="s">
        <v>706</v>
      </c>
      <c r="U140" s="2576" t="s">
        <v>707</v>
      </c>
      <c r="V140" s="2576" t="s">
        <v>708</v>
      </c>
      <c r="W140" s="2576" t="s">
        <v>709</v>
      </c>
      <c r="X140" s="2576" t="s">
        <v>710</v>
      </c>
      <c r="Y140" s="2576" t="s">
        <v>711</v>
      </c>
      <c r="Z140" s="2576" t="s">
        <v>712</v>
      </c>
      <c r="AA140" s="2576" t="s">
        <v>465</v>
      </c>
      <c r="AB140" s="2576" t="s">
        <v>466</v>
      </c>
      <c r="AC140" s="2576" t="s">
        <v>467</v>
      </c>
      <c r="AD140" s="2576" t="s">
        <v>468</v>
      </c>
      <c r="AE140" s="2576" t="s">
        <v>469</v>
      </c>
      <c r="AF140" s="2576" t="s">
        <v>470</v>
      </c>
      <c r="AG140" s="2576"/>
      <c r="AH140" s="2576"/>
      <c r="AI140" s="2576" t="s">
        <v>471</v>
      </c>
      <c r="AJ140" s="223"/>
      <c r="AK140" s="223"/>
      <c r="AL140" s="223"/>
      <c r="AM140" s="223"/>
      <c r="AN140" s="206"/>
    </row>
    <row r="141" spans="1:40" s="2406" customFormat="1" ht="63.75" thickBot="1">
      <c r="A141" s="2406" t="s">
        <v>1639</v>
      </c>
      <c r="B141" s="4160"/>
      <c r="C141" s="2572" t="s">
        <v>263</v>
      </c>
      <c r="D141" s="2572"/>
      <c r="E141" s="4160"/>
      <c r="F141" s="4160"/>
      <c r="G141" s="2591" t="s">
        <v>78</v>
      </c>
      <c r="H141" s="4160"/>
      <c r="I141" s="2592" t="s">
        <v>79</v>
      </c>
      <c r="J141" s="2592" t="s">
        <v>80</v>
      </c>
      <c r="K141" s="2592" t="s">
        <v>81</v>
      </c>
      <c r="L141" s="3959" t="s">
        <v>1759</v>
      </c>
      <c r="M141" s="2572" t="s">
        <v>409</v>
      </c>
      <c r="N141" s="2579" t="s">
        <v>713</v>
      </c>
      <c r="O141" s="2580" t="s">
        <v>714</v>
      </c>
      <c r="P141" s="2580" t="s">
        <v>715</v>
      </c>
      <c r="Q141" s="2580" t="s">
        <v>601</v>
      </c>
      <c r="R141" s="2581" t="s">
        <v>716</v>
      </c>
      <c r="S141" s="2581" t="s">
        <v>717</v>
      </c>
      <c r="T141" s="2581" t="s">
        <v>598</v>
      </c>
      <c r="U141" s="2581" t="s">
        <v>718</v>
      </c>
      <c r="V141" s="2593" t="s">
        <v>719</v>
      </c>
      <c r="W141" s="2594" t="s">
        <v>720</v>
      </c>
      <c r="X141" s="2593" t="s">
        <v>721</v>
      </c>
      <c r="Y141" s="2593" t="s">
        <v>722</v>
      </c>
      <c r="Z141" s="2595" t="s">
        <v>723</v>
      </c>
      <c r="AA141" s="2595" t="s">
        <v>472</v>
      </c>
      <c r="AB141" s="2595" t="s">
        <v>473</v>
      </c>
      <c r="AC141" s="2595" t="s">
        <v>474</v>
      </c>
      <c r="AD141" s="2596" t="s">
        <v>475</v>
      </c>
      <c r="AE141" s="2596" t="s">
        <v>476</v>
      </c>
      <c r="AF141" s="2596" t="s">
        <v>477</v>
      </c>
      <c r="AG141" s="2596"/>
      <c r="AH141" s="2596"/>
      <c r="AI141" s="2596" t="s">
        <v>477</v>
      </c>
      <c r="AJ141" s="223"/>
      <c r="AK141" s="223"/>
      <c r="AL141" s="223"/>
      <c r="AM141" s="223"/>
      <c r="AN141" s="206"/>
    </row>
    <row r="142" spans="1:40" s="2406" customFormat="1" ht="15.75">
      <c r="A142" s="2298" t="s">
        <v>632</v>
      </c>
      <c r="B142" s="2597"/>
      <c r="C142" s="2598"/>
      <c r="D142" s="2598"/>
      <c r="E142" s="2597"/>
      <c r="F142" s="2597"/>
      <c r="G142" s="2599"/>
      <c r="H142" s="2597"/>
      <c r="I142" s="2600"/>
      <c r="J142" s="2600"/>
      <c r="K142" s="2600"/>
      <c r="L142" s="3960"/>
      <c r="M142" s="2598"/>
      <c r="N142" s="2579"/>
      <c r="O142" s="2580"/>
      <c r="P142" s="2580"/>
      <c r="Q142" s="2580"/>
      <c r="R142" s="2581"/>
      <c r="S142" s="2581"/>
      <c r="T142" s="2581"/>
      <c r="U142" s="2581"/>
      <c r="V142" s="2593"/>
      <c r="W142" s="2594"/>
      <c r="X142" s="2593"/>
      <c r="Y142" s="2593"/>
      <c r="Z142" s="2595"/>
      <c r="AA142" s="2595"/>
      <c r="AB142" s="2595"/>
      <c r="AC142" s="2595"/>
      <c r="AD142" s="2596"/>
      <c r="AE142" s="2596"/>
      <c r="AF142" s="2596"/>
      <c r="AG142" s="2596"/>
      <c r="AH142" s="2596"/>
      <c r="AI142" s="2596"/>
      <c r="AJ142" s="223"/>
      <c r="AK142" s="223"/>
      <c r="AL142" s="223"/>
      <c r="AM142" s="223"/>
      <c r="AN142" s="206"/>
    </row>
    <row r="143" spans="1:40" s="2406" customFormat="1" ht="15.75">
      <c r="A143" s="2298" t="s">
        <v>1621</v>
      </c>
      <c r="B143" s="2628">
        <v>1</v>
      </c>
      <c r="C143" s="1600">
        <f>_xlfn.XLOOKUP($D143, Tabla3[No.], Tabla3[FECHA DE INICIO (PRIMERA CLASE CALENDARIO)]," ")</f>
        <v>44228</v>
      </c>
      <c r="D143" s="2627">
        <v>329</v>
      </c>
      <c r="E143" s="2241" t="str">
        <f>_xlfn.XLOOKUP($D143,  Tabla3[No.],  Tabla3[CURP], " ")</f>
        <v>AAMI880618MDFLNL07</v>
      </c>
      <c r="F143" s="2243" t="str">
        <f>_xlfn.XLOOKUP($D143,  Tabla3[No.],  Tabla3[Matrícula Of. SEQ], " ")</f>
        <v>64MD05A-01</v>
      </c>
      <c r="G143" s="2601" t="str">
        <f>IFERROR(VLOOKUP(D143,Tabla3[],5,FALSE),"")</f>
        <v>ALVARADO MONTAÑO ILSE MONSERRAT</v>
      </c>
      <c r="H143" s="2602" t="str">
        <f t="shared" ref="H143:H149" si="21">MID(E143,11,1)</f>
        <v>M</v>
      </c>
      <c r="I143" s="2602" t="str">
        <f t="shared" ref="I143:I149" si="22">MID(E143,5,2)</f>
        <v>88</v>
      </c>
      <c r="J143" s="2602" t="str">
        <f t="shared" ref="J143:J149" si="23">MID(E143,7,2)</f>
        <v>06</v>
      </c>
      <c r="K143" s="2602" t="str">
        <f t="shared" ref="K143:K149" si="24">MID(E143,9,2)</f>
        <v>18</v>
      </c>
      <c r="L143" s="3937"/>
      <c r="M143" s="2602" t="s">
        <v>731</v>
      </c>
      <c r="N143" s="2603" t="s">
        <v>135</v>
      </c>
      <c r="O143" s="2603" t="s">
        <v>135</v>
      </c>
      <c r="P143" s="2603" t="s">
        <v>135</v>
      </c>
      <c r="Q143" s="2604">
        <v>8</v>
      </c>
      <c r="R143" s="2509">
        <v>9.3000000000000007</v>
      </c>
      <c r="S143" s="2509">
        <v>9.4</v>
      </c>
      <c r="T143" s="2590" t="s">
        <v>726</v>
      </c>
      <c r="U143" s="2509">
        <v>9</v>
      </c>
      <c r="V143" s="2509"/>
      <c r="W143" s="2509">
        <v>9.1999999999999993</v>
      </c>
      <c r="X143" s="2605" t="s">
        <v>136</v>
      </c>
      <c r="Y143" s="2605" t="s">
        <v>136</v>
      </c>
      <c r="Z143" s="314" t="s">
        <v>136</v>
      </c>
      <c r="AA143" s="2606"/>
      <c r="AB143" s="2607">
        <v>10</v>
      </c>
      <c r="AC143" s="2604">
        <v>9</v>
      </c>
      <c r="AD143" s="1185"/>
      <c r="AE143" s="2509"/>
      <c r="AF143" s="2590"/>
      <c r="AG143" s="2590"/>
      <c r="AH143" s="2590"/>
      <c r="AI143" s="2509"/>
      <c r="AJ143" s="223"/>
      <c r="AK143" s="223"/>
      <c r="AL143" s="223"/>
      <c r="AM143" s="223"/>
      <c r="AN143" s="206"/>
    </row>
    <row r="144" spans="1:40" s="2406" customFormat="1" ht="15.75">
      <c r="A144" s="2298" t="s">
        <v>1621</v>
      </c>
      <c r="B144" s="2465">
        <v>2</v>
      </c>
      <c r="C144" s="1600">
        <f>_xlfn.XLOOKUP($D144, Tabla3[No.], Tabla3[FECHA DE INICIO (PRIMERA CLASE CALENDARIO)]," ")</f>
        <v>44228</v>
      </c>
      <c r="D144" s="2627">
        <v>289</v>
      </c>
      <c r="E144" s="2241" t="str">
        <f>_xlfn.XLOOKUP($D144,  Tabla3[No.],  Tabla3[CURP], " ")</f>
        <v>AIGA970403MQRVNN06</v>
      </c>
      <c r="F144" s="2243" t="str">
        <f>_xlfn.XLOOKUP($D144,  Tabla3[No.],  Tabla3[Matrícula Of. SEQ], " ")</f>
        <v>64MD05A-02</v>
      </c>
      <c r="G144" s="2472" t="str">
        <f>IFERROR(VLOOKUP(D144,Tabla3[],5,FALSE),"")</f>
        <v>AVILES GONZALEZ ANAHI</v>
      </c>
      <c r="H144" s="71" t="str">
        <f t="shared" si="21"/>
        <v>M</v>
      </c>
      <c r="I144" s="71" t="str">
        <f t="shared" si="22"/>
        <v>97</v>
      </c>
      <c r="J144" s="71" t="str">
        <f t="shared" si="23"/>
        <v>04</v>
      </c>
      <c r="K144" s="71" t="str">
        <f t="shared" si="24"/>
        <v>03</v>
      </c>
      <c r="L144" s="3938"/>
      <c r="M144" s="71" t="s">
        <v>731</v>
      </c>
      <c r="N144" s="2604">
        <v>8.6999999999999993</v>
      </c>
      <c r="O144" s="2608">
        <v>8.5</v>
      </c>
      <c r="P144" s="2604">
        <v>8.6999999999999993</v>
      </c>
      <c r="Q144" s="2604">
        <v>8</v>
      </c>
      <c r="R144" s="2509">
        <v>9.6</v>
      </c>
      <c r="S144" s="2509">
        <v>9</v>
      </c>
      <c r="T144" s="2590">
        <v>10</v>
      </c>
      <c r="U144" s="2509" t="s">
        <v>728</v>
      </c>
      <c r="V144" s="2509"/>
      <c r="W144" s="2605" t="s">
        <v>136</v>
      </c>
      <c r="X144" s="2605" t="s">
        <v>136</v>
      </c>
      <c r="Y144" s="2605" t="s">
        <v>136</v>
      </c>
      <c r="Z144" s="314" t="s">
        <v>136</v>
      </c>
      <c r="AA144" s="314" t="s">
        <v>136</v>
      </c>
      <c r="AB144" s="314" t="s">
        <v>136</v>
      </c>
      <c r="AC144" s="2604">
        <v>9</v>
      </c>
      <c r="AD144" s="2609" t="s">
        <v>136</v>
      </c>
      <c r="AE144" s="2609" t="s">
        <v>136</v>
      </c>
      <c r="AF144" s="2590"/>
      <c r="AG144" s="2590"/>
      <c r="AH144" s="2590"/>
      <c r="AI144" s="2509"/>
      <c r="AJ144" s="223"/>
      <c r="AK144" s="223"/>
      <c r="AL144" s="223"/>
      <c r="AM144" s="223"/>
      <c r="AN144" s="206"/>
    </row>
    <row r="145" spans="1:43" s="2406" customFormat="1" ht="15.75">
      <c r="A145" s="2298" t="s">
        <v>1621</v>
      </c>
      <c r="B145" s="2465">
        <v>3</v>
      </c>
      <c r="C145" s="1600">
        <f>_xlfn.XLOOKUP($D145, Tabla3[No.], Tabla3[FECHA DE INICIO (PRIMERA CLASE CALENDARIO)]," ")</f>
        <v>44637</v>
      </c>
      <c r="D145" s="2627">
        <v>337</v>
      </c>
      <c r="E145" s="2241" t="str">
        <f>_xlfn.XLOOKUP($D145,  Tabla3[No.],  Tabla3[CURP], " ")</f>
        <v>GACO670410HDFRRS00</v>
      </c>
      <c r="F145" s="2243" t="str">
        <f>_xlfn.XLOOKUP($D145,  Tabla3[No.],  Tabla3[Matrícula Of. SEQ], " ")</f>
        <v>64MD05B-04</v>
      </c>
      <c r="G145" s="2472" t="str">
        <f>IFERROR(VLOOKUP(D145,Tabla3[],5,FALSE),"")</f>
        <v>GARCIA CRUZ OSCAR RICARDO</v>
      </c>
      <c r="H145" s="71" t="str">
        <f t="shared" si="21"/>
        <v>H</v>
      </c>
      <c r="I145" s="71" t="str">
        <f t="shared" si="22"/>
        <v>67</v>
      </c>
      <c r="J145" s="71" t="str">
        <f t="shared" si="23"/>
        <v>04</v>
      </c>
      <c r="K145" s="71" t="str">
        <f t="shared" si="24"/>
        <v>10</v>
      </c>
      <c r="L145" s="3938"/>
      <c r="M145" s="71" t="s">
        <v>731</v>
      </c>
      <c r="N145" s="2604"/>
      <c r="O145" s="2608"/>
      <c r="P145" s="2604"/>
      <c r="Q145" s="2604"/>
      <c r="R145" s="2610"/>
      <c r="S145" s="2509"/>
      <c r="T145" s="2590"/>
      <c r="U145" s="2509"/>
      <c r="V145" s="2509"/>
      <c r="W145" s="2509"/>
      <c r="X145" s="2509"/>
      <c r="Y145" s="2509"/>
      <c r="Z145" s="2611"/>
      <c r="AA145" s="2608"/>
      <c r="AB145" s="2604"/>
      <c r="AC145" s="2604"/>
      <c r="AD145" s="2509"/>
      <c r="AE145" s="2509"/>
      <c r="AF145" s="2590"/>
      <c r="AG145" s="2590"/>
      <c r="AH145" s="2590"/>
      <c r="AI145" s="2509"/>
      <c r="AJ145" s="223"/>
      <c r="AK145" s="223"/>
      <c r="AL145" s="223"/>
      <c r="AM145" s="223"/>
      <c r="AN145" s="206"/>
    </row>
    <row r="146" spans="1:43" s="2406" customFormat="1" ht="15.75">
      <c r="A146" s="2298" t="s">
        <v>1621</v>
      </c>
      <c r="B146" s="2465">
        <v>4</v>
      </c>
      <c r="C146" s="1600">
        <f>_xlfn.XLOOKUP($D146, Tabla3[No.], Tabla3[FECHA DE INICIO (PRIMERA CLASE CALENDARIO)]," ")</f>
        <v>44166</v>
      </c>
      <c r="D146" s="2627">
        <v>201</v>
      </c>
      <c r="E146" s="2241" t="str">
        <f>_xlfn.XLOOKUP($D146,  Tabla3[No.],  Tabla3[CURP], " ")</f>
        <v>GOMV760827MMCMRN05</v>
      </c>
      <c r="F146" s="2243" t="str">
        <f>_xlfn.XLOOKUP($D146,  Tabla3[No.],  Tabla3[Matrícula Of. SEQ], " ")</f>
        <v>64MD05A-04</v>
      </c>
      <c r="G146" s="2472" t="str">
        <f>IFERROR(VLOOKUP(D146,Tabla3[],5,FALSE),"")</f>
        <v>GOMEZ MARQUEZ VANIA</v>
      </c>
      <c r="H146" s="71" t="str">
        <f t="shared" si="21"/>
        <v>M</v>
      </c>
      <c r="I146" s="71" t="str">
        <f t="shared" si="22"/>
        <v>76</v>
      </c>
      <c r="J146" s="71" t="str">
        <f t="shared" si="23"/>
        <v>08</v>
      </c>
      <c r="K146" s="71" t="str">
        <f t="shared" si="24"/>
        <v>27</v>
      </c>
      <c r="L146" s="3938"/>
      <c r="M146" s="71" t="s">
        <v>731</v>
      </c>
      <c r="N146" s="2604">
        <v>10</v>
      </c>
      <c r="O146" s="2608">
        <v>9.6999999999999993</v>
      </c>
      <c r="P146" s="2604">
        <v>9.3000000000000007</v>
      </c>
      <c r="Q146" s="2604">
        <v>9</v>
      </c>
      <c r="R146" s="2612">
        <v>9.5</v>
      </c>
      <c r="S146" s="2509">
        <v>9</v>
      </c>
      <c r="T146" s="2590" t="s">
        <v>173</v>
      </c>
      <c r="U146" s="2509" t="s">
        <v>136</v>
      </c>
      <c r="V146" s="2509"/>
      <c r="W146" s="2509">
        <v>9.1999999999999993</v>
      </c>
      <c r="X146" s="2509">
        <v>9.6999999999999993</v>
      </c>
      <c r="Y146" s="2509">
        <v>9.6999999999999993</v>
      </c>
      <c r="Z146" s="2611">
        <v>10</v>
      </c>
      <c r="AA146" s="2608">
        <v>10</v>
      </c>
      <c r="AB146" s="2604">
        <v>9.6999999999999993</v>
      </c>
      <c r="AC146" s="2604">
        <v>9.5</v>
      </c>
      <c r="AD146" s="2509"/>
      <c r="AE146" s="2509"/>
      <c r="AF146" s="2590"/>
      <c r="AG146" s="2590"/>
      <c r="AH146" s="2590"/>
      <c r="AI146" s="2509"/>
      <c r="AJ146" s="223"/>
      <c r="AK146" s="223"/>
      <c r="AL146" s="223"/>
      <c r="AM146" s="223"/>
      <c r="AN146" s="206"/>
    </row>
    <row r="147" spans="1:43" s="2406" customFormat="1" ht="15.75">
      <c r="A147" s="2298" t="s">
        <v>1621</v>
      </c>
      <c r="B147" s="2465">
        <v>5</v>
      </c>
      <c r="C147" s="1600">
        <f>_xlfn.XLOOKUP($D147, Tabla3[No.], Tabla3[FECHA DE INICIO (PRIMERA CLASE CALENDARIO)]," ")</f>
        <v>44166</v>
      </c>
      <c r="D147" s="2627">
        <v>177</v>
      </c>
      <c r="E147" s="2241" t="str">
        <f>_xlfn.XLOOKUP($D147,  Tabla3[No.],  Tabla3[CURP], " ")</f>
        <v>LURA870316HQRNMN02</v>
      </c>
      <c r="F147" s="2243" t="str">
        <f>_xlfn.XLOOKUP($D147,  Tabla3[No.],  Tabla3[Matrícula Of. SEQ], " ")</f>
        <v>64MD05A-05</v>
      </c>
      <c r="G147" s="2472" t="str">
        <f>IFERROR(VLOOKUP(D147,Tabla3[],5,FALSE),"")</f>
        <v>LUNA RAMOS ANGEL GUILLERMO</v>
      </c>
      <c r="H147" s="71" t="str">
        <f t="shared" si="21"/>
        <v>H</v>
      </c>
      <c r="I147" s="71" t="str">
        <f t="shared" si="22"/>
        <v>87</v>
      </c>
      <c r="J147" s="71" t="str">
        <f t="shared" si="23"/>
        <v>03</v>
      </c>
      <c r="K147" s="71" t="str">
        <f t="shared" si="24"/>
        <v>16</v>
      </c>
      <c r="L147" s="3938"/>
      <c r="M147" s="71" t="s">
        <v>731</v>
      </c>
      <c r="N147" s="2604">
        <v>8.6999999999999993</v>
      </c>
      <c r="O147" s="2608">
        <v>9.6</v>
      </c>
      <c r="P147" s="2604">
        <v>8.1</v>
      </c>
      <c r="Q147" s="2603">
        <v>8</v>
      </c>
      <c r="R147" s="1185" t="s">
        <v>736</v>
      </c>
      <c r="S147" s="2509">
        <v>9</v>
      </c>
      <c r="T147" s="2590">
        <v>10</v>
      </c>
      <c r="U147" s="2509">
        <v>9</v>
      </c>
      <c r="V147" s="2509"/>
      <c r="W147" s="2509">
        <v>9.1999999999999993</v>
      </c>
      <c r="X147" s="2509">
        <v>9.6999999999999993</v>
      </c>
      <c r="Y147" s="2509">
        <v>10</v>
      </c>
      <c r="Z147" s="314" t="s">
        <v>136</v>
      </c>
      <c r="AA147" s="2608">
        <v>10</v>
      </c>
      <c r="AB147" s="2604">
        <v>9.6</v>
      </c>
      <c r="AC147" s="2604">
        <v>9</v>
      </c>
      <c r="AD147" s="2613"/>
      <c r="AE147" s="2509"/>
      <c r="AF147" s="2590"/>
      <c r="AG147" s="2590"/>
      <c r="AH147" s="2590"/>
      <c r="AI147" s="2509"/>
      <c r="AJ147" s="223"/>
      <c r="AK147" s="223"/>
      <c r="AL147" s="223"/>
      <c r="AM147" s="223"/>
      <c r="AN147" s="206"/>
    </row>
    <row r="148" spans="1:43" s="2406" customFormat="1" ht="15.75">
      <c r="A148" s="2298" t="s">
        <v>1621</v>
      </c>
      <c r="B148" s="2465">
        <v>6</v>
      </c>
      <c r="C148" s="1600">
        <f>_xlfn.XLOOKUP($D148, Tabla3[No.], Tabla3[FECHA DE INICIO (PRIMERA CLASE CALENDARIO)]," ")</f>
        <v>44185</v>
      </c>
      <c r="D148" s="2627">
        <v>115</v>
      </c>
      <c r="E148" s="2241" t="str">
        <f>_xlfn.XLOOKUP($D148,  Tabla3[No.],  Tabla3[CURP], " ")</f>
        <v>NOGL901010HQRVNS00</v>
      </c>
      <c r="F148" s="2243" t="str">
        <f>_xlfn.XLOOKUP($D148,  Tabla3[No.],  Tabla3[Matrícula Of. SEQ], " ")</f>
        <v>64MD05A-06</v>
      </c>
      <c r="G148" s="2472" t="str">
        <f>IFERROR(VLOOKUP(D148,Tabla3[],5,FALSE),"")</f>
        <v>NOVELO GONZALEZ LUIS CARLOS</v>
      </c>
      <c r="H148" s="71" t="str">
        <f t="shared" si="21"/>
        <v>H</v>
      </c>
      <c r="I148" s="71" t="str">
        <f t="shared" si="22"/>
        <v>90</v>
      </c>
      <c r="J148" s="71" t="str">
        <f t="shared" si="23"/>
        <v>10</v>
      </c>
      <c r="K148" s="71" t="str">
        <f t="shared" si="24"/>
        <v>10</v>
      </c>
      <c r="L148" s="3938"/>
      <c r="M148" s="71" t="s">
        <v>731</v>
      </c>
      <c r="N148" s="2604">
        <v>8.5</v>
      </c>
      <c r="O148" s="2608">
        <v>9.4</v>
      </c>
      <c r="P148" s="2604">
        <v>9.3000000000000007</v>
      </c>
      <c r="Q148" s="2604">
        <v>9</v>
      </c>
      <c r="R148" s="2509">
        <v>8.3000000000000007</v>
      </c>
      <c r="S148" s="314" t="s">
        <v>136</v>
      </c>
      <c r="T148" s="2590" t="s">
        <v>726</v>
      </c>
      <c r="U148" s="2509">
        <v>9.6999999999999993</v>
      </c>
      <c r="V148" s="314" t="s">
        <v>136</v>
      </c>
      <c r="W148" s="2509">
        <v>9.1999999999999993</v>
      </c>
      <c r="X148" s="2509">
        <v>9.6999999999999993</v>
      </c>
      <c r="Y148" s="2509">
        <v>10</v>
      </c>
      <c r="Z148" s="314" t="s">
        <v>136</v>
      </c>
      <c r="AA148" s="2608">
        <v>10</v>
      </c>
      <c r="AB148" s="2604">
        <v>9.4</v>
      </c>
      <c r="AC148" s="2604">
        <v>9</v>
      </c>
      <c r="AD148" s="2609" t="s">
        <v>658</v>
      </c>
      <c r="AE148" s="2609" t="s">
        <v>658</v>
      </c>
      <c r="AF148" s="2609" t="s">
        <v>136</v>
      </c>
      <c r="AG148" s="2609"/>
      <c r="AH148" s="2609"/>
      <c r="AI148" s="2609" t="s">
        <v>136</v>
      </c>
      <c r="AJ148" s="223"/>
      <c r="AK148" s="223"/>
      <c r="AL148" s="223"/>
      <c r="AM148" s="223"/>
      <c r="AN148" s="206"/>
    </row>
    <row r="149" spans="1:43" s="2406" customFormat="1" ht="15.75">
      <c r="A149" s="2298" t="s">
        <v>1621</v>
      </c>
      <c r="B149" s="2465">
        <v>7</v>
      </c>
      <c r="C149" s="1600">
        <f>_xlfn.XLOOKUP($D149, Tabla3[No.], Tabla3[FECHA DE INICIO (PRIMERA CLASE CALENDARIO)]," ")</f>
        <v>44166</v>
      </c>
      <c r="D149" s="2627">
        <v>116</v>
      </c>
      <c r="E149" s="2241" t="str">
        <f>_xlfn.XLOOKUP($D149,  Tabla3[No.],  Tabla3[CURP], " ")</f>
        <v>OOMK861127MSLCNS03</v>
      </c>
      <c r="F149" s="2243" t="str">
        <f>_xlfn.XLOOKUP($D149,  Tabla3[No.],  Tabla3[Matrícula Of. SEQ], " ")</f>
        <v>64MD05A-06</v>
      </c>
      <c r="G149" s="2472" t="str">
        <f>IFERROR(VLOOKUP(D149,Tabla3[],5,FALSE),"")</f>
        <v>OCHOA MONTELONGO KESSIA YEMINA</v>
      </c>
      <c r="H149" s="71" t="str">
        <f t="shared" si="21"/>
        <v>M</v>
      </c>
      <c r="I149" s="71" t="str">
        <f t="shared" si="22"/>
        <v>86</v>
      </c>
      <c r="J149" s="71" t="str">
        <f t="shared" si="23"/>
        <v>11</v>
      </c>
      <c r="K149" s="71" t="str">
        <f t="shared" si="24"/>
        <v>27</v>
      </c>
      <c r="L149" s="3938"/>
      <c r="M149" s="71" t="s">
        <v>731</v>
      </c>
      <c r="N149" s="2604">
        <v>9.1</v>
      </c>
      <c r="O149" s="2608">
        <v>9.6999999999999993</v>
      </c>
      <c r="P149" s="2604">
        <v>9.3000000000000007</v>
      </c>
      <c r="Q149" s="2604">
        <v>8</v>
      </c>
      <c r="R149" s="2509">
        <v>8.6999999999999993</v>
      </c>
      <c r="S149" s="2509">
        <v>10</v>
      </c>
      <c r="T149" s="2590" t="s">
        <v>726</v>
      </c>
      <c r="U149" s="2509">
        <v>10</v>
      </c>
      <c r="V149" s="2509"/>
      <c r="W149" s="2509">
        <v>9.1999999999999993</v>
      </c>
      <c r="X149" s="2509">
        <v>9.6999999999999993</v>
      </c>
      <c r="Y149" s="2509" t="s">
        <v>135</v>
      </c>
      <c r="Z149" s="2611">
        <v>10</v>
      </c>
      <c r="AA149" s="2608">
        <v>10</v>
      </c>
      <c r="AB149" s="2604">
        <v>9.6</v>
      </c>
      <c r="AC149" s="2614">
        <v>9</v>
      </c>
      <c r="AD149" s="2543"/>
      <c r="AE149" s="2509"/>
      <c r="AF149" s="2590"/>
      <c r="AG149" s="2590"/>
      <c r="AH149" s="2590"/>
      <c r="AI149" s="2509"/>
      <c r="AJ149" s="223"/>
      <c r="AK149" s="223"/>
      <c r="AL149" s="223"/>
      <c r="AM149" s="223"/>
      <c r="AN149" s="206"/>
    </row>
    <row r="150" spans="1:43" s="2406" customFormat="1" ht="15.75">
      <c r="A150" s="2406" t="s">
        <v>1764</v>
      </c>
      <c r="B150" s="2465">
        <v>8</v>
      </c>
      <c r="C150" s="1600">
        <f>_xlfn.XLOOKUP($D150, Tabla3[No.], Tabla3[FECHA DE INICIO (PRIMERA CLASE CALENDARIO)]," ")</f>
        <v>44694</v>
      </c>
      <c r="D150" s="2627">
        <v>379</v>
      </c>
      <c r="E150" s="2241" t="str">
        <f>_xlfn.XLOOKUP($D150,  Tabla3[No.],  Tabla3[CURP], " ")</f>
        <v>VAGR710527HMCLRB07</v>
      </c>
      <c r="F150" s="2243" t="str">
        <f>_xlfn.XLOOKUP($D150,  Tabla3[No.],  Tabla3[Matrícula Of. SEQ], " ")</f>
        <v>64MD05B-08</v>
      </c>
      <c r="G150" s="2472" t="str">
        <f>IFERROR(VLOOKUP(D150,Tabla3[],5,FALSE),"")</f>
        <v>VALDES GARCIA ROBERTO</v>
      </c>
      <c r="H150" s="2543"/>
      <c r="I150" s="2543"/>
      <c r="J150" s="2543"/>
      <c r="K150" s="2543"/>
      <c r="L150" s="3961"/>
      <c r="M150" s="2617" t="s">
        <v>731</v>
      </c>
      <c r="N150" s="2543"/>
      <c r="O150" s="2543"/>
      <c r="P150" s="2543"/>
      <c r="Q150" s="2543"/>
      <c r="R150" s="2543"/>
      <c r="S150" s="2543"/>
      <c r="T150" s="2543"/>
      <c r="U150" s="2543"/>
      <c r="V150" s="2543"/>
      <c r="W150" s="2543"/>
      <c r="X150" s="2543"/>
      <c r="Y150" s="2543"/>
      <c r="Z150" s="2543"/>
      <c r="AA150" s="2543"/>
      <c r="AB150" s="2298"/>
      <c r="AC150" s="2298"/>
      <c r="AD150" s="2543"/>
      <c r="AE150" s="2543"/>
      <c r="AF150" s="2543"/>
      <c r="AG150" s="2543"/>
      <c r="AH150" s="2543"/>
      <c r="AI150" s="2543"/>
      <c r="AJ150" s="2543"/>
      <c r="AK150" s="2543"/>
      <c r="AL150" s="2543"/>
      <c r="AM150" s="2543"/>
    </row>
    <row r="151" spans="1:43" s="2406" customFormat="1" ht="15.75">
      <c r="A151" s="2298" t="s">
        <v>1621</v>
      </c>
      <c r="B151" s="2465">
        <v>9</v>
      </c>
      <c r="C151" s="1600">
        <f>_xlfn.XLOOKUP($D151, Tabla3[No.], Tabla3[FECHA DE INICIO (PRIMERA CLASE CALENDARIO)]," ")</f>
        <v>44177</v>
      </c>
      <c r="D151" s="2627">
        <v>27</v>
      </c>
      <c r="E151" s="2241" t="str">
        <f>_xlfn.XLOOKUP($D151,  Tabla3[No.],  Tabla3[CURP], " ")</f>
        <v>YACM970924MQRMHR01</v>
      </c>
      <c r="F151" s="2243" t="str">
        <f>_xlfn.XLOOKUP($D151,  Tabla3[No.],  Tabla3[Matrícula Of. SEQ], " ")</f>
        <v>64MD05A-11</v>
      </c>
      <c r="G151" s="2472" t="str">
        <f>IFERROR(VLOOKUP(D151,Tabla3[],5,FALSE),"")</f>
        <v>YAM CAHUIL MERCEDES MARIVI</v>
      </c>
      <c r="H151" s="71" t="str">
        <f>MID(E151,11,1)</f>
        <v>M</v>
      </c>
      <c r="I151" s="71" t="str">
        <f>MID(E151,5,2)</f>
        <v>97</v>
      </c>
      <c r="J151" s="71" t="str">
        <f>MID(E151,7,2)</f>
        <v>09</v>
      </c>
      <c r="K151" s="71" t="str">
        <f t="shared" ref="K151:K157" si="25">MID(E151,9,2)</f>
        <v>24</v>
      </c>
      <c r="L151" s="3939"/>
      <c r="M151" s="2617" t="s">
        <v>731</v>
      </c>
      <c r="N151" s="2604">
        <v>8.8000000000000007</v>
      </c>
      <c r="O151" s="2608">
        <v>8.1999999999999993</v>
      </c>
      <c r="P151" s="2604">
        <v>9</v>
      </c>
      <c r="Q151" s="2604">
        <v>8</v>
      </c>
      <c r="R151" s="2509">
        <v>8.3000000000000007</v>
      </c>
      <c r="S151" s="2509">
        <v>8.9</v>
      </c>
      <c r="T151" s="2590" t="s">
        <v>726</v>
      </c>
      <c r="U151" s="2509">
        <v>9</v>
      </c>
      <c r="V151" s="2509"/>
      <c r="W151" s="2509">
        <v>9.1999999999999993</v>
      </c>
      <c r="X151" s="2605" t="s">
        <v>136</v>
      </c>
      <c r="Y151" s="2605" t="s">
        <v>136</v>
      </c>
      <c r="Z151" s="2605" t="s">
        <v>136</v>
      </c>
      <c r="AA151" s="2605" t="s">
        <v>135</v>
      </c>
      <c r="AB151" s="2619"/>
      <c r="AC151" s="2614"/>
      <c r="AD151" s="2576"/>
      <c r="AE151" s="2576"/>
      <c r="AF151" s="2576"/>
      <c r="AG151" s="2576"/>
      <c r="AH151" s="2576"/>
      <c r="AI151" s="2576"/>
      <c r="AJ151" s="223"/>
      <c r="AK151" s="223"/>
      <c r="AL151" s="223"/>
      <c r="AM151" s="223"/>
      <c r="AN151" s="206"/>
    </row>
    <row r="152" spans="1:43" s="2406" customFormat="1" ht="15.75">
      <c r="A152" s="2298" t="s">
        <v>1621</v>
      </c>
      <c r="B152" s="2465">
        <v>10</v>
      </c>
      <c r="C152" s="1600">
        <f>_xlfn.XLOOKUP($D152, Tabla3[No.], Tabla3[FECHA DE INICIO (PRIMERA CLASE CALENDARIO)]," ")</f>
        <v>43881</v>
      </c>
      <c r="D152" s="2627">
        <v>229</v>
      </c>
      <c r="E152" s="2241" t="str">
        <f>_xlfn.XLOOKUP($D152,  Tabla3[No.],  Tabla3[CURP], " ")</f>
        <v>BASE740601MYNSLR01</v>
      </c>
      <c r="F152" s="2243" t="str">
        <f>_xlfn.XLOOKUP($D152,  Tabla3[No.],  Tabla3[Matrícula Of. SEQ], " ")</f>
        <v>64MD04C2-02</v>
      </c>
      <c r="G152" s="2472" t="str">
        <f>IFERROR(VLOOKUP(D152,Tabla3[],5,FALSE),"")</f>
        <v xml:space="preserve">BASULTO  SOLIS ERIKA RAQUEL </v>
      </c>
      <c r="H152" s="2620" t="str">
        <f>MID(E152,5,2)</f>
        <v>74</v>
      </c>
      <c r="I152" s="2620" t="str">
        <f>MID(E152,7,2)</f>
        <v>06</v>
      </c>
      <c r="J152" s="2620" t="str">
        <f>MID(E152,9,2)</f>
        <v>01</v>
      </c>
      <c r="K152" s="71" t="str">
        <f t="shared" si="25"/>
        <v>01</v>
      </c>
      <c r="L152" s="2288"/>
      <c r="M152" s="2621" t="s">
        <v>1723</v>
      </c>
      <c r="N152" s="223"/>
      <c r="O152" s="223"/>
      <c r="P152" s="223"/>
      <c r="Q152" s="223"/>
      <c r="R152" s="2543"/>
      <c r="S152" s="2543"/>
      <c r="T152" s="2543"/>
      <c r="U152" s="2543"/>
      <c r="V152" s="223">
        <v>9</v>
      </c>
      <c r="W152" s="223"/>
      <c r="X152" s="223"/>
      <c r="Y152" s="223"/>
      <c r="Z152" s="223"/>
      <c r="AA152" s="223"/>
      <c r="AB152" s="2299"/>
      <c r="AC152" s="2299"/>
      <c r="AD152" s="2570"/>
      <c r="AE152" s="2570"/>
      <c r="AF152" s="2570"/>
      <c r="AG152" s="2570"/>
      <c r="AH152" s="2570"/>
      <c r="AI152" s="2570"/>
      <c r="AJ152" s="223"/>
      <c r="AK152" s="223"/>
      <c r="AL152" s="223"/>
      <c r="AM152" s="223"/>
      <c r="AN152" s="206"/>
    </row>
    <row r="153" spans="1:43" s="2406" customFormat="1" ht="15.75">
      <c r="A153" s="2298" t="s">
        <v>1621</v>
      </c>
      <c r="B153" s="2465">
        <v>11</v>
      </c>
      <c r="C153" s="1600">
        <f>_xlfn.XLOOKUP($D153, Tabla3[No.], Tabla3[FECHA DE INICIO (PRIMERA CLASE CALENDARIO)]," ")</f>
        <v>44317</v>
      </c>
      <c r="D153" s="2627">
        <v>242</v>
      </c>
      <c r="E153" s="2241" t="str">
        <f>_xlfn.XLOOKUP($D153,  Tabla3[No.],  Tabla3[CURP], " ")</f>
        <v>MEHA671215HJCNRR08</v>
      </c>
      <c r="F153" s="2243" t="str">
        <f>_xlfn.XLOOKUP($D153,  Tabla3[No.],  Tabla3[Matrícula Of. SEQ], " ")</f>
        <v>64MD06A-07</v>
      </c>
      <c r="G153" s="2472" t="str">
        <f>IFERROR(VLOOKUP(D153,Tabla3[],5,FALSE),"")</f>
        <v>MENDOZA HERNANDEZ JOSE ARTURO</v>
      </c>
      <c r="H153" s="71" t="str">
        <f>MID(E153,11,1)</f>
        <v>H</v>
      </c>
      <c r="I153" s="71" t="str">
        <f>MID(E153,5,2)</f>
        <v>67</v>
      </c>
      <c r="J153" s="71" t="str">
        <f>MID(E153,7,2)</f>
        <v>12</v>
      </c>
      <c r="K153" s="71" t="str">
        <f t="shared" si="25"/>
        <v>15</v>
      </c>
      <c r="L153" s="3938"/>
      <c r="M153" s="71" t="s">
        <v>731</v>
      </c>
      <c r="N153" s="314"/>
      <c r="O153" s="314"/>
      <c r="P153" s="314"/>
      <c r="Q153" s="314"/>
      <c r="R153" s="314"/>
      <c r="S153" s="223">
        <v>9</v>
      </c>
      <c r="T153" s="223" t="s">
        <v>743</v>
      </c>
      <c r="U153" s="223">
        <v>10</v>
      </c>
      <c r="V153" s="223"/>
      <c r="W153" s="2509">
        <v>9.1999999999999993</v>
      </c>
      <c r="X153" s="2509">
        <v>9.6999999999999993</v>
      </c>
      <c r="Y153" s="223">
        <v>10</v>
      </c>
      <c r="Z153" s="314">
        <v>9</v>
      </c>
      <c r="AA153" s="2622">
        <v>10</v>
      </c>
      <c r="AB153" s="2604">
        <v>9.6999999999999993</v>
      </c>
      <c r="AC153" s="2614">
        <v>9</v>
      </c>
      <c r="AD153" s="314"/>
      <c r="AE153" s="223"/>
      <c r="AF153" s="223"/>
      <c r="AG153" s="223"/>
      <c r="AH153" s="223"/>
      <c r="AI153" s="223"/>
      <c r="AJ153" s="223"/>
      <c r="AK153" s="223"/>
      <c r="AL153" s="223"/>
      <c r="AM153" s="223"/>
      <c r="AN153" s="206"/>
    </row>
    <row r="154" spans="1:43" s="2406" customFormat="1" ht="15.75">
      <c r="A154" s="2298" t="s">
        <v>1621</v>
      </c>
      <c r="B154" s="2465">
        <v>12</v>
      </c>
      <c r="C154" s="1600">
        <f>_xlfn.XLOOKUP($D154, Tabla3[No.], Tabla3[FECHA DE INICIO (PRIMERA CLASE CALENDARIO)]," ")</f>
        <v>44348</v>
      </c>
      <c r="D154" s="2627">
        <v>241</v>
      </c>
      <c r="E154" s="2241" t="str">
        <f>_xlfn.XLOOKUP($D154,  Tabla3[No.],  Tabla3[CURP], " ")</f>
        <v>DOUD841229HCCMCR07</v>
      </c>
      <c r="F154" s="2243" t="str">
        <f>_xlfn.XLOOKUP($D154,  Tabla3[No.],  Tabla3[Matrícula Of. SEQ], " ")</f>
        <v>64MD06A-03</v>
      </c>
      <c r="G154" s="2472" t="str">
        <f>IFERROR(VLOOKUP(D154,Tabla3[],5,FALSE),"")</f>
        <v>DOMINGUEZ UC DARWIN DAVID</v>
      </c>
      <c r="H154" s="71" t="str">
        <f>MID(E154,11,1)</f>
        <v>H</v>
      </c>
      <c r="I154" s="71" t="str">
        <f>MID(E154,5,2)</f>
        <v>84</v>
      </c>
      <c r="J154" s="71" t="str">
        <f>MID(E154,7,2)</f>
        <v>12</v>
      </c>
      <c r="K154" s="71" t="str">
        <f t="shared" si="25"/>
        <v>29</v>
      </c>
      <c r="L154" s="3938"/>
      <c r="M154" s="71" t="s">
        <v>731</v>
      </c>
      <c r="N154" s="314"/>
      <c r="O154" s="314"/>
      <c r="P154" s="314"/>
      <c r="Q154" s="314"/>
      <c r="R154" s="314"/>
      <c r="S154" s="223">
        <v>9</v>
      </c>
      <c r="T154" s="223" t="s">
        <v>743</v>
      </c>
      <c r="U154" s="223">
        <v>9</v>
      </c>
      <c r="V154" s="223"/>
      <c r="W154" s="2509">
        <v>9.1999999999999993</v>
      </c>
      <c r="X154" s="2509">
        <v>9.6999999999999993</v>
      </c>
      <c r="Y154" s="223">
        <v>10</v>
      </c>
      <c r="Z154" s="2622">
        <v>10</v>
      </c>
      <c r="AA154" s="2622">
        <v>10</v>
      </c>
      <c r="AB154" s="2604">
        <v>9.3000000000000007</v>
      </c>
      <c r="AC154" s="2614">
        <v>9</v>
      </c>
      <c r="AD154" s="314"/>
      <c r="AE154" s="223"/>
      <c r="AF154" s="223"/>
      <c r="AG154" s="223"/>
      <c r="AH154" s="223"/>
      <c r="AI154" s="223"/>
      <c r="AJ154" s="223"/>
      <c r="AK154" s="223"/>
      <c r="AL154" s="223"/>
      <c r="AM154" s="223"/>
      <c r="AN154" s="206"/>
    </row>
    <row r="155" spans="1:43" s="2406" customFormat="1" ht="15.75">
      <c r="A155" s="2298" t="s">
        <v>1621</v>
      </c>
      <c r="B155" s="2465">
        <v>13</v>
      </c>
      <c r="C155" s="1600">
        <f>_xlfn.XLOOKUP($D155, Tabla3[No.], Tabla3[FECHA DE INICIO (PRIMERA CLASE CALENDARIO)]," ")</f>
        <v>44228</v>
      </c>
      <c r="D155" s="2627">
        <v>230</v>
      </c>
      <c r="E155" s="2241" t="str">
        <f>_xlfn.XLOOKUP($D155,  Tabla3[No.],  Tabla3[CURP], " ")</f>
        <v>RAMM930219MYNMZY08</v>
      </c>
      <c r="F155" s="2243" t="str">
        <f>_xlfn.XLOOKUP($D155,  Tabla3[No.],  Tabla3[Matrícula Of. SEQ], " ")</f>
        <v>64MD06C2-01</v>
      </c>
      <c r="G155" s="2472" t="str">
        <f>IFERROR(VLOOKUP(D155,Tabla3[],5,FALSE),"")</f>
        <v>RAMOS MEZA MAYRA ALEJANDRA</v>
      </c>
      <c r="H155" s="71" t="str">
        <f>MID(E155,11,1)</f>
        <v>M</v>
      </c>
      <c r="I155" s="71" t="str">
        <f>MID(E155,5,2)</f>
        <v>93</v>
      </c>
      <c r="J155" s="71" t="str">
        <f>MID(E155,7,2)</f>
        <v>02</v>
      </c>
      <c r="K155" s="71" t="str">
        <f t="shared" si="25"/>
        <v>19</v>
      </c>
      <c r="L155" s="3938"/>
      <c r="M155" s="71" t="s">
        <v>731</v>
      </c>
      <c r="N155" s="2604">
        <v>9.3000000000000007</v>
      </c>
      <c r="O155" s="2608">
        <v>9.6</v>
      </c>
      <c r="P155" s="2623">
        <v>8</v>
      </c>
      <c r="Q155" s="2604">
        <v>8</v>
      </c>
      <c r="R155" s="2613">
        <v>9.3000000000000007</v>
      </c>
      <c r="S155" s="2605"/>
      <c r="T155" s="2590" t="s">
        <v>726</v>
      </c>
      <c r="U155" s="2509">
        <v>9.3000000000000007</v>
      </c>
      <c r="V155" s="2509"/>
      <c r="W155" s="2509">
        <v>9.1999999999999993</v>
      </c>
      <c r="X155" s="2509">
        <v>9.6999999999999993</v>
      </c>
      <c r="Y155" s="2509">
        <v>10</v>
      </c>
      <c r="Z155" s="314" t="s">
        <v>136</v>
      </c>
      <c r="AA155" s="2608">
        <v>10</v>
      </c>
      <c r="AB155" s="2604">
        <v>9.3000000000000007</v>
      </c>
      <c r="AC155" s="2614">
        <v>9</v>
      </c>
      <c r="AD155" s="2543"/>
      <c r="AE155" s="2509"/>
      <c r="AF155" s="2590"/>
      <c r="AG155" s="2590"/>
      <c r="AH155" s="2590"/>
      <c r="AI155" s="2509"/>
      <c r="AJ155" s="223"/>
      <c r="AK155" s="223"/>
      <c r="AL155" s="223"/>
      <c r="AM155" s="223"/>
      <c r="AN155" s="206"/>
    </row>
    <row r="156" spans="1:43" s="2406" customFormat="1" ht="15.75">
      <c r="A156" s="2298" t="s">
        <v>1621</v>
      </c>
      <c r="B156" s="2465">
        <v>14</v>
      </c>
      <c r="C156" s="1600">
        <f>_xlfn.XLOOKUP($D156, Tabla3[No.], Tabla3[FECHA DE INICIO (PRIMERA CLASE CALENDARIO)]," ")</f>
        <v>44228</v>
      </c>
      <c r="D156" s="2627">
        <v>329</v>
      </c>
      <c r="E156" s="2241" t="str">
        <f>_xlfn.XLOOKUP($D156,  Tabla3[No.],  Tabla3[CURP], " ")</f>
        <v>AAMI880618MDFLNL07</v>
      </c>
      <c r="F156" s="2243" t="str">
        <f>_xlfn.XLOOKUP($D156,  Tabla3[No.],  Tabla3[Matrícula Of. SEQ], " ")</f>
        <v>64MD05A-01</v>
      </c>
      <c r="G156" s="2472" t="str">
        <f>IFERROR(VLOOKUP(D156,Tabla3[],5,FALSE),"")</f>
        <v>ALVARADO MONTAÑO ILSE MONSERRAT</v>
      </c>
      <c r="H156" s="71" t="str">
        <f>MID(E156,11,1)</f>
        <v>M</v>
      </c>
      <c r="I156" s="71" t="str">
        <f>MID(E156,5,2)</f>
        <v>88</v>
      </c>
      <c r="J156" s="71" t="str">
        <f>MID(E156,7,2)</f>
        <v>06</v>
      </c>
      <c r="K156" s="71" t="str">
        <f t="shared" si="25"/>
        <v>18</v>
      </c>
      <c r="L156" s="3938"/>
      <c r="M156" s="71" t="s">
        <v>731</v>
      </c>
      <c r="N156" s="2604">
        <v>9.3000000000000007</v>
      </c>
      <c r="O156" s="2608">
        <v>8.5</v>
      </c>
      <c r="P156" s="2604">
        <v>9</v>
      </c>
      <c r="Q156" s="2604">
        <v>8</v>
      </c>
      <c r="R156" s="2624" t="s">
        <v>736</v>
      </c>
      <c r="S156" s="2509">
        <v>9.3000000000000007</v>
      </c>
      <c r="T156" s="2590" t="s">
        <v>726</v>
      </c>
      <c r="U156" s="2509">
        <v>10</v>
      </c>
      <c r="V156" s="2509"/>
      <c r="W156" s="2625">
        <v>9.1999999999999993</v>
      </c>
      <c r="X156" s="2625"/>
      <c r="Y156" s="2509"/>
      <c r="Z156" s="2604"/>
      <c r="AA156" s="287"/>
      <c r="AB156" s="2543"/>
      <c r="AC156" s="2543"/>
      <c r="AD156" s="2543"/>
      <c r="AE156" s="2543"/>
      <c r="AF156" s="2543"/>
      <c r="AG156" s="2543"/>
      <c r="AH156" s="2543"/>
      <c r="AI156" s="2543"/>
      <c r="AJ156" s="223"/>
      <c r="AK156" s="223"/>
      <c r="AL156" s="223"/>
      <c r="AM156" s="223"/>
      <c r="AN156" s="206"/>
    </row>
    <row r="157" spans="1:43" s="2406" customFormat="1" ht="15.75">
      <c r="A157" s="2298" t="s">
        <v>1621</v>
      </c>
      <c r="B157" s="2465">
        <v>15</v>
      </c>
      <c r="C157" s="1600">
        <f>_xlfn.XLOOKUP($D157, Tabla3[No.], Tabla3[FECHA DE INICIO (PRIMERA CLASE CALENDARIO)]," ")</f>
        <v>44228</v>
      </c>
      <c r="D157" s="2627">
        <v>118</v>
      </c>
      <c r="E157" s="2241" t="str">
        <f>_xlfn.XLOOKUP($D157,  Tabla3[No.],  Tabla3[CURP], " ")</f>
        <v>UXAA961123HQRCBN04</v>
      </c>
      <c r="F157" s="2243" t="str">
        <f>_xlfn.XLOOKUP($D157,  Tabla3[No.],  Tabla3[Matrícula Of. SEQ], " ")</f>
        <v>64MD05A-08</v>
      </c>
      <c r="G157" s="2472" t="str">
        <f>IFERROR(VLOOKUP(D157,Tabla3[],5,FALSE),"")</f>
        <v>UC ABAN ANGEL EDUARDO</v>
      </c>
      <c r="H157" s="71" t="str">
        <f>MID(E157,11,1)</f>
        <v>H</v>
      </c>
      <c r="I157" s="71" t="str">
        <f>MID(E157,5,2)</f>
        <v>96</v>
      </c>
      <c r="J157" s="71" t="str">
        <f>MID(E157,7,2)</f>
        <v>11</v>
      </c>
      <c r="K157" s="71" t="str">
        <f t="shared" si="25"/>
        <v>23</v>
      </c>
      <c r="L157" s="3938"/>
      <c r="M157" s="71" t="s">
        <v>731</v>
      </c>
      <c r="N157" s="2603" t="s">
        <v>752</v>
      </c>
      <c r="O157" s="2606"/>
      <c r="P157" s="2623">
        <v>9</v>
      </c>
      <c r="Q157" s="2604">
        <v>8</v>
      </c>
      <c r="R157" s="2613">
        <v>9</v>
      </c>
      <c r="S157" s="2605"/>
      <c r="T157" s="2590" t="s">
        <v>726</v>
      </c>
      <c r="U157" s="2509">
        <v>9</v>
      </c>
      <c r="V157" s="2509"/>
      <c r="W157" s="2625">
        <v>9.1999999999999993</v>
      </c>
      <c r="X157" s="2625"/>
      <c r="Y157" s="2509"/>
      <c r="Z157" s="2603"/>
      <c r="AA157" s="2606"/>
      <c r="AB157" s="2623"/>
      <c r="AC157" s="2614"/>
      <c r="AD157" s="223"/>
      <c r="AE157" s="223"/>
      <c r="AF157" s="223"/>
      <c r="AG157" s="223"/>
      <c r="AH157" s="223"/>
      <c r="AI157" s="223"/>
      <c r="AJ157" s="223"/>
      <c r="AK157" s="223"/>
      <c r="AL157" s="223"/>
      <c r="AM157" s="223"/>
      <c r="AN157" s="206"/>
    </row>
    <row r="158" spans="1:43" s="2406" customFormat="1" ht="15.75">
      <c r="B158" s="463"/>
      <c r="L158" s="299"/>
      <c r="AF158" s="206">
        <v>17</v>
      </c>
      <c r="AG158" s="206">
        <v>18</v>
      </c>
      <c r="AH158" s="206">
        <v>19</v>
      </c>
      <c r="AI158" s="206">
        <v>20</v>
      </c>
      <c r="AJ158" s="206"/>
      <c r="AK158" s="206"/>
      <c r="AP158" s="206"/>
      <c r="AQ158" s="206"/>
    </row>
    <row r="159" spans="1:43"/>
    <row r="160" spans="1:43" ht="15.75" thickBot="1">
      <c r="B160" s="3"/>
      <c r="C160" s="3"/>
      <c r="D160" s="3"/>
      <c r="E160" s="3"/>
      <c r="F160" s="3"/>
      <c r="G160" s="3"/>
      <c r="H160" s="219"/>
      <c r="I160" s="219"/>
      <c r="J160" s="219"/>
      <c r="K160" s="219"/>
      <c r="L160" s="3940"/>
      <c r="M160" s="2"/>
      <c r="N160" s="2"/>
      <c r="O160" s="2"/>
      <c r="P160" s="220">
        <v>44409</v>
      </c>
      <c r="Q160" s="211">
        <v>44440</v>
      </c>
      <c r="R160" s="210">
        <v>44470</v>
      </c>
      <c r="S160" s="210">
        <v>44501</v>
      </c>
      <c r="T160" s="211">
        <v>44531</v>
      </c>
      <c r="U160" s="2" t="s">
        <v>674</v>
      </c>
      <c r="V160" s="2" t="s">
        <v>445</v>
      </c>
      <c r="W160" s="2" t="s">
        <v>446</v>
      </c>
      <c r="X160" s="2" t="s">
        <v>447</v>
      </c>
      <c r="Y160" s="2" t="s">
        <v>448</v>
      </c>
      <c r="Z160" s="2" t="s">
        <v>449</v>
      </c>
      <c r="AA160" s="2" t="s">
        <v>450</v>
      </c>
      <c r="AB160" s="2"/>
      <c r="AC160" s="189"/>
      <c r="AD160" s="189"/>
      <c r="AE160" s="189"/>
      <c r="AF160" s="189"/>
      <c r="AG160" s="1874"/>
      <c r="AH160" s="1874"/>
      <c r="AI160" s="2"/>
      <c r="AJ160" s="2"/>
      <c r="AK160" s="2"/>
      <c r="AL160" s="2"/>
      <c r="AM160" s="2"/>
      <c r="AN160" s="2"/>
    </row>
    <row r="161" spans="1:43" s="2406" customFormat="1" ht="16.5" thickBot="1">
      <c r="A161" s="2406" t="s">
        <v>27</v>
      </c>
      <c r="B161" s="4166" t="s">
        <v>5</v>
      </c>
      <c r="C161" s="4372"/>
      <c r="D161" s="2634"/>
      <c r="E161" s="4161" t="s">
        <v>6</v>
      </c>
      <c r="F161" s="4161" t="s">
        <v>7</v>
      </c>
      <c r="G161" s="4216" t="s">
        <v>8</v>
      </c>
      <c r="H161" s="4227" t="s">
        <v>9</v>
      </c>
      <c r="I161" s="4220" t="s">
        <v>10</v>
      </c>
      <c r="J161" s="4221"/>
      <c r="K161" s="4221"/>
      <c r="L161" s="3936"/>
      <c r="M161" s="2655"/>
      <c r="N161" s="2656">
        <v>44317</v>
      </c>
      <c r="O161" s="2576" t="s">
        <v>646</v>
      </c>
      <c r="P161" s="2576"/>
      <c r="Q161" s="2576" t="s">
        <v>679</v>
      </c>
      <c r="R161" s="2576" t="s">
        <v>680</v>
      </c>
      <c r="S161" s="2576"/>
      <c r="T161" s="2576" t="s">
        <v>682</v>
      </c>
      <c r="U161" s="2576" t="s">
        <v>683</v>
      </c>
      <c r="V161" s="2576"/>
      <c r="W161" s="2576"/>
      <c r="X161" s="2576" t="s">
        <v>756</v>
      </c>
      <c r="Y161" s="2576"/>
      <c r="Z161" s="2576"/>
      <c r="AA161" s="2576"/>
      <c r="AB161" s="2576"/>
      <c r="AC161" s="2576"/>
      <c r="AD161" s="2570"/>
      <c r="AE161" s="2570"/>
      <c r="AF161" s="2570"/>
      <c r="AG161" s="2570"/>
      <c r="AH161" s="2570"/>
      <c r="AI161" s="2570"/>
      <c r="AJ161" s="223"/>
      <c r="AK161" s="223"/>
      <c r="AL161" s="223"/>
      <c r="AM161" s="223"/>
      <c r="AN161" s="206"/>
      <c r="AO161" s="206"/>
    </row>
    <row r="162" spans="1:43" s="2406" customFormat="1" ht="79.5" thickBot="1">
      <c r="A162" s="2633" t="s">
        <v>1724</v>
      </c>
      <c r="B162" s="4162"/>
      <c r="C162" s="4373"/>
      <c r="D162" s="2634"/>
      <c r="E162" s="4162"/>
      <c r="F162" s="4162"/>
      <c r="G162" s="4217"/>
      <c r="H162" s="4221"/>
      <c r="I162" s="4221"/>
      <c r="J162" s="4222"/>
      <c r="K162" s="4221"/>
      <c r="L162" s="3936"/>
      <c r="M162" s="2635" t="s">
        <v>1149</v>
      </c>
      <c r="N162" s="2636" t="s">
        <v>757</v>
      </c>
      <c r="O162" s="2581" t="s">
        <v>758</v>
      </c>
      <c r="P162" s="2582" t="s">
        <v>694</v>
      </c>
      <c r="Q162" s="2637" t="s">
        <v>695</v>
      </c>
      <c r="R162" s="2637" t="s">
        <v>613</v>
      </c>
      <c r="S162" s="2637" t="s">
        <v>696</v>
      </c>
      <c r="T162" s="2637"/>
      <c r="U162" s="2588"/>
      <c r="V162" s="2593"/>
      <c r="W162" s="2638" t="s">
        <v>461</v>
      </c>
      <c r="X162" s="2638" t="s">
        <v>462</v>
      </c>
      <c r="Y162" s="2593"/>
      <c r="Z162" s="2588"/>
      <c r="AA162" s="2588"/>
      <c r="AB162" s="2588"/>
      <c r="AC162" s="2588"/>
      <c r="AD162" s="223"/>
      <c r="AE162" s="223"/>
      <c r="AF162" s="223"/>
      <c r="AG162" s="223"/>
      <c r="AH162" s="223"/>
      <c r="AI162" s="223"/>
      <c r="AJ162" s="223"/>
      <c r="AK162" s="223"/>
      <c r="AL162" s="223"/>
      <c r="AM162" s="223"/>
      <c r="AN162" s="206"/>
      <c r="AO162" s="206"/>
    </row>
    <row r="163" spans="1:43" s="2406" customFormat="1" ht="32.25" thickBot="1">
      <c r="B163" s="4162"/>
      <c r="C163" s="2639"/>
      <c r="D163" s="2640"/>
      <c r="E163" s="4162"/>
      <c r="F163" s="4162"/>
      <c r="G163" s="4218"/>
      <c r="H163" s="4221"/>
      <c r="I163" s="4221"/>
      <c r="J163" s="4221"/>
      <c r="K163" s="4221"/>
      <c r="L163" s="3936"/>
      <c r="M163" s="2635" t="s">
        <v>1728</v>
      </c>
      <c r="N163" s="2575" t="s">
        <v>705</v>
      </c>
      <c r="O163" s="2576" t="s">
        <v>706</v>
      </c>
      <c r="P163" s="2576" t="s">
        <v>707</v>
      </c>
      <c r="Q163" s="2576" t="s">
        <v>708</v>
      </c>
      <c r="R163" s="2576" t="s">
        <v>709</v>
      </c>
      <c r="S163" s="2576" t="s">
        <v>710</v>
      </c>
      <c r="T163" s="2576" t="s">
        <v>711</v>
      </c>
      <c r="U163" s="2576" t="s">
        <v>712</v>
      </c>
      <c r="V163" s="2576" t="s">
        <v>465</v>
      </c>
      <c r="W163" s="2576" t="s">
        <v>466</v>
      </c>
      <c r="X163" s="2576" t="s">
        <v>467</v>
      </c>
      <c r="Y163" s="2576" t="s">
        <v>468</v>
      </c>
      <c r="Z163" s="2576" t="s">
        <v>469</v>
      </c>
      <c r="AA163" s="2576" t="s">
        <v>470</v>
      </c>
      <c r="AB163" s="2576" t="s">
        <v>471</v>
      </c>
      <c r="AC163" s="2576"/>
      <c r="AD163" s="223"/>
      <c r="AE163" s="223"/>
      <c r="AF163" s="223"/>
      <c r="AG163" s="223"/>
      <c r="AH163" s="223"/>
      <c r="AI163" s="223"/>
      <c r="AJ163" s="223"/>
      <c r="AK163" s="223"/>
      <c r="AL163" s="223"/>
      <c r="AM163" s="223"/>
      <c r="AN163" s="206"/>
      <c r="AO163" s="206"/>
    </row>
    <row r="164" spans="1:43" s="2406" customFormat="1" ht="79.5" thickBot="1">
      <c r="B164" s="4167"/>
      <c r="C164" s="2641" t="s">
        <v>263</v>
      </c>
      <c r="D164" s="2642"/>
      <c r="E164" s="4163"/>
      <c r="F164" s="4163"/>
      <c r="G164" s="2643" t="s">
        <v>78</v>
      </c>
      <c r="H164" s="4221"/>
      <c r="I164" s="2592" t="s">
        <v>79</v>
      </c>
      <c r="J164" s="2592" t="s">
        <v>80</v>
      </c>
      <c r="K164" s="2592" t="s">
        <v>81</v>
      </c>
      <c r="L164" s="3959" t="s">
        <v>1759</v>
      </c>
      <c r="M164" s="2644" t="s">
        <v>409</v>
      </c>
      <c r="N164" s="2581" t="s">
        <v>717</v>
      </c>
      <c r="O164" s="2581" t="s">
        <v>598</v>
      </c>
      <c r="P164" s="2581" t="s">
        <v>718</v>
      </c>
      <c r="Q164" s="2593" t="s">
        <v>719</v>
      </c>
      <c r="R164" s="2594" t="s">
        <v>720</v>
      </c>
      <c r="S164" s="2593" t="s">
        <v>721</v>
      </c>
      <c r="T164" s="2593" t="s">
        <v>722</v>
      </c>
      <c r="U164" s="2588" t="s">
        <v>723</v>
      </c>
      <c r="V164" s="2595" t="s">
        <v>472</v>
      </c>
      <c r="W164" s="2595" t="s">
        <v>473</v>
      </c>
      <c r="X164" s="2595" t="s">
        <v>474</v>
      </c>
      <c r="Y164" s="2596" t="s">
        <v>475</v>
      </c>
      <c r="Z164" s="2596" t="s">
        <v>476</v>
      </c>
      <c r="AA164" s="2596" t="s">
        <v>477</v>
      </c>
      <c r="AB164" s="2596" t="s">
        <v>477</v>
      </c>
      <c r="AC164" s="2588"/>
      <c r="AD164" s="223"/>
      <c r="AE164" s="223"/>
      <c r="AF164" s="223"/>
      <c r="AG164" s="223"/>
      <c r="AH164" s="223"/>
      <c r="AI164" s="223"/>
      <c r="AJ164" s="223"/>
      <c r="AK164" s="223"/>
      <c r="AL164" s="223"/>
      <c r="AM164" s="223"/>
      <c r="AN164" s="206"/>
      <c r="AO164" s="206"/>
    </row>
    <row r="165" spans="1:43" s="2406" customFormat="1" ht="15.75">
      <c r="B165" s="2465">
        <v>1</v>
      </c>
      <c r="C165" s="2242" t="str">
        <f>_xlfn.XLOOKUP($D165, Tabla3[No.], Tabla3[FECHA DE INICIO (PRIMERA CLASE CALENDARIO)]," ")</f>
        <v xml:space="preserve"> </v>
      </c>
      <c r="D165" s="2645"/>
      <c r="E165" s="2241" t="str">
        <f>_xlfn.XLOOKUP($D165,  Tabla3[No.],  Tabla3[CURP], " ")</f>
        <v xml:space="preserve"> </v>
      </c>
      <c r="F165" s="2243" t="str">
        <f>_xlfn.XLOOKUP($D165,  Tabla3[No.],  Tabla3[Matrícula Of. SEQ], " ")</f>
        <v xml:space="preserve"> </v>
      </c>
      <c r="G165" s="2646"/>
      <c r="H165" s="2618"/>
      <c r="I165" s="2647"/>
      <c r="J165" s="2647"/>
      <c r="K165" s="2647"/>
      <c r="L165" s="3941"/>
      <c r="M165" s="2626"/>
      <c r="N165" s="223"/>
      <c r="O165" s="223"/>
      <c r="P165" s="314"/>
      <c r="Q165" s="223"/>
      <c r="R165" s="2509"/>
      <c r="S165" s="2509"/>
      <c r="T165" s="223"/>
      <c r="U165" s="223"/>
      <c r="V165" s="2622"/>
      <c r="W165" s="2604"/>
      <c r="X165" s="2604"/>
      <c r="Y165" s="223"/>
      <c r="Z165" s="223"/>
      <c r="AA165" s="223"/>
      <c r="AB165" s="223"/>
      <c r="AC165" s="223"/>
      <c r="AD165" s="223"/>
      <c r="AE165" s="223"/>
      <c r="AF165" s="223"/>
      <c r="AG165" s="223"/>
      <c r="AH165" s="223"/>
      <c r="AI165" s="223"/>
      <c r="AJ165" s="223"/>
      <c r="AK165" s="223"/>
      <c r="AL165" s="223"/>
      <c r="AM165" s="223"/>
      <c r="AN165" s="206"/>
      <c r="AO165" s="206"/>
    </row>
    <row r="166" spans="1:43" s="2406" customFormat="1" ht="15.75">
      <c r="B166" s="2465"/>
      <c r="C166" s="2242">
        <f>_xlfn.XLOOKUP($D166, Tabla3[No.], Tabla3[FECHA DE INICIO (PRIMERA CLASE CALENDARIO)]," ")</f>
        <v>44317</v>
      </c>
      <c r="D166" s="2648">
        <v>301</v>
      </c>
      <c r="E166" s="2241" t="str">
        <f>_xlfn.XLOOKUP($D166,  Tabla3[No.],  Tabla3[CURP], " ")</f>
        <v>AISM880311MMCRNG00</v>
      </c>
      <c r="F166" s="2243" t="str">
        <f>_xlfn.XLOOKUP($D166,  Tabla3[No.],  Tabla3[Matrícula Of. SEQ], " ")</f>
        <v>64MD05B-01</v>
      </c>
      <c r="G166" s="2472" t="str">
        <f>IFERROR(VLOOKUP(D166,Tabla3[],5,FALSE),"")</f>
        <v xml:space="preserve">ARIZMENDI SANDOVAL MAGALY MARISOL </v>
      </c>
      <c r="H166" s="2618" t="str">
        <f t="shared" ref="H166:H172" si="26">MID(E166,11,1)</f>
        <v>M</v>
      </c>
      <c r="I166" s="2647">
        <v>88</v>
      </c>
      <c r="J166" s="71" t="str">
        <f t="shared" ref="J166:J172" si="27">MID(E166,7,2)</f>
        <v>03</v>
      </c>
      <c r="K166" s="2647">
        <v>11</v>
      </c>
      <c r="L166" s="3942"/>
      <c r="M166" s="2299" t="s">
        <v>740</v>
      </c>
      <c r="N166" s="93">
        <v>9</v>
      </c>
      <c r="O166" s="223" t="s">
        <v>743</v>
      </c>
      <c r="P166" s="2649">
        <v>9</v>
      </c>
      <c r="Q166" s="223">
        <v>9.3000000000000007</v>
      </c>
      <c r="R166" s="223">
        <v>9.1999999999999993</v>
      </c>
      <c r="S166" s="2650">
        <v>9.6999999999999993</v>
      </c>
      <c r="T166" s="2650">
        <v>9.6</v>
      </c>
      <c r="U166" s="327" t="s">
        <v>135</v>
      </c>
      <c r="V166" s="327" t="s">
        <v>135</v>
      </c>
      <c r="W166" s="2604">
        <v>9.6</v>
      </c>
      <c r="X166" s="223">
        <v>9</v>
      </c>
      <c r="Y166" s="223"/>
      <c r="Z166" s="223"/>
      <c r="AA166" s="223"/>
      <c r="AB166" s="223"/>
      <c r="AC166" s="223"/>
      <c r="AD166" s="223"/>
      <c r="AE166" s="223"/>
      <c r="AF166" s="223"/>
      <c r="AG166" s="223"/>
      <c r="AH166" s="223"/>
      <c r="AI166" s="223"/>
      <c r="AJ166" s="223"/>
      <c r="AK166" s="223"/>
      <c r="AL166" s="223"/>
      <c r="AM166" s="223"/>
      <c r="AN166" s="206"/>
      <c r="AO166" s="206"/>
    </row>
    <row r="167" spans="1:43" s="2406" customFormat="1" ht="15.75">
      <c r="B167" s="2465">
        <v>3</v>
      </c>
      <c r="C167" s="2242">
        <f>_xlfn.XLOOKUP($D167, Tabla3[No.], Tabla3[FECHA DE INICIO (PRIMERA CLASE CALENDARIO)]," ")</f>
        <v>44317</v>
      </c>
      <c r="D167" s="2648">
        <v>231</v>
      </c>
      <c r="E167" s="2241" t="str">
        <f>_xlfn.XLOOKUP($D167,  Tabla3[No.],  Tabla3[CURP], " ")</f>
        <v>GAOG820303MVZRRR02</v>
      </c>
      <c r="F167" s="2243" t="str">
        <f>_xlfn.XLOOKUP($D167,  Tabla3[No.],  Tabla3[Matrícula Of. SEQ], " ")</f>
        <v>64MD05B-03</v>
      </c>
      <c r="G167" s="2472" t="str">
        <f>IFERROR(VLOOKUP(D167,Tabla3[],5,FALSE),"")</f>
        <v>GARCIA ORTEGA GRISELDA</v>
      </c>
      <c r="H167" s="2618" t="str">
        <f t="shared" si="26"/>
        <v>M</v>
      </c>
      <c r="I167" s="71" t="str">
        <f t="shared" ref="I167:I172" si="28">MID(E167,5,2)</f>
        <v>82</v>
      </c>
      <c r="J167" s="71" t="str">
        <f t="shared" si="27"/>
        <v>03</v>
      </c>
      <c r="K167" s="71" t="str">
        <f t="shared" ref="K167:K172" si="29">MID(E167,9,2)</f>
        <v>03</v>
      </c>
      <c r="L167" s="3938"/>
      <c r="M167" s="2299" t="s">
        <v>740</v>
      </c>
      <c r="N167" s="93">
        <v>9</v>
      </c>
      <c r="O167" s="223" t="s">
        <v>743</v>
      </c>
      <c r="P167" s="327" t="s">
        <v>135</v>
      </c>
      <c r="Q167" s="223">
        <v>9.4</v>
      </c>
      <c r="R167" s="223">
        <v>9.1999999999999993</v>
      </c>
      <c r="S167" s="2650">
        <v>9.6999999999999993</v>
      </c>
      <c r="T167" s="223">
        <v>10</v>
      </c>
      <c r="U167" s="327" t="s">
        <v>135</v>
      </c>
      <c r="V167" s="223">
        <v>10</v>
      </c>
      <c r="W167" s="223">
        <v>9.6</v>
      </c>
      <c r="X167" s="223">
        <v>9</v>
      </c>
      <c r="Y167" s="223"/>
      <c r="Z167" s="223"/>
      <c r="AA167" s="223"/>
      <c r="AB167" s="223"/>
      <c r="AC167" s="223"/>
      <c r="AD167" s="223"/>
      <c r="AE167" s="223"/>
      <c r="AF167" s="223"/>
      <c r="AG167" s="223"/>
      <c r="AH167" s="223"/>
      <c r="AI167" s="223"/>
      <c r="AJ167" s="223"/>
      <c r="AK167" s="223"/>
      <c r="AL167" s="223"/>
      <c r="AM167" s="223"/>
      <c r="AN167" s="206"/>
      <c r="AO167" s="206"/>
    </row>
    <row r="168" spans="1:43" s="2406" customFormat="1" ht="15.75">
      <c r="B168" s="2465">
        <v>4</v>
      </c>
      <c r="C168" s="2242">
        <f>_xlfn.XLOOKUP($D168, Tabla3[No.], Tabla3[FECHA DE INICIO (PRIMERA CLASE CALENDARIO)]," ")</f>
        <v>44177</v>
      </c>
      <c r="D168" s="2648">
        <v>27</v>
      </c>
      <c r="E168" s="2241" t="str">
        <f>_xlfn.XLOOKUP($D168,  Tabla3[No.],  Tabla3[CURP], " ")</f>
        <v>YACM970924MQRMHR01</v>
      </c>
      <c r="F168" s="2243" t="str">
        <f>_xlfn.XLOOKUP($D168,  Tabla3[No.],  Tabla3[Matrícula Of. SEQ], " ")</f>
        <v>64MD05A-11</v>
      </c>
      <c r="G168" s="2472" t="str">
        <f>IFERROR(VLOOKUP(D168,Tabla3[],5,FALSE),"")</f>
        <v>YAM CAHUIL MERCEDES MARIVI</v>
      </c>
      <c r="H168" s="2618" t="str">
        <f t="shared" si="26"/>
        <v>M</v>
      </c>
      <c r="I168" s="71" t="str">
        <f t="shared" si="28"/>
        <v>97</v>
      </c>
      <c r="J168" s="71" t="str">
        <f t="shared" si="27"/>
        <v>09</v>
      </c>
      <c r="K168" s="71" t="str">
        <f t="shared" si="29"/>
        <v>24</v>
      </c>
      <c r="L168" s="3938"/>
      <c r="M168" s="2299" t="s">
        <v>740</v>
      </c>
      <c r="N168" s="2509">
        <v>8.3000000000000007</v>
      </c>
      <c r="O168" s="2509">
        <v>8.9</v>
      </c>
      <c r="P168" s="2590" t="s">
        <v>726</v>
      </c>
      <c r="Q168" s="2509">
        <v>9</v>
      </c>
      <c r="R168" s="2509"/>
      <c r="S168" s="2509">
        <v>9.1999999999999993</v>
      </c>
      <c r="T168" s="2605" t="s">
        <v>136</v>
      </c>
      <c r="U168" s="2605" t="s">
        <v>136</v>
      </c>
      <c r="V168" s="2605" t="s">
        <v>136</v>
      </c>
      <c r="W168" s="2605" t="s">
        <v>135</v>
      </c>
      <c r="X168" s="223"/>
      <c r="Y168" s="223"/>
      <c r="Z168" s="223"/>
      <c r="AA168" s="223"/>
      <c r="AB168" s="223"/>
      <c r="AC168" s="223"/>
      <c r="AD168" s="223"/>
      <c r="AE168" s="223"/>
      <c r="AF168" s="223"/>
      <c r="AG168" s="223"/>
      <c r="AH168" s="223"/>
      <c r="AI168" s="223"/>
      <c r="AJ168" s="223"/>
      <c r="AK168" s="223"/>
      <c r="AL168" s="223"/>
      <c r="AM168" s="223"/>
      <c r="AN168" s="206"/>
      <c r="AO168" s="206"/>
    </row>
    <row r="169" spans="1:43" s="2406" customFormat="1" ht="15.75">
      <c r="B169" s="2465" t="s">
        <v>760</v>
      </c>
      <c r="C169" s="2242">
        <f>_xlfn.XLOOKUP($D169, Tabla3[No.], Tabla3[FECHA DE INICIO (PRIMERA CLASE CALENDARIO)]," ")</f>
        <v>43881</v>
      </c>
      <c r="D169" s="2648">
        <v>229</v>
      </c>
      <c r="E169" s="2241" t="str">
        <f>_xlfn.XLOOKUP($D169,  Tabla3[No.],  Tabla3[CURP], " ")</f>
        <v>BASE740601MYNSLR01</v>
      </c>
      <c r="F169" s="2243" t="str">
        <f>_xlfn.XLOOKUP($D169,  Tabla3[No.],  Tabla3[Matrícula Of. SEQ], " ")</f>
        <v>64MD04C2-02</v>
      </c>
      <c r="G169" s="2472" t="str">
        <f>IFERROR(VLOOKUP(D169,Tabla3[],5,FALSE),"")</f>
        <v xml:space="preserve">BASULTO  SOLIS ERIKA RAQUEL </v>
      </c>
      <c r="H169" s="2618" t="str">
        <f t="shared" si="26"/>
        <v>M</v>
      </c>
      <c r="I169" s="2647" t="str">
        <f t="shared" si="28"/>
        <v>74</v>
      </c>
      <c r="J169" s="2647" t="str">
        <f t="shared" si="27"/>
        <v>06</v>
      </c>
      <c r="K169" s="2647" t="str">
        <f t="shared" si="29"/>
        <v>01</v>
      </c>
      <c r="L169" s="3942"/>
      <c r="M169" s="2651" t="s">
        <v>564</v>
      </c>
      <c r="N169" s="93"/>
      <c r="O169" s="223"/>
      <c r="P169" s="223"/>
      <c r="Q169" s="223">
        <v>9.5</v>
      </c>
      <c r="R169" s="223">
        <v>9.4</v>
      </c>
      <c r="S169" s="287"/>
      <c r="T169" s="223"/>
      <c r="U169" s="287"/>
      <c r="V169" s="223"/>
      <c r="W169" s="223"/>
      <c r="X169" s="223"/>
      <c r="Y169" s="223"/>
      <c r="Z169" s="223"/>
      <c r="AA169" s="223"/>
      <c r="AB169" s="223"/>
      <c r="AC169" s="223"/>
      <c r="AD169" s="223"/>
      <c r="AE169" s="223"/>
      <c r="AF169" s="223"/>
      <c r="AG169" s="223"/>
      <c r="AH169" s="223"/>
      <c r="AI169" s="223"/>
      <c r="AJ169" s="223"/>
      <c r="AK169" s="223"/>
      <c r="AL169" s="223"/>
      <c r="AM169" s="223"/>
      <c r="AN169" s="206"/>
      <c r="AO169" s="206"/>
    </row>
    <row r="170" spans="1:43" s="2406" customFormat="1" ht="15.75">
      <c r="B170" s="2465">
        <v>5</v>
      </c>
      <c r="C170" s="2242" t="str">
        <f>_xlfn.XLOOKUP($D170, Tabla3[No.], Tabla3[FECHA DE INICIO (PRIMERA CLASE CALENDARIO)]," ")</f>
        <v xml:space="preserve"> </v>
      </c>
      <c r="D170" s="2652"/>
      <c r="E170" s="2241" t="str">
        <f>_xlfn.XLOOKUP($D170,  Tabla3[No.],  Tabla3[CURP], " ")</f>
        <v xml:space="preserve"> </v>
      </c>
      <c r="F170" s="2243" t="str">
        <f>_xlfn.XLOOKUP($D170,  Tabla3[No.],  Tabla3[Matrícula Of. SEQ], " ")</f>
        <v xml:space="preserve"> </v>
      </c>
      <c r="G170" s="2472" t="str">
        <f>IFERROR(VLOOKUP(D170,Tabla3[],5,FALSE),"")</f>
        <v/>
      </c>
      <c r="H170" s="2618" t="str">
        <f t="shared" si="26"/>
        <v/>
      </c>
      <c r="I170" s="2647" t="str">
        <f t="shared" si="28"/>
        <v/>
      </c>
      <c r="J170" s="2647" t="str">
        <f t="shared" si="27"/>
        <v/>
      </c>
      <c r="K170" s="2647" t="str">
        <f t="shared" si="29"/>
        <v/>
      </c>
      <c r="L170" s="3941"/>
      <c r="M170" s="223" t="s">
        <v>740</v>
      </c>
      <c r="N170" s="223"/>
      <c r="O170" s="223"/>
      <c r="P170" s="223"/>
      <c r="Q170" s="223"/>
      <c r="R170" s="223"/>
      <c r="S170" s="287"/>
      <c r="T170" s="223"/>
      <c r="U170" s="287"/>
      <c r="V170" s="223"/>
      <c r="W170" s="223"/>
      <c r="X170" s="223"/>
      <c r="Y170" s="223"/>
      <c r="Z170" s="223"/>
      <c r="AA170" s="223"/>
      <c r="AB170" s="223"/>
      <c r="AC170" s="223"/>
      <c r="AD170" s="223"/>
      <c r="AE170" s="223"/>
      <c r="AF170" s="223"/>
      <c r="AG170" s="223"/>
      <c r="AH170" s="223"/>
      <c r="AI170" s="223"/>
      <c r="AJ170" s="223"/>
      <c r="AK170" s="223"/>
      <c r="AL170" s="223"/>
      <c r="AM170" s="223"/>
      <c r="AN170" s="206"/>
      <c r="AO170" s="206"/>
    </row>
    <row r="171" spans="1:43" s="2406" customFormat="1" ht="15.75">
      <c r="B171" s="2465">
        <v>6</v>
      </c>
      <c r="C171" s="2242">
        <f>_xlfn.XLOOKUP($D171, Tabla3[No.], Tabla3[FECHA DE INICIO (PRIMERA CLASE CALENDARIO)]," ")</f>
        <v>44440</v>
      </c>
      <c r="D171" s="2648">
        <v>292</v>
      </c>
      <c r="E171" s="2241" t="str">
        <f>_xlfn.XLOOKUP($D171,  Tabla3[No.],  Tabla3[CURP], " ")</f>
        <v>SABS730516HQRLSM01</v>
      </c>
      <c r="F171" s="2243" t="str">
        <f>_xlfn.XLOOKUP($D171,  Tabla3[No.],  Tabla3[Matrícula Of. SEQ], " ")</f>
        <v>64MD05C-02</v>
      </c>
      <c r="G171" s="2472" t="str">
        <f>IFERROR(VLOOKUP(D171,Tabla3[],5,FALSE),"")</f>
        <v>SALAZAR BASTO SAMUEL</v>
      </c>
      <c r="H171" s="2618" t="str">
        <f t="shared" si="26"/>
        <v>H</v>
      </c>
      <c r="I171" s="2647" t="str">
        <f t="shared" si="28"/>
        <v>73</v>
      </c>
      <c r="J171" s="2647" t="str">
        <f t="shared" si="27"/>
        <v>05</v>
      </c>
      <c r="K171" s="2647" t="str">
        <f t="shared" si="29"/>
        <v>16</v>
      </c>
      <c r="L171" s="3941"/>
      <c r="M171" s="223" t="s">
        <v>740</v>
      </c>
      <c r="N171" s="2653"/>
      <c r="O171" s="2653"/>
      <c r="P171" s="2653"/>
      <c r="Q171" s="2653"/>
      <c r="R171" s="2531"/>
      <c r="S171" s="2531"/>
      <c r="T171" s="2531"/>
      <c r="U171" s="2531"/>
      <c r="V171" s="2531">
        <v>10</v>
      </c>
      <c r="W171" s="2531">
        <v>9.6</v>
      </c>
      <c r="X171" s="2531"/>
      <c r="Y171" s="2531"/>
      <c r="Z171" s="2531"/>
      <c r="AA171" s="2531"/>
      <c r="AB171" s="2531"/>
      <c r="AC171" s="2531"/>
      <c r="AD171" s="223"/>
      <c r="AE171" s="223"/>
      <c r="AF171" s="223"/>
      <c r="AG171" s="223"/>
      <c r="AH171" s="223"/>
      <c r="AI171" s="223"/>
      <c r="AJ171" s="2531"/>
      <c r="AK171" s="2531"/>
      <c r="AL171" s="2531"/>
      <c r="AM171" s="2531"/>
      <c r="AN171" s="206"/>
      <c r="AO171" s="206"/>
    </row>
    <row r="172" spans="1:43" s="2406" customFormat="1" ht="15.75">
      <c r="A172" s="2406" t="s">
        <v>1709</v>
      </c>
      <c r="B172" s="2465">
        <v>7</v>
      </c>
      <c r="C172" s="2242">
        <f>_xlfn.XLOOKUP($D172, Tabla3[No.], Tabla3[FECHA DE INICIO (PRIMERA CLASE CALENDARIO)]," ")</f>
        <v>44694</v>
      </c>
      <c r="D172" s="2648">
        <v>379</v>
      </c>
      <c r="E172" s="2241" t="str">
        <f>_xlfn.XLOOKUP($D172,  Tabla3[No.],  Tabla3[CURP], " ")</f>
        <v>VAGR710527HMCLRB07</v>
      </c>
      <c r="F172" s="2243" t="str">
        <f>_xlfn.XLOOKUP($D172,  Tabla3[No.],  Tabla3[Matrícula Of. SEQ], " ")</f>
        <v>64MD05B-08</v>
      </c>
      <c r="G172" s="2472" t="str">
        <f>IFERROR(VLOOKUP(D172,Tabla3[],5,FALSE),"")</f>
        <v>VALDES GARCIA ROBERTO</v>
      </c>
      <c r="H172" s="2618" t="str">
        <f t="shared" si="26"/>
        <v>H</v>
      </c>
      <c r="I172" s="2647" t="str">
        <f t="shared" si="28"/>
        <v>71</v>
      </c>
      <c r="J172" s="2647" t="str">
        <f t="shared" si="27"/>
        <v>05</v>
      </c>
      <c r="K172" s="2647" t="str">
        <f t="shared" si="29"/>
        <v>27</v>
      </c>
      <c r="L172" s="3941"/>
      <c r="M172" s="223" t="s">
        <v>740</v>
      </c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23"/>
      <c r="Z172" s="223"/>
      <c r="AA172" s="223"/>
      <c r="AB172" s="223"/>
      <c r="AC172" s="223"/>
      <c r="AD172" s="223"/>
      <c r="AE172" s="223"/>
      <c r="AF172" s="223"/>
      <c r="AG172" s="223"/>
      <c r="AH172" s="223"/>
      <c r="AI172" s="223"/>
      <c r="AJ172" s="223"/>
      <c r="AK172" s="223"/>
      <c r="AL172" s="223"/>
      <c r="AM172" s="223"/>
      <c r="AN172" s="206"/>
      <c r="AO172" s="206"/>
    </row>
    <row r="173" spans="1:43" s="2406" customFormat="1" ht="15.75">
      <c r="B173" s="463"/>
      <c r="C173" s="206"/>
      <c r="D173" s="206"/>
      <c r="E173" s="2654"/>
      <c r="F173" s="2436"/>
      <c r="G173" s="2654"/>
      <c r="H173" s="206"/>
      <c r="I173" s="2436"/>
      <c r="J173" s="2436"/>
      <c r="K173" s="2436"/>
      <c r="L173" s="3932"/>
      <c r="M173" s="206"/>
      <c r="N173" s="206"/>
      <c r="O173" s="206"/>
      <c r="P173" s="206"/>
      <c r="Q173" s="206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  <c r="AD173" s="206"/>
      <c r="AE173" s="206"/>
      <c r="AF173" s="206"/>
      <c r="AG173" s="206"/>
      <c r="AH173" s="206"/>
      <c r="AI173" s="206"/>
      <c r="AJ173" s="206"/>
      <c r="AK173" s="206"/>
      <c r="AL173" s="206"/>
      <c r="AM173" s="206"/>
      <c r="AN173" s="206"/>
      <c r="AO173" s="206"/>
      <c r="AP173" s="206"/>
      <c r="AQ173" s="206"/>
    </row>
    <row r="174" spans="1:43"/>
    <row r="175" spans="1:43"/>
    <row r="176" spans="1:43"/>
    <row r="177" spans="2:43" ht="15.75" thickBot="1">
      <c r="O177" s="1"/>
      <c r="AC177" s="175" t="s">
        <v>770</v>
      </c>
      <c r="AD177" s="175" t="s">
        <v>445</v>
      </c>
      <c r="AE177" s="175" t="s">
        <v>446</v>
      </c>
      <c r="AF177" s="175" t="s">
        <v>765</v>
      </c>
      <c r="AG177" s="2" t="s">
        <v>448</v>
      </c>
      <c r="AH177" s="2" t="s">
        <v>766</v>
      </c>
      <c r="AI177" s="2" t="s">
        <v>644</v>
      </c>
      <c r="AJ177" s="2"/>
      <c r="AK177" s="2"/>
      <c r="AL177" s="2" t="s">
        <v>775</v>
      </c>
      <c r="AM177" s="2"/>
      <c r="AN177" s="2" t="s">
        <v>776</v>
      </c>
      <c r="AO177" s="2"/>
      <c r="AP177" s="2"/>
      <c r="AQ177" s="2"/>
    </row>
    <row r="178" spans="2:43" s="2406" customFormat="1" ht="17.25" thickTop="1" thickBot="1">
      <c r="L178" s="299"/>
      <c r="M178" s="2657" t="s">
        <v>778</v>
      </c>
      <c r="N178" s="2658" t="s">
        <v>779</v>
      </c>
      <c r="O178" s="2659" t="s">
        <v>780</v>
      </c>
      <c r="P178" s="2659" t="s">
        <v>781</v>
      </c>
      <c r="Q178" s="2659" t="s">
        <v>782</v>
      </c>
      <c r="R178" s="2659" t="s">
        <v>783</v>
      </c>
      <c r="S178" s="2659"/>
      <c r="T178" s="2659"/>
      <c r="U178" s="2660"/>
      <c r="V178" s="3093"/>
      <c r="W178" s="3093"/>
      <c r="X178" s="3093"/>
      <c r="Y178" s="2659" t="s">
        <v>784</v>
      </c>
      <c r="Z178" s="2660" t="s">
        <v>785</v>
      </c>
      <c r="AA178" s="2659" t="s">
        <v>786</v>
      </c>
      <c r="AB178" s="2660"/>
      <c r="AC178" s="2660"/>
      <c r="AD178" s="2660" t="s">
        <v>787</v>
      </c>
      <c r="AE178" s="2660"/>
      <c r="AF178" s="2660" t="s">
        <v>767</v>
      </c>
      <c r="AG178" s="2660" t="s">
        <v>648</v>
      </c>
      <c r="AH178" s="2660" t="s">
        <v>678</v>
      </c>
      <c r="AI178" s="2661" t="s">
        <v>768</v>
      </c>
      <c r="AJ178" s="2661"/>
      <c r="AK178" s="2661"/>
      <c r="AL178" s="2660" t="s">
        <v>789</v>
      </c>
      <c r="AM178" s="2662"/>
      <c r="AN178" s="2662"/>
      <c r="AO178" s="2662"/>
      <c r="AP178" s="2662"/>
      <c r="AQ178" s="2662"/>
    </row>
    <row r="179" spans="2:43" s="2406" customFormat="1" ht="16.5" thickBot="1">
      <c r="L179" s="299"/>
    </row>
    <row r="180" spans="2:43" s="2406" customFormat="1" ht="63.75" thickBot="1">
      <c r="B180" s="4205" t="s">
        <v>5</v>
      </c>
      <c r="C180" s="2663" t="s">
        <v>777</v>
      </c>
      <c r="D180" s="4209" t="s">
        <v>3866</v>
      </c>
      <c r="E180" s="4181" t="s">
        <v>6</v>
      </c>
      <c r="F180" s="4181" t="s">
        <v>7</v>
      </c>
      <c r="G180" s="4207" t="s">
        <v>8</v>
      </c>
      <c r="H180" s="4191" t="s">
        <v>9</v>
      </c>
      <c r="I180" s="4159" t="s">
        <v>10</v>
      </c>
      <c r="J180" s="4160"/>
      <c r="K180" s="4160"/>
      <c r="L180" s="3936"/>
      <c r="M180" s="2635" t="s">
        <v>1149</v>
      </c>
      <c r="AI180" s="2664" t="s">
        <v>788</v>
      </c>
      <c r="AJ180" s="2664"/>
      <c r="AK180" s="2664"/>
      <c r="AL180" s="2664" t="s">
        <v>809</v>
      </c>
    </row>
    <row r="181" spans="2:43" s="2406" customFormat="1" ht="33" thickTop="1" thickBot="1">
      <c r="B181" s="4206"/>
      <c r="C181" s="2665" t="s">
        <v>790</v>
      </c>
      <c r="D181" s="4210"/>
      <c r="E181" s="4182"/>
      <c r="F181" s="4182"/>
      <c r="G181" s="4208"/>
      <c r="H181" s="4160"/>
      <c r="I181" s="4160"/>
      <c r="J181" s="4160"/>
      <c r="K181" s="4160"/>
      <c r="L181" s="3936"/>
      <c r="M181" s="2635" t="s">
        <v>1728</v>
      </c>
      <c r="N181" s="2666" t="s">
        <v>700</v>
      </c>
      <c r="O181" s="2667" t="s">
        <v>701</v>
      </c>
      <c r="P181" s="2667" t="s">
        <v>702</v>
      </c>
      <c r="Q181" s="2667" t="s">
        <v>703</v>
      </c>
      <c r="R181" s="2667" t="s">
        <v>704</v>
      </c>
      <c r="S181" s="2667" t="s">
        <v>705</v>
      </c>
      <c r="T181" s="2667" t="s">
        <v>706</v>
      </c>
      <c r="U181" s="2668" t="s">
        <v>707</v>
      </c>
      <c r="V181" s="2667" t="s">
        <v>708</v>
      </c>
      <c r="W181" s="2667" t="s">
        <v>709</v>
      </c>
      <c r="X181" s="2667" t="s">
        <v>710</v>
      </c>
      <c r="Y181" s="2668" t="s">
        <v>711</v>
      </c>
      <c r="Z181" s="2660" t="s">
        <v>712</v>
      </c>
      <c r="AA181" s="2660" t="s">
        <v>791</v>
      </c>
      <c r="AB181" s="2660" t="s">
        <v>792</v>
      </c>
      <c r="AC181" s="2660" t="s">
        <v>769</v>
      </c>
      <c r="AD181" s="2660" t="s">
        <v>468</v>
      </c>
      <c r="AE181" s="2660" t="s">
        <v>469</v>
      </c>
      <c r="AF181" s="2660" t="s">
        <v>470</v>
      </c>
      <c r="AG181" s="2660"/>
      <c r="AH181" s="2660"/>
      <c r="AI181" s="2660" t="s">
        <v>471</v>
      </c>
      <c r="AJ181" s="2662"/>
      <c r="AK181" s="2662"/>
      <c r="AL181" s="2662"/>
      <c r="AM181" s="2662"/>
      <c r="AN181" s="2662"/>
    </row>
    <row r="182" spans="2:43" s="2406" customFormat="1" ht="126.75" thickTop="1">
      <c r="B182" s="4206"/>
      <c r="C182" s="2641" t="s">
        <v>263</v>
      </c>
      <c r="D182" s="4210"/>
      <c r="E182" s="4182"/>
      <c r="F182" s="4182"/>
      <c r="G182" s="2669" t="s">
        <v>78</v>
      </c>
      <c r="H182" s="4202"/>
      <c r="I182" s="2670" t="s">
        <v>79</v>
      </c>
      <c r="J182" s="2670" t="s">
        <v>80</v>
      </c>
      <c r="K182" s="2670" t="s">
        <v>81</v>
      </c>
      <c r="L182" s="3962" t="s">
        <v>1759</v>
      </c>
      <c r="M182" s="2671" t="s">
        <v>409</v>
      </c>
      <c r="N182" s="2672" t="s">
        <v>793</v>
      </c>
      <c r="O182" s="2673" t="s">
        <v>794</v>
      </c>
      <c r="P182" s="2673" t="s">
        <v>795</v>
      </c>
      <c r="Q182" s="2673" t="s">
        <v>796</v>
      </c>
      <c r="R182" s="2674" t="s">
        <v>797</v>
      </c>
      <c r="S182" s="2674" t="s">
        <v>798</v>
      </c>
      <c r="T182" s="2674" t="s">
        <v>799</v>
      </c>
      <c r="U182" s="2675" t="s">
        <v>800</v>
      </c>
      <c r="V182" s="2676" t="s">
        <v>801</v>
      </c>
      <c r="W182" s="2676" t="s">
        <v>802</v>
      </c>
      <c r="X182" s="2676" t="s">
        <v>803</v>
      </c>
      <c r="Y182" s="2677" t="s">
        <v>804</v>
      </c>
      <c r="Z182" s="2678" t="s">
        <v>805</v>
      </c>
      <c r="AA182" s="2678" t="s">
        <v>806</v>
      </c>
      <c r="AB182" s="2678" t="s">
        <v>807</v>
      </c>
      <c r="AC182" s="2678" t="s">
        <v>771</v>
      </c>
      <c r="AD182" s="2679" t="s">
        <v>772</v>
      </c>
      <c r="AE182" s="2679" t="s">
        <v>773</v>
      </c>
      <c r="AF182" s="2679" t="s">
        <v>774</v>
      </c>
      <c r="AG182" s="2679"/>
      <c r="AH182" s="2679"/>
      <c r="AI182" s="2679" t="s">
        <v>808</v>
      </c>
      <c r="AJ182" s="2680"/>
      <c r="AK182" s="2680"/>
      <c r="AL182" s="2680"/>
      <c r="AM182" s="2680"/>
      <c r="AN182" s="2680"/>
    </row>
    <row r="183" spans="2:43" s="2406" customFormat="1" ht="15.75">
      <c r="B183" s="2726"/>
      <c r="C183" s="2242" t="str">
        <f>_xlfn.XLOOKUP($D183, Tabla3[No.], Tabla3[FECHA DE INICIO (PRIMERA CLASE CALENDARIO)]," ")</f>
        <v xml:space="preserve"> </v>
      </c>
      <c r="D183" s="2728"/>
      <c r="E183" s="2241" t="str">
        <f>_xlfn.XLOOKUP($D183,  Tabla3[No.],  Tabla3[CURP], " ")</f>
        <v xml:space="preserve"> </v>
      </c>
      <c r="F183" s="2243" t="str">
        <f>_xlfn.XLOOKUP($D183,  Tabla3[No.],  Tabla3[Matrícula Of. SEQ], " ")</f>
        <v xml:space="preserve"> </v>
      </c>
      <c r="G183" s="2727"/>
      <c r="H183" s="2681"/>
      <c r="I183" s="2681"/>
      <c r="J183" s="2681"/>
      <c r="K183" s="2681"/>
      <c r="L183" s="3943"/>
      <c r="M183" s="2681"/>
      <c r="N183" s="2681"/>
      <c r="O183" s="2681"/>
      <c r="P183" s="2681"/>
      <c r="Q183" s="2681"/>
      <c r="R183" s="2681"/>
      <c r="S183" s="2681"/>
      <c r="T183" s="2681"/>
      <c r="U183" s="2681"/>
      <c r="V183" s="2681"/>
      <c r="W183" s="2681"/>
      <c r="X183" s="2681"/>
      <c r="Y183" s="2681"/>
      <c r="Z183" s="2681"/>
      <c r="AA183" s="2681"/>
      <c r="AB183" s="2681"/>
      <c r="AC183" s="2681"/>
      <c r="AD183" s="2681"/>
      <c r="AE183" s="2681"/>
      <c r="AF183" s="2543"/>
      <c r="AG183" s="2543"/>
      <c r="AH183" s="2543"/>
      <c r="AI183" s="2543"/>
      <c r="AJ183" s="2664"/>
      <c r="AK183" s="2664"/>
      <c r="AL183" s="2680"/>
      <c r="AM183" s="2680"/>
      <c r="AN183" s="2680"/>
    </row>
    <row r="184" spans="2:43" s="2406" customFormat="1" ht="15.75">
      <c r="B184" s="2468">
        <v>1</v>
      </c>
      <c r="C184" s="2242">
        <f>_xlfn.XLOOKUP($D184, Tabla3[No.], Tabla3[FECHA DE INICIO (PRIMERA CLASE CALENDARIO)]," ")</f>
        <v>43831</v>
      </c>
      <c r="D184" s="1772">
        <v>68</v>
      </c>
      <c r="E184" s="2241" t="str">
        <f>_xlfn.XLOOKUP($D184,  Tabla3[No.],  Tabla3[CURP], " ")</f>
        <v>CACS950925HCCNRR09</v>
      </c>
      <c r="F184" s="2243" t="str">
        <f>_xlfn.XLOOKUP($D184,  Tabla3[No.],  Tabla3[Matrícula Of. SEQ], " ")</f>
        <v>64MD04A-01</v>
      </c>
      <c r="G184" s="2630" t="str">
        <f>IFERROR(VLOOKUP(D184,Tabla3[],5,FALSE),"")</f>
        <v>CAN CRUZ SERGIO DOLORES</v>
      </c>
      <c r="H184" s="71" t="str">
        <f>MID(E184,11,1)</f>
        <v>H</v>
      </c>
      <c r="I184" s="71" t="str">
        <f>MID(E184,5,2)</f>
        <v>95</v>
      </c>
      <c r="J184" s="71" t="str">
        <f>MID(E184,7,2)</f>
        <v>09</v>
      </c>
      <c r="K184" s="71" t="str">
        <f>MID(E184,9,2)</f>
        <v>25</v>
      </c>
      <c r="L184" s="3938"/>
      <c r="M184" s="71" t="s">
        <v>813</v>
      </c>
      <c r="N184" s="2682">
        <v>9.3000000000000007</v>
      </c>
      <c r="O184" s="2608">
        <v>10</v>
      </c>
      <c r="P184" s="2604">
        <v>9.5</v>
      </c>
      <c r="Q184" s="2683">
        <v>9.5</v>
      </c>
      <c r="R184" s="2509">
        <v>9.6999999999999993</v>
      </c>
      <c r="S184" s="2509">
        <v>9</v>
      </c>
      <c r="T184" s="2590">
        <v>8.1</v>
      </c>
      <c r="U184" s="2520">
        <v>9.4</v>
      </c>
      <c r="V184" s="2684">
        <v>9.4</v>
      </c>
      <c r="W184" s="2684">
        <v>9.4</v>
      </c>
      <c r="X184" s="2684">
        <v>9.9</v>
      </c>
      <c r="Y184" s="2685">
        <v>10</v>
      </c>
      <c r="Z184" s="223">
        <v>10</v>
      </c>
      <c r="AA184" s="223">
        <v>9.3000000000000007</v>
      </c>
      <c r="AB184" s="223">
        <v>9.1999999999999993</v>
      </c>
      <c r="AC184" s="2686">
        <v>9.6</v>
      </c>
      <c r="AD184" s="2686">
        <v>10</v>
      </c>
      <c r="AE184" s="314">
        <v>9</v>
      </c>
      <c r="AF184" s="223">
        <v>9.4</v>
      </c>
      <c r="AG184" s="2468"/>
      <c r="AH184" s="2468"/>
      <c r="AI184" s="2468">
        <v>8.6</v>
      </c>
      <c r="AJ184" s="223"/>
      <c r="AK184" s="2687">
        <f>AVERAGE(N184:AI184)</f>
        <v>9.4150000000000009</v>
      </c>
      <c r="AL184" s="206"/>
      <c r="AM184" s="206"/>
      <c r="AN184" s="206"/>
    </row>
    <row r="185" spans="2:43" s="2406" customFormat="1" ht="15.75">
      <c r="B185" s="2468">
        <v>2</v>
      </c>
      <c r="C185" s="2242">
        <f>_xlfn.XLOOKUP($D185, Tabla3[No.], Tabla3[FECHA DE INICIO (PRIMERA CLASE CALENDARIO)]," ")</f>
        <v>43831</v>
      </c>
      <c r="D185" s="1772">
        <v>69</v>
      </c>
      <c r="E185" s="2241" t="str">
        <f>_xlfn.XLOOKUP($D185,  Tabla3[No.],  Tabla3[CURP], " ")</f>
        <v>CARD630427HCCNJL13</v>
      </c>
      <c r="F185" s="2243" t="str">
        <f>_xlfn.XLOOKUP($D185,  Tabla3[No.],  Tabla3[Matrícula Of. SEQ], " ")</f>
        <v>64MD04A-02</v>
      </c>
      <c r="G185" s="2630" t="str">
        <f>IFERROR(VLOOKUP(D185,Tabla3[],5,FALSE),"")</f>
        <v>CAN REJON JOSE DOLORES</v>
      </c>
      <c r="H185" s="71" t="str">
        <f>MID(E185,11,1)</f>
        <v>H</v>
      </c>
      <c r="I185" s="71" t="str">
        <f>MID(E185,5,2)</f>
        <v>63</v>
      </c>
      <c r="J185" s="71" t="str">
        <f>MID(E185,7,2)</f>
        <v>04</v>
      </c>
      <c r="K185" s="71" t="str">
        <f>MID(E185,9,2)</f>
        <v>27</v>
      </c>
      <c r="L185" s="3938"/>
      <c r="M185" s="71" t="s">
        <v>813</v>
      </c>
      <c r="N185" s="2682">
        <v>9.3000000000000007</v>
      </c>
      <c r="O185" s="2608">
        <v>10</v>
      </c>
      <c r="P185" s="2688">
        <v>9.5</v>
      </c>
      <c r="Q185" s="2683">
        <v>9.5</v>
      </c>
      <c r="R185" s="2604">
        <v>9.3000000000000007</v>
      </c>
      <c r="S185" s="2509">
        <v>9</v>
      </c>
      <c r="T185" s="2590">
        <v>8.6</v>
      </c>
      <c r="U185" s="2689">
        <v>9.6</v>
      </c>
      <c r="V185" s="2684">
        <v>9.5</v>
      </c>
      <c r="W185" s="2684">
        <v>9.5</v>
      </c>
      <c r="X185" s="2684">
        <v>9.9</v>
      </c>
      <c r="Y185" s="2685">
        <v>9.9</v>
      </c>
      <c r="Z185" s="223">
        <v>10</v>
      </c>
      <c r="AA185" s="223">
        <v>9.6999999999999993</v>
      </c>
      <c r="AB185" s="223">
        <v>10</v>
      </c>
      <c r="AC185" s="2686">
        <v>9</v>
      </c>
      <c r="AD185" s="2686">
        <v>10</v>
      </c>
      <c r="AE185" s="314">
        <v>9</v>
      </c>
      <c r="AF185" s="223">
        <v>9.4</v>
      </c>
      <c r="AG185" s="2468"/>
      <c r="AH185" s="2468"/>
      <c r="AI185" s="2468">
        <v>8</v>
      </c>
      <c r="AJ185" s="223"/>
      <c r="AK185" s="2687">
        <f>AVERAGE(N185:AI185)</f>
        <v>9.4349999999999987</v>
      </c>
      <c r="AL185" s="206"/>
      <c r="AM185" s="206"/>
      <c r="AN185" s="206"/>
    </row>
    <row r="186" spans="2:43" s="2406" customFormat="1" ht="15.75">
      <c r="B186" s="2468">
        <v>3</v>
      </c>
      <c r="C186" s="2242">
        <f>_xlfn.XLOOKUP($D186, Tabla3[No.], Tabla3[FECHA DE INICIO (PRIMERA CLASE CALENDARIO)]," ")</f>
        <v>43831</v>
      </c>
      <c r="D186" s="1772">
        <v>70</v>
      </c>
      <c r="E186" s="2241" t="str">
        <f>_xlfn.XLOOKUP($D186,  Tabla3[No.],  Tabla3[CURP], " ")</f>
        <v>CATR660730MCCNRB03</v>
      </c>
      <c r="F186" s="2243" t="str">
        <f>_xlfn.XLOOKUP($D186,  Tabla3[No.],  Tabla3[Matrícula Of. SEQ], " ")</f>
        <v>64MD04A-03</v>
      </c>
      <c r="G186" s="2630" t="str">
        <f>IFERROR(VLOOKUP(D186,Tabla3[],5,FALSE),"")</f>
        <v>CANUL TORRES REBECA</v>
      </c>
      <c r="H186" s="71" t="str">
        <f>MID(E186,11,1)</f>
        <v>M</v>
      </c>
      <c r="I186" s="71" t="str">
        <f>MID(E186,5,2)</f>
        <v>66</v>
      </c>
      <c r="J186" s="71" t="str">
        <f>MID(E186,7,2)</f>
        <v>07</v>
      </c>
      <c r="K186" s="71" t="str">
        <f>MID(E186,9,2)</f>
        <v>30</v>
      </c>
      <c r="L186" s="3938"/>
      <c r="M186" s="71" t="s">
        <v>813</v>
      </c>
      <c r="N186" s="2604">
        <v>9.6999999999999993</v>
      </c>
      <c r="O186" s="2608">
        <v>10</v>
      </c>
      <c r="P186" s="2604">
        <v>9.5</v>
      </c>
      <c r="Q186" s="2683">
        <v>9.5</v>
      </c>
      <c r="R186" s="2509">
        <v>9.1</v>
      </c>
      <c r="S186" s="2509">
        <v>9</v>
      </c>
      <c r="T186" s="2590">
        <v>9.1999999999999993</v>
      </c>
      <c r="U186" s="2689">
        <v>9.3000000000000007</v>
      </c>
      <c r="V186" s="2684">
        <v>9.3000000000000007</v>
      </c>
      <c r="W186" s="2684">
        <v>9.3000000000000007</v>
      </c>
      <c r="X186" s="2684">
        <v>9.9</v>
      </c>
      <c r="Y186" s="2685">
        <v>9.9</v>
      </c>
      <c r="Z186" s="223">
        <v>10</v>
      </c>
      <c r="AA186" s="223">
        <v>9.4</v>
      </c>
      <c r="AB186" s="223">
        <v>9.6999999999999993</v>
      </c>
      <c r="AC186" s="2686">
        <v>9.3000000000000007</v>
      </c>
      <c r="AD186" s="2686">
        <v>10</v>
      </c>
      <c r="AE186" s="223">
        <v>9</v>
      </c>
      <c r="AF186" s="223">
        <v>9.4</v>
      </c>
      <c r="AG186" s="2468"/>
      <c r="AH186" s="2468"/>
      <c r="AI186" s="2468">
        <v>8</v>
      </c>
      <c r="AJ186" s="223"/>
      <c r="AK186" s="2687">
        <f>AVERAGE(N186:AI186)</f>
        <v>9.4250000000000007</v>
      </c>
      <c r="AL186" s="206"/>
      <c r="AM186" s="206"/>
      <c r="AN186" s="206"/>
    </row>
    <row r="187" spans="2:43" s="2406" customFormat="1" ht="15.75">
      <c r="B187" s="2468">
        <v>4</v>
      </c>
      <c r="C187" s="2242">
        <f>_xlfn.XLOOKUP($D187, Tabla3[No.], Tabla3[FECHA DE INICIO (PRIMERA CLASE CALENDARIO)]," ")</f>
        <v>43831</v>
      </c>
      <c r="D187" s="1772">
        <v>71</v>
      </c>
      <c r="E187" s="2241" t="str">
        <f>_xlfn.XLOOKUP($D187,  Tabla3[No.],  Tabla3[CURP], " ")</f>
        <v>CAEV711220MTCSSN07</v>
      </c>
      <c r="F187" s="2243" t="str">
        <f>_xlfn.XLOOKUP($D187,  Tabla3[No.],  Tabla3[Matrícula Of. SEQ], " ")</f>
        <v>64MD04A-04</v>
      </c>
      <c r="G187" s="2630" t="str">
        <f>IFERROR(VLOOKUP(D187,Tabla3[],5,FALSE),"")</f>
        <v>CASTRO ESPINOSA VIANEY</v>
      </c>
      <c r="H187" s="71" t="str">
        <f>MID(E187,11,1)</f>
        <v>M</v>
      </c>
      <c r="I187" s="71" t="str">
        <f>MID(E187,5,2)</f>
        <v>71</v>
      </c>
      <c r="J187" s="71" t="str">
        <f>MID(E187,7,2)</f>
        <v>12</v>
      </c>
      <c r="K187" s="71" t="str">
        <f>MID(E187,9,2)</f>
        <v>20</v>
      </c>
      <c r="L187" s="3938"/>
      <c r="M187" s="71" t="s">
        <v>813</v>
      </c>
      <c r="N187" s="2604">
        <v>9.6999999999999993</v>
      </c>
      <c r="O187" s="2608">
        <v>10</v>
      </c>
      <c r="P187" s="2604">
        <v>9.5</v>
      </c>
      <c r="Q187" s="2683">
        <v>9.5</v>
      </c>
      <c r="R187" s="2509">
        <v>8.8000000000000007</v>
      </c>
      <c r="S187" s="2509">
        <v>9</v>
      </c>
      <c r="T187" s="2590">
        <v>9.4</v>
      </c>
      <c r="U187" s="2689">
        <v>9.6999999999999993</v>
      </c>
      <c r="V187" s="2684">
        <v>9.6999999999999993</v>
      </c>
      <c r="W187" s="2684">
        <v>9.6999999999999993</v>
      </c>
      <c r="X187" s="2684">
        <v>10</v>
      </c>
      <c r="Y187" s="2685">
        <v>10</v>
      </c>
      <c r="Z187" s="223">
        <v>8.6999999999999993</v>
      </c>
      <c r="AA187" s="223">
        <v>9.3000000000000007</v>
      </c>
      <c r="AB187" s="223">
        <v>10</v>
      </c>
      <c r="AC187" s="2686">
        <v>9.4</v>
      </c>
      <c r="AD187" s="2686">
        <v>10</v>
      </c>
      <c r="AE187" s="223">
        <v>9</v>
      </c>
      <c r="AF187" s="223">
        <v>9.6</v>
      </c>
      <c r="AG187" s="2468"/>
      <c r="AH187" s="2468"/>
      <c r="AI187" s="2468">
        <v>8</v>
      </c>
      <c r="AJ187" s="223"/>
      <c r="AK187" s="2687">
        <f>AVERAGE(N187:AI187)</f>
        <v>9.4500000000000011</v>
      </c>
      <c r="AL187" s="206"/>
      <c r="AM187" s="206"/>
      <c r="AN187" s="206"/>
    </row>
    <row r="188" spans="2:43" s="2406" customFormat="1" ht="15.75">
      <c r="B188" s="2468">
        <v>5</v>
      </c>
      <c r="C188" s="2242">
        <f>_xlfn.XLOOKUP($D188, Tabla3[No.], Tabla3[FECHA DE INICIO (PRIMERA CLASE CALENDARIO)]," ")</f>
        <v>43831</v>
      </c>
      <c r="D188" s="1772">
        <v>263</v>
      </c>
      <c r="E188" s="2241" t="str">
        <f>_xlfn.XLOOKUP($D188,  Tabla3[No.],  Tabla3[CURP], " ")</f>
        <v>COHE941214MCCLTL09</v>
      </c>
      <c r="F188" s="2243" t="str">
        <f>_xlfn.XLOOKUP($D188,  Tabla3[No.],  Tabla3[Matrícula Of. SEQ], " ")</f>
        <v>64MD04A-05</v>
      </c>
      <c r="G188" s="2630" t="str">
        <f>IFERROR(VLOOKUP(D188,Tabla3[],5,FALSE),"")</f>
        <v>COLMENARES HUETO MARIA ELENA</v>
      </c>
      <c r="H188" s="71" t="str">
        <f>MID(E188,11,1)</f>
        <v>M</v>
      </c>
      <c r="I188" s="71" t="str">
        <f>MID(E188,5,2)</f>
        <v>94</v>
      </c>
      <c r="J188" s="71" t="str">
        <f>MID(E188,7,2)</f>
        <v>12</v>
      </c>
      <c r="K188" s="71" t="str">
        <f>MID(E188,9,2)</f>
        <v>14</v>
      </c>
      <c r="L188" s="3938"/>
      <c r="M188" s="71" t="s">
        <v>813</v>
      </c>
      <c r="N188" s="2604">
        <v>9.6999999999999993</v>
      </c>
      <c r="O188" s="2608">
        <v>10</v>
      </c>
      <c r="P188" s="2604">
        <v>9.5</v>
      </c>
      <c r="Q188" s="2683">
        <v>9.5</v>
      </c>
      <c r="R188" s="2509">
        <v>8.8000000000000007</v>
      </c>
      <c r="S188" s="2509">
        <v>9</v>
      </c>
      <c r="T188" s="2590">
        <v>9.3000000000000007</v>
      </c>
      <c r="U188" s="2689">
        <v>9.4</v>
      </c>
      <c r="V188" s="2684">
        <v>9.4</v>
      </c>
      <c r="W188" s="2684">
        <v>9.4</v>
      </c>
      <c r="X188" s="2684">
        <v>9.9</v>
      </c>
      <c r="Y188" s="2685">
        <v>9.9</v>
      </c>
      <c r="Z188" s="223">
        <v>8.6</v>
      </c>
      <c r="AA188" s="223">
        <v>9.4</v>
      </c>
      <c r="AB188" s="223">
        <v>9.6</v>
      </c>
      <c r="AC188" s="2686">
        <v>8.8000000000000007</v>
      </c>
      <c r="AD188" s="2686">
        <v>10</v>
      </c>
      <c r="AE188" s="223">
        <v>9.4</v>
      </c>
      <c r="AF188" s="223">
        <v>9.6</v>
      </c>
      <c r="AG188" s="2468"/>
      <c r="AH188" s="2468"/>
      <c r="AI188" s="2468">
        <v>8</v>
      </c>
      <c r="AJ188" s="223"/>
      <c r="AK188" s="2687">
        <f>AVERAGE(N188:AI188)</f>
        <v>9.3600000000000012</v>
      </c>
      <c r="AL188" s="206"/>
      <c r="AM188" s="206"/>
      <c r="AN188" s="206"/>
    </row>
    <row r="189" spans="2:43" s="2406" customFormat="1" ht="15.75">
      <c r="B189" s="2468"/>
      <c r="C189" s="2242" t="str">
        <f>_xlfn.XLOOKUP($D189, Tabla3[No.], Tabla3[FECHA DE INICIO (PRIMERA CLASE CALENDARIO)]," ")</f>
        <v xml:space="preserve"> </v>
      </c>
      <c r="D189" s="2263"/>
      <c r="E189" s="2241" t="str">
        <f>_xlfn.XLOOKUP($D189,  Tabla3[No.],  Tabla3[CURP], " ")</f>
        <v xml:space="preserve"> </v>
      </c>
      <c r="F189" s="2243" t="str">
        <f>_xlfn.XLOOKUP($D189,  Tabla3[No.],  Tabla3[Matrícula Of. SEQ], " ")</f>
        <v xml:space="preserve"> </v>
      </c>
      <c r="G189" s="2630" t="str">
        <f>IFERROR(VLOOKUP(D189,Tabla3[],5,FALSE),"")</f>
        <v/>
      </c>
      <c r="L189" s="299"/>
      <c r="AI189" s="2298"/>
      <c r="AJ189" s="2543"/>
      <c r="AK189" s="2543"/>
      <c r="AL189" s="206"/>
      <c r="AM189" s="206"/>
      <c r="AN189" s="206"/>
    </row>
    <row r="190" spans="2:43" s="2406" customFormat="1" ht="15.75">
      <c r="B190" s="2468">
        <v>6</v>
      </c>
      <c r="C190" s="2242">
        <f>_xlfn.XLOOKUP($D190, Tabla3[No.], Tabla3[FECHA DE INICIO (PRIMERA CLASE CALENDARIO)]," ")</f>
        <v>43831</v>
      </c>
      <c r="D190" s="1772">
        <v>74</v>
      </c>
      <c r="E190" s="2241" t="str">
        <f>_xlfn.XLOOKUP($D190,  Tabla3[No.],  Tabla3[CURP], " ")</f>
        <v>FILA940419HCCRPR05</v>
      </c>
      <c r="F190" s="2243" t="str">
        <f>_xlfn.XLOOKUP($D190,  Tabla3[No.],  Tabla3[Matrícula Of. SEQ], " ")</f>
        <v>64MD04A-07</v>
      </c>
      <c r="G190" s="2630" t="str">
        <f>IFERROR(VLOOKUP(D190,Tabla3[],5,FALSE),"")</f>
        <v>FIERRO LOPEZ JOSE ARMANDO</v>
      </c>
      <c r="H190" s="71" t="str">
        <f t="shared" ref="H190:H215" si="30">MID(E190,11,1)</f>
        <v>H</v>
      </c>
      <c r="I190" s="71" t="str">
        <f t="shared" ref="I190:I215" si="31">MID(E190,5,2)</f>
        <v>94</v>
      </c>
      <c r="J190" s="71" t="str">
        <f t="shared" ref="J190:J215" si="32">MID(E190,7,2)</f>
        <v>04</v>
      </c>
      <c r="K190" s="71" t="str">
        <f t="shared" ref="K190:K215" si="33">MID(E190,9,2)</f>
        <v>19</v>
      </c>
      <c r="L190" s="3938"/>
      <c r="M190" s="71" t="s">
        <v>813</v>
      </c>
      <c r="N190" s="2604">
        <v>9.6999999999999993</v>
      </c>
      <c r="O190" s="2613">
        <v>9</v>
      </c>
      <c r="P190" s="2604">
        <v>9.5</v>
      </c>
      <c r="Q190" s="2683">
        <v>9.5</v>
      </c>
      <c r="R190" s="2613">
        <v>9.6</v>
      </c>
      <c r="S190" s="2509">
        <v>9</v>
      </c>
      <c r="T190" s="2590">
        <v>9.1</v>
      </c>
      <c r="U190" s="2689">
        <v>9.1999999999999993</v>
      </c>
      <c r="V190" s="2684">
        <v>9.1999999999999993</v>
      </c>
      <c r="W190" s="2684">
        <v>9.1999999999999993</v>
      </c>
      <c r="X190" s="2684">
        <v>9.9</v>
      </c>
      <c r="Y190" s="2685">
        <v>10</v>
      </c>
      <c r="Z190" s="223">
        <v>10</v>
      </c>
      <c r="AA190" s="223">
        <v>9.1</v>
      </c>
      <c r="AB190" s="223">
        <v>10</v>
      </c>
      <c r="AC190" s="2686">
        <v>9.3000000000000007</v>
      </c>
      <c r="AD190" s="2686">
        <v>10</v>
      </c>
      <c r="AE190" s="223">
        <v>9</v>
      </c>
      <c r="AF190" s="223">
        <v>9.6</v>
      </c>
      <c r="AG190" s="2468"/>
      <c r="AH190" s="2468"/>
      <c r="AI190" s="2468">
        <v>8</v>
      </c>
      <c r="AJ190" s="223"/>
      <c r="AK190" s="2687">
        <f t="shared" ref="AK190:AK203" si="34">AVERAGE(N190:AI190)</f>
        <v>9.3950000000000014</v>
      </c>
      <c r="AL190" s="206"/>
      <c r="AM190" s="206"/>
      <c r="AN190" s="206"/>
    </row>
    <row r="191" spans="2:43" s="2406" customFormat="1" ht="15.75">
      <c r="B191" s="2468">
        <v>7</v>
      </c>
      <c r="C191" s="2242">
        <f>_xlfn.XLOOKUP($D191, Tabla3[No.], Tabla3[FECHA DE INICIO (PRIMERA CLASE CALENDARIO)]," ")</f>
        <v>43831</v>
      </c>
      <c r="D191" s="1772">
        <v>75</v>
      </c>
      <c r="E191" s="2241" t="str">
        <f>_xlfn.XLOOKUP($D191,  Tabla3[No.],  Tabla3[CURP], " ")</f>
        <v>GODG730725MQRNZL13</v>
      </c>
      <c r="F191" s="2243" t="str">
        <f>_xlfn.XLOOKUP($D191,  Tabla3[No.],  Tabla3[Matrícula Of. SEQ], " ")</f>
        <v>64MD04A-08</v>
      </c>
      <c r="G191" s="2630" t="str">
        <f>IFERROR(VLOOKUP(D191,Tabla3[],5,FALSE),"")</f>
        <v>GONZALEZ DIAZ GLADYS MINERVA</v>
      </c>
      <c r="H191" s="71" t="str">
        <f t="shared" si="30"/>
        <v>M</v>
      </c>
      <c r="I191" s="71" t="str">
        <f t="shared" si="31"/>
        <v>73</v>
      </c>
      <c r="J191" s="71" t="str">
        <f t="shared" si="32"/>
        <v>07</v>
      </c>
      <c r="K191" s="71" t="str">
        <f t="shared" si="33"/>
        <v>25</v>
      </c>
      <c r="L191" s="3938"/>
      <c r="M191" s="71" t="s">
        <v>564</v>
      </c>
      <c r="N191" s="2689">
        <v>9.1999999999999993</v>
      </c>
      <c r="O191" s="2684">
        <v>9.1999999999999993</v>
      </c>
      <c r="P191" s="2684">
        <v>9.1999999999999993</v>
      </c>
      <c r="Q191" s="2690">
        <v>9.1999999999999993</v>
      </c>
      <c r="R191" s="2691">
        <v>9.1999999999999993</v>
      </c>
      <c r="S191" s="2691">
        <v>9.1999999999999993</v>
      </c>
      <c r="T191" s="2509">
        <v>9.1999999999999993</v>
      </c>
      <c r="U191" s="2691">
        <v>9.1999999999999993</v>
      </c>
      <c r="V191" s="2509">
        <v>9.1999999999999993</v>
      </c>
      <c r="W191" s="2691">
        <v>9.1999999999999993</v>
      </c>
      <c r="X191" s="2691">
        <v>9.1999999999999993</v>
      </c>
      <c r="Y191" s="2509">
        <v>9.1999999999999993</v>
      </c>
      <c r="Z191" s="2691">
        <v>9.1999999999999993</v>
      </c>
      <c r="AA191" s="2691">
        <v>9.1999999999999993</v>
      </c>
      <c r="AB191" s="2509">
        <v>9.1999999999999993</v>
      </c>
      <c r="AC191" s="2691">
        <v>9.1999999999999993</v>
      </c>
      <c r="AD191" s="2691">
        <v>9.1999999999999993</v>
      </c>
      <c r="AE191" s="2509">
        <v>9.1999999999999993</v>
      </c>
      <c r="AF191" s="2691">
        <v>9.1999999999999993</v>
      </c>
      <c r="AG191" s="2692"/>
      <c r="AH191" s="2692"/>
      <c r="AI191" s="2692">
        <v>9.1999999999999993</v>
      </c>
      <c r="AJ191" s="2509"/>
      <c r="AK191" s="2687">
        <f t="shared" si="34"/>
        <v>9.1999999999999975</v>
      </c>
      <c r="AL191" s="2520"/>
      <c r="AM191" s="2520"/>
      <c r="AN191" s="2520"/>
    </row>
    <row r="192" spans="2:43" s="2406" customFormat="1" ht="15.75">
      <c r="B192" s="2468">
        <v>8</v>
      </c>
      <c r="C192" s="2242">
        <f>_xlfn.XLOOKUP($D192, Tabla3[No.], Tabla3[FECHA DE INICIO (PRIMERA CLASE CALENDARIO)]," ")</f>
        <v>43831</v>
      </c>
      <c r="D192" s="1772">
        <v>76</v>
      </c>
      <c r="E192" s="2241" t="str">
        <f>_xlfn.XLOOKUP($D192,  Tabla3[No.],  Tabla3[CURP], " ")</f>
        <v>GONA670503MCCNTD06</v>
      </c>
      <c r="F192" s="2243" t="str">
        <f>_xlfn.XLOOKUP($D192,  Tabla3[No.],  Tabla3[Matrícula Of. SEQ], " ")</f>
        <v>64MD04A-09</v>
      </c>
      <c r="G192" s="2630" t="str">
        <f>IFERROR(VLOOKUP(D192,Tabla3[],5,FALSE),"")</f>
        <v>GONZALEZ NOTARIO  ADRIANA DE LA CRUZ</v>
      </c>
      <c r="H192" s="71" t="str">
        <f t="shared" si="30"/>
        <v>M</v>
      </c>
      <c r="I192" s="71" t="str">
        <f t="shared" si="31"/>
        <v>67</v>
      </c>
      <c r="J192" s="71" t="str">
        <f t="shared" si="32"/>
        <v>05</v>
      </c>
      <c r="K192" s="71" t="str">
        <f t="shared" si="33"/>
        <v>03</v>
      </c>
      <c r="L192" s="3938"/>
      <c r="M192" s="71" t="s">
        <v>813</v>
      </c>
      <c r="N192" s="2604">
        <v>9.6999999999999993</v>
      </c>
      <c r="O192" s="2613">
        <v>9</v>
      </c>
      <c r="P192" s="2604">
        <v>9.5</v>
      </c>
      <c r="Q192" s="2683">
        <v>9.5</v>
      </c>
      <c r="R192" s="2613">
        <v>9.6</v>
      </c>
      <c r="S192" s="2509">
        <v>9</v>
      </c>
      <c r="T192" s="2590">
        <v>8.6999999999999993</v>
      </c>
      <c r="U192" s="2691">
        <v>9.6</v>
      </c>
      <c r="V192" s="2684">
        <v>9.6</v>
      </c>
      <c r="W192" s="2684">
        <v>9.6</v>
      </c>
      <c r="X192" s="2684">
        <v>9.6</v>
      </c>
      <c r="Y192" s="2685">
        <v>10</v>
      </c>
      <c r="Z192" s="223">
        <v>9.4</v>
      </c>
      <c r="AA192" s="223">
        <v>9.5</v>
      </c>
      <c r="AB192" s="223">
        <v>9.6999999999999993</v>
      </c>
      <c r="AC192" s="2686">
        <v>10</v>
      </c>
      <c r="AD192" s="2686">
        <v>10</v>
      </c>
      <c r="AE192" s="223">
        <v>8</v>
      </c>
      <c r="AF192" s="2693">
        <f t="shared" ref="AF192:AF197" si="35">(AC192*0.4)+(AD192*0.3)+(AE192*0.3)</f>
        <v>9.4</v>
      </c>
      <c r="AG192" s="2693"/>
      <c r="AH192" s="2693"/>
      <c r="AI192" s="2468">
        <v>8</v>
      </c>
      <c r="AJ192" s="223"/>
      <c r="AK192" s="2687">
        <f t="shared" si="34"/>
        <v>9.3699999999999992</v>
      </c>
      <c r="AL192" s="206"/>
      <c r="AM192" s="206"/>
      <c r="AN192" s="206"/>
    </row>
    <row r="193" spans="2:40" s="2406" customFormat="1" ht="15.75">
      <c r="B193" s="2468">
        <v>9</v>
      </c>
      <c r="C193" s="2242">
        <f>_xlfn.XLOOKUP($D193, Tabla3[No.], Tabla3[FECHA DE INICIO (PRIMERA CLASE CALENDARIO)]," ")</f>
        <v>43831</v>
      </c>
      <c r="D193" s="1772">
        <v>77</v>
      </c>
      <c r="E193" s="2241" t="str">
        <f>_xlfn.XLOOKUP($D193,  Tabla3[No.],  Tabla3[CURP], " ")</f>
        <v>GUSE911010MCSZNS07</v>
      </c>
      <c r="F193" s="2243" t="str">
        <f>_xlfn.XLOOKUP($D193,  Tabla3[No.],  Tabla3[Matrícula Of. SEQ], " ")</f>
        <v>64MD04A-10</v>
      </c>
      <c r="G193" s="2630" t="str">
        <f>IFERROR(VLOOKUP(D193,Tabla3[],5,FALSE),"")</f>
        <v>GUZMAN SANCHEZ ESMERALDA</v>
      </c>
      <c r="H193" s="71" t="str">
        <f t="shared" si="30"/>
        <v>M</v>
      </c>
      <c r="I193" s="71" t="str">
        <f t="shared" si="31"/>
        <v>91</v>
      </c>
      <c r="J193" s="71" t="str">
        <f t="shared" si="32"/>
        <v>10</v>
      </c>
      <c r="K193" s="71" t="str">
        <f t="shared" si="33"/>
        <v>10</v>
      </c>
      <c r="L193" s="3938"/>
      <c r="M193" s="71" t="s">
        <v>813</v>
      </c>
      <c r="N193" s="2604">
        <v>9.6999999999999993</v>
      </c>
      <c r="O193" s="2608">
        <v>10</v>
      </c>
      <c r="P193" s="2604">
        <v>9.5</v>
      </c>
      <c r="Q193" s="2683">
        <v>9.5</v>
      </c>
      <c r="R193" s="2509">
        <v>9.6999999999999993</v>
      </c>
      <c r="S193" s="2509">
        <v>9</v>
      </c>
      <c r="T193" s="2590">
        <v>8.6</v>
      </c>
      <c r="U193" s="2689">
        <v>9.6</v>
      </c>
      <c r="V193" s="2684">
        <v>9.5</v>
      </c>
      <c r="W193" s="2684">
        <v>9.5</v>
      </c>
      <c r="X193" s="2684">
        <v>9.9</v>
      </c>
      <c r="Y193" s="2685">
        <v>9.9</v>
      </c>
      <c r="Z193" s="223">
        <v>8.6</v>
      </c>
      <c r="AA193" s="223">
        <v>10</v>
      </c>
      <c r="AB193" s="223">
        <v>8.6999999999999993</v>
      </c>
      <c r="AC193" s="2686">
        <v>8.8000000000000007</v>
      </c>
      <c r="AD193" s="2686">
        <v>8.1999999999999993</v>
      </c>
      <c r="AE193" s="223">
        <v>10</v>
      </c>
      <c r="AF193" s="2694">
        <f t="shared" si="35"/>
        <v>8.98</v>
      </c>
      <c r="AG193" s="2695"/>
      <c r="AH193" s="2695"/>
      <c r="AI193" s="2468">
        <v>8</v>
      </c>
      <c r="AJ193" s="223"/>
      <c r="AK193" s="2687">
        <f t="shared" si="34"/>
        <v>9.2839999999999989</v>
      </c>
      <c r="AL193" s="206"/>
      <c r="AM193" s="206"/>
      <c r="AN193" s="206"/>
    </row>
    <row r="194" spans="2:40" s="2406" customFormat="1" ht="15.75">
      <c r="B194" s="2468">
        <v>10</v>
      </c>
      <c r="C194" s="2242">
        <f>_xlfn.XLOOKUP($D194, Tabla3[No.], Tabla3[FECHA DE INICIO (PRIMERA CLASE CALENDARIO)]," ")</f>
        <v>43831</v>
      </c>
      <c r="D194" s="1772">
        <v>79</v>
      </c>
      <c r="E194" s="2241" t="str">
        <f>_xlfn.XLOOKUP($D194,  Tabla3[No.],  Tabla3[CURP], " ")</f>
        <v>HEMM720229MCCRYR01</v>
      </c>
      <c r="F194" s="2243" t="str">
        <f>_xlfn.XLOOKUP($D194,  Tabla3[No.],  Tabla3[Matrícula Of. SEQ], " ")</f>
        <v>64MD04A-12</v>
      </c>
      <c r="G194" s="2630" t="str">
        <f>IFERROR(VLOOKUP(D194,Tabla3[],5,FALSE),"")</f>
        <v>HERNANDEZ MAY MERCEDALIA</v>
      </c>
      <c r="H194" s="71" t="str">
        <f t="shared" si="30"/>
        <v>M</v>
      </c>
      <c r="I194" s="71" t="str">
        <f t="shared" si="31"/>
        <v>72</v>
      </c>
      <c r="J194" s="71" t="str">
        <f t="shared" si="32"/>
        <v>02</v>
      </c>
      <c r="K194" s="71" t="str">
        <f t="shared" si="33"/>
        <v>29</v>
      </c>
      <c r="L194" s="3938"/>
      <c r="M194" s="71" t="s">
        <v>813</v>
      </c>
      <c r="N194" s="2604">
        <v>9.6999999999999993</v>
      </c>
      <c r="O194" s="2608">
        <v>10</v>
      </c>
      <c r="P194" s="2604">
        <v>9.5</v>
      </c>
      <c r="Q194" s="2683">
        <v>9.5</v>
      </c>
      <c r="R194" s="2613">
        <v>9.3000000000000007</v>
      </c>
      <c r="S194" s="2690">
        <v>9</v>
      </c>
      <c r="T194" s="2590">
        <v>8.3000000000000007</v>
      </c>
      <c r="U194" s="2689">
        <v>9.8000000000000007</v>
      </c>
      <c r="V194" s="2684">
        <v>9.8000000000000007</v>
      </c>
      <c r="W194" s="2684">
        <v>9.8000000000000007</v>
      </c>
      <c r="X194" s="2684">
        <v>9.8000000000000007</v>
      </c>
      <c r="Y194" s="2685">
        <v>9.8000000000000007</v>
      </c>
      <c r="Z194" s="223">
        <v>10</v>
      </c>
      <c r="AA194" s="223">
        <v>9</v>
      </c>
      <c r="AB194" s="223">
        <v>9.6</v>
      </c>
      <c r="AC194" s="2686">
        <v>9.3000000000000007</v>
      </c>
      <c r="AD194" s="2686">
        <v>9.6</v>
      </c>
      <c r="AE194" s="2519">
        <v>8</v>
      </c>
      <c r="AF194" s="2694">
        <f t="shared" si="35"/>
        <v>9</v>
      </c>
      <c r="AG194" s="2695"/>
      <c r="AH194" s="2695"/>
      <c r="AI194" s="2468">
        <v>8</v>
      </c>
      <c r="AJ194" s="223"/>
      <c r="AK194" s="2687">
        <f t="shared" si="34"/>
        <v>9.34</v>
      </c>
      <c r="AL194" s="206"/>
      <c r="AM194" s="206"/>
      <c r="AN194" s="206"/>
    </row>
    <row r="195" spans="2:40" s="2406" customFormat="1" ht="15.75">
      <c r="B195" s="2468">
        <v>11</v>
      </c>
      <c r="C195" s="2242">
        <f>_xlfn.XLOOKUP($D195, Tabla3[No.], Tabla3[FECHA DE INICIO (PRIMERA CLASE CALENDARIO)]," ")</f>
        <v>44378</v>
      </c>
      <c r="D195" s="1772">
        <v>80</v>
      </c>
      <c r="E195" s="2241" t="str">
        <f>_xlfn.XLOOKUP($D195,  Tabla3[No.],  Tabla3[CURP], " ")</f>
        <v>RETL840311HDFYRS06</v>
      </c>
      <c r="F195" s="2243" t="str">
        <f>_xlfn.XLOOKUP($D195,  Tabla3[No.],  Tabla3[Matrícula Of. SEQ], " ")</f>
        <v>64LD03D-05</v>
      </c>
      <c r="G195" s="2630" t="str">
        <f>IFERROR(VLOOKUP(D195,Tabla3[],5,FALSE),"")</f>
        <v xml:space="preserve">REYES TREJO LUIS ALONSO </v>
      </c>
      <c r="H195" s="71" t="str">
        <f t="shared" si="30"/>
        <v>H</v>
      </c>
      <c r="I195" s="71" t="str">
        <f t="shared" si="31"/>
        <v>84</v>
      </c>
      <c r="J195" s="71" t="str">
        <f t="shared" si="32"/>
        <v>03</v>
      </c>
      <c r="K195" s="71" t="str">
        <f t="shared" si="33"/>
        <v>11</v>
      </c>
      <c r="L195" s="3938"/>
      <c r="M195" s="71" t="s">
        <v>813</v>
      </c>
      <c r="N195" s="2604">
        <v>9.6999999999999993</v>
      </c>
      <c r="O195" s="2613">
        <v>9</v>
      </c>
      <c r="P195" s="2604">
        <v>9.5</v>
      </c>
      <c r="Q195" s="2683">
        <v>9.5</v>
      </c>
      <c r="R195" s="2509">
        <v>9</v>
      </c>
      <c r="S195" s="2690">
        <v>9</v>
      </c>
      <c r="T195" s="2590">
        <v>8.5</v>
      </c>
      <c r="U195" s="2689">
        <v>9.6999999999999993</v>
      </c>
      <c r="V195" s="2684">
        <v>9.6999999999999993</v>
      </c>
      <c r="W195" s="2684">
        <v>9.6999999999999993</v>
      </c>
      <c r="X195" s="2684">
        <v>9.9</v>
      </c>
      <c r="Y195" s="2685">
        <v>9.9</v>
      </c>
      <c r="Z195" s="223">
        <v>8.6</v>
      </c>
      <c r="AA195" s="223">
        <v>9.5</v>
      </c>
      <c r="AB195" s="223">
        <v>10</v>
      </c>
      <c r="AC195" s="2686">
        <v>8.1</v>
      </c>
      <c r="AD195" s="2686">
        <v>8.1999999999999993</v>
      </c>
      <c r="AE195" s="2519">
        <v>8</v>
      </c>
      <c r="AF195" s="2694">
        <f t="shared" si="35"/>
        <v>8.1</v>
      </c>
      <c r="AG195" s="2695"/>
      <c r="AH195" s="2695"/>
      <c r="AI195" s="2468">
        <v>8</v>
      </c>
      <c r="AJ195" s="223"/>
      <c r="AK195" s="2687">
        <f t="shared" si="34"/>
        <v>9.08</v>
      </c>
      <c r="AL195" s="206"/>
      <c r="AM195" s="206"/>
      <c r="AN195" s="206"/>
    </row>
    <row r="196" spans="2:40" s="2406" customFormat="1" ht="15.75">
      <c r="B196" s="2468">
        <v>12</v>
      </c>
      <c r="C196" s="2242">
        <f>_xlfn.XLOOKUP($D196, Tabla3[No.], Tabla3[FECHA DE INICIO (PRIMERA CLASE CALENDARIO)]," ")</f>
        <v>43831</v>
      </c>
      <c r="D196" s="1772">
        <v>81</v>
      </c>
      <c r="E196" s="2241" t="str">
        <f>_xlfn.XLOOKUP($D196,  Tabla3[No.],  Tabla3[CURP], " ")</f>
        <v>LOGO910903MCCPND16</v>
      </c>
      <c r="F196" s="2243" t="str">
        <f>_xlfn.XLOOKUP($D196,  Tabla3[No.],  Tabla3[Matrícula Of. SEQ], " ")</f>
        <v>64MD04A-14</v>
      </c>
      <c r="G196" s="2630" t="str">
        <f>IFERROR(VLOOKUP(D196,Tabla3[],5,FALSE),"")</f>
        <v>LOPEZ GONZALEZ ODEMARIS ASTRID</v>
      </c>
      <c r="H196" s="71" t="str">
        <f t="shared" si="30"/>
        <v>M</v>
      </c>
      <c r="I196" s="71" t="str">
        <f t="shared" si="31"/>
        <v>91</v>
      </c>
      <c r="J196" s="71" t="str">
        <f t="shared" si="32"/>
        <v>09</v>
      </c>
      <c r="K196" s="71" t="str">
        <f t="shared" si="33"/>
        <v>03</v>
      </c>
      <c r="L196" s="3938"/>
      <c r="M196" s="71" t="s">
        <v>813</v>
      </c>
      <c r="N196" s="2604">
        <v>9.6999999999999993</v>
      </c>
      <c r="O196" s="2613">
        <v>9</v>
      </c>
      <c r="P196" s="2604">
        <v>9.5</v>
      </c>
      <c r="Q196" s="2683">
        <v>9.5</v>
      </c>
      <c r="R196" s="2613">
        <v>10</v>
      </c>
      <c r="S196" s="2690">
        <v>9</v>
      </c>
      <c r="T196" s="2590">
        <v>8.8000000000000007</v>
      </c>
      <c r="U196" s="2691">
        <v>9.6</v>
      </c>
      <c r="V196" s="2684">
        <v>9.6</v>
      </c>
      <c r="W196" s="2684">
        <v>9.6</v>
      </c>
      <c r="X196" s="2684">
        <v>9.6999999999999993</v>
      </c>
      <c r="Y196" s="2685">
        <v>10</v>
      </c>
      <c r="Z196" s="223">
        <v>9.4</v>
      </c>
      <c r="AA196" s="223">
        <v>9.3000000000000007</v>
      </c>
      <c r="AB196" s="223">
        <v>9.6999999999999993</v>
      </c>
      <c r="AC196" s="2686">
        <v>9.4</v>
      </c>
      <c r="AD196" s="2686">
        <v>10</v>
      </c>
      <c r="AE196" s="2519">
        <v>8</v>
      </c>
      <c r="AF196" s="2694">
        <f t="shared" si="35"/>
        <v>9.16</v>
      </c>
      <c r="AG196" s="2695"/>
      <c r="AH196" s="2695"/>
      <c r="AI196" s="2468">
        <v>8</v>
      </c>
      <c r="AJ196" s="223"/>
      <c r="AK196" s="2687">
        <f t="shared" si="34"/>
        <v>9.347999999999999</v>
      </c>
      <c r="AL196" s="206"/>
      <c r="AM196" s="206"/>
      <c r="AN196" s="206"/>
    </row>
    <row r="197" spans="2:40" s="2406" customFormat="1" ht="15.75">
      <c r="B197" s="2468">
        <v>13</v>
      </c>
      <c r="C197" s="2242">
        <f>_xlfn.XLOOKUP($D197, Tabla3[No.], Tabla3[FECHA DE INICIO (PRIMERA CLASE CALENDARIO)]," ")</f>
        <v>43831</v>
      </c>
      <c r="D197" s="1772">
        <v>184</v>
      </c>
      <c r="E197" s="2241" t="str">
        <f>_xlfn.XLOOKUP($D197,  Tabla3[No.],  Tabla3[CURP], " ")</f>
        <v>LORM811011MCCPJL02</v>
      </c>
      <c r="F197" s="2243" t="str">
        <f>_xlfn.XLOOKUP($D197,  Tabla3[No.],  Tabla3[Matrícula Of. SEQ], " ")</f>
        <v>64MD04A-15</v>
      </c>
      <c r="G197" s="2630" t="str">
        <f>IFERROR(VLOOKUP(D197,Tabla3[],5,FALSE),"")</f>
        <v>LOPEZ REJON MILDRED</v>
      </c>
      <c r="H197" s="71" t="str">
        <f t="shared" si="30"/>
        <v>M</v>
      </c>
      <c r="I197" s="71" t="str">
        <f t="shared" si="31"/>
        <v>81</v>
      </c>
      <c r="J197" s="71" t="str">
        <f t="shared" si="32"/>
        <v>10</v>
      </c>
      <c r="K197" s="71" t="str">
        <f t="shared" si="33"/>
        <v>11</v>
      </c>
      <c r="L197" s="3938"/>
      <c r="M197" s="71" t="s">
        <v>813</v>
      </c>
      <c r="N197" s="2604">
        <v>9.6999999999999993</v>
      </c>
      <c r="O197" s="2613">
        <v>9</v>
      </c>
      <c r="P197" s="2604">
        <v>9.5</v>
      </c>
      <c r="Q197" s="2683">
        <v>9.5</v>
      </c>
      <c r="R197" s="2613">
        <v>9.6</v>
      </c>
      <c r="S197" s="2690">
        <v>9</v>
      </c>
      <c r="T197" s="2590">
        <v>8.3000000000000007</v>
      </c>
      <c r="U197" s="2691">
        <v>9.4</v>
      </c>
      <c r="V197" s="2684">
        <v>9.4</v>
      </c>
      <c r="W197" s="2684">
        <v>9.4</v>
      </c>
      <c r="X197" s="2684">
        <v>10</v>
      </c>
      <c r="Y197" s="2685">
        <v>10</v>
      </c>
      <c r="Z197" s="223">
        <v>8.6</v>
      </c>
      <c r="AA197" s="223">
        <v>9.5</v>
      </c>
      <c r="AB197" s="223">
        <v>9.6999999999999993</v>
      </c>
      <c r="AC197" s="2686">
        <v>10</v>
      </c>
      <c r="AD197" s="2686">
        <v>10</v>
      </c>
      <c r="AE197" s="2519">
        <v>8</v>
      </c>
      <c r="AF197" s="2694">
        <f t="shared" si="35"/>
        <v>9.4</v>
      </c>
      <c r="AG197" s="2695"/>
      <c r="AH197" s="2695"/>
      <c r="AI197" s="2468">
        <v>8</v>
      </c>
      <c r="AJ197" s="223"/>
      <c r="AK197" s="2687">
        <f t="shared" si="34"/>
        <v>9.3000000000000007</v>
      </c>
      <c r="AL197" s="206"/>
      <c r="AM197" s="206"/>
      <c r="AN197" s="206"/>
    </row>
    <row r="198" spans="2:40" s="2406" customFormat="1" ht="15.75">
      <c r="B198" s="2468">
        <v>14</v>
      </c>
      <c r="C198" s="2242">
        <f>_xlfn.XLOOKUP($D198, Tabla3[No.], Tabla3[FECHA DE INICIO (PRIMERA CLASE CALENDARIO)]," ")</f>
        <v>43831</v>
      </c>
      <c r="D198" s="1772">
        <v>180</v>
      </c>
      <c r="E198" s="2241" t="str">
        <f>_xlfn.XLOOKUP($D198,  Tabla3[No.],  Tabla3[CURP], " ")</f>
        <v>LUGM780803MCCNZR07</v>
      </c>
      <c r="F198" s="2243" t="str">
        <f>_xlfn.XLOOKUP($D198,  Tabla3[No.],  Tabla3[Matrícula Of. SEQ], " ")</f>
        <v>64MD04A-16</v>
      </c>
      <c r="G198" s="2630" t="str">
        <f>IFERROR(VLOOKUP(D198,Tabla3[],5,FALSE),"")</f>
        <v>LUNA GUZMAN MERCY OSSANA</v>
      </c>
      <c r="H198" s="71" t="str">
        <f t="shared" si="30"/>
        <v>M</v>
      </c>
      <c r="I198" s="71" t="str">
        <f t="shared" si="31"/>
        <v>78</v>
      </c>
      <c r="J198" s="71" t="str">
        <f t="shared" si="32"/>
        <v>08</v>
      </c>
      <c r="K198" s="71" t="str">
        <f t="shared" si="33"/>
        <v>03</v>
      </c>
      <c r="L198" s="3938"/>
      <c r="M198" s="71" t="s">
        <v>813</v>
      </c>
      <c r="N198" s="2604">
        <v>9.6999999999999993</v>
      </c>
      <c r="O198" s="2613">
        <v>9</v>
      </c>
      <c r="P198" s="2604">
        <v>9.5</v>
      </c>
      <c r="Q198" s="2683">
        <v>9.5</v>
      </c>
      <c r="R198" s="2613">
        <v>8</v>
      </c>
      <c r="S198" s="2690">
        <v>9</v>
      </c>
      <c r="T198" s="2590">
        <v>9.3000000000000007</v>
      </c>
      <c r="U198" s="2691">
        <v>9.1999999999999993</v>
      </c>
      <c r="V198" s="2684">
        <v>9.1999999999999993</v>
      </c>
      <c r="W198" s="2684">
        <v>9.1999999999999993</v>
      </c>
      <c r="X198" s="2684">
        <v>9.9</v>
      </c>
      <c r="Y198" s="2685">
        <v>9.9</v>
      </c>
      <c r="Z198" s="223">
        <v>9.6999999999999993</v>
      </c>
      <c r="AA198" s="223">
        <v>9.1</v>
      </c>
      <c r="AB198" s="223">
        <v>8</v>
      </c>
      <c r="AC198" s="2686">
        <v>8.8000000000000007</v>
      </c>
      <c r="AD198" s="2686">
        <v>8.1999999999999993</v>
      </c>
      <c r="AE198" s="2519">
        <v>9</v>
      </c>
      <c r="AF198" s="2519">
        <v>9.3000000000000007</v>
      </c>
      <c r="AG198" s="2696"/>
      <c r="AH198" s="2696"/>
      <c r="AI198" s="2468">
        <v>9</v>
      </c>
      <c r="AJ198" s="223"/>
      <c r="AK198" s="2687">
        <f t="shared" si="34"/>
        <v>9.1250000000000018</v>
      </c>
      <c r="AL198" s="206"/>
      <c r="AM198" s="206"/>
      <c r="AN198" s="206"/>
    </row>
    <row r="199" spans="2:40" s="2406" customFormat="1" ht="15.75">
      <c r="B199" s="2468">
        <v>15</v>
      </c>
      <c r="C199" s="2242">
        <f>_xlfn.XLOOKUP($D199, Tabla3[No.], Tabla3[FECHA DE INICIO (PRIMERA CLASE CALENDARIO)]," ")</f>
        <v>43831</v>
      </c>
      <c r="D199" s="1772">
        <v>84</v>
      </c>
      <c r="E199" s="2241" t="str">
        <f>_xlfn.XLOOKUP($D199,  Tabla3[No.],  Tabla3[CURP], " ")</f>
        <v>MOCS940121MCCRNM04</v>
      </c>
      <c r="F199" s="2243" t="str">
        <f>_xlfn.XLOOKUP($D199,  Tabla3[No.],  Tabla3[Matrícula Of. SEQ], " ")</f>
        <v>64MD04A-17</v>
      </c>
      <c r="G199" s="2630" t="str">
        <f>IFERROR(VLOOKUP(D199,Tabla3[],5,FALSE),"")</f>
        <v>MORA CANTO SAMANTHA ANDREA</v>
      </c>
      <c r="H199" s="71" t="str">
        <f t="shared" si="30"/>
        <v>M</v>
      </c>
      <c r="I199" s="71" t="str">
        <f t="shared" si="31"/>
        <v>94</v>
      </c>
      <c r="J199" s="71" t="str">
        <f t="shared" si="32"/>
        <v>01</v>
      </c>
      <c r="K199" s="71" t="str">
        <f t="shared" si="33"/>
        <v>21</v>
      </c>
      <c r="L199" s="3938"/>
      <c r="M199" s="71" t="s">
        <v>813</v>
      </c>
      <c r="N199" s="2604">
        <v>9.6999999999999993</v>
      </c>
      <c r="O199" s="2608">
        <v>10</v>
      </c>
      <c r="P199" s="2604">
        <v>9.5</v>
      </c>
      <c r="Q199" s="2683">
        <v>9.5</v>
      </c>
      <c r="R199" s="2613">
        <v>9.6</v>
      </c>
      <c r="S199" s="2690">
        <v>9</v>
      </c>
      <c r="T199" s="2590">
        <v>9</v>
      </c>
      <c r="U199" s="2691">
        <v>9.6999999999999993</v>
      </c>
      <c r="V199" s="2684">
        <v>9.6</v>
      </c>
      <c r="W199" s="2684">
        <v>9.6</v>
      </c>
      <c r="X199" s="2684">
        <v>9.9</v>
      </c>
      <c r="Y199" s="2685">
        <v>9.9</v>
      </c>
      <c r="Z199" s="223">
        <v>8.3000000000000007</v>
      </c>
      <c r="AA199" s="223">
        <v>9.1999999999999993</v>
      </c>
      <c r="AB199" s="223">
        <v>8</v>
      </c>
      <c r="AC199" s="2686">
        <v>10</v>
      </c>
      <c r="AD199" s="314">
        <v>8</v>
      </c>
      <c r="AE199" s="2519">
        <v>8</v>
      </c>
      <c r="AF199" s="2693">
        <v>9.6999999999999993</v>
      </c>
      <c r="AG199" s="2693"/>
      <c r="AH199" s="2693"/>
      <c r="AI199" s="2468">
        <v>8</v>
      </c>
      <c r="AJ199" s="223"/>
      <c r="AK199" s="2687">
        <f t="shared" si="34"/>
        <v>9.2099999999999991</v>
      </c>
      <c r="AL199" s="206"/>
      <c r="AM199" s="206"/>
      <c r="AN199" s="206"/>
    </row>
    <row r="200" spans="2:40" s="2406" customFormat="1" ht="15.75">
      <c r="B200" s="2468">
        <v>16</v>
      </c>
      <c r="C200" s="2242">
        <f>_xlfn.XLOOKUP($D200, Tabla3[No.], Tabla3[FECHA DE INICIO (PRIMERA CLASE CALENDARIO)]," ")</f>
        <v>43831</v>
      </c>
      <c r="D200" s="1772">
        <v>85</v>
      </c>
      <c r="E200" s="2241" t="str">
        <f>_xlfn.XLOOKUP($D200,  Tabla3[No.],  Tabla3[CURP], " ")</f>
        <v>PEJM860625HCCCRL02</v>
      </c>
      <c r="F200" s="2243" t="str">
        <f>_xlfn.XLOOKUP($D200,  Tabla3[No.],  Tabla3[Matrícula Of. SEQ], " ")</f>
        <v>64MD04A-18</v>
      </c>
      <c r="G200" s="2630" t="str">
        <f>IFERROR(VLOOKUP(D200,Tabla3[],5,FALSE),"")</f>
        <v xml:space="preserve">PECH JUAREZ MILTON ALEJANDRO </v>
      </c>
      <c r="H200" s="71" t="str">
        <f t="shared" si="30"/>
        <v>H</v>
      </c>
      <c r="I200" s="71" t="str">
        <f t="shared" si="31"/>
        <v>86</v>
      </c>
      <c r="J200" s="71" t="str">
        <f t="shared" si="32"/>
        <v>06</v>
      </c>
      <c r="K200" s="71" t="str">
        <f t="shared" si="33"/>
        <v>25</v>
      </c>
      <c r="L200" s="3938"/>
      <c r="M200" s="71" t="s">
        <v>813</v>
      </c>
      <c r="N200" s="2604">
        <v>9.6999999999999993</v>
      </c>
      <c r="O200" s="2608">
        <v>10</v>
      </c>
      <c r="P200" s="2604">
        <v>9.5</v>
      </c>
      <c r="Q200" s="2683">
        <v>9.5</v>
      </c>
      <c r="R200" s="2613">
        <v>9.1</v>
      </c>
      <c r="S200" s="2690">
        <v>9</v>
      </c>
      <c r="T200" s="2590">
        <v>8.8000000000000007</v>
      </c>
      <c r="U200" s="2691">
        <v>9.9</v>
      </c>
      <c r="V200" s="2684">
        <v>9.8000000000000007</v>
      </c>
      <c r="W200" s="2684">
        <v>9.8000000000000007</v>
      </c>
      <c r="X200" s="2684">
        <v>9.8000000000000007</v>
      </c>
      <c r="Y200" s="2685">
        <v>9.9</v>
      </c>
      <c r="Z200" s="223">
        <v>9.4</v>
      </c>
      <c r="AA200" s="223">
        <v>9.1999999999999993</v>
      </c>
      <c r="AB200" s="223">
        <v>9.6999999999999993</v>
      </c>
      <c r="AC200" s="2686">
        <v>10</v>
      </c>
      <c r="AD200" s="2686">
        <v>10</v>
      </c>
      <c r="AE200" s="2514">
        <v>8</v>
      </c>
      <c r="AF200" s="2694">
        <v>9.6999999999999993</v>
      </c>
      <c r="AG200" s="2695"/>
      <c r="AH200" s="2695"/>
      <c r="AI200" s="2468">
        <v>8</v>
      </c>
      <c r="AJ200" s="223"/>
      <c r="AK200" s="2687">
        <f t="shared" si="34"/>
        <v>9.44</v>
      </c>
      <c r="AL200" s="206"/>
      <c r="AM200" s="206"/>
      <c r="AN200" s="206"/>
    </row>
    <row r="201" spans="2:40" s="2406" customFormat="1" ht="15.75">
      <c r="B201" s="2468">
        <v>17</v>
      </c>
      <c r="C201" s="2242">
        <f>_xlfn.XLOOKUP($D201, Tabla3[No.], Tabla3[FECHA DE INICIO (PRIMERA CLASE CALENDARIO)]," ")</f>
        <v>43831</v>
      </c>
      <c r="D201" s="1772">
        <v>86</v>
      </c>
      <c r="E201" s="2241" t="str">
        <f>_xlfn.XLOOKUP($D201,  Tabla3[No.],  Tabla3[CURP], " ")</f>
        <v>PETA660820MCCRJD07</v>
      </c>
      <c r="F201" s="2243" t="str">
        <f>_xlfn.XLOOKUP($D201,  Tabla3[No.],  Tabla3[Matrícula Of. SEQ], " ")</f>
        <v>64MD04A-19</v>
      </c>
      <c r="G201" s="2630" t="str">
        <f>IFERROR(VLOOKUP(D201,Tabla3[],5,FALSE),"")</f>
        <v>PEREZ TEJERO ADDY ZOILA</v>
      </c>
      <c r="H201" s="71" t="str">
        <f t="shared" si="30"/>
        <v>M</v>
      </c>
      <c r="I201" s="71" t="str">
        <f t="shared" si="31"/>
        <v>66</v>
      </c>
      <c r="J201" s="71" t="str">
        <f t="shared" si="32"/>
        <v>08</v>
      </c>
      <c r="K201" s="71" t="str">
        <f t="shared" si="33"/>
        <v>20</v>
      </c>
      <c r="L201" s="3938"/>
      <c r="M201" s="71" t="s">
        <v>813</v>
      </c>
      <c r="N201" s="2682">
        <v>9.3000000000000007</v>
      </c>
      <c r="O201" s="2613">
        <v>9</v>
      </c>
      <c r="P201" s="2604">
        <v>9.5</v>
      </c>
      <c r="Q201" s="2683">
        <v>9.5</v>
      </c>
      <c r="R201" s="2613">
        <v>9.4</v>
      </c>
      <c r="S201" s="2690">
        <v>9</v>
      </c>
      <c r="T201" s="2590">
        <v>9.4</v>
      </c>
      <c r="U201" s="2691">
        <v>9.6</v>
      </c>
      <c r="V201" s="2684">
        <v>9.3000000000000007</v>
      </c>
      <c r="W201" s="2684">
        <v>9.3000000000000007</v>
      </c>
      <c r="X201" s="2684">
        <v>9.8000000000000007</v>
      </c>
      <c r="Y201" s="2685">
        <v>9.8000000000000007</v>
      </c>
      <c r="Z201" s="223">
        <v>9.1</v>
      </c>
      <c r="AA201" s="223">
        <v>9.3000000000000007</v>
      </c>
      <c r="AB201" s="223">
        <v>9.6999999999999993</v>
      </c>
      <c r="AC201" s="314">
        <v>8</v>
      </c>
      <c r="AD201" s="314">
        <v>8</v>
      </c>
      <c r="AE201" s="223">
        <v>10</v>
      </c>
      <c r="AF201" s="2694">
        <v>9.6999999999999993</v>
      </c>
      <c r="AG201" s="2695"/>
      <c r="AH201" s="2695"/>
      <c r="AI201" s="2468">
        <v>9</v>
      </c>
      <c r="AJ201" s="223"/>
      <c r="AK201" s="2687">
        <f t="shared" si="34"/>
        <v>9.2849999999999984</v>
      </c>
      <c r="AL201" s="206"/>
      <c r="AM201" s="206"/>
      <c r="AN201" s="206"/>
    </row>
    <row r="202" spans="2:40" s="2406" customFormat="1" ht="15.75">
      <c r="B202" s="2468">
        <v>18</v>
      </c>
      <c r="C202" s="2242">
        <f>_xlfn.XLOOKUP($D202, Tabla3[No.], Tabla3[FECHA DE INICIO (PRIMERA CLASE CALENDARIO)]," ")</f>
        <v>43831</v>
      </c>
      <c r="D202" s="1772">
        <v>251</v>
      </c>
      <c r="E202" s="2241" t="str">
        <f>_xlfn.XLOOKUP($D202,  Tabla3[No.],  Tabla3[CURP], " ")</f>
        <v>RECG920830MCCYHL08</v>
      </c>
      <c r="F202" s="2243" t="str">
        <f>_xlfn.XLOOKUP($D202,  Tabla3[No.],  Tabla3[Matrícula Of. SEQ], " ")</f>
        <v>64MD04A-20</v>
      </c>
      <c r="G202" s="2630" t="str">
        <f>IFERROR(VLOOKUP(D202,Tabla3[],5,FALSE),"")</f>
        <v>REYES CHAN GLENDI</v>
      </c>
      <c r="H202" s="71" t="str">
        <f t="shared" si="30"/>
        <v>M</v>
      </c>
      <c r="I202" s="71" t="str">
        <f t="shared" si="31"/>
        <v>92</v>
      </c>
      <c r="J202" s="71" t="str">
        <f t="shared" si="32"/>
        <v>08</v>
      </c>
      <c r="K202" s="71" t="str">
        <f t="shared" si="33"/>
        <v>30</v>
      </c>
      <c r="L202" s="3938"/>
      <c r="M202" s="71" t="s">
        <v>813</v>
      </c>
      <c r="N202" s="2604">
        <v>9.6999999999999993</v>
      </c>
      <c r="O202" s="2613">
        <v>9</v>
      </c>
      <c r="P202" s="2604">
        <v>9.5</v>
      </c>
      <c r="Q202" s="2683">
        <v>9.5</v>
      </c>
      <c r="R202" s="2613">
        <v>10</v>
      </c>
      <c r="S202" s="2690">
        <v>9</v>
      </c>
      <c r="T202" s="2590">
        <v>9.3000000000000007</v>
      </c>
      <c r="U202" s="2691">
        <v>9.5</v>
      </c>
      <c r="V202" s="2684">
        <v>9.4</v>
      </c>
      <c r="W202" s="2684">
        <v>9.5</v>
      </c>
      <c r="X202" s="2684">
        <v>9.8000000000000007</v>
      </c>
      <c r="Y202" s="2685">
        <v>9.8000000000000007</v>
      </c>
      <c r="Z202" s="223">
        <v>10</v>
      </c>
      <c r="AA202" s="223">
        <v>9.1999999999999993</v>
      </c>
      <c r="AB202" s="223">
        <v>9.6999999999999993</v>
      </c>
      <c r="AC202" s="2686">
        <v>10</v>
      </c>
      <c r="AD202" s="2686">
        <v>10</v>
      </c>
      <c r="AE202" s="223">
        <v>8</v>
      </c>
      <c r="AF202" s="2694">
        <v>9.6999999999999993</v>
      </c>
      <c r="AG202" s="2695"/>
      <c r="AH202" s="2695"/>
      <c r="AI202" s="2468">
        <v>8</v>
      </c>
      <c r="AJ202" s="223"/>
      <c r="AK202" s="2687">
        <f t="shared" si="34"/>
        <v>9.4299999999999979</v>
      </c>
      <c r="AL202" s="206"/>
      <c r="AM202" s="206"/>
      <c r="AN202" s="206"/>
    </row>
    <row r="203" spans="2:40" s="2406" customFormat="1" ht="15.75">
      <c r="B203" s="2468">
        <v>19</v>
      </c>
      <c r="C203" s="2242">
        <f>_xlfn.XLOOKUP($D203, Tabla3[No.], Tabla3[FECHA DE INICIO (PRIMERA CLASE CALENDARIO)]," ")</f>
        <v>44440</v>
      </c>
      <c r="D203" s="1772">
        <v>270</v>
      </c>
      <c r="E203" s="2241" t="str">
        <f>_xlfn.XLOOKUP($D203,  Tabla3[No.],  Tabla3[CURP], " ")</f>
        <v>CUHF690713HDFRRS09</v>
      </c>
      <c r="F203" s="2243" t="str">
        <f>_xlfn.XLOOKUP($D203,  Tabla3[No.],  Tabla3[Matrícula Of. SEQ], " ")</f>
        <v>64DD04A2-02</v>
      </c>
      <c r="G203" s="2630" t="str">
        <f>IFERROR(VLOOKUP(D203,Tabla3[],5,FALSE),"")</f>
        <v xml:space="preserve">CRUZ HERNANDEZ FAUSTINO </v>
      </c>
      <c r="H203" s="71" t="str">
        <f t="shared" si="30"/>
        <v>H</v>
      </c>
      <c r="I203" s="71" t="str">
        <f t="shared" si="31"/>
        <v>69</v>
      </c>
      <c r="J203" s="71" t="str">
        <f t="shared" si="32"/>
        <v>07</v>
      </c>
      <c r="K203" s="71" t="str">
        <f t="shared" si="33"/>
        <v>13</v>
      </c>
      <c r="L203" s="3938"/>
      <c r="M203" s="71" t="s">
        <v>813</v>
      </c>
      <c r="N203" s="2697">
        <v>9</v>
      </c>
      <c r="O203" s="2698">
        <v>9</v>
      </c>
      <c r="P203" s="2698">
        <v>9</v>
      </c>
      <c r="Q203" s="2698">
        <v>9</v>
      </c>
      <c r="R203" s="2698">
        <v>9</v>
      </c>
      <c r="S203" s="2698">
        <v>9</v>
      </c>
      <c r="T203" s="2698">
        <v>9</v>
      </c>
      <c r="U203" s="2698">
        <v>9</v>
      </c>
      <c r="V203" s="2698">
        <v>9</v>
      </c>
      <c r="W203" s="2698">
        <v>9</v>
      </c>
      <c r="X203" s="2698">
        <v>9</v>
      </c>
      <c r="Y203" s="2698">
        <v>9</v>
      </c>
      <c r="Z203" s="2698">
        <v>9</v>
      </c>
      <c r="AA203" s="2698">
        <v>9</v>
      </c>
      <c r="AB203" s="2698">
        <v>9</v>
      </c>
      <c r="AC203" s="2699">
        <v>9.5</v>
      </c>
      <c r="AD203" s="2699">
        <v>9.5</v>
      </c>
      <c r="AE203" s="2698">
        <v>9</v>
      </c>
      <c r="AF203" s="2694">
        <v>9.5</v>
      </c>
      <c r="AG203" s="2695"/>
      <c r="AH203" s="2695"/>
      <c r="AI203" s="2696">
        <v>9</v>
      </c>
      <c r="AJ203" s="223"/>
      <c r="AK203" s="2687">
        <f t="shared" si="34"/>
        <v>9.0749999999999993</v>
      </c>
      <c r="AL203" s="206"/>
      <c r="AM203" s="206"/>
      <c r="AN203" s="206"/>
    </row>
    <row r="204" spans="2:40" s="2406" customFormat="1" ht="15.75">
      <c r="B204" s="2468"/>
      <c r="C204" s="2242" t="str">
        <f>_xlfn.XLOOKUP($D204, Tabla3[No.], Tabla3[FECHA DE INICIO (PRIMERA CLASE CALENDARIO)]," ")</f>
        <v xml:space="preserve"> </v>
      </c>
      <c r="D204" s="2263"/>
      <c r="E204" s="2241" t="str">
        <f>_xlfn.XLOOKUP($D204,  Tabla3[No.],  Tabla3[CURP], " ")</f>
        <v xml:space="preserve"> </v>
      </c>
      <c r="F204" s="2243" t="str">
        <f>_xlfn.XLOOKUP($D204,  Tabla3[No.],  Tabla3[Matrícula Of. SEQ], " ")</f>
        <v xml:space="preserve"> </v>
      </c>
      <c r="G204" s="2630" t="str">
        <f>IFERROR(VLOOKUP(D204,Tabla3[],5,FALSE),"")</f>
        <v/>
      </c>
      <c r="H204" s="71" t="str">
        <f t="shared" si="30"/>
        <v/>
      </c>
      <c r="I204" s="71" t="str">
        <f t="shared" si="31"/>
        <v/>
      </c>
      <c r="J204" s="71" t="str">
        <f t="shared" si="32"/>
        <v/>
      </c>
      <c r="K204" s="71" t="str">
        <f t="shared" si="33"/>
        <v/>
      </c>
      <c r="L204" s="3933"/>
      <c r="M204" s="2511" t="s">
        <v>564</v>
      </c>
      <c r="N204" s="2700">
        <v>9.1999999999999993</v>
      </c>
      <c r="O204" s="2701">
        <v>8</v>
      </c>
      <c r="P204" s="2701">
        <v>8</v>
      </c>
      <c r="Q204" s="2519">
        <v>8</v>
      </c>
      <c r="R204" s="2519">
        <v>9.1999999999999993</v>
      </c>
      <c r="S204" s="2514">
        <v>9.5</v>
      </c>
      <c r="T204" s="2519">
        <v>9.5</v>
      </c>
      <c r="U204" s="2519">
        <v>9.5</v>
      </c>
      <c r="V204" s="2519">
        <v>9.5</v>
      </c>
      <c r="W204" s="2519">
        <v>10</v>
      </c>
      <c r="X204" s="2519">
        <v>10</v>
      </c>
      <c r="Y204" s="2519">
        <v>8.6</v>
      </c>
      <c r="Z204" s="2519">
        <v>8.5</v>
      </c>
      <c r="AA204" s="2519">
        <v>8.5</v>
      </c>
      <c r="AB204" s="71">
        <v>9</v>
      </c>
      <c r="AC204" s="223">
        <v>8.6</v>
      </c>
      <c r="AD204" s="223">
        <v>8.6</v>
      </c>
      <c r="AE204" s="223">
        <v>9</v>
      </c>
      <c r="AF204" s="223">
        <v>9.1999999999999993</v>
      </c>
      <c r="AG204" s="2468"/>
      <c r="AH204" s="2468"/>
      <c r="AI204" s="2468">
        <v>9.1999999999999993</v>
      </c>
      <c r="AJ204" s="223"/>
      <c r="AK204" s="223"/>
      <c r="AL204" s="206"/>
      <c r="AM204" s="206"/>
      <c r="AN204" s="206"/>
    </row>
    <row r="205" spans="2:40" s="2406" customFormat="1" ht="15.75">
      <c r="B205" s="2468">
        <v>20</v>
      </c>
      <c r="C205" s="2242">
        <f>_xlfn.XLOOKUP($D205, Tabla3[No.], Tabla3[FECHA DE INICIO (PRIMERA CLASE CALENDARIO)]," ")</f>
        <v>44317</v>
      </c>
      <c r="D205" s="1772">
        <v>235</v>
      </c>
      <c r="E205" s="2241" t="str">
        <f>_xlfn.XLOOKUP($D205,  Tabla3[No.],  Tabla3[CURP], " ")</f>
        <v>JASF800617MMCRNR00</v>
      </c>
      <c r="F205" s="2243" t="str">
        <f>_xlfn.XLOOKUP($D205,  Tabla3[No.],  Tabla3[Matrícula Of. SEQ], " ")</f>
        <v>64MD04A2-02</v>
      </c>
      <c r="G205" s="2630" t="str">
        <f>IFERROR(VLOOKUP(D205,Tabla3[],5,FALSE),"")</f>
        <v>JARDON SANCHEZ FRANCIA MARGARITA</v>
      </c>
      <c r="H205" s="71" t="str">
        <f t="shared" si="30"/>
        <v>M</v>
      </c>
      <c r="I205" s="71" t="str">
        <f t="shared" si="31"/>
        <v>80</v>
      </c>
      <c r="J205" s="71" t="str">
        <f t="shared" si="32"/>
        <v>06</v>
      </c>
      <c r="K205" s="71" t="str">
        <f t="shared" si="33"/>
        <v>17</v>
      </c>
      <c r="L205" s="3938"/>
      <c r="M205" s="71" t="s">
        <v>635</v>
      </c>
      <c r="N205" s="2702">
        <v>9.6999999999999993</v>
      </c>
      <c r="O205" s="2703">
        <v>9.8000000000000007</v>
      </c>
      <c r="P205" s="2704">
        <v>9.5</v>
      </c>
      <c r="Q205" s="2684">
        <v>9.5</v>
      </c>
      <c r="R205" s="2684">
        <v>9.5</v>
      </c>
      <c r="S205" s="2684">
        <v>9.5</v>
      </c>
      <c r="T205" s="2684">
        <v>9.5</v>
      </c>
      <c r="U205" s="2684">
        <v>9.5</v>
      </c>
      <c r="V205" s="2684">
        <v>9.5</v>
      </c>
      <c r="W205" s="2684">
        <v>9.5</v>
      </c>
      <c r="X205" s="2684">
        <v>9.5</v>
      </c>
      <c r="Y205" s="2705">
        <v>10</v>
      </c>
      <c r="Z205" s="223">
        <v>9.4</v>
      </c>
      <c r="AA205" s="223">
        <v>9.4</v>
      </c>
      <c r="AB205" s="223">
        <v>9.4</v>
      </c>
      <c r="AC205" s="2699">
        <v>9.5</v>
      </c>
      <c r="AD205" s="2699">
        <v>9.5</v>
      </c>
      <c r="AE205" s="2706">
        <v>9.1999999999999993</v>
      </c>
      <c r="AF205" s="2694">
        <v>9</v>
      </c>
      <c r="AG205" s="2695"/>
      <c r="AH205" s="2695"/>
      <c r="AI205" s="2468">
        <v>8</v>
      </c>
      <c r="AJ205" s="223"/>
      <c r="AK205" s="2687">
        <f t="shared" ref="AK205:AK213" si="36">AVERAGE(N205:AI205)</f>
        <v>9.42</v>
      </c>
      <c r="AL205" s="206"/>
      <c r="AM205" s="206"/>
      <c r="AN205" s="206"/>
    </row>
    <row r="206" spans="2:40" s="2406" customFormat="1" ht="15.75">
      <c r="B206" s="2468">
        <v>21</v>
      </c>
      <c r="C206" s="2242">
        <f>_xlfn.XLOOKUP($D206, Tabla3[No.], Tabla3[FECHA DE INICIO (PRIMERA CLASE CALENDARIO)]," ")</f>
        <v>44348</v>
      </c>
      <c r="D206" s="1772">
        <v>240</v>
      </c>
      <c r="E206" s="2241" t="str">
        <f>_xlfn.XLOOKUP($D206,  Tabla3[No.],  Tabla3[CURP], " ")</f>
        <v>OOLD780911MMCSPN04</v>
      </c>
      <c r="F206" s="2243" t="str">
        <f>_xlfn.XLOOKUP($D206,  Tabla3[No.],  Tabla3[Matrícula Of. SEQ], " ")</f>
        <v>64MD04A2-04</v>
      </c>
      <c r="G206" s="2630" t="str">
        <f>IFERROR(VLOOKUP(D206,Tabla3[],5,FALSE),"")</f>
        <v>OSORIO LOPEZ DIANA</v>
      </c>
      <c r="H206" s="71" t="str">
        <f t="shared" si="30"/>
        <v>M</v>
      </c>
      <c r="I206" s="71" t="str">
        <f t="shared" si="31"/>
        <v>78</v>
      </c>
      <c r="J206" s="71" t="str">
        <f t="shared" si="32"/>
        <v>09</v>
      </c>
      <c r="K206" s="71" t="str">
        <f t="shared" si="33"/>
        <v>11</v>
      </c>
      <c r="L206" s="3938"/>
      <c r="M206" s="71" t="s">
        <v>635</v>
      </c>
      <c r="N206" s="2707">
        <v>9.6999999999999993</v>
      </c>
      <c r="O206" s="2708">
        <v>9.8000000000000007</v>
      </c>
      <c r="P206" s="2709">
        <v>9.5</v>
      </c>
      <c r="Q206" s="2684">
        <v>9.5</v>
      </c>
      <c r="R206" s="2684">
        <v>9.5</v>
      </c>
      <c r="S206" s="2684">
        <v>9.5</v>
      </c>
      <c r="T206" s="2684">
        <v>9.5</v>
      </c>
      <c r="U206" s="2684">
        <v>9.5</v>
      </c>
      <c r="V206" s="2684">
        <v>9.5</v>
      </c>
      <c r="W206" s="2684">
        <v>9.5</v>
      </c>
      <c r="X206" s="2684">
        <v>9.5</v>
      </c>
      <c r="Y206" s="2705">
        <v>10</v>
      </c>
      <c r="Z206" s="223">
        <v>9.4</v>
      </c>
      <c r="AA206" s="223">
        <v>9.4</v>
      </c>
      <c r="AB206" s="223">
        <v>9.4</v>
      </c>
      <c r="AC206" s="2699">
        <v>9.5</v>
      </c>
      <c r="AD206" s="2699">
        <v>9.5</v>
      </c>
      <c r="AE206" s="2706">
        <v>8</v>
      </c>
      <c r="AF206" s="223">
        <v>9</v>
      </c>
      <c r="AG206" s="2468"/>
      <c r="AH206" s="2468"/>
      <c r="AI206" s="2468">
        <v>8</v>
      </c>
      <c r="AJ206" s="223"/>
      <c r="AK206" s="2687">
        <f t="shared" si="36"/>
        <v>9.3600000000000012</v>
      </c>
      <c r="AL206" s="206"/>
      <c r="AM206" s="206"/>
      <c r="AN206" s="206"/>
    </row>
    <row r="207" spans="2:40" s="2406" customFormat="1" ht="15.75">
      <c r="B207" s="2468">
        <v>22</v>
      </c>
      <c r="C207" s="2242">
        <f>_xlfn.XLOOKUP($D207, Tabla3[No.], Tabla3[FECHA DE INICIO (PRIMERA CLASE CALENDARIO)]," ")</f>
        <v>44337</v>
      </c>
      <c r="D207" s="1772">
        <v>131</v>
      </c>
      <c r="E207" s="2241" t="str">
        <f>_xlfn.XLOOKUP($D207,  Tabla3[No.],  Tabla3[CURP], " ")</f>
        <v>PEJS780105HCCCMR03</v>
      </c>
      <c r="F207" s="2243" t="str">
        <f>_xlfn.XLOOKUP($D207,  Tabla3[No.],  Tabla3[Matrícula Of. SEQ], " ")</f>
        <v xml:space="preserve">64MD04A2-02        
</v>
      </c>
      <c r="G207" s="2630" t="str">
        <f>IFERROR(VLOOKUP(D207,Tabla3[],5,FALSE),"")</f>
        <v>PECH JIMENEZ SERGIO ALFONSO</v>
      </c>
      <c r="H207" s="71" t="str">
        <f t="shared" si="30"/>
        <v>H</v>
      </c>
      <c r="I207" s="71" t="str">
        <f t="shared" si="31"/>
        <v>78</v>
      </c>
      <c r="J207" s="71" t="str">
        <f t="shared" si="32"/>
        <v>01</v>
      </c>
      <c r="K207" s="71" t="str">
        <f t="shared" si="33"/>
        <v>05</v>
      </c>
      <c r="L207" s="3938"/>
      <c r="M207" s="71" t="s">
        <v>813</v>
      </c>
      <c r="N207" s="2707">
        <v>9.6999999999999993</v>
      </c>
      <c r="O207" s="2647">
        <v>10</v>
      </c>
      <c r="P207" s="2710">
        <v>9.5</v>
      </c>
      <c r="Q207" s="2613">
        <v>9.1</v>
      </c>
      <c r="R207" s="2613">
        <v>9.1</v>
      </c>
      <c r="S207" s="2613">
        <v>9.1</v>
      </c>
      <c r="T207" s="2613">
        <v>9.1</v>
      </c>
      <c r="U207" s="2613">
        <v>9.1</v>
      </c>
      <c r="V207" s="2613">
        <v>9.1</v>
      </c>
      <c r="W207" s="2613">
        <v>9.1</v>
      </c>
      <c r="X207" s="2613">
        <v>9.1</v>
      </c>
      <c r="Y207" s="2613">
        <v>9.1</v>
      </c>
      <c r="Z207" s="2613">
        <v>9.1</v>
      </c>
      <c r="AA207" s="2613">
        <v>9.1</v>
      </c>
      <c r="AB207" s="2613">
        <v>9.1</v>
      </c>
      <c r="AC207" s="2613">
        <v>9.1</v>
      </c>
      <c r="AD207" s="2613">
        <v>9.1</v>
      </c>
      <c r="AE207" s="2613">
        <v>9.1</v>
      </c>
      <c r="AF207" s="2613">
        <v>9.1</v>
      </c>
      <c r="AG207" s="2711"/>
      <c r="AH207" s="2711"/>
      <c r="AI207" s="2711">
        <v>9.1</v>
      </c>
      <c r="AJ207" s="223"/>
      <c r="AK207" s="2687">
        <f t="shared" si="36"/>
        <v>9.1949999999999967</v>
      </c>
      <c r="AL207" s="206"/>
      <c r="AM207" s="206"/>
      <c r="AN207" s="206"/>
    </row>
    <row r="208" spans="2:40" s="2406" customFormat="1" ht="15.75">
      <c r="B208" s="2468">
        <v>23</v>
      </c>
      <c r="C208" s="2242">
        <f>_xlfn.XLOOKUP($D208, Tabla3[No.], Tabla3[FECHA DE INICIO (PRIMERA CLASE CALENDARIO)]," ")</f>
        <v>43831</v>
      </c>
      <c r="D208" s="1772">
        <v>88</v>
      </c>
      <c r="E208" s="2241" t="str">
        <f>_xlfn.XLOOKUP($D208,  Tabla3[No.],  Tabla3[CURP], " ")</f>
        <v>ROXD810410MCCDXL07</v>
      </c>
      <c r="F208" s="2243" t="str">
        <f>_xlfn.XLOOKUP($D208,  Tabla3[No.],  Tabla3[Matrícula Of. SEQ], " ")</f>
        <v>64MD04A-21</v>
      </c>
      <c r="G208" s="2630" t="str">
        <f>IFERROR(VLOOKUP(D208,Tabla3[],5,FALSE),"")</f>
        <v>RODRIGUEZ DOLORES JOSEFINA</v>
      </c>
      <c r="H208" s="71" t="str">
        <f t="shared" si="30"/>
        <v>M</v>
      </c>
      <c r="I208" s="71" t="str">
        <f t="shared" si="31"/>
        <v>81</v>
      </c>
      <c r="J208" s="71" t="str">
        <f t="shared" si="32"/>
        <v>04</v>
      </c>
      <c r="K208" s="71" t="str">
        <f t="shared" si="33"/>
        <v>10</v>
      </c>
      <c r="L208" s="3938"/>
      <c r="M208" s="71" t="s">
        <v>813</v>
      </c>
      <c r="N208" s="2707">
        <v>9.6999999999999993</v>
      </c>
      <c r="O208" s="2647">
        <v>10</v>
      </c>
      <c r="P208" s="2710">
        <v>9.5</v>
      </c>
      <c r="Q208" s="2683">
        <v>9.5</v>
      </c>
      <c r="R208" s="2613">
        <v>9.1</v>
      </c>
      <c r="S208" s="2690">
        <v>9</v>
      </c>
      <c r="T208" s="2590">
        <v>8.9</v>
      </c>
      <c r="U208" s="2691">
        <v>9</v>
      </c>
      <c r="V208" s="2684">
        <v>9</v>
      </c>
      <c r="W208" s="2684">
        <v>9</v>
      </c>
      <c r="X208" s="2684">
        <v>9.9</v>
      </c>
      <c r="Y208" s="2685">
        <v>9.9</v>
      </c>
      <c r="Z208" s="223">
        <v>10</v>
      </c>
      <c r="AA208" s="223">
        <v>9.4</v>
      </c>
      <c r="AB208" s="223">
        <v>9.6</v>
      </c>
      <c r="AC208" s="2686">
        <v>9.3000000000000007</v>
      </c>
      <c r="AD208" s="2686">
        <v>10</v>
      </c>
      <c r="AE208" s="223">
        <v>8</v>
      </c>
      <c r="AF208" s="223">
        <v>9.6999999999999993</v>
      </c>
      <c r="AG208" s="2468"/>
      <c r="AH208" s="2468"/>
      <c r="AI208" s="2468">
        <v>8.4</v>
      </c>
      <c r="AJ208" s="223"/>
      <c r="AK208" s="2687">
        <f t="shared" si="36"/>
        <v>9.3450000000000006</v>
      </c>
      <c r="AL208" s="206"/>
      <c r="AM208" s="206"/>
      <c r="AN208" s="206"/>
    </row>
    <row r="209" spans="1:40" s="2406" customFormat="1" ht="15.75">
      <c r="B209" s="2468">
        <v>24</v>
      </c>
      <c r="C209" s="2242">
        <f>_xlfn.XLOOKUP($D209, Tabla3[No.], Tabla3[FECHA DE INICIO (PRIMERA CLASE CALENDARIO)]," ")</f>
        <v>43831</v>
      </c>
      <c r="D209" s="1772">
        <v>89</v>
      </c>
      <c r="E209" s="2241" t="str">
        <f>_xlfn.XLOOKUP($D209,  Tabla3[No.],  Tabla3[CURP], " ")</f>
        <v>ROML900705HCCSXS06</v>
      </c>
      <c r="F209" s="2243" t="str">
        <f>_xlfn.XLOOKUP($D209,  Tabla3[No.],  Tabla3[Matrícula Of. SEQ], " ")</f>
        <v>64MD04A-22</v>
      </c>
      <c r="G209" s="2630" t="str">
        <f>IFERROR(VLOOKUP(D209,Tabla3[],5,FALSE),"")</f>
        <v>ROSADO MUÑOZ LUIS HUMBERTO</v>
      </c>
      <c r="H209" s="71" t="str">
        <f t="shared" si="30"/>
        <v>H</v>
      </c>
      <c r="I209" s="71" t="str">
        <f t="shared" si="31"/>
        <v>90</v>
      </c>
      <c r="J209" s="71" t="str">
        <f t="shared" si="32"/>
        <v>07</v>
      </c>
      <c r="K209" s="71" t="str">
        <f t="shared" si="33"/>
        <v>05</v>
      </c>
      <c r="L209" s="3938"/>
      <c r="M209" s="71" t="s">
        <v>813</v>
      </c>
      <c r="N209" s="2707">
        <v>9.6999999999999993</v>
      </c>
      <c r="O209" s="2647">
        <v>10</v>
      </c>
      <c r="P209" s="2710">
        <v>9.5</v>
      </c>
      <c r="Q209" s="2683">
        <v>9.5</v>
      </c>
      <c r="R209" s="2613">
        <v>9.8000000000000007</v>
      </c>
      <c r="S209" s="2690">
        <v>9</v>
      </c>
      <c r="T209" s="2590">
        <v>8.4</v>
      </c>
      <c r="U209" s="2691">
        <v>9.9</v>
      </c>
      <c r="V209" s="2684">
        <v>9.8000000000000007</v>
      </c>
      <c r="W209" s="2684">
        <v>9.8000000000000007</v>
      </c>
      <c r="X209" s="2684">
        <v>10</v>
      </c>
      <c r="Y209" s="2685">
        <v>10</v>
      </c>
      <c r="Z209" s="223">
        <v>8.6999999999999993</v>
      </c>
      <c r="AA209" s="223">
        <v>9.3000000000000007</v>
      </c>
      <c r="AB209" s="223">
        <v>10</v>
      </c>
      <c r="AC209" s="2686">
        <v>10</v>
      </c>
      <c r="AD209" s="2686">
        <v>10</v>
      </c>
      <c r="AE209" s="223">
        <v>8</v>
      </c>
      <c r="AF209" s="223">
        <v>9.6999999999999993</v>
      </c>
      <c r="AG209" s="2468"/>
      <c r="AH209" s="2468"/>
      <c r="AI209" s="2468">
        <v>9</v>
      </c>
      <c r="AJ209" s="223"/>
      <c r="AK209" s="2687">
        <f t="shared" si="36"/>
        <v>9.504999999999999</v>
      </c>
      <c r="AL209" s="206"/>
      <c r="AM209" s="206"/>
      <c r="AN209" s="206"/>
    </row>
    <row r="210" spans="1:40" s="2406" customFormat="1" ht="15.75">
      <c r="B210" s="2468">
        <v>25</v>
      </c>
      <c r="C210" s="2242">
        <f>_xlfn.XLOOKUP($D210, Tabla3[No.], Tabla3[FECHA DE INICIO (PRIMERA CLASE CALENDARIO)]," ")</f>
        <v>43831</v>
      </c>
      <c r="D210" s="1772">
        <v>90</v>
      </c>
      <c r="E210" s="2241" t="str">
        <f>_xlfn.XLOOKUP($D210,  Tabla3[No.],  Tabla3[CURP], " ")</f>
        <v>SARR920104MCCNMY01</v>
      </c>
      <c r="F210" s="2243" t="str">
        <f>_xlfn.XLOOKUP($D210,  Tabla3[No.],  Tabla3[Matrícula Of. SEQ], " ")</f>
        <v>64MD04A-23</v>
      </c>
      <c r="G210" s="2630" t="str">
        <f>IFERROR(VLOOKUP(D210,Tabla3[],5,FALSE),"")</f>
        <v>SANTIAGO RAMIREZ REYNA MARIA</v>
      </c>
      <c r="H210" s="71" t="str">
        <f t="shared" si="30"/>
        <v>M</v>
      </c>
      <c r="I210" s="71" t="str">
        <f t="shared" si="31"/>
        <v>92</v>
      </c>
      <c r="J210" s="71" t="str">
        <f t="shared" si="32"/>
        <v>01</v>
      </c>
      <c r="K210" s="71" t="str">
        <f t="shared" si="33"/>
        <v>04</v>
      </c>
      <c r="L210" s="3938"/>
      <c r="M210" s="71" t="s">
        <v>813</v>
      </c>
      <c r="N210" s="2707">
        <v>9.6999999999999993</v>
      </c>
      <c r="O210" s="2647">
        <v>9</v>
      </c>
      <c r="P210" s="2710">
        <v>9.5</v>
      </c>
      <c r="Q210" s="2683">
        <v>9.5</v>
      </c>
      <c r="R210" s="2613">
        <v>9.5</v>
      </c>
      <c r="S210" s="2690">
        <v>9</v>
      </c>
      <c r="T210" s="2590">
        <v>9.1</v>
      </c>
      <c r="U210" s="2691">
        <v>9.4</v>
      </c>
      <c r="V210" s="2684">
        <v>9.4</v>
      </c>
      <c r="W210" s="2684">
        <v>9.4</v>
      </c>
      <c r="X210" s="2684">
        <v>9.9</v>
      </c>
      <c r="Y210" s="2685">
        <v>9.9</v>
      </c>
      <c r="Z210" s="223">
        <v>8.8000000000000007</v>
      </c>
      <c r="AA210" s="223">
        <v>9.1999999999999993</v>
      </c>
      <c r="AB210" s="223">
        <v>9.6</v>
      </c>
      <c r="AC210" s="2686">
        <v>10</v>
      </c>
      <c r="AD210" s="2686">
        <v>10</v>
      </c>
      <c r="AE210" s="223">
        <v>8</v>
      </c>
      <c r="AF210" s="223">
        <v>9.6</v>
      </c>
      <c r="AG210" s="2468"/>
      <c r="AH210" s="2468"/>
      <c r="AI210" s="2468">
        <v>8</v>
      </c>
      <c r="AJ210" s="223"/>
      <c r="AK210" s="2687">
        <f t="shared" si="36"/>
        <v>9.3249999999999993</v>
      </c>
      <c r="AL210" s="206"/>
      <c r="AM210" s="206"/>
      <c r="AN210" s="206"/>
    </row>
    <row r="211" spans="1:40" s="2406" customFormat="1" ht="15.75">
      <c r="B211" s="2468">
        <v>26</v>
      </c>
      <c r="C211" s="2242">
        <f>_xlfn.XLOOKUP($D211, Tabla3[No.], Tabla3[FECHA DE INICIO (PRIMERA CLASE CALENDARIO)]," ")</f>
        <v>44317</v>
      </c>
      <c r="D211" s="1772">
        <v>72</v>
      </c>
      <c r="E211" s="2241" t="str">
        <f>_xlfn.XLOOKUP($D211,  Tabla3[No.],  Tabla3[CURP], " ")</f>
        <v>TOVS760527MGRRLG14</v>
      </c>
      <c r="F211" s="2243" t="str">
        <f>_xlfn.XLOOKUP($D211,  Tabla3[No.],  Tabla3[Matrícula Of. SEQ], " ")</f>
        <v>64MD04A2-07</v>
      </c>
      <c r="G211" s="2630" t="str">
        <f>IFERROR(VLOOKUP(D211,Tabla3[],5,FALSE),"")</f>
        <v>TORRESCANO VELAZQUEZ SUGEY ALMA JEANET</v>
      </c>
      <c r="H211" s="71" t="str">
        <f t="shared" si="30"/>
        <v>M</v>
      </c>
      <c r="I211" s="71" t="str">
        <f t="shared" si="31"/>
        <v>76</v>
      </c>
      <c r="J211" s="71" t="str">
        <f t="shared" si="32"/>
        <v>05</v>
      </c>
      <c r="K211" s="71" t="str">
        <f t="shared" si="33"/>
        <v>27</v>
      </c>
      <c r="L211" s="3938"/>
      <c r="M211" s="71" t="s">
        <v>635</v>
      </c>
      <c r="N211" s="2707">
        <v>9.6999999999999993</v>
      </c>
      <c r="O211" s="2708">
        <v>10</v>
      </c>
      <c r="P211" s="2709">
        <v>9.5</v>
      </c>
      <c r="Q211" s="2684">
        <v>9.5</v>
      </c>
      <c r="R211" s="2684">
        <v>9.5</v>
      </c>
      <c r="S211" s="2684">
        <v>9.5</v>
      </c>
      <c r="T211" s="2684">
        <v>9.5</v>
      </c>
      <c r="U211" s="2684">
        <v>9.5</v>
      </c>
      <c r="V211" s="2684">
        <v>9.5</v>
      </c>
      <c r="W211" s="2684">
        <v>9.5</v>
      </c>
      <c r="X211" s="2684">
        <v>9.5</v>
      </c>
      <c r="Y211" s="2705">
        <v>10</v>
      </c>
      <c r="Z211" s="2684">
        <v>9.5</v>
      </c>
      <c r="AA211" s="2684">
        <v>9.5</v>
      </c>
      <c r="AB211" s="2684">
        <v>9.5</v>
      </c>
      <c r="AC211" s="2684">
        <v>9.5</v>
      </c>
      <c r="AD211" s="2684">
        <v>9.5</v>
      </c>
      <c r="AE211" s="2706">
        <v>9.1999999999999993</v>
      </c>
      <c r="AF211" s="2706">
        <v>9</v>
      </c>
      <c r="AG211" s="2712"/>
      <c r="AH211" s="2712"/>
      <c r="AI211" s="2712">
        <v>8</v>
      </c>
      <c r="AJ211" s="223"/>
      <c r="AK211" s="2687">
        <f t="shared" si="36"/>
        <v>9.4449999999999985</v>
      </c>
      <c r="AL211" s="206"/>
      <c r="AM211" s="206"/>
      <c r="AN211" s="206"/>
    </row>
    <row r="212" spans="1:40" s="2406" customFormat="1" ht="15.75">
      <c r="B212" s="2468">
        <v>27</v>
      </c>
      <c r="C212" s="2242">
        <f>_xlfn.XLOOKUP($D212, Tabla3[No.], Tabla3[FECHA DE INICIO (PRIMERA CLASE CALENDARIO)]," ")</f>
        <v>43831</v>
      </c>
      <c r="D212" s="1772">
        <v>91</v>
      </c>
      <c r="E212" s="2241" t="str">
        <f>_xlfn.XLOOKUP($D212,  Tabla3[No.],  Tabla3[CURP], " ")</f>
        <v>VAMA931216MVZSRN07</v>
      </c>
      <c r="F212" s="2243" t="str">
        <f>_xlfn.XLOOKUP($D212,  Tabla3[No.],  Tabla3[Matrícula Of. SEQ], " ")</f>
        <v>64MD04A-24</v>
      </c>
      <c r="G212" s="2630" t="str">
        <f>IFERROR(VLOOKUP(D212,Tabla3[],5,FALSE),"")</f>
        <v>VASQUEZ MARTINEZ ANA KARINA</v>
      </c>
      <c r="H212" s="71" t="str">
        <f t="shared" si="30"/>
        <v>M</v>
      </c>
      <c r="I212" s="71" t="str">
        <f t="shared" si="31"/>
        <v>93</v>
      </c>
      <c r="J212" s="71" t="str">
        <f t="shared" si="32"/>
        <v>12</v>
      </c>
      <c r="K212" s="71" t="str">
        <f t="shared" si="33"/>
        <v>16</v>
      </c>
      <c r="L212" s="3938"/>
      <c r="M212" s="71" t="s">
        <v>813</v>
      </c>
      <c r="N212" s="2707">
        <v>9.6999999999999993</v>
      </c>
      <c r="O212" s="2647">
        <v>10</v>
      </c>
      <c r="P212" s="2710">
        <v>9.5</v>
      </c>
      <c r="Q212" s="2683">
        <v>9.5</v>
      </c>
      <c r="R212" s="2613">
        <v>9.4</v>
      </c>
      <c r="S212" s="2690">
        <v>9</v>
      </c>
      <c r="T212" s="2590">
        <v>9.4</v>
      </c>
      <c r="U212" s="2691">
        <v>9.1999999999999993</v>
      </c>
      <c r="V212" s="2684">
        <v>9.1999999999999993</v>
      </c>
      <c r="W212" s="2684">
        <v>9.1999999999999993</v>
      </c>
      <c r="X212" s="2684">
        <v>9.8000000000000007</v>
      </c>
      <c r="Y212" s="2685">
        <v>10</v>
      </c>
      <c r="Z212" s="223">
        <v>10</v>
      </c>
      <c r="AA212" s="223">
        <v>9.5</v>
      </c>
      <c r="AB212" s="223">
        <v>9.6999999999999993</v>
      </c>
      <c r="AC212" s="2686">
        <v>9</v>
      </c>
      <c r="AD212" s="2686">
        <v>9</v>
      </c>
      <c r="AE212" s="223">
        <v>8</v>
      </c>
      <c r="AF212" s="223">
        <v>9.6</v>
      </c>
      <c r="AG212" s="2468"/>
      <c r="AH212" s="2468"/>
      <c r="AI212" s="2468">
        <v>9</v>
      </c>
      <c r="AJ212" s="223"/>
      <c r="AK212" s="2687">
        <f t="shared" si="36"/>
        <v>9.3849999999999998</v>
      </c>
      <c r="AL212" s="206"/>
      <c r="AM212" s="206"/>
      <c r="AN212" s="206"/>
    </row>
    <row r="213" spans="1:40" s="2406" customFormat="1" ht="15.75">
      <c r="B213" s="2468">
        <v>28</v>
      </c>
      <c r="C213" s="2242">
        <f>_xlfn.XLOOKUP($D213, Tabla3[No.], Tabla3[FECHA DE INICIO (PRIMERA CLASE CALENDARIO)]," ")</f>
        <v>43831</v>
      </c>
      <c r="D213" s="1772">
        <v>22</v>
      </c>
      <c r="E213" s="2241" t="str">
        <f>_xlfn.XLOOKUP($D213,  Tabla3[No.],  Tabla3[CURP], " ")</f>
        <v>ZAMG761001MCCVRB06</v>
      </c>
      <c r="F213" s="2243" t="str">
        <f>_xlfn.XLOOKUP($D213,  Tabla3[No.],  Tabla3[Matrícula Of. SEQ], " ")</f>
        <v>64MD04A-25</v>
      </c>
      <c r="G213" s="2630" t="str">
        <f>IFERROR(VLOOKUP(D213,Tabla3[],5,FALSE),"")</f>
        <v xml:space="preserve">ZAVALA MORALES GABRIELA </v>
      </c>
      <c r="H213" s="71" t="str">
        <f t="shared" si="30"/>
        <v>M</v>
      </c>
      <c r="I213" s="71" t="str">
        <f t="shared" si="31"/>
        <v>76</v>
      </c>
      <c r="J213" s="71" t="str">
        <f t="shared" si="32"/>
        <v>10</v>
      </c>
      <c r="K213" s="71" t="str">
        <f t="shared" si="33"/>
        <v>01</v>
      </c>
      <c r="L213" s="3938"/>
      <c r="M213" s="71" t="s">
        <v>813</v>
      </c>
      <c r="N213" s="2707">
        <v>9.6999999999999993</v>
      </c>
      <c r="O213" s="2647">
        <v>9</v>
      </c>
      <c r="P213" s="2713">
        <v>9.5</v>
      </c>
      <c r="Q213" s="2683">
        <v>9.5</v>
      </c>
      <c r="R213" s="2613">
        <v>9.1999999999999993</v>
      </c>
      <c r="S213" s="2690">
        <v>9</v>
      </c>
      <c r="T213" s="2590">
        <v>8.6999999999999993</v>
      </c>
      <c r="U213" s="2691">
        <v>9.6999999999999993</v>
      </c>
      <c r="V213" s="2684">
        <v>9.6999999999999993</v>
      </c>
      <c r="W213" s="2684">
        <v>9.6999999999999993</v>
      </c>
      <c r="X213" s="2684">
        <v>9.9</v>
      </c>
      <c r="Y213" s="2685">
        <v>10</v>
      </c>
      <c r="Z213" s="223">
        <v>8.8000000000000007</v>
      </c>
      <c r="AA213" s="223">
        <v>9.3000000000000007</v>
      </c>
      <c r="AB213" s="223">
        <v>9.6</v>
      </c>
      <c r="AC213" s="2686">
        <v>10</v>
      </c>
      <c r="AD213" s="2686">
        <v>10</v>
      </c>
      <c r="AE213" s="223">
        <v>8</v>
      </c>
      <c r="AF213" s="223">
        <v>9.6</v>
      </c>
      <c r="AG213" s="2468"/>
      <c r="AH213" s="2468"/>
      <c r="AI213" s="2468">
        <v>8</v>
      </c>
      <c r="AJ213" s="223"/>
      <c r="AK213" s="2687">
        <f t="shared" si="36"/>
        <v>9.3450000000000006</v>
      </c>
      <c r="AL213" s="206"/>
      <c r="AM213" s="206"/>
      <c r="AN213" s="206"/>
    </row>
    <row r="214" spans="1:40" s="2406" customFormat="1" ht="15.75">
      <c r="B214" s="2468"/>
      <c r="C214" s="2242">
        <f>_xlfn.XLOOKUP($D214, Tabla3[No.], Tabla3[FECHA DE INICIO (PRIMERA CLASE CALENDARIO)]," ")</f>
        <v>43891</v>
      </c>
      <c r="D214" s="1772">
        <v>94</v>
      </c>
      <c r="E214" s="2241" t="str">
        <f>_xlfn.XLOOKUP($D214,  Tabla3[No.],  Tabla3[CURP], " ")</f>
        <v>MERA710813HMCNBR07</v>
      </c>
      <c r="F214" s="2243" t="str">
        <f>_xlfn.XLOOKUP($D214,  Tabla3[No.],  Tabla3[Matrícula Of. SEQ], " ")</f>
        <v>64MD04B-02</v>
      </c>
      <c r="G214" s="2630" t="str">
        <f>IFERROR(VLOOKUP(D214,Tabla3[],5,FALSE),"")</f>
        <v xml:space="preserve">MENDOZA RUBIO ARMANDO </v>
      </c>
      <c r="H214" s="71" t="str">
        <f t="shared" si="30"/>
        <v>H</v>
      </c>
      <c r="I214" s="71" t="str">
        <f t="shared" si="31"/>
        <v>71</v>
      </c>
      <c r="J214" s="71" t="str">
        <f t="shared" si="32"/>
        <v>08</v>
      </c>
      <c r="K214" s="71" t="str">
        <f t="shared" si="33"/>
        <v>13</v>
      </c>
      <c r="L214" s="3933"/>
      <c r="M214" s="2511" t="s">
        <v>564</v>
      </c>
      <c r="N214" s="2714">
        <v>9</v>
      </c>
      <c r="O214" s="2522">
        <v>9.5</v>
      </c>
      <c r="P214" s="2523">
        <v>10</v>
      </c>
      <c r="Q214" s="2714">
        <v>8</v>
      </c>
      <c r="R214" s="2524">
        <v>8</v>
      </c>
      <c r="S214" s="2525">
        <v>8</v>
      </c>
      <c r="T214" s="2525">
        <v>8</v>
      </c>
      <c r="U214" s="2525">
        <v>9</v>
      </c>
      <c r="V214" s="2522">
        <v>9.4</v>
      </c>
      <c r="W214" s="2522">
        <v>9.3000000000000007</v>
      </c>
      <c r="X214" s="2522">
        <v>9.4</v>
      </c>
      <c r="Y214" s="2522">
        <v>9</v>
      </c>
      <c r="Z214" s="2522">
        <v>10</v>
      </c>
      <c r="AA214" s="2522">
        <v>9.3000000000000007</v>
      </c>
      <c r="AB214" s="2522">
        <v>8.6999999999999993</v>
      </c>
      <c r="AC214" s="2522">
        <v>8.6999999999999993</v>
      </c>
      <c r="AD214" s="2522">
        <v>10</v>
      </c>
      <c r="AE214" s="2521">
        <v>9.3000000000000007</v>
      </c>
      <c r="AF214" s="2522">
        <v>9.3000000000000007</v>
      </c>
      <c r="AG214" s="2715"/>
      <c r="AH214" s="2715"/>
      <c r="AI214" s="2716">
        <v>8</v>
      </c>
      <c r="AJ214" s="2522"/>
      <c r="AK214" s="2522"/>
      <c r="AL214" s="2717"/>
      <c r="AM214" s="2717"/>
    </row>
    <row r="215" spans="1:40" s="2406" customFormat="1" ht="15.75">
      <c r="B215" s="2616"/>
      <c r="C215" s="2242">
        <f>_xlfn.XLOOKUP($D215, Tabla3[No.], Tabla3[FECHA DE INICIO (PRIMERA CLASE CALENDARIO)]," ")</f>
        <v>43862</v>
      </c>
      <c r="D215" s="1772">
        <v>120</v>
      </c>
      <c r="E215" s="2241" t="str">
        <f>_xlfn.XLOOKUP($D215,  Tabla3[No.],  Tabla3[CURP], " ")</f>
        <v>POMM810818MOCBNR14</v>
      </c>
      <c r="F215" s="2243" t="str">
        <f>_xlfn.XLOOKUP($D215,  Tabla3[No.],  Tabla3[Matrícula Of. SEQ], " ")</f>
        <v>64MD04B-04</v>
      </c>
      <c r="G215" s="2630" t="str">
        <f>IFERROR(VLOOKUP(D215,Tabla3[],5,FALSE),"")</f>
        <v>POBLANO MANCILLA MARGARITA IVETTE</v>
      </c>
      <c r="H215" s="2718" t="str">
        <f t="shared" si="30"/>
        <v>M</v>
      </c>
      <c r="I215" s="2718" t="str">
        <f t="shared" si="31"/>
        <v>81</v>
      </c>
      <c r="J215" s="2718" t="str">
        <f t="shared" si="32"/>
        <v>08</v>
      </c>
      <c r="K215" s="2718" t="str">
        <f t="shared" si="33"/>
        <v>18</v>
      </c>
      <c r="L215" s="3944"/>
      <c r="M215" s="2719" t="s">
        <v>564</v>
      </c>
      <c r="N215" s="2537">
        <v>10</v>
      </c>
      <c r="O215" s="2537">
        <v>10</v>
      </c>
      <c r="P215" s="2537">
        <v>9.8000000000000007</v>
      </c>
      <c r="Q215" s="2537">
        <v>9.3000000000000007</v>
      </c>
      <c r="R215" s="2720">
        <v>8</v>
      </c>
      <c r="S215" s="2721">
        <v>8</v>
      </c>
      <c r="T215" s="2721">
        <v>8</v>
      </c>
      <c r="U215" s="2721">
        <v>9</v>
      </c>
      <c r="V215" s="2721">
        <v>8</v>
      </c>
      <c r="W215" s="2721">
        <v>9.6</v>
      </c>
      <c r="X215" s="2721">
        <v>9.1</v>
      </c>
      <c r="Y215" s="2537">
        <v>9.6999999999999993</v>
      </c>
      <c r="Z215" s="2537">
        <v>10</v>
      </c>
      <c r="AA215" s="2537">
        <v>9.6999999999999993</v>
      </c>
      <c r="AB215" s="2537">
        <v>9.9</v>
      </c>
      <c r="AC215" s="2522">
        <v>9.9</v>
      </c>
      <c r="AD215" s="2522">
        <v>8.6</v>
      </c>
      <c r="AE215" s="2521">
        <v>9.3000000000000007</v>
      </c>
      <c r="AF215" s="2521">
        <v>9.3000000000000007</v>
      </c>
      <c r="AG215" s="2722"/>
      <c r="AH215" s="2722"/>
      <c r="AI215" s="2723">
        <v>9.3000000000000007</v>
      </c>
      <c r="AJ215" s="2522"/>
      <c r="AK215" s="2522"/>
    </row>
    <row r="216" spans="1:40" s="2406" customFormat="1" ht="15.75">
      <c r="B216" s="2616"/>
      <c r="C216" s="2242" t="str">
        <f>_xlfn.XLOOKUP($D216, Tabla3[No.], Tabla3[FECHA DE INICIO (PRIMERA CLASE CALENDARIO)]," ")</f>
        <v xml:space="preserve"> </v>
      </c>
      <c r="D216" s="1772"/>
      <c r="E216" s="2241" t="str">
        <f>_xlfn.XLOOKUP($D216,  Tabla3[No.],  Tabla3[CURP], " ")</f>
        <v xml:space="preserve"> </v>
      </c>
      <c r="F216" s="2243" t="str">
        <f>_xlfn.XLOOKUP($D216,  Tabla3[No.],  Tabla3[Matrícula Of. SEQ], " ")</f>
        <v xml:space="preserve"> </v>
      </c>
      <c r="G216" s="2729"/>
      <c r="H216" s="2543"/>
      <c r="I216" s="2543"/>
      <c r="J216" s="2543"/>
      <c r="K216" s="2543"/>
      <c r="L216" s="216"/>
      <c r="M216" s="2543"/>
      <c r="N216" s="2543"/>
      <c r="O216" s="2543"/>
      <c r="P216" s="2543"/>
      <c r="Q216" s="2543"/>
      <c r="R216" s="2543"/>
      <c r="S216" s="2543"/>
      <c r="T216" s="2543"/>
      <c r="U216" s="2543"/>
      <c r="V216" s="2543"/>
      <c r="W216" s="2543"/>
      <c r="X216" s="2543"/>
      <c r="Y216" s="2543"/>
      <c r="Z216" s="2543"/>
      <c r="AA216" s="2543"/>
      <c r="AB216" s="2543"/>
      <c r="AC216" s="2543"/>
      <c r="AD216" s="2543"/>
      <c r="AE216" s="2543"/>
      <c r="AF216" s="2543"/>
      <c r="AG216" s="2543"/>
      <c r="AH216" s="2543"/>
      <c r="AI216" s="2543"/>
      <c r="AJ216" s="2543"/>
      <c r="AK216" s="2543"/>
    </row>
    <row r="217" spans="1:40" s="2406" customFormat="1" ht="15.75">
      <c r="B217" s="2616"/>
      <c r="C217" s="2242" t="str">
        <f>_xlfn.XLOOKUP($D217, Tabla3[No.], Tabla3[FECHA DE INICIO (PRIMERA CLASE CALENDARIO)]," ")</f>
        <v xml:space="preserve"> </v>
      </c>
      <c r="D217" s="1772"/>
      <c r="E217" s="2241"/>
      <c r="F217" s="2243" t="str">
        <f>_xlfn.XLOOKUP($D217,  Tabla3[No.],  Tabla3[Matrícula Of. SEQ], " ")</f>
        <v xml:space="preserve"> </v>
      </c>
      <c r="G217" s="2730"/>
      <c r="H217" s="2543"/>
      <c r="I217" s="2543"/>
      <c r="J217" s="2543"/>
      <c r="K217" s="2543"/>
      <c r="L217" s="216"/>
      <c r="M217" s="2543"/>
      <c r="N217" s="2543"/>
      <c r="O217" s="2543"/>
      <c r="P217" s="2543"/>
      <c r="Q217" s="2543"/>
      <c r="R217" s="2543"/>
      <c r="S217" s="2543"/>
      <c r="T217" s="2543"/>
      <c r="U217" s="2543"/>
      <c r="V217" s="2543"/>
      <c r="W217" s="2543"/>
      <c r="X217" s="2543"/>
      <c r="Y217" s="2543"/>
      <c r="Z217" s="2543"/>
      <c r="AA217" s="2543"/>
      <c r="AB217" s="2543"/>
      <c r="AC217" s="2543"/>
      <c r="AD217" s="2543"/>
      <c r="AE217" s="2543"/>
      <c r="AF217" s="2543"/>
      <c r="AG217" s="2543"/>
      <c r="AH217" s="2543"/>
      <c r="AI217" s="2543"/>
      <c r="AJ217" s="2543"/>
      <c r="AK217" s="2543"/>
    </row>
    <row r="218" spans="1:40" s="2406" customFormat="1" ht="15.75">
      <c r="L218" s="299"/>
      <c r="AF218" s="2724"/>
      <c r="AG218" s="2724"/>
      <c r="AH218" s="2724"/>
      <c r="AI218" s="2724"/>
      <c r="AJ218" s="2298"/>
      <c r="AK218" s="2298"/>
    </row>
    <row r="219" spans="1:40" ht="15.75">
      <c r="A219" s="1546"/>
      <c r="B219" s="2292"/>
      <c r="C219" s="2293"/>
      <c r="D219" s="2294"/>
      <c r="E219" s="2295"/>
      <c r="F219" s="2296"/>
      <c r="G219" s="2295"/>
      <c r="H219" s="2294"/>
      <c r="I219" s="2294"/>
      <c r="J219" s="2294"/>
      <c r="K219" s="2294"/>
      <c r="L219" s="3945"/>
      <c r="M219" s="2297"/>
      <c r="N219" s="2294"/>
      <c r="O219" s="2294"/>
      <c r="P219" s="2294"/>
      <c r="Q219" s="2294"/>
      <c r="R219" s="2294"/>
      <c r="S219" s="2257"/>
      <c r="T219" s="2257"/>
      <c r="U219" s="2298"/>
      <c r="V219" s="2298"/>
      <c r="W219" s="2298"/>
      <c r="X219" s="2298"/>
      <c r="Y219" s="2298"/>
      <c r="Z219" s="2298"/>
      <c r="AA219" s="2298"/>
      <c r="AB219" s="2299"/>
      <c r="AC219" s="2299"/>
      <c r="AD219" s="2299"/>
      <c r="AE219" s="2299"/>
      <c r="AF219" s="2299"/>
      <c r="AG219" s="700"/>
      <c r="AH219" s="701"/>
      <c r="AI219" s="701"/>
    </row>
    <row r="220" spans="1:40" s="2406" customFormat="1" ht="16.5" thickBot="1">
      <c r="A220" s="2731"/>
      <c r="B220" s="2294"/>
      <c r="C220" s="2293"/>
      <c r="D220" s="2294"/>
      <c r="E220" s="2295"/>
      <c r="F220" s="2296"/>
      <c r="G220" s="2295"/>
      <c r="H220" s="2294"/>
      <c r="I220" s="2294"/>
      <c r="J220" s="2294"/>
      <c r="K220" s="2294"/>
      <c r="L220" s="3945"/>
      <c r="M220" s="2297"/>
      <c r="N220" s="2407">
        <v>45658</v>
      </c>
      <c r="O220" s="2407">
        <v>45689</v>
      </c>
      <c r="P220" s="2407">
        <v>45717</v>
      </c>
      <c r="Q220" s="2407">
        <v>45748</v>
      </c>
      <c r="R220" s="2407">
        <v>45778</v>
      </c>
      <c r="S220" s="2407">
        <v>45809</v>
      </c>
      <c r="T220" s="2407">
        <v>45839</v>
      </c>
      <c r="U220" s="2407">
        <v>45870</v>
      </c>
      <c r="V220" s="2407">
        <v>45901</v>
      </c>
      <c r="W220" s="2407">
        <v>45931</v>
      </c>
      <c r="X220" s="2407">
        <v>45962</v>
      </c>
      <c r="Y220" s="2407">
        <v>45992</v>
      </c>
      <c r="Z220" s="2407">
        <v>46023</v>
      </c>
      <c r="AA220" s="2407">
        <v>46054</v>
      </c>
      <c r="AB220" s="2407">
        <v>46082</v>
      </c>
      <c r="AC220" s="2407">
        <v>46113</v>
      </c>
      <c r="AD220" s="2298"/>
      <c r="AE220" s="2299"/>
      <c r="AF220" s="2299"/>
    </row>
    <row r="221" spans="1:40" s="2406" customFormat="1" ht="16.5" thickBot="1">
      <c r="A221" s="2408"/>
      <c r="B221" s="4229" t="s">
        <v>5</v>
      </c>
      <c r="C221" s="2409"/>
      <c r="D221" s="4290" t="s">
        <v>3866</v>
      </c>
      <c r="E221" s="4173" t="s">
        <v>6</v>
      </c>
      <c r="F221" s="4173" t="s">
        <v>7</v>
      </c>
      <c r="G221" s="4294" t="s">
        <v>8</v>
      </c>
      <c r="H221" s="4170" t="s">
        <v>9</v>
      </c>
      <c r="I221" s="4193" t="s">
        <v>10</v>
      </c>
      <c r="J221" s="4194"/>
      <c r="K221" s="4195"/>
      <c r="L221" s="4164"/>
      <c r="M221" s="2411"/>
      <c r="N221" s="4298" t="s">
        <v>3960</v>
      </c>
      <c r="O221" s="4299"/>
      <c r="P221" s="4299"/>
      <c r="Q221" s="4300"/>
      <c r="R221" s="4304" t="s">
        <v>3959</v>
      </c>
      <c r="S221" s="4305"/>
      <c r="T221" s="4305"/>
      <c r="U221" s="4306"/>
      <c r="V221" s="4301" t="s">
        <v>4459</v>
      </c>
      <c r="W221" s="4302"/>
      <c r="X221" s="4302"/>
      <c r="Y221" s="4303"/>
      <c r="Z221" s="4285" t="s">
        <v>4460</v>
      </c>
      <c r="AA221" s="4286"/>
      <c r="AB221" s="4286"/>
      <c r="AC221" s="4287"/>
      <c r="AD221" s="2298"/>
      <c r="AE221" s="2299"/>
      <c r="AF221" s="2299"/>
    </row>
    <row r="222" spans="1:40" s="2406" customFormat="1" ht="32.25" thickBot="1">
      <c r="A222" s="2408"/>
      <c r="B222" s="4288"/>
      <c r="C222" s="2409" t="s">
        <v>1843</v>
      </c>
      <c r="D222" s="4291"/>
      <c r="E222" s="4230"/>
      <c r="F222" s="4230"/>
      <c r="G222" s="4295"/>
      <c r="H222" s="4171"/>
      <c r="I222" s="4196"/>
      <c r="J222" s="4197"/>
      <c r="K222" s="4198"/>
      <c r="L222" s="4165"/>
      <c r="M222" s="2416" t="s">
        <v>1149</v>
      </c>
      <c r="N222" s="2732"/>
      <c r="O222" s="2733"/>
      <c r="P222" s="2733"/>
      <c r="Q222" s="2733"/>
      <c r="R222" s="2733"/>
      <c r="S222" s="2733"/>
      <c r="T222" s="2733"/>
      <c r="U222" s="2733"/>
      <c r="V222" s="2733"/>
      <c r="W222" s="2733"/>
      <c r="X222" s="2733"/>
      <c r="Y222" s="2733"/>
      <c r="Z222" s="2733"/>
      <c r="AA222" s="2733"/>
      <c r="AB222" s="2733"/>
      <c r="AC222" s="2733"/>
      <c r="AD222" s="2298"/>
      <c r="AE222" s="2299"/>
      <c r="AF222" s="2299"/>
    </row>
    <row r="223" spans="1:40" s="2406" customFormat="1" ht="45.75" thickBot="1">
      <c r="A223" s="2419" t="s">
        <v>27</v>
      </c>
      <c r="B223" s="4288"/>
      <c r="C223" s="2420"/>
      <c r="D223" s="4291"/>
      <c r="E223" s="4230"/>
      <c r="F223" s="4230"/>
      <c r="G223" s="4296"/>
      <c r="H223" s="4171"/>
      <c r="I223" s="4199"/>
      <c r="J223" s="4200"/>
      <c r="K223" s="4201"/>
      <c r="L223" s="2280"/>
      <c r="M223" s="2416" t="s">
        <v>1728</v>
      </c>
      <c r="N223" s="2421" t="s">
        <v>4462</v>
      </c>
      <c r="O223" s="2421" t="s">
        <v>4464</v>
      </c>
      <c r="P223" s="2421" t="s">
        <v>3958</v>
      </c>
      <c r="Q223" s="2421" t="s">
        <v>4466</v>
      </c>
      <c r="R223" s="2421" t="s">
        <v>4467</v>
      </c>
      <c r="S223" s="2421" t="s">
        <v>4467</v>
      </c>
      <c r="T223" s="2421" t="s">
        <v>4472</v>
      </c>
      <c r="U223" s="2421" t="s">
        <v>4464</v>
      </c>
      <c r="V223" s="2421" t="s">
        <v>4474</v>
      </c>
      <c r="W223" s="2421" t="s">
        <v>4474</v>
      </c>
      <c r="X223" s="2421" t="s">
        <v>407</v>
      </c>
      <c r="Y223" s="2421" t="s">
        <v>4476</v>
      </c>
      <c r="Z223" s="2421" t="s">
        <v>4476</v>
      </c>
      <c r="AA223" s="2734" t="s">
        <v>4479</v>
      </c>
      <c r="AB223" s="2734" t="s">
        <v>4481</v>
      </c>
      <c r="AC223" s="2734" t="s">
        <v>4483</v>
      </c>
      <c r="AD223" s="2298"/>
      <c r="AE223" s="2299"/>
      <c r="AF223" s="2299"/>
    </row>
    <row r="224" spans="1:40" s="2406" customFormat="1" ht="67.5" customHeight="1" thickBot="1">
      <c r="A224" s="2409" t="s">
        <v>1691</v>
      </c>
      <c r="B224" s="4289"/>
      <c r="C224" s="1309" t="s">
        <v>4458</v>
      </c>
      <c r="D224" s="4292"/>
      <c r="E224" s="4293"/>
      <c r="F224" s="4293"/>
      <c r="G224" s="2735" t="s">
        <v>78</v>
      </c>
      <c r="H224" s="4297"/>
      <c r="I224" s="2451" t="s">
        <v>79</v>
      </c>
      <c r="J224" s="2451" t="s">
        <v>80</v>
      </c>
      <c r="K224" s="2451" t="s">
        <v>81</v>
      </c>
      <c r="L224" s="3956" t="s">
        <v>1759</v>
      </c>
      <c r="M224" s="2416" t="s">
        <v>27</v>
      </c>
      <c r="N224" s="2736" t="s">
        <v>4461</v>
      </c>
      <c r="O224" s="2736" t="s">
        <v>4463</v>
      </c>
      <c r="P224" s="2736" t="s">
        <v>4465</v>
      </c>
      <c r="Q224" s="2736" t="s">
        <v>4469</v>
      </c>
      <c r="R224" s="2737" t="s">
        <v>4468</v>
      </c>
      <c r="S224" s="2737" t="s">
        <v>4470</v>
      </c>
      <c r="T224" s="2737" t="s">
        <v>4471</v>
      </c>
      <c r="U224" s="2738" t="s">
        <v>4473</v>
      </c>
      <c r="V224" s="2739" t="s">
        <v>3607</v>
      </c>
      <c r="W224" s="2739" t="s">
        <v>3608</v>
      </c>
      <c r="X224" s="2739" t="s">
        <v>3614</v>
      </c>
      <c r="Y224" s="2739" t="s">
        <v>4475</v>
      </c>
      <c r="Z224" s="2740" t="s">
        <v>4477</v>
      </c>
      <c r="AA224" s="2740" t="s">
        <v>4478</v>
      </c>
      <c r="AB224" s="2740" t="s">
        <v>4480</v>
      </c>
      <c r="AC224" s="2740" t="s">
        <v>4482</v>
      </c>
      <c r="AD224" s="2298"/>
      <c r="AE224" s="2299"/>
      <c r="AF224" s="2299"/>
    </row>
    <row r="225" spans="1:35" s="2406" customFormat="1" ht="15.75">
      <c r="A225" s="463"/>
      <c r="B225" s="1231">
        <v>1</v>
      </c>
      <c r="C225" s="2405">
        <f>_xlfn.XLOOKUP($E225,Tabla3[CURP],Tabla3[FECHA DE INICIO (PRIMERA CLASE CALENDARIO)]," ")</f>
        <v>45604</v>
      </c>
      <c r="D225" s="2404">
        <v>799</v>
      </c>
      <c r="E225" s="2403" t="str">
        <f>_xlfn.XLOOKUP($D225,  Tabla3[No.],  Tabla3[CURP], " ")</f>
        <v>BAGB660517MGT</v>
      </c>
      <c r="F225" s="2263" t="str">
        <f>_xlfn.XLOOKUP($E225, Tabla3[CURP], Tabla3[Matrícula Of. SEQ])</f>
        <v>64DD08C-01</v>
      </c>
      <c r="G225" s="2741" t="str">
        <f>IFERROR(VLOOKUP(D225,Tabla3[],5,FALSE),"")</f>
        <v>BARRIOS GUTIERREZ BRENDA BEATRIZ</v>
      </c>
      <c r="H225" s="1231" t="str">
        <f>MID($E225,11,1)</f>
        <v>M</v>
      </c>
      <c r="I225" s="1231" t="str">
        <f>MID($E225,5,2)</f>
        <v>66</v>
      </c>
      <c r="J225" s="1231" t="str">
        <f>MID($E225,7,2)</f>
        <v>05</v>
      </c>
      <c r="K225" s="1231" t="str">
        <f>MID($E225,9,2)</f>
        <v>17</v>
      </c>
      <c r="L225" s="3929" t="str">
        <f>_xlfn.XLOOKUP($E225,Tabla3[CURP],Tabla3[ESTATUS ACADÉMICO]," ")</f>
        <v>EGRESADO</v>
      </c>
      <c r="M225" s="2742" t="s">
        <v>2974</v>
      </c>
      <c r="N225" s="1405" t="s">
        <v>135</v>
      </c>
      <c r="O225" s="1405" t="s">
        <v>135</v>
      </c>
      <c r="P225" s="1405" t="s">
        <v>135</v>
      </c>
      <c r="Q225" s="1405" t="s">
        <v>135</v>
      </c>
      <c r="R225" s="1405" t="s">
        <v>135</v>
      </c>
      <c r="S225" s="1405" t="s">
        <v>135</v>
      </c>
      <c r="T225" s="1405" t="s">
        <v>135</v>
      </c>
      <c r="U225" s="1405" t="s">
        <v>135</v>
      </c>
      <c r="V225" s="1405" t="s">
        <v>135</v>
      </c>
      <c r="W225" s="1405" t="s">
        <v>135</v>
      </c>
      <c r="X225" s="1405" t="s">
        <v>135</v>
      </c>
      <c r="Y225" s="1405" t="s">
        <v>135</v>
      </c>
      <c r="Z225" s="1405" t="s">
        <v>135</v>
      </c>
      <c r="AA225" s="1405" t="s">
        <v>135</v>
      </c>
      <c r="AB225" s="1405" t="s">
        <v>135</v>
      </c>
      <c r="AC225" s="1405" t="s">
        <v>135</v>
      </c>
      <c r="AD225" s="2298"/>
      <c r="AE225" s="2299"/>
      <c r="AF225" s="2299"/>
    </row>
    <row r="226" spans="1:35" s="2406" customFormat="1" ht="15.75">
      <c r="B226" s="2299"/>
      <c r="C226" s="206"/>
      <c r="D226" s="206"/>
      <c r="E226" s="2299"/>
      <c r="G226" s="2408"/>
      <c r="H226" s="2299"/>
      <c r="L226" s="299"/>
      <c r="AG226" s="2298"/>
      <c r="AH226" s="2299"/>
      <c r="AI226" s="2299"/>
    </row>
    <row r="227" spans="1:35" ht="15.75">
      <c r="A227" s="1546"/>
      <c r="B227" s="2292"/>
      <c r="C227" s="2293"/>
      <c r="D227" s="2294"/>
      <c r="E227" s="2295"/>
      <c r="F227" s="2296"/>
      <c r="G227" s="2295"/>
      <c r="H227" s="2294"/>
      <c r="I227" s="2294"/>
      <c r="J227" s="2294"/>
      <c r="K227" s="2294"/>
      <c r="L227" s="3945"/>
      <c r="M227" s="2297"/>
      <c r="N227" s="2294"/>
      <c r="O227" s="2294"/>
      <c r="P227" s="2294"/>
      <c r="Q227" s="2294"/>
      <c r="R227" s="2294"/>
      <c r="S227" s="2257"/>
      <c r="T227" s="2257"/>
      <c r="U227" s="2298"/>
      <c r="V227" s="2298"/>
      <c r="W227" s="2298"/>
      <c r="X227" s="2298"/>
      <c r="Y227" s="2298"/>
      <c r="Z227" s="2298"/>
      <c r="AA227" s="2298"/>
      <c r="AB227" s="2299"/>
      <c r="AC227" s="2299"/>
      <c r="AD227" s="2299"/>
      <c r="AE227" s="2299"/>
      <c r="AF227" s="2299"/>
      <c r="AG227" s="700"/>
      <c r="AH227" s="701"/>
      <c r="AI227" s="701"/>
    </row>
    <row r="228" spans="1:35" ht="15.75">
      <c r="A228" s="1546"/>
      <c r="B228" s="2292"/>
      <c r="C228" s="2293"/>
      <c r="D228" s="2294"/>
      <c r="E228" s="2295"/>
      <c r="F228" s="2296"/>
      <c r="G228" s="2295"/>
      <c r="H228" s="2294"/>
      <c r="I228" s="2294"/>
      <c r="J228" s="2294"/>
      <c r="K228" s="2294"/>
      <c r="L228" s="3945"/>
      <c r="M228" s="2297"/>
      <c r="N228" s="2294"/>
      <c r="O228" s="2294"/>
      <c r="P228" s="2294"/>
      <c r="Q228" s="2294"/>
      <c r="R228" s="2294"/>
      <c r="S228" s="2257"/>
      <c r="T228" s="2257"/>
      <c r="U228" s="2298"/>
      <c r="V228" s="2298"/>
      <c r="W228" s="2298"/>
      <c r="X228" s="2298"/>
      <c r="Y228" s="2298"/>
      <c r="Z228" s="2298"/>
      <c r="AA228" s="2298"/>
      <c r="AB228" s="2299"/>
      <c r="AC228" s="2299"/>
      <c r="AD228" s="2299"/>
      <c r="AE228" s="2299"/>
      <c r="AF228" s="2299"/>
      <c r="AG228" s="700"/>
      <c r="AH228" s="701"/>
      <c r="AI228" s="701"/>
    </row>
    <row r="229" spans="1:35" s="2406" customFormat="1" ht="16.5" thickBot="1">
      <c r="C229" s="206"/>
      <c r="D229" s="206"/>
      <c r="E229" s="2299"/>
      <c r="G229" s="2408"/>
      <c r="H229" s="2299"/>
      <c r="L229" s="299"/>
    </row>
    <row r="230" spans="1:35" s="2406" customFormat="1" ht="79.5" thickBot="1">
      <c r="B230" s="2298"/>
      <c r="C230" s="2743"/>
      <c r="D230" s="2744"/>
      <c r="E230" s="2744"/>
      <c r="F230" s="2744"/>
      <c r="G230" s="2744"/>
      <c r="H230" s="2744"/>
      <c r="I230" s="2744"/>
      <c r="J230" s="2744"/>
      <c r="K230" s="2744"/>
      <c r="L230" s="3963"/>
      <c r="M230" s="2745" t="s">
        <v>3631</v>
      </c>
      <c r="N230" s="2746" t="s">
        <v>3632</v>
      </c>
      <c r="O230" s="2747" t="s">
        <v>3633</v>
      </c>
      <c r="P230" s="2748" t="s">
        <v>3634</v>
      </c>
      <c r="Q230" s="2748" t="s">
        <v>3634</v>
      </c>
      <c r="R230" s="2749" t="s">
        <v>3635</v>
      </c>
      <c r="S230" s="2750" t="s">
        <v>3636</v>
      </c>
      <c r="T230" s="2751" t="s">
        <v>3637</v>
      </c>
      <c r="U230" s="2752" t="s">
        <v>3638</v>
      </c>
      <c r="V230" s="2752" t="s">
        <v>3638</v>
      </c>
      <c r="W230" s="2752" t="s">
        <v>3638</v>
      </c>
      <c r="X230" s="2752" t="s">
        <v>3638</v>
      </c>
      <c r="Y230" s="2752" t="s">
        <v>3638</v>
      </c>
      <c r="Z230" s="2752" t="s">
        <v>3638</v>
      </c>
      <c r="AA230" s="2752" t="s">
        <v>3638</v>
      </c>
      <c r="AB230" s="2752" t="s">
        <v>3638</v>
      </c>
      <c r="AC230" s="2752" t="s">
        <v>3638</v>
      </c>
      <c r="AD230" s="2752" t="s">
        <v>4304</v>
      </c>
      <c r="AE230" s="2752" t="s">
        <v>4304</v>
      </c>
      <c r="AF230" s="2752" t="s">
        <v>4304</v>
      </c>
    </row>
    <row r="231" spans="1:35" s="2406" customFormat="1" ht="46.5" customHeight="1" thickBot="1">
      <c r="B231" s="2244"/>
      <c r="C231" s="2753" t="s">
        <v>3639</v>
      </c>
      <c r="D231" s="4235" t="s">
        <v>4800</v>
      </c>
      <c r="E231" s="4233" t="s">
        <v>1249</v>
      </c>
      <c r="F231" s="4231" t="s">
        <v>3612</v>
      </c>
      <c r="G231" s="2754" t="s">
        <v>3613</v>
      </c>
      <c r="H231" s="2275"/>
      <c r="I231" s="2275"/>
      <c r="J231" s="2275"/>
      <c r="K231" s="2275"/>
      <c r="L231" s="3964"/>
      <c r="M231" s="2244"/>
      <c r="N231" s="2755">
        <v>44805</v>
      </c>
      <c r="O231" s="2755">
        <v>44835</v>
      </c>
      <c r="P231" s="2407">
        <v>44866</v>
      </c>
      <c r="Q231" s="2407">
        <v>44896</v>
      </c>
      <c r="R231" s="2407">
        <v>44927</v>
      </c>
      <c r="S231" s="2755">
        <v>44958</v>
      </c>
      <c r="T231" s="2407">
        <v>44986</v>
      </c>
      <c r="U231" s="2756">
        <v>45017</v>
      </c>
      <c r="V231" s="2407">
        <v>45047</v>
      </c>
      <c r="W231" s="2407">
        <v>45078</v>
      </c>
      <c r="X231" s="2407">
        <v>45108</v>
      </c>
      <c r="Y231" s="2407">
        <v>45139</v>
      </c>
      <c r="Z231" s="2407">
        <v>45170</v>
      </c>
      <c r="AA231" s="2407">
        <v>45200</v>
      </c>
      <c r="AB231" s="2407">
        <v>45231</v>
      </c>
      <c r="AC231" s="2407">
        <v>45261</v>
      </c>
      <c r="AD231" s="2565">
        <v>45474</v>
      </c>
      <c r="AE231" s="2565">
        <v>45505</v>
      </c>
      <c r="AF231" s="2565">
        <v>45536</v>
      </c>
      <c r="AI231" s="2244"/>
    </row>
    <row r="232" spans="1:35" s="2406" customFormat="1" ht="49.5" customHeight="1" thickBot="1">
      <c r="A232" s="2753" t="s">
        <v>3639</v>
      </c>
      <c r="B232" s="2244"/>
      <c r="C232" s="2757" t="s">
        <v>408</v>
      </c>
      <c r="D232" s="4236"/>
      <c r="E232" s="4234"/>
      <c r="F232" s="4232"/>
      <c r="G232" s="2758" t="s">
        <v>78</v>
      </c>
      <c r="H232" s="2759" t="s">
        <v>9</v>
      </c>
      <c r="I232" s="2760" t="s">
        <v>79</v>
      </c>
      <c r="J232" s="2760" t="s">
        <v>80</v>
      </c>
      <c r="K232" s="2760" t="s">
        <v>81</v>
      </c>
      <c r="L232" s="3965" t="s">
        <v>1759</v>
      </c>
      <c r="M232" s="2401" t="s">
        <v>409</v>
      </c>
      <c r="N232" s="2761" t="s">
        <v>3640</v>
      </c>
      <c r="O232" s="2761" t="s">
        <v>3620</v>
      </c>
      <c r="P232" s="2761" t="s">
        <v>3641</v>
      </c>
      <c r="Q232" s="2761" t="s">
        <v>3642</v>
      </c>
      <c r="R232" s="2762" t="s">
        <v>3643</v>
      </c>
      <c r="S232" s="2763" t="s">
        <v>3644</v>
      </c>
      <c r="T232" s="2762" t="s">
        <v>3645</v>
      </c>
      <c r="U232" s="2764" t="s">
        <v>3646</v>
      </c>
      <c r="V232" s="2765" t="s">
        <v>3647</v>
      </c>
      <c r="W232" s="2766" t="s">
        <v>3648</v>
      </c>
      <c r="X232" s="2766" t="s">
        <v>3649</v>
      </c>
      <c r="Y232" s="2767" t="s">
        <v>3650</v>
      </c>
      <c r="Z232" s="2768" t="s">
        <v>3651</v>
      </c>
      <c r="AA232" s="2769" t="s">
        <v>3652</v>
      </c>
      <c r="AB232" s="2769" t="s">
        <v>3653</v>
      </c>
      <c r="AC232" s="2769" t="s">
        <v>3654</v>
      </c>
      <c r="AD232" s="2770" t="s">
        <v>4228</v>
      </c>
      <c r="AE232" s="2770" t="s">
        <v>4352</v>
      </c>
      <c r="AF232" s="2770" t="s">
        <v>4353</v>
      </c>
      <c r="AI232" s="2244" t="s">
        <v>1394</v>
      </c>
    </row>
    <row r="233" spans="1:35" s="2406" customFormat="1" ht="16.5" thickBot="1">
      <c r="B233" s="2244">
        <v>1</v>
      </c>
      <c r="C233" s="1600">
        <f>_xlfn.XLOOKUP($D233, Tabla3[No.], Tabla3[FECHA DE INICIO (PRIMERA CLASE CALENDARIO)]," ")</f>
        <v>44813</v>
      </c>
      <c r="D233" s="2771">
        <v>427</v>
      </c>
      <c r="E233" s="1602" t="str">
        <f>_xlfn.XLOOKUP($D233,  Tabla3[No.],  Tabla3[CURP], " ")</f>
        <v>FOZR760106MTSLVY00</v>
      </c>
      <c r="F233" s="1603" t="str">
        <f>_xlfn.XLOOKUP($D233,  Tabla3[No.],  Tabla3[Matrícula Of. SEQ], " ")</f>
        <v>64MDP03-04</v>
      </c>
      <c r="G233" s="1231" t="str">
        <f>IFERROR(VLOOKUP(D233,Tabla3[],5,FALSE),"")</f>
        <v xml:space="preserve">FLORES ZAVALA REYNA AZUCENA </v>
      </c>
      <c r="H233" s="2772" t="str">
        <f>MID(E233,11,1)</f>
        <v>M</v>
      </c>
      <c r="I233" s="2772" t="str">
        <f>MID(E233,5,2)</f>
        <v>76</v>
      </c>
      <c r="J233" s="2772" t="str">
        <f t="shared" ref="J233:J240" si="37">MID(E233,7,2)</f>
        <v>01</v>
      </c>
      <c r="K233" s="2772" t="str">
        <f>MID(E233,9,2)</f>
        <v>06</v>
      </c>
      <c r="L233" s="3966" t="s">
        <v>1761</v>
      </c>
      <c r="M233" s="2774" t="s">
        <v>3655</v>
      </c>
      <c r="N233" s="2775">
        <v>10</v>
      </c>
      <c r="O233" s="2775">
        <v>9.6999999999999993</v>
      </c>
      <c r="P233" s="2403">
        <v>10</v>
      </c>
      <c r="Q233" s="2403">
        <v>10</v>
      </c>
      <c r="R233" s="2403">
        <v>10</v>
      </c>
      <c r="S233" s="2403">
        <v>10</v>
      </c>
      <c r="T233" s="2244">
        <v>9.6999999999999993</v>
      </c>
      <c r="U233" s="2244">
        <v>9.6999999999999993</v>
      </c>
      <c r="V233" s="2776">
        <v>10</v>
      </c>
      <c r="W233" s="2777">
        <v>10</v>
      </c>
      <c r="X233" s="2776">
        <v>10</v>
      </c>
      <c r="Y233" s="2776">
        <v>10</v>
      </c>
      <c r="Z233" s="2778">
        <v>9.9</v>
      </c>
      <c r="AA233" s="2779">
        <v>10</v>
      </c>
      <c r="AB233" s="2779">
        <v>10</v>
      </c>
      <c r="AC233" s="2778">
        <v>9.9</v>
      </c>
      <c r="AD233" s="2780"/>
      <c r="AE233" s="2248"/>
      <c r="AF233" s="2248"/>
      <c r="AI233" s="2781">
        <f>AVERAGE(N233:AC233)</f>
        <v>9.9312500000000004</v>
      </c>
    </row>
    <row r="234" spans="1:35" s="2406" customFormat="1" ht="16.5" thickBot="1">
      <c r="B234" s="2244">
        <v>2</v>
      </c>
      <c r="C234" s="1600">
        <f>_xlfn.XLOOKUP($D234, Tabla3[No.], Tabla3[FECHA DE INICIO (PRIMERA CLASE CALENDARIO)]," ")</f>
        <v>44827</v>
      </c>
      <c r="D234" s="2771">
        <v>430</v>
      </c>
      <c r="E234" s="1602" t="str">
        <f>_xlfn.XLOOKUP($D234,  Tabla3[No.],  Tabla3[CURP], " ")</f>
        <v>BAJS880926MCSTRR04</v>
      </c>
      <c r="F234" s="1603" t="str">
        <f>_xlfn.XLOOKUP($D234,  Tabla3[No.],  Tabla3[Matrícula Of. SEQ], " ")</f>
        <v>64MDP04-01</v>
      </c>
      <c r="G234" s="1231" t="str">
        <f>IFERROR(VLOOKUP(D234,Tabla3[],5,FALSE),"")</f>
        <v>BAUTISTA JUAREZ SARAI</v>
      </c>
      <c r="H234" s="2772" t="str">
        <f t="shared" ref="H234:H240" si="38">MID(E234,11,1)</f>
        <v>M</v>
      </c>
      <c r="I234" s="2772" t="str">
        <f t="shared" ref="I234:I240" si="39">MID(E234,5,2)</f>
        <v>88</v>
      </c>
      <c r="J234" s="2772" t="str">
        <f t="shared" si="37"/>
        <v>09</v>
      </c>
      <c r="K234" s="2772" t="str">
        <f t="shared" ref="K234:K240" si="40">MID(E234,9,2)</f>
        <v>26</v>
      </c>
      <c r="L234" s="3966" t="s">
        <v>1761</v>
      </c>
      <c r="M234" s="1772" t="s">
        <v>2891</v>
      </c>
      <c r="N234" s="2244">
        <v>10</v>
      </c>
      <c r="O234" s="2244">
        <v>9.6</v>
      </c>
      <c r="P234" s="2403">
        <v>10</v>
      </c>
      <c r="Q234" s="2403">
        <v>9</v>
      </c>
      <c r="R234" s="2403">
        <v>10</v>
      </c>
      <c r="S234" s="2403">
        <v>10</v>
      </c>
      <c r="T234" s="2244">
        <v>9.6999999999999993</v>
      </c>
      <c r="U234" s="2244">
        <v>9</v>
      </c>
      <c r="V234" s="2244">
        <v>10</v>
      </c>
      <c r="W234" s="2776">
        <v>9.6</v>
      </c>
      <c r="X234" s="2244">
        <v>10</v>
      </c>
      <c r="Y234" s="2244">
        <v>10</v>
      </c>
      <c r="Z234" s="2244">
        <v>10</v>
      </c>
      <c r="AA234" s="2783">
        <v>9</v>
      </c>
      <c r="AB234" s="2783">
        <v>9</v>
      </c>
      <c r="AC234" s="2244">
        <v>9</v>
      </c>
      <c r="AD234" s="2780"/>
      <c r="AE234" s="2248"/>
      <c r="AF234" s="2248"/>
      <c r="AI234" s="2781">
        <f>AVERAGE(N234:AC234)</f>
        <v>9.6187499999999986</v>
      </c>
    </row>
    <row r="235" spans="1:35" s="2406" customFormat="1" ht="16.5" thickBot="1">
      <c r="B235" s="2244">
        <v>3</v>
      </c>
      <c r="C235" s="1600">
        <f>_xlfn.XLOOKUP($D235, Tabla3[No.], Tabla3[FECHA DE INICIO (PRIMERA CLASE CALENDARIO)]," ")</f>
        <v>44827</v>
      </c>
      <c r="D235" s="2771">
        <v>429</v>
      </c>
      <c r="E235" s="1602" t="str">
        <f>_xlfn.XLOOKUP($D235,  Tabla3[No.],  Tabla3[CURP], " ")</f>
        <v>RADJ840603HQRMZR05</v>
      </c>
      <c r="F235" s="1603" t="str">
        <f>_xlfn.XLOOKUP($D235,  Tabla3[No.],  Tabla3[Matrícula Of. SEQ], " ")</f>
        <v>64MDP04-02</v>
      </c>
      <c r="G235" s="1231" t="str">
        <f>IFERROR(VLOOKUP(D235,Tabla3[],5,FALSE),"")</f>
        <v>RAMIREZ DZIB JAIR DAVID</v>
      </c>
      <c r="H235" s="2772" t="str">
        <f t="shared" si="38"/>
        <v>H</v>
      </c>
      <c r="I235" s="2772" t="str">
        <f t="shared" si="39"/>
        <v>84</v>
      </c>
      <c r="J235" s="2772" t="str">
        <f t="shared" si="37"/>
        <v>06</v>
      </c>
      <c r="K235" s="2772" t="str">
        <f t="shared" si="40"/>
        <v>03</v>
      </c>
      <c r="L235" s="3966" t="s">
        <v>1761</v>
      </c>
      <c r="M235" s="1772" t="s">
        <v>2891</v>
      </c>
      <c r="N235" s="2244">
        <v>10</v>
      </c>
      <c r="O235" s="2244">
        <v>9</v>
      </c>
      <c r="P235" s="2403">
        <v>10</v>
      </c>
      <c r="Q235" s="2403">
        <v>9</v>
      </c>
      <c r="R235" s="2403">
        <v>10</v>
      </c>
      <c r="S235" s="2403">
        <v>10</v>
      </c>
      <c r="T235" s="2403">
        <v>8.5</v>
      </c>
      <c r="U235" s="2784">
        <v>8.5</v>
      </c>
      <c r="V235" s="2785">
        <v>9</v>
      </c>
      <c r="W235" s="2246">
        <v>8.5</v>
      </c>
      <c r="X235" s="2244">
        <v>10</v>
      </c>
      <c r="Y235" s="2244">
        <v>10</v>
      </c>
      <c r="Z235" s="2244">
        <v>10</v>
      </c>
      <c r="AA235" s="2783">
        <v>9</v>
      </c>
      <c r="AB235" s="2783">
        <v>9</v>
      </c>
      <c r="AC235" s="2244">
        <v>10</v>
      </c>
      <c r="AD235" s="2780"/>
      <c r="AE235" s="2248"/>
      <c r="AF235" s="2248"/>
      <c r="AI235" s="2781">
        <f>AVERAGE(N235:AC235)</f>
        <v>9.40625</v>
      </c>
    </row>
    <row r="236" spans="1:35" s="2406" customFormat="1" ht="16.5" thickBot="1">
      <c r="B236" s="2469">
        <v>4</v>
      </c>
      <c r="C236" s="1600">
        <f>_xlfn.XLOOKUP($D236, Tabla3[No.], Tabla3[FECHA DE INICIO (PRIMERA CLASE CALENDARIO)]," ")</f>
        <v>44897</v>
      </c>
      <c r="D236" s="2771">
        <v>460</v>
      </c>
      <c r="E236" s="1602" t="str">
        <f>_xlfn.XLOOKUP($D236,  Tabla3[No.],  Tabla3[CURP], " ")</f>
        <v>RORG830918HTCDDS09</v>
      </c>
      <c r="F236" s="1603" t="str">
        <f>_xlfn.XLOOKUP($D236,  Tabla3[No.],  Tabla3[Matrícula Of. SEQ], " ")</f>
        <v>64MDP03A-13</v>
      </c>
      <c r="G236" s="1231" t="str">
        <f>IFERROR(VLOOKUP(D236,Tabla3[],5,FALSE),"")</f>
        <v>RODRIGUEZ RODRIGUEZ GASTON</v>
      </c>
      <c r="H236" s="2772" t="str">
        <f t="shared" si="38"/>
        <v>H</v>
      </c>
      <c r="I236" s="2772" t="str">
        <f t="shared" si="39"/>
        <v>83</v>
      </c>
      <c r="J236" s="2772" t="str">
        <f t="shared" si="37"/>
        <v>09</v>
      </c>
      <c r="K236" s="2772" t="str">
        <f t="shared" si="40"/>
        <v>18</v>
      </c>
      <c r="L236" s="3966" t="s">
        <v>1761</v>
      </c>
      <c r="M236" s="1772" t="s">
        <v>2891</v>
      </c>
      <c r="N236" s="2786">
        <v>10</v>
      </c>
      <c r="O236" s="2786">
        <v>9</v>
      </c>
      <c r="P236" s="2786">
        <v>10</v>
      </c>
      <c r="Q236" s="2244">
        <v>10</v>
      </c>
      <c r="R236" s="2244">
        <v>10</v>
      </c>
      <c r="S236" s="2244">
        <v>10</v>
      </c>
      <c r="T236" s="2244">
        <v>10</v>
      </c>
      <c r="U236" s="2244">
        <v>9</v>
      </c>
      <c r="V236" s="2244">
        <v>10</v>
      </c>
      <c r="W236" s="2244">
        <v>10</v>
      </c>
      <c r="X236" s="2244">
        <v>10</v>
      </c>
      <c r="Y236" s="2248">
        <v>10</v>
      </c>
      <c r="Z236" s="2248">
        <v>10</v>
      </c>
      <c r="AA236" s="2783">
        <v>10</v>
      </c>
      <c r="AB236" s="2783">
        <v>10</v>
      </c>
      <c r="AC236" s="2248">
        <v>9</v>
      </c>
      <c r="AD236" s="2780"/>
      <c r="AE236" s="2248"/>
      <c r="AF236" s="2248"/>
      <c r="AI236" s="2781">
        <f>AVERAGE(N236:AC236)</f>
        <v>9.8125</v>
      </c>
    </row>
    <row r="237" spans="1:35" s="2406" customFormat="1" ht="16.5" thickBot="1">
      <c r="B237" s="2469">
        <v>5</v>
      </c>
      <c r="C237" s="1600">
        <f>_xlfn.XLOOKUP($D237, Tabla3[No.], Tabla3[FECHA DE INICIO (PRIMERA CLASE CALENDARIO)]," ")</f>
        <v>45103</v>
      </c>
      <c r="D237" s="2771">
        <v>563</v>
      </c>
      <c r="E237" s="1602" t="str">
        <f>_xlfn.XLOOKUP($D237,  Tabla3[No.],  Tabla3[CURP], " ")</f>
        <v>MAGM601017HDFRMR00</v>
      </c>
      <c r="F237" s="1603" t="str">
        <f>_xlfn.XLOOKUP($D237,  Tabla3[No.],  Tabla3[Matrícula Of. SEQ], " ")</f>
        <v>64MDP03F-01</v>
      </c>
      <c r="G237" s="1231" t="str">
        <f>IFERROR(VLOOKUP(D237,Tabla3[],5,FALSE),"")</f>
        <v>MARTELL GOMEZ MARIO ALBERTO</v>
      </c>
      <c r="H237" s="2772" t="str">
        <f t="shared" si="38"/>
        <v>H</v>
      </c>
      <c r="I237" s="2772" t="str">
        <f t="shared" si="39"/>
        <v>60</v>
      </c>
      <c r="J237" s="2772" t="str">
        <f t="shared" si="37"/>
        <v>10</v>
      </c>
      <c r="K237" s="2772" t="str">
        <f t="shared" si="40"/>
        <v>17</v>
      </c>
      <c r="L237" s="1380" t="s">
        <v>1761</v>
      </c>
      <c r="M237" s="1772" t="s">
        <v>2891</v>
      </c>
      <c r="N237" s="2244" t="s">
        <v>136</v>
      </c>
      <c r="O237" s="2244" t="s">
        <v>136</v>
      </c>
      <c r="P237" s="2244">
        <v>10</v>
      </c>
      <c r="Q237" s="2244">
        <v>10</v>
      </c>
      <c r="R237" s="2244">
        <v>10</v>
      </c>
      <c r="S237" s="2244" t="s">
        <v>136</v>
      </c>
      <c r="T237" s="2244">
        <v>10</v>
      </c>
      <c r="U237" s="2244">
        <v>10</v>
      </c>
      <c r="V237" s="2244">
        <v>10</v>
      </c>
      <c r="W237" s="2244">
        <v>10</v>
      </c>
      <c r="X237" s="2244">
        <v>10</v>
      </c>
      <c r="Y237" s="2248">
        <v>10</v>
      </c>
      <c r="Z237" s="2248">
        <v>10</v>
      </c>
      <c r="AA237" s="2783">
        <v>10</v>
      </c>
      <c r="AB237" s="2783">
        <v>10</v>
      </c>
      <c r="AC237" s="2248">
        <v>9</v>
      </c>
      <c r="AD237" s="2299">
        <v>10</v>
      </c>
      <c r="AE237" s="2406">
        <v>10</v>
      </c>
      <c r="AF237" s="2406">
        <v>10</v>
      </c>
      <c r="AI237" s="2787">
        <f>AVERAGE(N237:AF237)</f>
        <v>9.9375</v>
      </c>
    </row>
    <row r="238" spans="1:35" s="2406" customFormat="1" ht="16.5" thickBot="1">
      <c r="B238" s="2469">
        <v>6</v>
      </c>
      <c r="C238" s="1600">
        <f>_xlfn.XLOOKUP($D238, Tabla3[No.], Tabla3[FECHA DE INICIO (PRIMERA CLASE CALENDARIO)]," ")</f>
        <v>45100</v>
      </c>
      <c r="D238" s="2771">
        <v>574</v>
      </c>
      <c r="E238" s="1602" t="str">
        <f>_xlfn.XLOOKUP($D238,  Tabla3[No.],  Tabla3[CURP], " ")</f>
        <v>VEVA810316HMCNRB00</v>
      </c>
      <c r="F238" s="1603" t="str">
        <f>_xlfn.XLOOKUP($D238,  Tabla3[No.],  Tabla3[Matrícula Of. SEQ], " ")</f>
        <v>64MDP03F-06</v>
      </c>
      <c r="G238" s="1231" t="str">
        <f>IFERROR(VLOOKUP(D238,Tabla3[],5,FALSE),"")</f>
        <v>VENEGAS VARGAS ABRAHAM</v>
      </c>
      <c r="H238" s="2772" t="str">
        <f t="shared" si="38"/>
        <v>H</v>
      </c>
      <c r="I238" s="2772" t="str">
        <f t="shared" si="39"/>
        <v>81</v>
      </c>
      <c r="J238" s="2772" t="str">
        <f t="shared" si="37"/>
        <v>03</v>
      </c>
      <c r="K238" s="2772" t="str">
        <f t="shared" si="40"/>
        <v>16</v>
      </c>
      <c r="L238" s="3966" t="s">
        <v>1761</v>
      </c>
      <c r="M238" s="1772" t="s">
        <v>2891</v>
      </c>
      <c r="N238" s="2786" t="s">
        <v>135</v>
      </c>
      <c r="O238" s="2786" t="s">
        <v>135</v>
      </c>
      <c r="P238" s="2786">
        <v>10</v>
      </c>
      <c r="Q238" s="2786">
        <v>10</v>
      </c>
      <c r="R238" s="2786" t="s">
        <v>135</v>
      </c>
      <c r="S238" s="2786" t="s">
        <v>135</v>
      </c>
      <c r="T238" s="2786" t="s">
        <v>135</v>
      </c>
      <c r="U238" s="2786" t="s">
        <v>135</v>
      </c>
      <c r="V238" s="2786" t="s">
        <v>135</v>
      </c>
      <c r="W238" s="2244">
        <v>9</v>
      </c>
      <c r="X238" s="2244">
        <v>10</v>
      </c>
      <c r="Y238" s="2248">
        <v>10</v>
      </c>
      <c r="Z238" s="2248">
        <v>10</v>
      </c>
      <c r="AA238" s="2783">
        <v>9</v>
      </c>
      <c r="AB238" s="2783">
        <v>9</v>
      </c>
      <c r="AC238" s="2248"/>
      <c r="AD238" s="2780"/>
      <c r="AE238" s="2248"/>
      <c r="AF238" s="2248"/>
      <c r="AI238" s="2781">
        <f>AVERAGE(N238:AC238)</f>
        <v>9.625</v>
      </c>
    </row>
    <row r="239" spans="1:35" s="2406" customFormat="1" ht="15.75">
      <c r="B239" s="2469"/>
      <c r="C239" s="1600">
        <f>_xlfn.XLOOKUP($D239, Tabla3[No.], Tabla3[FECHA DE INICIO (PRIMERA CLASE CALENDARIO)]," ")</f>
        <v>45010</v>
      </c>
      <c r="D239" s="2771">
        <v>475</v>
      </c>
      <c r="E239" s="1602" t="str">
        <f>_xlfn.XLOOKUP($D239,  Tabla3[No.],  Tabla3[CURP], " ")</f>
        <v>LOMM690929HCCPY604</v>
      </c>
      <c r="F239" s="1603" t="str">
        <f>_xlfn.XLOOKUP($D239,  Tabla3[No.],  Tabla3[Matrícula Of. SEQ], " ")</f>
        <v>64DD06A-05</v>
      </c>
      <c r="G239" s="1231" t="str">
        <f>IFERROR(VLOOKUP(D239,Tabla3[],5,FALSE),"")</f>
        <v>LOPEZ MAY MIGUEL ANGEL</v>
      </c>
      <c r="H239" s="2772" t="str">
        <f t="shared" si="38"/>
        <v>H</v>
      </c>
      <c r="I239" s="2772" t="str">
        <f t="shared" si="39"/>
        <v>69</v>
      </c>
      <c r="J239" s="2772" t="str">
        <f t="shared" si="37"/>
        <v>09</v>
      </c>
      <c r="K239" s="2772" t="str">
        <f t="shared" si="40"/>
        <v>29</v>
      </c>
      <c r="L239" s="1879" t="s">
        <v>3656</v>
      </c>
      <c r="M239" s="1772" t="s">
        <v>2891</v>
      </c>
      <c r="N239" s="2786" t="s">
        <v>136</v>
      </c>
      <c r="O239" s="2786" t="s">
        <v>136</v>
      </c>
      <c r="P239" s="2786" t="s">
        <v>136</v>
      </c>
      <c r="Q239" s="2786" t="s">
        <v>136</v>
      </c>
      <c r="R239" s="2786" t="s">
        <v>136</v>
      </c>
      <c r="S239" s="2786" t="s">
        <v>136</v>
      </c>
      <c r="T239" s="2244">
        <v>9.6999999999999993</v>
      </c>
      <c r="U239" s="2786" t="s">
        <v>136</v>
      </c>
      <c r="V239" s="2786" t="s">
        <v>136</v>
      </c>
      <c r="W239" s="2786" t="s">
        <v>136</v>
      </c>
      <c r="X239" s="2786" t="s">
        <v>136</v>
      </c>
      <c r="Y239" s="2248"/>
      <c r="Z239" s="2248"/>
      <c r="AA239" s="2248"/>
      <c r="AB239" s="2248"/>
      <c r="AC239" s="2248"/>
      <c r="AD239" s="2780"/>
      <c r="AE239" s="2248"/>
      <c r="AF239" s="2248"/>
      <c r="AI239" s="2781">
        <f>AVERAGE(N239:AC239)</f>
        <v>9.6999999999999993</v>
      </c>
    </row>
    <row r="240" spans="1:35" s="2406" customFormat="1" ht="15.75">
      <c r="B240" s="2469">
        <v>5</v>
      </c>
      <c r="C240" s="1600">
        <f>_xlfn.XLOOKUP($D240, Tabla3[No.], Tabla3[FECHA DE INICIO (PRIMERA CLASE CALENDARIO)]," ")</f>
        <v>44897</v>
      </c>
      <c r="D240" s="2771">
        <v>459</v>
      </c>
      <c r="E240" s="1602" t="str">
        <f>_xlfn.XLOOKUP($D240,  Tabla3[No.],  Tabla3[CURP], " ")</f>
        <v>HARG880713HYNXMN00</v>
      </c>
      <c r="F240" s="1603" t="str">
        <f>_xlfn.XLOOKUP($D240,  Tabla3[No.],  Tabla3[Matrícula Of. SEQ], " ")</f>
        <v>64MDP03A-03</v>
      </c>
      <c r="G240" s="1231" t="str">
        <f>IFERROR(VLOOKUP(D240,Tabla3[],5,FALSE),"")</f>
        <v>HAU RAMIREZ GONZALO ENRIQUE</v>
      </c>
      <c r="H240" s="2772" t="str">
        <f t="shared" si="38"/>
        <v>H</v>
      </c>
      <c r="I240" s="2772" t="str">
        <f t="shared" si="39"/>
        <v>88</v>
      </c>
      <c r="J240" s="2772" t="str">
        <f t="shared" si="37"/>
        <v>07</v>
      </c>
      <c r="K240" s="2772" t="str">
        <f t="shared" si="40"/>
        <v>13</v>
      </c>
      <c r="L240" s="3967" t="s">
        <v>1869</v>
      </c>
      <c r="M240" s="1772" t="s">
        <v>2891</v>
      </c>
      <c r="N240" s="2786" t="s">
        <v>136</v>
      </c>
      <c r="O240" s="2786" t="s">
        <v>136</v>
      </c>
      <c r="P240" s="2786" t="s">
        <v>136</v>
      </c>
      <c r="Q240" s="2244">
        <v>10</v>
      </c>
      <c r="R240" s="2244">
        <v>10</v>
      </c>
      <c r="S240" s="2786" t="s">
        <v>136</v>
      </c>
      <c r="T240" s="2786" t="s">
        <v>136</v>
      </c>
      <c r="U240" s="2786" t="s">
        <v>136</v>
      </c>
      <c r="V240" s="2786" t="s">
        <v>136</v>
      </c>
      <c r="W240" s="2786" t="s">
        <v>136</v>
      </c>
      <c r="X240" s="2786" t="s">
        <v>136</v>
      </c>
      <c r="Y240" s="2248"/>
      <c r="Z240" s="2248"/>
      <c r="AA240" s="2248"/>
      <c r="AB240" s="2248"/>
      <c r="AC240" s="2248"/>
      <c r="AD240" s="2780"/>
      <c r="AE240" s="2248"/>
      <c r="AF240" s="2248"/>
      <c r="AI240" s="2781">
        <f>AVERAGE(N240:AC240)</f>
        <v>10</v>
      </c>
    </row>
    <row r="241" spans="1:38">
      <c r="C241" s="2"/>
      <c r="D241" s="2"/>
      <c r="E241" s="701"/>
      <c r="G241" s="643"/>
      <c r="H241" s="701"/>
    </row>
    <row r="242" spans="1:38">
      <c r="C242" s="2"/>
      <c r="D242" s="2"/>
      <c r="E242" s="701"/>
      <c r="G242" s="643"/>
      <c r="H242" s="701"/>
    </row>
    <row r="243" spans="1:38">
      <c r="C243" s="2"/>
      <c r="D243" s="2"/>
      <c r="E243" s="701"/>
      <c r="G243" s="643"/>
      <c r="H243" s="701"/>
    </row>
    <row r="244" spans="1:38">
      <c r="C244" s="2"/>
      <c r="D244" s="2"/>
      <c r="E244" s="701"/>
      <c r="G244" s="643"/>
      <c r="H244" s="701"/>
    </row>
    <row r="245" spans="1:38" ht="15.75" thickBot="1">
      <c r="C245" s="2"/>
      <c r="D245" s="2"/>
      <c r="E245" s="701"/>
      <c r="G245" s="643"/>
      <c r="H245" s="701"/>
      <c r="AA245" s="1067">
        <v>45292</v>
      </c>
      <c r="AB245" s="1067">
        <v>45323</v>
      </c>
      <c r="AC245" s="1067">
        <v>45352</v>
      </c>
      <c r="AD245" s="1067">
        <v>45383</v>
      </c>
      <c r="AE245" s="1067">
        <v>45413</v>
      </c>
      <c r="AF245" s="2307" t="s">
        <v>4044</v>
      </c>
      <c r="AG245" t="s">
        <v>4161</v>
      </c>
      <c r="AH245" t="s">
        <v>4162</v>
      </c>
      <c r="AK245" s="1067">
        <v>45597</v>
      </c>
      <c r="AL245" s="1067">
        <v>45627</v>
      </c>
    </row>
    <row r="246" spans="1:38" s="2244" customFormat="1" ht="79.5" thickBot="1">
      <c r="A246" s="2842"/>
      <c r="B246" s="2843"/>
      <c r="C246" s="2844" t="s">
        <v>3609</v>
      </c>
      <c r="D246" s="2844"/>
      <c r="E246" s="2845" t="s">
        <v>3610</v>
      </c>
      <c r="F246" s="2846"/>
      <c r="G246" s="2846"/>
      <c r="H246" s="2846"/>
      <c r="I246" s="2846"/>
      <c r="J246" s="2846"/>
      <c r="K246" s="2846"/>
      <c r="L246" s="3968"/>
      <c r="M246" s="2847"/>
      <c r="N246" s="2848" t="s">
        <v>3611</v>
      </c>
      <c r="O246" s="2848" t="s">
        <v>3611</v>
      </c>
      <c r="P246" s="2848" t="s">
        <v>3611</v>
      </c>
      <c r="Q246" s="2848" t="s">
        <v>3611</v>
      </c>
      <c r="R246" s="2848" t="s">
        <v>3611</v>
      </c>
      <c r="S246" s="2848" t="s">
        <v>3611</v>
      </c>
      <c r="T246" s="2848" t="s">
        <v>3611</v>
      </c>
      <c r="U246" s="2848" t="s">
        <v>3611</v>
      </c>
      <c r="V246" s="2849" t="s">
        <v>3611</v>
      </c>
      <c r="W246" s="2848" t="s">
        <v>3611</v>
      </c>
      <c r="X246" s="2848" t="s">
        <v>3611</v>
      </c>
      <c r="Y246" s="2848" t="s">
        <v>3611</v>
      </c>
      <c r="Z246" s="2848" t="s">
        <v>3611</v>
      </c>
      <c r="AA246" s="2848" t="s">
        <v>3611</v>
      </c>
      <c r="AB246" s="2848" t="s">
        <v>3611</v>
      </c>
      <c r="AC246" s="2849" t="s">
        <v>3611</v>
      </c>
      <c r="AD246" s="2849" t="s">
        <v>4304</v>
      </c>
      <c r="AE246" s="2849" t="s">
        <v>4304</v>
      </c>
      <c r="AF246" s="2849" t="s">
        <v>4304</v>
      </c>
      <c r="AG246" s="2849" t="s">
        <v>4304</v>
      </c>
      <c r="AH246" s="2849" t="s">
        <v>4304</v>
      </c>
      <c r="AI246" s="2849" t="s">
        <v>4304</v>
      </c>
      <c r="AJ246" s="2850"/>
      <c r="AK246" s="2809"/>
    </row>
    <row r="247" spans="1:38" s="2244" customFormat="1" ht="126.75" thickBot="1">
      <c r="A247" s="2823" t="s">
        <v>3609</v>
      </c>
      <c r="B247" s="2824"/>
      <c r="C247" s="2825" t="s">
        <v>408</v>
      </c>
      <c r="D247" s="2825" t="s">
        <v>3963</v>
      </c>
      <c r="E247" s="2826" t="s">
        <v>1249</v>
      </c>
      <c r="F247" s="2826" t="s">
        <v>3612</v>
      </c>
      <c r="G247" s="2827" t="s">
        <v>3613</v>
      </c>
      <c r="H247" s="2828" t="s">
        <v>9</v>
      </c>
      <c r="I247" s="2829" t="s">
        <v>79</v>
      </c>
      <c r="J247" s="2829" t="s">
        <v>80</v>
      </c>
      <c r="K247" s="2829" t="s">
        <v>81</v>
      </c>
      <c r="L247" s="3969" t="s">
        <v>1759</v>
      </c>
      <c r="M247" s="2830" t="s">
        <v>409</v>
      </c>
      <c r="N247" s="2831" t="s">
        <v>3614</v>
      </c>
      <c r="O247" s="2831" t="s">
        <v>3615</v>
      </c>
      <c r="P247" s="2831" t="s">
        <v>3616</v>
      </c>
      <c r="Q247" s="2832" t="s">
        <v>3617</v>
      </c>
      <c r="R247" s="2833" t="s">
        <v>3618</v>
      </c>
      <c r="S247" s="2833" t="s">
        <v>3619</v>
      </c>
      <c r="T247" s="2833" t="s">
        <v>3620</v>
      </c>
      <c r="U247" s="2833" t="s">
        <v>3621</v>
      </c>
      <c r="V247" s="2834" t="s">
        <v>3622</v>
      </c>
      <c r="W247" s="2834" t="s">
        <v>3623</v>
      </c>
      <c r="X247" s="2835" t="s">
        <v>3624</v>
      </c>
      <c r="Y247" s="2834" t="s">
        <v>3625</v>
      </c>
      <c r="Z247" s="2836" t="s">
        <v>3626</v>
      </c>
      <c r="AA247" s="2836" t="s">
        <v>3627</v>
      </c>
      <c r="AB247" s="2836" t="s">
        <v>3628</v>
      </c>
      <c r="AC247" s="2836" t="s">
        <v>3629</v>
      </c>
      <c r="AD247" s="2837" t="s">
        <v>4228</v>
      </c>
      <c r="AE247" s="2838" t="s">
        <v>4164</v>
      </c>
      <c r="AF247" s="2838" t="s">
        <v>4163</v>
      </c>
      <c r="AG247" s="2839" t="s">
        <v>4358</v>
      </c>
      <c r="AH247" s="2839" t="s">
        <v>4359</v>
      </c>
      <c r="AI247" s="2840" t="s">
        <v>4484</v>
      </c>
      <c r="AJ247" s="2841" t="s">
        <v>1394</v>
      </c>
      <c r="AK247" s="2809"/>
    </row>
    <row r="248" spans="1:38" s="2244" customFormat="1" ht="15.75">
      <c r="A248" s="2810"/>
      <c r="B248" s="2811">
        <v>1</v>
      </c>
      <c r="C248" s="2812">
        <f>_xlfn.XLOOKUP($D248, Tabla3[No.], Tabla3[FECHA DE INICIO (PRIMERA CLASE CALENDARIO)]," ")</f>
        <v>45176</v>
      </c>
      <c r="D248" s="2813">
        <v>590</v>
      </c>
      <c r="E248" s="2814" t="str">
        <f>_xlfn.XLOOKUP($D248,  Tabla3[No.],  Tabla3[CURP], " ")</f>
        <v>CERE840906HQRTSD03</v>
      </c>
      <c r="F248" s="2815" t="str">
        <f>_xlfn.XLOOKUP($E248, Tabla3[CURP], Tabla3[Matrícula Of. SEQ])</f>
        <v>64MDP03F-01</v>
      </c>
      <c r="G248" s="2814" t="str">
        <f>IFERROR(VLOOKUP(D248,Tabla3[],5,FALSE),"")</f>
        <v>CETINA ROSALES EDUARDO MACIEL</v>
      </c>
      <c r="H248" s="2816" t="str">
        <f t="shared" ref="H248:H259" si="41">MID(E248,11,1)</f>
        <v>H</v>
      </c>
      <c r="I248" s="2816" t="str">
        <f t="shared" ref="I248:I259" si="42">MID(E248,5,2)</f>
        <v>84</v>
      </c>
      <c r="J248" s="2816" t="str">
        <f t="shared" ref="J248:J259" si="43">MID(E248,7,2)</f>
        <v>09</v>
      </c>
      <c r="K248" s="2816" t="str">
        <f t="shared" ref="K248:K259" si="44">MID(E248,9,2)</f>
        <v>06</v>
      </c>
      <c r="L248" s="3970" t="s">
        <v>3630</v>
      </c>
      <c r="M248" s="2817" t="s">
        <v>2974</v>
      </c>
      <c r="N248" s="2818" t="s">
        <v>135</v>
      </c>
      <c r="O248" s="2819">
        <v>10</v>
      </c>
      <c r="P248" s="2818" t="s">
        <v>135</v>
      </c>
      <c r="Q248" s="2818" t="s">
        <v>135</v>
      </c>
      <c r="R248" s="2818" t="s">
        <v>135</v>
      </c>
      <c r="S248" s="2818">
        <v>10</v>
      </c>
      <c r="T248" s="2819">
        <v>10</v>
      </c>
      <c r="U248" s="2819">
        <v>10</v>
      </c>
      <c r="V248" s="2820">
        <v>10</v>
      </c>
      <c r="W248" s="2820">
        <v>10</v>
      </c>
      <c r="X248" s="2776">
        <v>10</v>
      </c>
      <c r="Y248" s="2820">
        <v>10</v>
      </c>
      <c r="Z248" s="2820">
        <v>9.9</v>
      </c>
      <c r="AA248" s="2820">
        <v>10</v>
      </c>
      <c r="AB248" s="2820">
        <v>10</v>
      </c>
      <c r="AC248" s="2820">
        <v>10</v>
      </c>
      <c r="AD248" s="2821">
        <v>10</v>
      </c>
      <c r="AE248" s="2776"/>
      <c r="AF248" s="2776"/>
      <c r="AG248" s="2776"/>
      <c r="AH248" s="2776"/>
      <c r="AI248" s="2776"/>
      <c r="AJ248" s="2822">
        <f t="shared" ref="AJ248:AJ259" si="45">AVERAGE(Q248:AF248)</f>
        <v>9.9916666666666671</v>
      </c>
    </row>
    <row r="249" spans="1:38" s="2244" customFormat="1" ht="15.75">
      <c r="A249" s="2784"/>
      <c r="B249" s="2469">
        <v>2</v>
      </c>
      <c r="C249" s="2242">
        <f>_xlfn.XLOOKUP($D249, Tabla3[No.], Tabla3[FECHA DE INICIO (PRIMERA CLASE CALENDARIO)]," ")</f>
        <v>44995</v>
      </c>
      <c r="D249" s="1772">
        <v>489</v>
      </c>
      <c r="E249" s="2241" t="str">
        <f>_xlfn.XLOOKUP($D249,  Tabla3[No.],  Tabla3[CURP], " ")</f>
        <v>EXBW910819HQRKSL09</v>
      </c>
      <c r="F249" s="2263" t="str">
        <f>_xlfn.XLOOKUP($E249, Tabla3[CURP], Tabla3[Matrícula Of. SEQ])</f>
        <v>64MDP03A-03</v>
      </c>
      <c r="G249" s="2241" t="str">
        <f>IFERROR(VLOOKUP(D249,Tabla3[],5,FALSE),"")</f>
        <v xml:space="preserve">EK BASTO WILBERTH GILBERTO </v>
      </c>
      <c r="H249" s="2772" t="str">
        <f t="shared" si="41"/>
        <v>H</v>
      </c>
      <c r="I249" s="2772" t="str">
        <f t="shared" si="42"/>
        <v>91</v>
      </c>
      <c r="J249" s="2772" t="str">
        <f t="shared" si="43"/>
        <v>08</v>
      </c>
      <c r="K249" s="2772" t="str">
        <f t="shared" si="44"/>
        <v>19</v>
      </c>
      <c r="L249" s="3971" t="s">
        <v>3630</v>
      </c>
      <c r="M249" s="2782" t="s">
        <v>2974</v>
      </c>
      <c r="N249" s="2795">
        <v>8</v>
      </c>
      <c r="O249" s="2791">
        <v>10</v>
      </c>
      <c r="P249" s="2796">
        <v>10</v>
      </c>
      <c r="Q249" s="2796">
        <v>10</v>
      </c>
      <c r="R249" s="2792">
        <v>10</v>
      </c>
      <c r="S249" s="2792">
        <v>10</v>
      </c>
      <c r="T249" s="2784">
        <v>10</v>
      </c>
      <c r="U249" s="2791">
        <v>10</v>
      </c>
      <c r="V249" s="2792">
        <v>10</v>
      </c>
      <c r="W249" s="2792">
        <v>10</v>
      </c>
      <c r="X249" s="2244">
        <v>10</v>
      </c>
      <c r="Y249" s="2792">
        <v>10</v>
      </c>
      <c r="Z249" s="2792">
        <v>9.9</v>
      </c>
      <c r="AA249" s="2792">
        <v>10</v>
      </c>
      <c r="AB249" s="2792">
        <v>10</v>
      </c>
      <c r="AC249" s="2792">
        <v>10</v>
      </c>
      <c r="AD249" s="2797"/>
      <c r="AJ249" s="2794">
        <f t="shared" si="45"/>
        <v>9.9923076923076923</v>
      </c>
    </row>
    <row r="250" spans="1:38" s="2244" customFormat="1" ht="15.75">
      <c r="B250" s="2469">
        <v>3</v>
      </c>
      <c r="C250" s="2242">
        <f>_xlfn.XLOOKUP($D250, Tabla3[No.], Tabla3[FECHA DE INICIO (PRIMERA CLASE CALENDARIO)]," ")</f>
        <v>45030</v>
      </c>
      <c r="D250" s="1772">
        <v>493</v>
      </c>
      <c r="E250" s="2241" t="str">
        <f>_xlfn.XLOOKUP($D250,  Tabla3[No.],  Tabla3[CURP], " ")</f>
        <v>GOSV800706MGRMNN03</v>
      </c>
      <c r="F250" s="2263" t="str">
        <f>_xlfn.XLOOKUP($E250, Tabla3[CURP], Tabla3[Matrícula Of. SEQ])</f>
        <v xml:space="preserve">64MDP03B-02 </v>
      </c>
      <c r="G250" s="2241" t="str">
        <f>IFERROR(VLOOKUP(D250,Tabla3[],5,FALSE),"")</f>
        <v>GOMEZ SANTOS VENUZ VANIA</v>
      </c>
      <c r="H250" s="2772" t="str">
        <f t="shared" si="41"/>
        <v>M</v>
      </c>
      <c r="I250" s="2772" t="str">
        <f t="shared" si="42"/>
        <v>80</v>
      </c>
      <c r="J250" s="2772" t="str">
        <f t="shared" si="43"/>
        <v>07</v>
      </c>
      <c r="K250" s="2772" t="str">
        <f t="shared" si="44"/>
        <v>06</v>
      </c>
      <c r="L250" s="3967" t="s">
        <v>629</v>
      </c>
      <c r="M250" s="2782" t="s">
        <v>2974</v>
      </c>
      <c r="N250" s="2790" t="s">
        <v>135</v>
      </c>
      <c r="O250" s="2791">
        <v>10</v>
      </c>
      <c r="P250" s="2784">
        <v>9.5</v>
      </c>
      <c r="Q250" s="2784">
        <v>10</v>
      </c>
      <c r="R250" s="2782">
        <v>8</v>
      </c>
      <c r="S250" s="1772">
        <v>9</v>
      </c>
      <c r="T250" s="2790" t="s">
        <v>135</v>
      </c>
      <c r="U250" s="2790" t="s">
        <v>135</v>
      </c>
      <c r="V250" s="2790" t="s">
        <v>135</v>
      </c>
      <c r="W250" s="2790" t="s">
        <v>135</v>
      </c>
      <c r="X250" s="2244">
        <v>10</v>
      </c>
      <c r="Y250" s="2792">
        <v>10</v>
      </c>
      <c r="Z250" s="2792">
        <v>9</v>
      </c>
      <c r="AA250" s="2792">
        <v>9</v>
      </c>
      <c r="AB250" s="2792">
        <v>9</v>
      </c>
      <c r="AC250" s="2263">
        <v>10</v>
      </c>
      <c r="AD250" s="2797"/>
      <c r="AJ250" s="2794">
        <f t="shared" si="45"/>
        <v>9.3333333333333339</v>
      </c>
    </row>
    <row r="251" spans="1:38" s="2244" customFormat="1" ht="15.75">
      <c r="B251" s="2469">
        <v>4</v>
      </c>
      <c r="C251" s="2242">
        <f>_xlfn.XLOOKUP($D251, Tabla3[No.], Tabla3[FECHA DE INICIO (PRIMERA CLASE CALENDARIO)]," ")</f>
        <v>45176</v>
      </c>
      <c r="D251" s="2771">
        <v>589</v>
      </c>
      <c r="E251" s="2241" t="str">
        <f>_xlfn.XLOOKUP($D251,  Tabla3[No.],  Tabla3[CURP], " ")</f>
        <v>LACE680229MCCRMS02</v>
      </c>
      <c r="F251" s="2263" t="str">
        <f>_xlfn.XLOOKUP($E251, Tabla3[CURP], Tabla3[Matrícula Of. SEQ])</f>
        <v>64MDP03F-02</v>
      </c>
      <c r="G251" s="2241" t="str">
        <f>IFERROR(VLOOKUP(D251,Tabla3[],5,FALSE),"")</f>
        <v>LARA CAMPOS ESTHER GUADALUPE</v>
      </c>
      <c r="H251" s="2772" t="str">
        <f t="shared" si="41"/>
        <v>M</v>
      </c>
      <c r="I251" s="2772" t="str">
        <f t="shared" si="42"/>
        <v>68</v>
      </c>
      <c r="J251" s="2772" t="str">
        <f t="shared" si="43"/>
        <v>02</v>
      </c>
      <c r="K251" s="2772" t="str">
        <f t="shared" si="44"/>
        <v>29</v>
      </c>
      <c r="L251" s="3971" t="s">
        <v>3630</v>
      </c>
      <c r="M251" s="2782" t="s">
        <v>2974</v>
      </c>
      <c r="N251" s="2790" t="s">
        <v>135</v>
      </c>
      <c r="O251" s="2791">
        <v>10</v>
      </c>
      <c r="P251" s="2790">
        <v>9</v>
      </c>
      <c r="Q251" s="2790" t="s">
        <v>135</v>
      </c>
      <c r="R251" s="2790" t="s">
        <v>135</v>
      </c>
      <c r="S251" s="2790">
        <v>10</v>
      </c>
      <c r="T251" s="2784">
        <v>10</v>
      </c>
      <c r="U251" s="2791">
        <v>10</v>
      </c>
      <c r="V251" s="2792">
        <v>10</v>
      </c>
      <c r="W251" s="2792">
        <v>10</v>
      </c>
      <c r="X251" s="2244">
        <v>10</v>
      </c>
      <c r="Y251" s="2792">
        <v>10</v>
      </c>
      <c r="Z251" s="2792">
        <v>9.9</v>
      </c>
      <c r="AA251" s="2792">
        <v>10</v>
      </c>
      <c r="AB251" s="2792">
        <v>10</v>
      </c>
      <c r="AC251" s="2263">
        <v>10</v>
      </c>
      <c r="AD251" s="2793">
        <v>9</v>
      </c>
      <c r="AE251" s="2791">
        <v>10</v>
      </c>
      <c r="AF251" s="2791">
        <v>10</v>
      </c>
      <c r="AG251" s="2791">
        <v>10</v>
      </c>
      <c r="AH251" s="2244">
        <v>9.6</v>
      </c>
      <c r="AI251" s="2244">
        <v>10</v>
      </c>
      <c r="AJ251" s="2794">
        <f t="shared" si="45"/>
        <v>9.9214285714285726</v>
      </c>
    </row>
    <row r="252" spans="1:38" s="2244" customFormat="1" ht="15.75">
      <c r="B252" s="2469">
        <v>5</v>
      </c>
      <c r="C252" s="2242">
        <f>_xlfn.XLOOKUP($D252, Tabla3[No.], Tabla3[FECHA DE INICIO (PRIMERA CLASE CALENDARIO)]," ")</f>
        <v>45177</v>
      </c>
      <c r="D252" s="2771">
        <v>592</v>
      </c>
      <c r="E252" s="2241" t="str">
        <f>_xlfn.XLOOKUP($D252,  Tabla3[No.],  Tabla3[CURP], " ")</f>
        <v>LACE720626MYNRML06</v>
      </c>
      <c r="F252" s="2263" t="str">
        <f>_xlfn.XLOOKUP($E252, Tabla3[CURP], Tabla3[Matrícula Of. SEQ])</f>
        <v>64MDP03F-03</v>
      </c>
      <c r="G252" s="2241" t="str">
        <f>IFERROR(VLOOKUP(D252,Tabla3[],5,FALSE),"")</f>
        <v>LARA CAMPOS MARIA ELENA</v>
      </c>
      <c r="H252" s="2772" t="str">
        <f t="shared" si="41"/>
        <v>M</v>
      </c>
      <c r="I252" s="2772" t="str">
        <f t="shared" si="42"/>
        <v>72</v>
      </c>
      <c r="J252" s="2772" t="str">
        <f t="shared" si="43"/>
        <v>06</v>
      </c>
      <c r="K252" s="2772" t="str">
        <f t="shared" si="44"/>
        <v>26</v>
      </c>
      <c r="L252" s="3971" t="s">
        <v>3630</v>
      </c>
      <c r="M252" s="2782" t="s">
        <v>2974</v>
      </c>
      <c r="N252" s="2790" t="s">
        <v>135</v>
      </c>
      <c r="O252" s="2791">
        <v>10</v>
      </c>
      <c r="P252" s="2790">
        <v>9</v>
      </c>
      <c r="Q252" s="2790" t="s">
        <v>135</v>
      </c>
      <c r="R252" s="2790" t="s">
        <v>135</v>
      </c>
      <c r="S252" s="2790">
        <v>10</v>
      </c>
      <c r="T252" s="2784">
        <v>10</v>
      </c>
      <c r="U252" s="2791">
        <v>10</v>
      </c>
      <c r="V252" s="2792">
        <v>10</v>
      </c>
      <c r="W252" s="2792">
        <v>10</v>
      </c>
      <c r="X252" s="2244">
        <v>10</v>
      </c>
      <c r="Y252" s="2792">
        <v>10</v>
      </c>
      <c r="Z252" s="2792">
        <v>9.9</v>
      </c>
      <c r="AA252" s="2792">
        <v>10</v>
      </c>
      <c r="AB252" s="2792">
        <v>10</v>
      </c>
      <c r="AC252" s="2263">
        <v>10</v>
      </c>
      <c r="AD252" s="2793">
        <v>9</v>
      </c>
      <c r="AE252" s="2791">
        <v>10</v>
      </c>
      <c r="AF252" s="2791">
        <v>10</v>
      </c>
      <c r="AG252" s="2791">
        <v>10</v>
      </c>
      <c r="AH252" s="2244">
        <v>9.6</v>
      </c>
      <c r="AI252" s="2244">
        <v>10</v>
      </c>
      <c r="AJ252" s="2794">
        <f t="shared" si="45"/>
        <v>9.9214285714285726</v>
      </c>
    </row>
    <row r="253" spans="1:38" s="2244" customFormat="1" ht="15.75">
      <c r="B253" s="2469">
        <v>6</v>
      </c>
      <c r="C253" s="2242">
        <f>_xlfn.XLOOKUP($D253, Tabla3[No.], Tabla3[FECHA DE INICIO (PRIMERA CLASE CALENDARIO)]," ")</f>
        <v>44995</v>
      </c>
      <c r="D253" s="1772">
        <v>480</v>
      </c>
      <c r="E253" s="2241" t="str">
        <f>_xlfn.XLOOKUP($D253,  Tabla3[No.],  Tabla3[CURP], " ")</f>
        <v>LOGL840726MDFPNZ04</v>
      </c>
      <c r="F253" s="2263" t="str">
        <f>_xlfn.XLOOKUP($E253, Tabla3[CURP], Tabla3[Matrícula Of. SEQ])</f>
        <v>64MDP03A-07</v>
      </c>
      <c r="G253" s="2241" t="str">
        <f>IFERROR(VLOOKUP(D253,Tabla3[],5,FALSE),"")</f>
        <v>LOPEZ GONZALEZ LUZ ANGELICA</v>
      </c>
      <c r="H253" s="2772" t="str">
        <f t="shared" si="41"/>
        <v>M</v>
      </c>
      <c r="I253" s="2772" t="str">
        <f t="shared" si="42"/>
        <v>84</v>
      </c>
      <c r="J253" s="2772" t="str">
        <f t="shared" si="43"/>
        <v>07</v>
      </c>
      <c r="K253" s="2772" t="str">
        <f t="shared" si="44"/>
        <v>26</v>
      </c>
      <c r="L253" s="3971" t="s">
        <v>3630</v>
      </c>
      <c r="M253" s="2782" t="s">
        <v>2974</v>
      </c>
      <c r="N253" s="2798">
        <v>10</v>
      </c>
      <c r="O253" s="2791">
        <v>10</v>
      </c>
      <c r="P253" s="2784">
        <v>10</v>
      </c>
      <c r="Q253" s="2784">
        <v>10</v>
      </c>
      <c r="R253" s="2782">
        <v>10</v>
      </c>
      <c r="S253" s="1772">
        <v>10</v>
      </c>
      <c r="T253" s="2784">
        <v>10</v>
      </c>
      <c r="U253" s="2791">
        <v>10</v>
      </c>
      <c r="V253" s="2792">
        <v>10</v>
      </c>
      <c r="W253" s="2792">
        <v>10</v>
      </c>
      <c r="X253" s="2244">
        <v>10</v>
      </c>
      <c r="Y253" s="2792">
        <v>10</v>
      </c>
      <c r="Z253" s="2792">
        <v>9.9</v>
      </c>
      <c r="AA253" s="2792">
        <v>10</v>
      </c>
      <c r="AB253" s="2792">
        <v>10</v>
      </c>
      <c r="AC253" s="2263">
        <v>10</v>
      </c>
      <c r="AD253" s="2797"/>
      <c r="AJ253" s="2794">
        <f t="shared" si="45"/>
        <v>9.9923076923076923</v>
      </c>
    </row>
    <row r="254" spans="1:38" s="2244" customFormat="1" ht="15.75">
      <c r="B254" s="2469">
        <v>7</v>
      </c>
      <c r="C254" s="2242">
        <f>_xlfn.XLOOKUP($D254, Tabla3[No.], Tabla3[FECHA DE INICIO (PRIMERA CLASE CALENDARIO)]," ")</f>
        <v>45010</v>
      </c>
      <c r="D254" s="2771">
        <v>475</v>
      </c>
      <c r="E254" s="2241" t="str">
        <f>_xlfn.XLOOKUP($D254,  Tabla3[No.],  Tabla3[CURP], " ")</f>
        <v>LOMM690929HCCPY604</v>
      </c>
      <c r="F254" s="2263" t="str">
        <f>_xlfn.XLOOKUP($E254, Tabla3[CURP], Tabla3[Matrícula Of. SEQ])</f>
        <v>64DD06A-05</v>
      </c>
      <c r="G254" s="2241" t="str">
        <f>IFERROR(VLOOKUP(D254,Tabla3[],5,FALSE),"")</f>
        <v>LOPEZ MAY MIGUEL ANGEL</v>
      </c>
      <c r="H254" s="2772" t="str">
        <f t="shared" si="41"/>
        <v>H</v>
      </c>
      <c r="I254" s="2772" t="str">
        <f t="shared" si="42"/>
        <v>69</v>
      </c>
      <c r="J254" s="2772" t="str">
        <f t="shared" si="43"/>
        <v>09</v>
      </c>
      <c r="K254" s="2772" t="str">
        <f t="shared" si="44"/>
        <v>29</v>
      </c>
      <c r="L254" s="3971" t="s">
        <v>3630</v>
      </c>
      <c r="M254" s="2782" t="s">
        <v>2974</v>
      </c>
      <c r="N254" s="2798">
        <v>9.4</v>
      </c>
      <c r="O254" s="2791">
        <v>10</v>
      </c>
      <c r="P254" s="2784">
        <v>10</v>
      </c>
      <c r="Q254" s="2784">
        <v>10</v>
      </c>
      <c r="R254" s="2782">
        <v>10</v>
      </c>
      <c r="S254" s="1772">
        <v>10</v>
      </c>
      <c r="T254" s="2784">
        <v>10</v>
      </c>
      <c r="U254" s="2791">
        <v>10</v>
      </c>
      <c r="V254" s="2792">
        <v>10</v>
      </c>
      <c r="W254" s="2792">
        <v>10</v>
      </c>
      <c r="X254" s="2244">
        <v>10</v>
      </c>
      <c r="Y254" s="2792">
        <v>10</v>
      </c>
      <c r="Z254" s="2792">
        <v>9.9</v>
      </c>
      <c r="AA254" s="2792">
        <v>10</v>
      </c>
      <c r="AB254" s="2792">
        <v>10</v>
      </c>
      <c r="AC254" s="2263">
        <v>10</v>
      </c>
      <c r="AD254" s="2797"/>
      <c r="AJ254" s="2794">
        <f t="shared" si="45"/>
        <v>9.9923076923076923</v>
      </c>
    </row>
    <row r="255" spans="1:38" s="2799" customFormat="1" ht="15.75">
      <c r="B255" s="2800">
        <v>8</v>
      </c>
      <c r="C255" s="2242">
        <f>_xlfn.XLOOKUP($D255, Tabla3[No.], Tabla3[FECHA DE INICIO (PRIMERA CLASE CALENDARIO)]," ")</f>
        <v>45176</v>
      </c>
      <c r="D255" s="2771">
        <v>591</v>
      </c>
      <c r="E255" s="2241" t="str">
        <f>_xlfn.XLOOKUP($D255,  Tabla3[No.],  Tabla3[CURP], " ")</f>
        <v>MOII800611HQRXTS04</v>
      </c>
      <c r="F255" s="2286" t="str">
        <f>_xlfn.XLOOKUP($E255, Tabla3[CURP], Tabla3[Matrícula Of. SEQ])</f>
        <v>64MDP03F-04</v>
      </c>
      <c r="G255" s="2241" t="str">
        <f>IFERROR(VLOOKUP(D255,Tabla3[],5,FALSE),"")</f>
        <v>MOO ITZA ISRAEL</v>
      </c>
      <c r="H255" s="2801" t="str">
        <f t="shared" si="41"/>
        <v>H</v>
      </c>
      <c r="I255" s="2801" t="str">
        <f t="shared" si="42"/>
        <v>80</v>
      </c>
      <c r="J255" s="2801" t="str">
        <f t="shared" si="43"/>
        <v>06</v>
      </c>
      <c r="K255" s="2801" t="str">
        <f t="shared" si="44"/>
        <v>11</v>
      </c>
      <c r="L255" s="3967" t="s">
        <v>4357</v>
      </c>
      <c r="M255" s="2788" t="s">
        <v>2974</v>
      </c>
      <c r="N255" s="2788" t="s">
        <v>135</v>
      </c>
      <c r="O255" s="2802">
        <v>10</v>
      </c>
      <c r="P255" s="2788">
        <v>9</v>
      </c>
      <c r="Q255" s="2788" t="s">
        <v>135</v>
      </c>
      <c r="R255" s="2788" t="s">
        <v>135</v>
      </c>
      <c r="S255" s="2788">
        <v>10</v>
      </c>
      <c r="T255" s="2799">
        <v>10</v>
      </c>
      <c r="U255" s="2802">
        <v>10</v>
      </c>
      <c r="V255" s="2803">
        <v>10</v>
      </c>
      <c r="W255" s="2803">
        <v>10</v>
      </c>
      <c r="X255" s="2799">
        <v>10</v>
      </c>
      <c r="Y255" s="2803">
        <v>10</v>
      </c>
      <c r="Z255" s="2803">
        <v>9.9</v>
      </c>
      <c r="AA255" s="2803">
        <v>10</v>
      </c>
      <c r="AB255" s="2803">
        <v>10</v>
      </c>
      <c r="AC255" s="2286">
        <v>10</v>
      </c>
      <c r="AD255" s="2804">
        <v>9.4</v>
      </c>
      <c r="AE255" s="2802">
        <v>10</v>
      </c>
      <c r="AF255" s="2805">
        <v>10</v>
      </c>
      <c r="AJ255" s="2806">
        <f t="shared" si="45"/>
        <v>9.9500000000000011</v>
      </c>
    </row>
    <row r="256" spans="1:38" s="2244" customFormat="1" ht="15.75">
      <c r="B256" s="2469">
        <v>9</v>
      </c>
      <c r="C256" s="2242">
        <f>_xlfn.XLOOKUP($D256, Tabla3[No.], Tabla3[FECHA DE INICIO (PRIMERA CLASE CALENDARIO)]," ")</f>
        <v>44988</v>
      </c>
      <c r="D256" s="2771">
        <v>474</v>
      </c>
      <c r="E256" s="2241" t="str">
        <f>_xlfn.XLOOKUP($D256,  Tabla3[No.],  Tabla3[CURP], " ")</f>
        <v>PEHG780306HTCRRL00</v>
      </c>
      <c r="F256" s="2263" t="str">
        <f>_xlfn.XLOOKUP($E256, Tabla3[CURP], Tabla3[Matrícula Of. SEQ])</f>
        <v>64MDP03A-08</v>
      </c>
      <c r="G256" s="2241" t="str">
        <f>IFERROR(VLOOKUP(D256,Tabla3[],5,FALSE),"")</f>
        <v>PEREZ HERNANDEZ GUILLERMO</v>
      </c>
      <c r="H256" s="2772" t="str">
        <f t="shared" si="41"/>
        <v>H</v>
      </c>
      <c r="I256" s="2772" t="str">
        <f t="shared" si="42"/>
        <v>78</v>
      </c>
      <c r="J256" s="2772" t="str">
        <f t="shared" si="43"/>
        <v>03</v>
      </c>
      <c r="K256" s="2772" t="str">
        <f t="shared" si="44"/>
        <v>06</v>
      </c>
      <c r="L256" s="3971" t="s">
        <v>3630</v>
      </c>
      <c r="M256" s="2782" t="s">
        <v>2974</v>
      </c>
      <c r="N256" s="2798">
        <v>10</v>
      </c>
      <c r="O256" s="2791">
        <v>10</v>
      </c>
      <c r="P256" s="2784">
        <v>9.5</v>
      </c>
      <c r="Q256" s="2784">
        <v>9</v>
      </c>
      <c r="R256" s="2782">
        <v>10</v>
      </c>
      <c r="S256" s="1772">
        <v>10</v>
      </c>
      <c r="T256" s="2784">
        <v>10</v>
      </c>
      <c r="U256" s="2791">
        <v>10</v>
      </c>
      <c r="V256" s="2792">
        <v>10</v>
      </c>
      <c r="W256" s="2792">
        <v>10</v>
      </c>
      <c r="X256" s="2244">
        <v>10</v>
      </c>
      <c r="Y256" s="2792">
        <v>10</v>
      </c>
      <c r="Z256" s="2792">
        <v>9.9</v>
      </c>
      <c r="AA256" s="2792">
        <v>10</v>
      </c>
      <c r="AB256" s="2792">
        <v>10</v>
      </c>
      <c r="AC256" s="2263">
        <v>10</v>
      </c>
      <c r="AD256" s="2797"/>
      <c r="AE256" s="2807"/>
      <c r="AF256" s="2807" t="s">
        <v>2573</v>
      </c>
      <c r="AG256" s="2807"/>
      <c r="AH256" s="2807"/>
      <c r="AJ256" s="2794">
        <f t="shared" si="45"/>
        <v>9.9153846153846157</v>
      </c>
    </row>
    <row r="257" spans="1:44" s="2244" customFormat="1" ht="15.75">
      <c r="B257" s="2469">
        <v>10</v>
      </c>
      <c r="C257" s="2242">
        <f>_xlfn.XLOOKUP($D257, Tabla3[No.], Tabla3[FECHA DE INICIO (PRIMERA CLASE CALENDARIO)]," ")</f>
        <v>44995</v>
      </c>
      <c r="D257" s="2771">
        <v>498</v>
      </c>
      <c r="E257" s="2241" t="str">
        <f>_xlfn.XLOOKUP($D257,  Tabla3[No.],  Tabla3[CURP], " ")</f>
        <v>ROCE900102MTCDRL06</v>
      </c>
      <c r="F257" s="2263" t="str">
        <f>_xlfn.XLOOKUP($E257, Tabla3[CURP], Tabla3[Matrícula Of. SEQ])</f>
        <v>64MDP03B-04</v>
      </c>
      <c r="G257" s="2241" t="str">
        <f>IFERROR(VLOOKUP(D257,Tabla3[],5,FALSE),"")</f>
        <v>RODRIGUEZ DE LA CRUZ ELIANA</v>
      </c>
      <c r="H257" s="2772" t="str">
        <f t="shared" si="41"/>
        <v>M</v>
      </c>
      <c r="I257" s="2772" t="str">
        <f t="shared" si="42"/>
        <v>90</v>
      </c>
      <c r="J257" s="2772" t="str">
        <f t="shared" si="43"/>
        <v>01</v>
      </c>
      <c r="K257" s="2772" t="str">
        <f t="shared" si="44"/>
        <v>02</v>
      </c>
      <c r="L257" s="3971" t="s">
        <v>3630</v>
      </c>
      <c r="M257" s="2782" t="s">
        <v>2974</v>
      </c>
      <c r="N257" s="2782">
        <v>8</v>
      </c>
      <c r="O257" s="2791">
        <v>10</v>
      </c>
      <c r="P257" s="2784">
        <v>10</v>
      </c>
      <c r="Q257" s="2784">
        <v>9.5</v>
      </c>
      <c r="R257" s="2782">
        <v>10</v>
      </c>
      <c r="S257" s="1772">
        <v>10</v>
      </c>
      <c r="T257" s="2784">
        <v>10</v>
      </c>
      <c r="U257" s="2791">
        <v>10</v>
      </c>
      <c r="V257" s="2792">
        <v>10</v>
      </c>
      <c r="W257" s="2792">
        <v>10</v>
      </c>
      <c r="X257" s="2244">
        <v>10</v>
      </c>
      <c r="Y257" s="2792">
        <v>10</v>
      </c>
      <c r="Z257" s="2792">
        <v>9.9</v>
      </c>
      <c r="AA257" s="2792">
        <v>10</v>
      </c>
      <c r="AB257" s="2792">
        <v>10</v>
      </c>
      <c r="AC257" s="2263">
        <v>10</v>
      </c>
      <c r="AD257" s="2797"/>
      <c r="AJ257" s="2794">
        <f t="shared" si="45"/>
        <v>9.953846153846154</v>
      </c>
    </row>
    <row r="258" spans="1:44" s="2244" customFormat="1" ht="15.75">
      <c r="B258" s="2469">
        <v>11</v>
      </c>
      <c r="C258" s="2242">
        <f>_xlfn.XLOOKUP($D258, Tabla3[No.], Tabla3[FECHA DE INICIO (PRIMERA CLASE CALENDARIO)]," ")</f>
        <v>45178</v>
      </c>
      <c r="D258" s="2771">
        <v>593</v>
      </c>
      <c r="E258" s="2241" t="str">
        <f>_xlfn.XLOOKUP($D258,  Tabla3[No.],  Tabla3[CURP], " ")</f>
        <v>SIMH781112HVZLDR05</v>
      </c>
      <c r="F258" s="2263" t="str">
        <f>_xlfn.XLOOKUP($E258, Tabla3[CURP], Tabla3[Matrícula Of. SEQ])</f>
        <v>64MDP03F-05</v>
      </c>
      <c r="G258" s="2241" t="str">
        <f>IFERROR(VLOOKUP(D258,Tabla3[],5,FALSE),"")</f>
        <v>SILERA MEDRANO HERIBERTO</v>
      </c>
      <c r="H258" s="2772" t="str">
        <f t="shared" si="41"/>
        <v>H</v>
      </c>
      <c r="I258" s="2772" t="str">
        <f t="shared" si="42"/>
        <v>78</v>
      </c>
      <c r="J258" s="2772" t="str">
        <f t="shared" si="43"/>
        <v>11</v>
      </c>
      <c r="K258" s="2772" t="str">
        <f t="shared" si="44"/>
        <v>12</v>
      </c>
      <c r="L258" s="3971" t="s">
        <v>3630</v>
      </c>
      <c r="M258" s="2782" t="s">
        <v>2974</v>
      </c>
      <c r="N258" s="2790" t="s">
        <v>135</v>
      </c>
      <c r="O258" s="2791">
        <v>10</v>
      </c>
      <c r="P258" s="2790">
        <v>10</v>
      </c>
      <c r="Q258" s="2790" t="s">
        <v>135</v>
      </c>
      <c r="R258" s="2790" t="s">
        <v>135</v>
      </c>
      <c r="S258" s="2790">
        <v>10</v>
      </c>
      <c r="T258" s="2784">
        <v>10</v>
      </c>
      <c r="U258" s="2791">
        <v>10</v>
      </c>
      <c r="V258" s="2792">
        <v>10</v>
      </c>
      <c r="W258" s="2792">
        <v>10</v>
      </c>
      <c r="X258" s="2244">
        <v>10</v>
      </c>
      <c r="Y258" s="2792">
        <v>10</v>
      </c>
      <c r="Z258" s="2792">
        <v>9.9</v>
      </c>
      <c r="AA258" s="2792">
        <v>10</v>
      </c>
      <c r="AB258" s="2792">
        <v>10</v>
      </c>
      <c r="AC258" s="2263">
        <v>10</v>
      </c>
      <c r="AD258" s="2793">
        <v>8.6</v>
      </c>
      <c r="AE258" s="2791">
        <v>10</v>
      </c>
      <c r="AF258" s="2791">
        <v>10</v>
      </c>
      <c r="AG258" s="2244">
        <v>10</v>
      </c>
      <c r="AH258" s="2244">
        <v>9.6</v>
      </c>
      <c r="AI258" s="2244">
        <v>10</v>
      </c>
      <c r="AJ258" s="2794">
        <f t="shared" si="45"/>
        <v>9.8928571428571423</v>
      </c>
    </row>
    <row r="259" spans="1:44" s="2244" customFormat="1" ht="15.75">
      <c r="B259" s="2469">
        <v>12</v>
      </c>
      <c r="C259" s="2242">
        <f>_xlfn.XLOOKUP($D259, Tabla3[No.], Tabla3[FECHA DE INICIO (PRIMERA CLASE CALENDARIO)]," ")</f>
        <v>44995</v>
      </c>
      <c r="D259" s="2771">
        <v>477</v>
      </c>
      <c r="E259" s="2241" t="str">
        <f>_xlfn.XLOOKUP($D259,  Tabla3[No.],  Tabla3[CURP], " ")</f>
        <v>VEFI770113HDFRNS03</v>
      </c>
      <c r="F259" s="2263" t="str">
        <f>_xlfn.XLOOKUP($E259, Tabla3[CURP], Tabla3[Matrícula Of. SEQ])</f>
        <v>64MDP03A-15</v>
      </c>
      <c r="G259" s="2241" t="str">
        <f>IFERROR(VLOOKUP(D259,Tabla3[],5,FALSE),"")</f>
        <v>VERGARA FUENTES ISRAEL AARON</v>
      </c>
      <c r="H259" s="2772" t="str">
        <f t="shared" si="41"/>
        <v>H</v>
      </c>
      <c r="I259" s="2772" t="str">
        <f t="shared" si="42"/>
        <v>77</v>
      </c>
      <c r="J259" s="2772" t="str">
        <f t="shared" si="43"/>
        <v>01</v>
      </c>
      <c r="K259" s="2772" t="str">
        <f t="shared" si="44"/>
        <v>13</v>
      </c>
      <c r="L259" s="3971" t="s">
        <v>3630</v>
      </c>
      <c r="M259" s="2782" t="s">
        <v>2974</v>
      </c>
      <c r="N259" s="2798">
        <v>10</v>
      </c>
      <c r="O259" s="2784">
        <v>10</v>
      </c>
      <c r="P259" s="2784">
        <v>10</v>
      </c>
      <c r="Q259" s="2784">
        <v>10</v>
      </c>
      <c r="R259" s="2782">
        <v>10</v>
      </c>
      <c r="S259" s="1772">
        <v>10</v>
      </c>
      <c r="T259" s="2784">
        <v>10</v>
      </c>
      <c r="U259" s="2791">
        <v>10</v>
      </c>
      <c r="V259" s="2792">
        <v>10</v>
      </c>
      <c r="W259" s="2792">
        <v>10</v>
      </c>
      <c r="X259" s="2244">
        <v>10</v>
      </c>
      <c r="Y259" s="2792">
        <v>10</v>
      </c>
      <c r="Z259" s="2792">
        <v>9.9</v>
      </c>
      <c r="AA259" s="2792">
        <v>10</v>
      </c>
      <c r="AB259" s="2792">
        <v>10</v>
      </c>
      <c r="AC259" s="2263">
        <v>10</v>
      </c>
      <c r="AD259" s="2797"/>
      <c r="AJ259" s="2794">
        <f t="shared" si="45"/>
        <v>9.9923076923076923</v>
      </c>
    </row>
    <row r="260" spans="1:44">
      <c r="C260" s="2"/>
      <c r="D260" s="2"/>
      <c r="E260" s="701"/>
      <c r="G260" s="643"/>
      <c r="H260" s="701"/>
      <c r="N260">
        <v>1</v>
      </c>
      <c r="O260" s="1860">
        <v>2</v>
      </c>
      <c r="P260" s="1861">
        <v>3</v>
      </c>
      <c r="Q260">
        <v>4</v>
      </c>
      <c r="R260" s="1860">
        <v>5</v>
      </c>
      <c r="S260" s="1861">
        <v>6</v>
      </c>
      <c r="T260">
        <v>7</v>
      </c>
      <c r="U260" s="1860">
        <v>8</v>
      </c>
      <c r="V260" s="1861">
        <v>9</v>
      </c>
      <c r="W260">
        <v>10</v>
      </c>
      <c r="X260" s="1860">
        <v>11</v>
      </c>
      <c r="Y260" s="1861">
        <v>12</v>
      </c>
      <c r="Z260">
        <v>13</v>
      </c>
      <c r="AA260" s="1860">
        <v>14</v>
      </c>
      <c r="AB260" s="1861">
        <v>15</v>
      </c>
      <c r="AC260">
        <v>16</v>
      </c>
    </row>
    <row r="261" spans="1:44">
      <c r="C261" s="2"/>
      <c r="D261" s="2"/>
      <c r="E261" s="701"/>
      <c r="G261" s="643"/>
      <c r="H261" s="701"/>
    </row>
    <row r="262" spans="1:44">
      <c r="B262" s="701"/>
      <c r="C262" s="2"/>
      <c r="D262" s="2"/>
      <c r="E262" s="701"/>
      <c r="G262" s="643"/>
      <c r="H262" s="701"/>
    </row>
    <row r="263" spans="1:44">
      <c r="B263" s="701"/>
      <c r="C263" s="2"/>
      <c r="D263" s="2"/>
      <c r="E263" s="701"/>
      <c r="G263" s="643"/>
      <c r="H263" s="701"/>
    </row>
    <row r="264" spans="1:44" s="2406" customFormat="1" ht="16.5" thickBot="1">
      <c r="L264" s="299"/>
      <c r="M264" s="2244" t="s">
        <v>1757</v>
      </c>
      <c r="N264" s="2244" t="s">
        <v>684</v>
      </c>
      <c r="O264" s="2244" t="s">
        <v>1758</v>
      </c>
      <c r="P264" s="2244"/>
      <c r="Q264" s="2244"/>
      <c r="R264" s="2244"/>
      <c r="S264" s="2244" t="s">
        <v>2579</v>
      </c>
      <c r="T264" s="2244"/>
      <c r="U264" s="2244"/>
      <c r="V264" s="2244"/>
      <c r="W264" s="2244"/>
      <c r="X264" s="2244"/>
      <c r="Y264" s="2244"/>
      <c r="Z264" s="2244"/>
      <c r="AA264" s="2244"/>
      <c r="AB264" s="2248" t="s">
        <v>405</v>
      </c>
      <c r="AC264" s="2244"/>
      <c r="AD264" s="2244"/>
      <c r="AE264" s="2244"/>
    </row>
    <row r="265" spans="1:44" s="2406" customFormat="1" ht="16.5" thickBot="1">
      <c r="B265" s="4228" t="s">
        <v>5</v>
      </c>
      <c r="C265" s="2409" t="s">
        <v>407</v>
      </c>
      <c r="D265" s="2409"/>
      <c r="E265" s="4172" t="s">
        <v>6</v>
      </c>
      <c r="F265" s="4172" t="s">
        <v>7</v>
      </c>
      <c r="G265" s="4176" t="s">
        <v>8</v>
      </c>
      <c r="H265" s="4169" t="s">
        <v>9</v>
      </c>
      <c r="I265" s="4177" t="s">
        <v>10</v>
      </c>
      <c r="J265" s="4177"/>
      <c r="K265" s="4177"/>
      <c r="L265" s="3972"/>
      <c r="M265" s="4215" t="s">
        <v>1149</v>
      </c>
      <c r="N265" s="2851"/>
      <c r="O265" s="2852">
        <v>44562</v>
      </c>
      <c r="P265" s="2852">
        <v>44593</v>
      </c>
      <c r="Q265" s="2853">
        <v>44621</v>
      </c>
      <c r="R265" s="2852">
        <v>44652</v>
      </c>
      <c r="S265" s="2852">
        <v>44682</v>
      </c>
      <c r="T265" s="2852">
        <v>44713</v>
      </c>
      <c r="U265" s="2852">
        <v>44743</v>
      </c>
      <c r="V265" s="3094"/>
      <c r="W265" s="3094"/>
      <c r="X265" s="3094"/>
      <c r="Z265" s="2854"/>
      <c r="AA265" s="2854"/>
      <c r="AB265" s="2854"/>
      <c r="AC265" s="2854"/>
      <c r="AD265" s="2854"/>
      <c r="AE265" s="2854"/>
      <c r="AF265" s="2854"/>
      <c r="AR265" s="206"/>
    </row>
    <row r="266" spans="1:44" s="2406" customFormat="1" ht="55.35" customHeight="1" thickBot="1">
      <c r="A266" s="2855" t="s">
        <v>778</v>
      </c>
      <c r="B266" s="4228"/>
      <c r="C266" s="2856"/>
      <c r="D266" s="2857"/>
      <c r="E266" s="4172"/>
      <c r="F266" s="4172"/>
      <c r="G266" s="4176"/>
      <c r="H266" s="4169"/>
      <c r="I266" s="4177"/>
      <c r="J266" s="4177"/>
      <c r="K266" s="4177"/>
      <c r="L266" s="3972"/>
      <c r="M266" s="4215"/>
      <c r="N266" s="2858"/>
      <c r="O266" s="2748" t="s">
        <v>1756</v>
      </c>
      <c r="P266" s="2748" t="s">
        <v>1753</v>
      </c>
      <c r="Q266" s="2748" t="s">
        <v>1754</v>
      </c>
      <c r="R266" s="2748" t="s">
        <v>1755</v>
      </c>
      <c r="S266" s="2748" t="s">
        <v>2578</v>
      </c>
      <c r="T266" s="2858"/>
      <c r="U266" s="2858"/>
      <c r="V266" s="2858"/>
      <c r="W266" s="2858"/>
      <c r="X266" s="2858"/>
      <c r="Y266" s="2858"/>
      <c r="Z266" s="2858"/>
      <c r="AA266" s="2858"/>
      <c r="AB266" s="2858"/>
      <c r="AC266" s="2858"/>
      <c r="AD266" s="2858"/>
      <c r="AE266" s="2858"/>
      <c r="AF266" s="2858"/>
      <c r="AG266" s="2859"/>
      <c r="AH266" s="2859"/>
      <c r="AI266" s="2859"/>
      <c r="AJ266" s="2859"/>
      <c r="AK266" s="2859"/>
      <c r="AL266" s="2859"/>
      <c r="AR266" s="2662"/>
    </row>
    <row r="267" spans="1:44" s="2406" customFormat="1" ht="25.5" customHeight="1" thickBot="1">
      <c r="A267" s="2433" t="s">
        <v>27</v>
      </c>
      <c r="B267" s="4228"/>
      <c r="C267" s="2860"/>
      <c r="D267" s="2860"/>
      <c r="E267" s="4172"/>
      <c r="F267" s="4172"/>
      <c r="G267" s="4176"/>
      <c r="H267" s="4169"/>
      <c r="I267" s="4177"/>
      <c r="J267" s="4177"/>
      <c r="K267" s="4177"/>
      <c r="L267" s="3972"/>
      <c r="M267" s="2420" t="s">
        <v>1728</v>
      </c>
      <c r="N267" s="2861"/>
      <c r="O267" s="2861"/>
      <c r="P267" s="2861"/>
      <c r="Q267" s="2862"/>
      <c r="R267" s="2862"/>
      <c r="S267" s="2861"/>
      <c r="T267" s="2861"/>
      <c r="U267" s="2861"/>
      <c r="V267" s="2861"/>
      <c r="W267" s="2861"/>
      <c r="X267" s="2861"/>
      <c r="Y267" s="2858"/>
      <c r="Z267" s="2858"/>
      <c r="AA267" s="2858"/>
      <c r="AB267" s="2858"/>
      <c r="AC267" s="2858"/>
      <c r="AD267" s="2858"/>
      <c r="AE267" s="2858"/>
      <c r="AF267" s="2858"/>
      <c r="AG267" s="2859"/>
      <c r="AH267" s="2859"/>
      <c r="AI267" s="2859"/>
      <c r="AJ267" s="2859"/>
      <c r="AK267" s="2859"/>
      <c r="AL267" s="2859"/>
      <c r="AR267" s="2662"/>
    </row>
    <row r="268" spans="1:44" s="2406" customFormat="1" ht="55.35" customHeight="1" thickBot="1">
      <c r="A268" s="2434" t="s">
        <v>407</v>
      </c>
      <c r="B268" s="4228"/>
      <c r="C268" s="2420" t="s">
        <v>408</v>
      </c>
      <c r="D268" s="2420"/>
      <c r="E268" s="4172"/>
      <c r="F268" s="4172"/>
      <c r="G268" s="2488" t="s">
        <v>78</v>
      </c>
      <c r="H268" s="4169"/>
      <c r="I268" s="2422" t="s">
        <v>79</v>
      </c>
      <c r="J268" s="2422" t="s">
        <v>80</v>
      </c>
      <c r="K268" s="2422" t="s">
        <v>81</v>
      </c>
      <c r="L268" s="3953" t="s">
        <v>1759</v>
      </c>
      <c r="M268" s="2420" t="s">
        <v>409</v>
      </c>
      <c r="N268" s="2489" t="s">
        <v>410</v>
      </c>
      <c r="O268" s="2863" t="s">
        <v>411</v>
      </c>
      <c r="P268" s="2489" t="s">
        <v>406</v>
      </c>
      <c r="Q268" s="2489" t="s">
        <v>412</v>
      </c>
      <c r="R268" s="2489" t="s">
        <v>413</v>
      </c>
      <c r="S268" s="2490" t="s">
        <v>414</v>
      </c>
      <c r="T268" s="2490" t="s">
        <v>415</v>
      </c>
      <c r="U268" s="2491" t="s">
        <v>416</v>
      </c>
      <c r="V268" s="2491"/>
      <c r="W268" s="2491"/>
      <c r="X268" s="2491"/>
      <c r="Y268" s="2491" t="s">
        <v>417</v>
      </c>
      <c r="Z268" s="2492" t="s">
        <v>418</v>
      </c>
      <c r="AA268" s="2492" t="s">
        <v>419</v>
      </c>
      <c r="AB268" s="2492" t="s">
        <v>420</v>
      </c>
      <c r="AC268" s="2492" t="s">
        <v>421</v>
      </c>
      <c r="AD268" s="2493" t="s">
        <v>422</v>
      </c>
      <c r="AE268" s="2493" t="s">
        <v>423</v>
      </c>
      <c r="AF268" s="2493" t="s">
        <v>424</v>
      </c>
      <c r="AG268" s="2493" t="s">
        <v>425</v>
      </c>
      <c r="AH268" s="2859"/>
      <c r="AI268" s="2859"/>
      <c r="AJ268" s="2859"/>
      <c r="AK268" s="2859"/>
      <c r="AL268" s="2859"/>
      <c r="AR268" s="2680"/>
    </row>
    <row r="269" spans="1:44" s="2406" customFormat="1" ht="30" hidden="1" customHeight="1">
      <c r="B269" s="2408" t="s">
        <v>407</v>
      </c>
      <c r="C269" s="2864">
        <v>44562</v>
      </c>
      <c r="D269" s="2864"/>
      <c r="E269" s="2865" t="s">
        <v>426</v>
      </c>
      <c r="F269" s="2866" t="s">
        <v>427</v>
      </c>
      <c r="G269" s="2867" t="s">
        <v>428</v>
      </c>
      <c r="H269" s="2408" t="s">
        <v>429</v>
      </c>
      <c r="I269" s="2868" t="str">
        <f>(MID(E269,11,1))</f>
        <v>H</v>
      </c>
      <c r="J269" s="2868" t="str">
        <f>(MID(E269,5,2))</f>
        <v>65</v>
      </c>
      <c r="K269" s="2868" t="str">
        <f>(MID(E269,7,2))</f>
        <v>11</v>
      </c>
      <c r="L269" s="3946"/>
      <c r="M269" s="2868" t="str">
        <f>(MID(E269,9,2))</f>
        <v>28</v>
      </c>
      <c r="N269" s="2869"/>
      <c r="O269" s="2869"/>
      <c r="P269" s="2869"/>
      <c r="Q269" s="2869"/>
      <c r="R269" s="2869"/>
      <c r="S269" s="2869"/>
      <c r="T269" s="2869"/>
      <c r="U269" s="2869"/>
      <c r="V269" s="2869"/>
      <c r="W269" s="2869"/>
      <c r="X269" s="2869"/>
      <c r="Y269" s="2869"/>
      <c r="Z269" s="2869"/>
      <c r="AA269" s="2869"/>
      <c r="AB269" s="2869"/>
      <c r="AC269" s="2869"/>
      <c r="AD269" s="2869"/>
      <c r="AE269" s="2869"/>
      <c r="AF269" s="2869"/>
      <c r="AG269" s="2859"/>
      <c r="AH269" s="2859"/>
      <c r="AI269" s="2859"/>
      <c r="AJ269" s="2859"/>
      <c r="AK269" s="2859"/>
      <c r="AL269" s="2859"/>
      <c r="AR269" s="2680"/>
    </row>
    <row r="270" spans="1:44" s="2406" customFormat="1" ht="15.75">
      <c r="A270" s="2406" t="s">
        <v>1627</v>
      </c>
      <c r="B270" s="2469"/>
      <c r="C270" s="2242">
        <f>_xlfn.XLOOKUP($D270, Tabla3[No.], Tabla3[FECHA DE INICIO (PRIMERA CLASE CALENDARIO)]," ")</f>
        <v>44582</v>
      </c>
      <c r="D270" s="2244">
        <v>322</v>
      </c>
      <c r="E270" s="2241" t="str">
        <f>_xlfn.XLOOKUP($D270,  Tabla3[No.],  Tabla3[CURP], " ")</f>
        <v>CUGR820227MCCRNS07</v>
      </c>
      <c r="F270" s="2243" t="str">
        <f>_xlfn.XLOOKUP($D270,  Tabla3[No.],  Tabla3[Matrícula Of. SEQ], " ")</f>
        <v>64MDP01-01</v>
      </c>
      <c r="G270" s="2241" t="str">
        <f>IFERROR(VLOOKUP(D270,Tabla3[],5,FALSE),"")</f>
        <v>DE LA CRUZ GONZALEZ ROSENDA MARIA</v>
      </c>
      <c r="H270" s="1608" t="str">
        <f t="shared" ref="H270:H277" si="46">MID($E270,11,1)</f>
        <v>M</v>
      </c>
      <c r="I270" s="1608" t="str">
        <f t="shared" ref="I270:I277" si="47">MID($E270,5,2)</f>
        <v>82</v>
      </c>
      <c r="J270" s="1608" t="str">
        <f t="shared" ref="J270:J277" si="48">MID($E270,7,2)</f>
        <v>02</v>
      </c>
      <c r="K270" s="1608" t="str">
        <f t="shared" ref="K270:K277" si="49">MID($E270,9,2)</f>
        <v>27</v>
      </c>
      <c r="L270" s="3818" t="str">
        <f>_xlfn.XLOOKUP($D270,  Tabla3[No.],  Tabla3[ESTATUS ACADÉMICO], " ")</f>
        <v>EGRESADO</v>
      </c>
      <c r="M270" s="2887" t="str">
        <f>_xlfn.XLOOKUP($D270,  Tabla3[No.],  Tabla3[Grupo de clase], " ")</f>
        <v>MDP01</v>
      </c>
      <c r="N270" s="2886" t="s">
        <v>135</v>
      </c>
      <c r="O270" s="2871" t="s">
        <v>135</v>
      </c>
      <c r="P270" s="2615">
        <v>10</v>
      </c>
      <c r="Q270" s="2615">
        <v>10</v>
      </c>
      <c r="R270" s="2872">
        <v>10</v>
      </c>
      <c r="S270" s="2275">
        <v>9</v>
      </c>
      <c r="T270" s="2727"/>
      <c r="U270" s="2681"/>
      <c r="V270" s="2681"/>
      <c r="W270" s="2681"/>
      <c r="X270" s="2681"/>
      <c r="Y270" s="2681"/>
      <c r="Z270" s="2681"/>
      <c r="AA270" s="2681"/>
      <c r="AB270" s="2681"/>
      <c r="AC270" s="2681"/>
      <c r="AD270" s="2681"/>
      <c r="AE270" s="2681"/>
      <c r="AF270" s="2681"/>
      <c r="AG270" s="2859"/>
      <c r="AH270" s="2859"/>
      <c r="AI270" s="2859"/>
      <c r="AJ270" s="2859"/>
      <c r="AK270" s="2859"/>
      <c r="AL270" s="2859"/>
      <c r="AR270" s="206"/>
    </row>
    <row r="271" spans="1:44" s="2406" customFormat="1" ht="15.75">
      <c r="A271" s="2406" t="s">
        <v>1627</v>
      </c>
      <c r="B271" s="2469"/>
      <c r="C271" s="2242">
        <f>_xlfn.XLOOKUP($D271, Tabla3[No.], Tabla3[FECHA DE INICIO (PRIMERA CLASE CALENDARIO)]," ")</f>
        <v>44562</v>
      </c>
      <c r="D271" s="2244">
        <v>313</v>
      </c>
      <c r="E271" s="2241" t="str">
        <f>_xlfn.XLOOKUP($D271,  Tabla3[No.],  Tabla3[CURP], " ")</f>
        <v>GUCG651128HDFZRR06</v>
      </c>
      <c r="F271" s="2243" t="str">
        <f>_xlfn.XLOOKUP($D271,  Tabla3[No.],  Tabla3[Matrícula Of. SEQ], " ")</f>
        <v>64MDP01-03</v>
      </c>
      <c r="G271" s="2241" t="str">
        <f>IFERROR(VLOOKUP(D271,Tabla3[],5,FALSE),"")</f>
        <v>GUZMAN CERVANTES GERARDO</v>
      </c>
      <c r="H271" s="1608" t="str">
        <f t="shared" si="46"/>
        <v>H</v>
      </c>
      <c r="I271" s="1608" t="str">
        <f t="shared" si="47"/>
        <v>65</v>
      </c>
      <c r="J271" s="1608" t="str">
        <f t="shared" si="48"/>
        <v>11</v>
      </c>
      <c r="K271" s="1608" t="str">
        <f t="shared" si="49"/>
        <v>28</v>
      </c>
      <c r="L271" s="3818" t="str">
        <f>_xlfn.XLOOKUP($D271,  Tabla3[No.],  Tabla3[ESTATUS ACADÉMICO], " ")</f>
        <v>BAJA TEMPORAL</v>
      </c>
      <c r="M271" s="2887" t="str">
        <f>_xlfn.XLOOKUP($D271,  Tabla3[No.],  Tabla3[Grupo de clase], " ")</f>
        <v>MDP01</v>
      </c>
      <c r="N271" s="2886" t="s">
        <v>135</v>
      </c>
      <c r="O271" s="2871" t="s">
        <v>135</v>
      </c>
      <c r="P271" s="2615">
        <v>10</v>
      </c>
      <c r="Q271" s="2615">
        <v>8.6</v>
      </c>
      <c r="R271" s="2872">
        <v>8.6</v>
      </c>
      <c r="S271" s="2775">
        <v>0</v>
      </c>
      <c r="T271" s="2727"/>
      <c r="U271" s="2681"/>
      <c r="V271" s="2681"/>
      <c r="W271" s="2681"/>
      <c r="X271" s="2681"/>
      <c r="Y271" s="2681"/>
      <c r="Z271" s="2681"/>
      <c r="AA271" s="2681"/>
      <c r="AB271" s="2681"/>
      <c r="AC271" s="2681"/>
      <c r="AD271" s="2681"/>
      <c r="AE271" s="2681"/>
      <c r="AF271" s="2681"/>
      <c r="AG271" s="2859"/>
      <c r="AH271" s="2859"/>
      <c r="AI271" s="2859"/>
      <c r="AJ271" s="2859"/>
      <c r="AK271" s="2859"/>
      <c r="AL271" s="2859"/>
      <c r="AR271" s="206"/>
    </row>
    <row r="272" spans="1:44" s="2406" customFormat="1" ht="15.75">
      <c r="A272" s="2406" t="s">
        <v>1627</v>
      </c>
      <c r="B272" s="2469"/>
      <c r="C272" s="2242">
        <f>_xlfn.XLOOKUP($D272, Tabla3[No.], Tabla3[FECHA DE INICIO (PRIMERA CLASE CALENDARIO)]," ")</f>
        <v>44562</v>
      </c>
      <c r="D272" s="2244">
        <v>314</v>
      </c>
      <c r="E272" s="2241" t="str">
        <f>_xlfn.XLOOKUP($D272,  Tabla3[No.],  Tabla3[CURP], " ")</f>
        <v>QUBJ891204MTSXRN06</v>
      </c>
      <c r="F272" s="2243" t="str">
        <f>_xlfn.XLOOKUP($D272,  Tabla3[No.],  Tabla3[Matrícula Of. SEQ], " ")</f>
        <v>64MDP01-04</v>
      </c>
      <c r="G272" s="2241" t="str">
        <f>IFERROR(VLOOKUP(D272,Tabla3[],5,FALSE),"")</f>
        <v>QUIÑONES BARRON JANNIA ANABAENA</v>
      </c>
      <c r="H272" s="1608" t="str">
        <f t="shared" si="46"/>
        <v>M</v>
      </c>
      <c r="I272" s="1608" t="str">
        <f t="shared" si="47"/>
        <v>89</v>
      </c>
      <c r="J272" s="1608" t="str">
        <f t="shared" si="48"/>
        <v>12</v>
      </c>
      <c r="K272" s="1608" t="str">
        <f t="shared" si="49"/>
        <v>04</v>
      </c>
      <c r="L272" s="3818" t="str">
        <f>_xlfn.XLOOKUP($D272,  Tabla3[No.],  Tabla3[ESTATUS ACADÉMICO], " ")</f>
        <v>BAJA TEMPORAL</v>
      </c>
      <c r="M272" s="2887" t="str">
        <f>_xlfn.XLOOKUP($D272,  Tabla3[No.],  Tabla3[Grupo de clase], " ")</f>
        <v>MDP01</v>
      </c>
      <c r="N272" s="2886" t="s">
        <v>135</v>
      </c>
      <c r="O272" s="2871" t="s">
        <v>135</v>
      </c>
      <c r="P272" s="2874">
        <v>0</v>
      </c>
      <c r="Q272" s="2615">
        <v>10</v>
      </c>
      <c r="R272" s="2872">
        <v>10</v>
      </c>
      <c r="S272" s="2871" t="s">
        <v>135</v>
      </c>
      <c r="T272" s="2727"/>
      <c r="U272" s="2681"/>
      <c r="V272" s="2681"/>
      <c r="W272" s="2681"/>
      <c r="X272" s="2681"/>
      <c r="Y272" s="2681"/>
      <c r="Z272" s="2681"/>
      <c r="AA272" s="2681"/>
      <c r="AB272" s="2681"/>
      <c r="AC272" s="2681"/>
      <c r="AD272" s="2681"/>
      <c r="AE272" s="2681"/>
      <c r="AF272" s="2681"/>
      <c r="AG272" s="2859"/>
      <c r="AH272" s="2859"/>
      <c r="AI272" s="2859"/>
      <c r="AJ272" s="2859"/>
      <c r="AK272" s="2859"/>
      <c r="AL272" s="2859"/>
      <c r="AR272" s="206"/>
    </row>
    <row r="273" spans="1:44" s="2406" customFormat="1" ht="15.75">
      <c r="A273" s="2406" t="s">
        <v>1627</v>
      </c>
      <c r="B273" s="2469"/>
      <c r="C273" s="2242">
        <f>_xlfn.XLOOKUP($D273, Tabla3[No.], Tabla3[FECHA DE INICIO (PRIMERA CLASE CALENDARIO)]," ")</f>
        <v>44562</v>
      </c>
      <c r="D273" s="2244">
        <v>315</v>
      </c>
      <c r="E273" s="2241" t="str">
        <f>_xlfn.XLOOKUP($D273,  Tabla3[No.],  Tabla3[CURP], " ")</f>
        <v>ROAL560923HDFDYS03</v>
      </c>
      <c r="F273" s="2243" t="str">
        <f>_xlfn.XLOOKUP($D273,  Tabla3[No.],  Tabla3[Matrícula Of. SEQ], " ")</f>
        <v>64MDP01-05</v>
      </c>
      <c r="G273" s="2241" t="str">
        <f>IFERROR(VLOOKUP(D273,Tabla3[],5,FALSE),"")</f>
        <v>RODRIGUEZ AYALA JOSE LUIS</v>
      </c>
      <c r="H273" s="1608" t="str">
        <f t="shared" si="46"/>
        <v>H</v>
      </c>
      <c r="I273" s="1608" t="str">
        <f t="shared" si="47"/>
        <v>56</v>
      </c>
      <c r="J273" s="1608" t="str">
        <f t="shared" si="48"/>
        <v>09</v>
      </c>
      <c r="K273" s="1608" t="str">
        <f t="shared" si="49"/>
        <v>23</v>
      </c>
      <c r="L273" s="3818" t="str">
        <f>_xlfn.XLOOKUP($D273,  Tabla3[No.],  Tabla3[ESTATUS ACADÉMICO], " ")</f>
        <v>BAJA TEMPORAL</v>
      </c>
      <c r="M273" s="2887" t="str">
        <f>_xlfn.XLOOKUP($D273,  Tabla3[No.],  Tabla3[Grupo de clase], " ")</f>
        <v>MDP01</v>
      </c>
      <c r="N273" s="2886" t="s">
        <v>135</v>
      </c>
      <c r="O273" s="2775">
        <v>10</v>
      </c>
      <c r="P273" s="2615">
        <v>10</v>
      </c>
      <c r="Q273" s="2615">
        <v>10</v>
      </c>
      <c r="R273" s="2872">
        <v>10</v>
      </c>
      <c r="S273" s="2275">
        <v>7.1</v>
      </c>
      <c r="T273" s="2727"/>
      <c r="U273" s="2681"/>
      <c r="V273" s="2681"/>
      <c r="W273" s="2681"/>
      <c r="X273" s="2681"/>
      <c r="Y273" s="2681"/>
      <c r="Z273" s="2681"/>
      <c r="AA273" s="2681"/>
      <c r="AB273" s="2681"/>
      <c r="AC273" s="2681"/>
      <c r="AD273" s="2681"/>
      <c r="AE273" s="2681"/>
      <c r="AF273" s="2681"/>
      <c r="AG273" s="2859"/>
      <c r="AH273" s="2859"/>
      <c r="AI273" s="2859"/>
      <c r="AJ273" s="2859"/>
      <c r="AK273" s="2859"/>
      <c r="AL273" s="2859"/>
      <c r="AR273" s="206"/>
    </row>
    <row r="274" spans="1:44" s="2406" customFormat="1" ht="15.75">
      <c r="A274" s="2406" t="s">
        <v>1627</v>
      </c>
      <c r="B274" s="2469"/>
      <c r="C274" s="2242">
        <f>_xlfn.XLOOKUP($D274, Tabla3[No.], Tabla3[FECHA DE INICIO (PRIMERA CLASE CALENDARIO)]," ")</f>
        <v>44638</v>
      </c>
      <c r="D274" s="2244">
        <v>362</v>
      </c>
      <c r="E274" s="2241" t="str">
        <f>_xlfn.XLOOKUP($D274,  Tabla3[No.],  Tabla3[CURP], " ")</f>
        <v>LOSH841208HOCPCC01</v>
      </c>
      <c r="F274" s="2243" t="str">
        <f>_xlfn.XLOOKUP($D274,  Tabla3[No.],  Tabla3[Matrícula Of. SEQ], " ")</f>
        <v>64MDPA-01</v>
      </c>
      <c r="G274" s="2241" t="str">
        <f>IFERROR(VLOOKUP(D274,Tabla3[],5,FALSE),"")</f>
        <v>LOPEZ SACHIÑAS HECTOR</v>
      </c>
      <c r="H274" s="1608" t="str">
        <f t="shared" si="46"/>
        <v>H</v>
      </c>
      <c r="I274" s="1608" t="str">
        <f t="shared" si="47"/>
        <v>84</v>
      </c>
      <c r="J274" s="1608" t="str">
        <f t="shared" si="48"/>
        <v>12</v>
      </c>
      <c r="K274" s="1608" t="str">
        <f t="shared" si="49"/>
        <v>08</v>
      </c>
      <c r="L274" s="3818" t="str">
        <f>_xlfn.XLOOKUP($D274,  Tabla3[No.],  Tabla3[ESTATUS ACADÉMICO], " ")</f>
        <v>EGRESADO</v>
      </c>
      <c r="M274" s="2887" t="str">
        <f>_xlfn.XLOOKUP($D274,  Tabla3[No.],  Tabla3[Grupo de clase], " ")</f>
        <v>MDP01</v>
      </c>
      <c r="N274" s="2886" t="s">
        <v>135</v>
      </c>
      <c r="O274" s="2871" t="s">
        <v>135</v>
      </c>
      <c r="P274" s="2615">
        <v>10</v>
      </c>
      <c r="Q274" s="2615">
        <v>10</v>
      </c>
      <c r="R274" s="2872">
        <v>10</v>
      </c>
      <c r="S274" s="2275">
        <v>8.4</v>
      </c>
      <c r="T274" s="2727"/>
      <c r="U274" s="2681"/>
      <c r="V274" s="2681"/>
      <c r="W274" s="2681"/>
      <c r="X274" s="2681"/>
      <c r="Y274" s="2681"/>
      <c r="Z274" s="2681"/>
      <c r="AA274" s="2681"/>
      <c r="AB274" s="2681"/>
      <c r="AC274" s="2681"/>
      <c r="AD274" s="2681"/>
      <c r="AE274" s="2681"/>
      <c r="AF274" s="2681"/>
      <c r="AG274" s="2859"/>
      <c r="AH274" s="2859"/>
      <c r="AI274" s="2859"/>
      <c r="AJ274" s="2859"/>
      <c r="AK274" s="2859"/>
      <c r="AL274" s="2859"/>
      <c r="AR274" s="206"/>
    </row>
    <row r="275" spans="1:44" s="2406" customFormat="1" ht="15.75">
      <c r="A275" s="2406" t="s">
        <v>1627</v>
      </c>
      <c r="B275" s="2469"/>
      <c r="C275" s="2242">
        <f>_xlfn.XLOOKUP($D275, Tabla3[No.], Tabla3[FECHA DE INICIO (PRIMERA CLASE CALENDARIO)]," ")</f>
        <v>45073</v>
      </c>
      <c r="D275" s="2244">
        <v>560</v>
      </c>
      <c r="E275" s="2241" t="str">
        <f>_xlfn.XLOOKUP($D275,  Tabla3[No.],  Tabla3[CURP], " ")</f>
        <v>VEGJ530126HVZLMR08</v>
      </c>
      <c r="F275" s="2243" t="str">
        <f>_xlfn.XLOOKUP($D275,  Tabla3[No.],  Tabla3[Matrícula Of. SEQ], " ")</f>
        <v>64DD06B2-15</v>
      </c>
      <c r="G275" s="2241" t="str">
        <f>IFERROR(VLOOKUP(D275,Tabla3[],5,FALSE),"")</f>
        <v>VELARDE GOMEZ JORGE</v>
      </c>
      <c r="H275" s="1608" t="str">
        <f t="shared" si="46"/>
        <v>H</v>
      </c>
      <c r="I275" s="1608" t="str">
        <f t="shared" si="47"/>
        <v>53</v>
      </c>
      <c r="J275" s="1608" t="str">
        <f t="shared" si="48"/>
        <v>01</v>
      </c>
      <c r="K275" s="1608" t="str">
        <f t="shared" si="49"/>
        <v>26</v>
      </c>
      <c r="L275" s="3818" t="str">
        <f>_xlfn.XLOOKUP($D275,  Tabla3[No.],  Tabla3[ESTATUS ACADÉMICO], " ")</f>
        <v>EGRESADO</v>
      </c>
      <c r="M275" s="2887" t="str">
        <f>_xlfn.XLOOKUP($D275,  Tabla3[No.],  Tabla3[Grupo de clase], " ")</f>
        <v>DD06A</v>
      </c>
      <c r="N275" s="2873">
        <v>9.5</v>
      </c>
      <c r="O275" s="2775">
        <v>10</v>
      </c>
      <c r="P275" s="2615">
        <v>10</v>
      </c>
      <c r="Q275" s="2244">
        <v>10</v>
      </c>
      <c r="R275" s="2872">
        <v>10</v>
      </c>
      <c r="S275" s="2275">
        <v>8.6999999999999993</v>
      </c>
      <c r="T275" s="2727"/>
      <c r="U275" s="2681"/>
      <c r="V275" s="2681"/>
      <c r="W275" s="2681"/>
      <c r="X275" s="2681"/>
      <c r="Y275" s="2681"/>
      <c r="Z275" s="2681"/>
      <c r="AA275" s="2681"/>
      <c r="AB275" s="2681"/>
      <c r="AC275" s="2681"/>
      <c r="AD275" s="2681"/>
      <c r="AE275" s="2681"/>
      <c r="AF275" s="2681"/>
      <c r="AG275" s="2859"/>
      <c r="AH275" s="2859"/>
      <c r="AI275" s="2859"/>
      <c r="AJ275" s="2859"/>
      <c r="AK275" s="2859"/>
      <c r="AL275" s="2859"/>
      <c r="AR275" s="206"/>
    </row>
    <row r="276" spans="1:44" s="2406" customFormat="1" ht="15.75">
      <c r="A276" s="2406" t="s">
        <v>1627</v>
      </c>
      <c r="B276" s="2469"/>
      <c r="C276" s="2242">
        <f>_xlfn.XLOOKUP($D276, Tabla3[No.], Tabla3[FECHA DE INICIO (PRIMERA CLASE CALENDARIO)]," ")</f>
        <v>45157</v>
      </c>
      <c r="D276" s="2244">
        <v>577</v>
      </c>
      <c r="E276" s="2241" t="str">
        <f>_xlfn.XLOOKUP($D276,  Tabla3[No.],  Tabla3[CURP], " ")</f>
        <v>RETL840311HDFYRS06</v>
      </c>
      <c r="F276" s="2243" t="str">
        <f>_xlfn.XLOOKUP($D276,  Tabla3[No.],  Tabla3[Matrícula Of. SEQ], " ")</f>
        <v>64DD06C-06</v>
      </c>
      <c r="G276" s="2241" t="str">
        <f>IFERROR(VLOOKUP(D276,Tabla3[],5,FALSE),"")</f>
        <v>REYES TREJO LUIS ALONSO</v>
      </c>
      <c r="H276" s="1608" t="str">
        <f t="shared" si="46"/>
        <v>H</v>
      </c>
      <c r="I276" s="1608" t="str">
        <f t="shared" si="47"/>
        <v>84</v>
      </c>
      <c r="J276" s="1608" t="str">
        <f t="shared" si="48"/>
        <v>03</v>
      </c>
      <c r="K276" s="1608" t="str">
        <f t="shared" si="49"/>
        <v>11</v>
      </c>
      <c r="L276" s="3818" t="str">
        <f>_xlfn.XLOOKUP($D276,  Tabla3[No.],  Tabla3[ESTATUS ACADÉMICO], " ")</f>
        <v>EN TITULACION</v>
      </c>
      <c r="M276" s="2887" t="str">
        <f>_xlfn.XLOOKUP($D276,  Tabla3[No.],  Tabla3[Grupo de clase], " ")</f>
        <v>DD06A</v>
      </c>
      <c r="N276" s="2886" t="s">
        <v>135</v>
      </c>
      <c r="O276" s="2875" t="s">
        <v>135</v>
      </c>
      <c r="P276" s="2871" t="s">
        <v>135</v>
      </c>
      <c r="Q276" s="2875" t="s">
        <v>135</v>
      </c>
      <c r="R276" s="2876">
        <v>10</v>
      </c>
      <c r="S276" s="2275">
        <v>9.6999999999999993</v>
      </c>
      <c r="T276" s="2877"/>
      <c r="U276" s="2725"/>
      <c r="V276" s="2725"/>
      <c r="W276" s="2725"/>
      <c r="X276" s="2725"/>
      <c r="Y276" s="2725"/>
      <c r="Z276" s="2725"/>
      <c r="AA276" s="2725"/>
      <c r="AB276" s="2725"/>
      <c r="AC276" s="2725"/>
      <c r="AD276" s="2725"/>
      <c r="AE276" s="2725"/>
      <c r="AF276" s="2725"/>
      <c r="AG276" s="2859"/>
      <c r="AH276" s="2859"/>
      <c r="AI276" s="2859"/>
      <c r="AJ276" s="2859"/>
      <c r="AK276" s="2859"/>
      <c r="AL276" s="2859"/>
      <c r="AR276" s="206"/>
    </row>
    <row r="277" spans="1:44" s="2406" customFormat="1" ht="15.75">
      <c r="A277" s="2406" t="s">
        <v>1627</v>
      </c>
      <c r="B277" s="2244"/>
      <c r="C277" s="2242">
        <f>_xlfn.XLOOKUP($D277, Tabla3[No.], Tabla3[FECHA DE INICIO (PRIMERA CLASE CALENDARIO)]," ")</f>
        <v>45224</v>
      </c>
      <c r="D277" s="2244">
        <v>632</v>
      </c>
      <c r="E277" s="2241" t="str">
        <f>_xlfn.XLOOKUP($D277,  Tabla3[No.],  Tabla3[CURP], " ")</f>
        <v>VITA851202MQRLNR05</v>
      </c>
      <c r="F277" s="2243" t="str">
        <f>_xlfn.XLOOKUP($D277,  Tabla3[No.],  Tabla3[Matrícula Of. SEQ], " ")</f>
        <v>Presencial CUN</v>
      </c>
      <c r="G277" s="2241" t="str">
        <f>IFERROR(VLOOKUP(D277,Tabla3[],5,FALSE),"")</f>
        <v>VILLANUEVA TUN ARACELI GUADALUPE</v>
      </c>
      <c r="H277" s="1608" t="str">
        <f t="shared" si="46"/>
        <v>M</v>
      </c>
      <c r="I277" s="1608" t="str">
        <f t="shared" si="47"/>
        <v>85</v>
      </c>
      <c r="J277" s="1608" t="str">
        <f t="shared" si="48"/>
        <v>12</v>
      </c>
      <c r="K277" s="1608" t="str">
        <f t="shared" si="49"/>
        <v>02</v>
      </c>
      <c r="L277" s="3818" t="str">
        <f>_xlfn.XLOOKUP($D277,  Tabla3[No.],  Tabla3[ESTATUS ACADÉMICO], " ")</f>
        <v>EGRESADO</v>
      </c>
      <c r="M277" s="2887" t="str">
        <f>_xlfn.XLOOKUP($D277,  Tabla3[No.],  Tabla3[Grupo de clase], " ")</f>
        <v>CUN</v>
      </c>
      <c r="N277" s="2886" t="s">
        <v>135</v>
      </c>
      <c r="O277" s="2875" t="s">
        <v>135</v>
      </c>
      <c r="P277" s="2871" t="s">
        <v>135</v>
      </c>
      <c r="Q277" s="2871" t="s">
        <v>135</v>
      </c>
      <c r="R277" s="2878">
        <v>9</v>
      </c>
      <c r="S277" s="2275">
        <v>8</v>
      </c>
      <c r="T277" s="2873"/>
      <c r="U277" s="2775"/>
      <c r="V277" s="2775"/>
      <c r="W277" s="2775"/>
      <c r="X277" s="2775"/>
      <c r="Y277" s="2775"/>
      <c r="Z277" s="2775"/>
      <c r="AA277" s="2775"/>
      <c r="AB277" s="2775"/>
      <c r="AC277" s="2775"/>
      <c r="AD277" s="2775"/>
      <c r="AE277" s="2775"/>
      <c r="AF277" s="2775"/>
      <c r="AR277" s="206"/>
    </row>
    <row r="278" spans="1:44" s="2406" customFormat="1" ht="15.75">
      <c r="B278" s="2298"/>
      <c r="C278" s="2879"/>
      <c r="D278" s="2879"/>
      <c r="E278" s="2869"/>
      <c r="F278" s="2298"/>
      <c r="G278" s="2880"/>
      <c r="H278" s="2250"/>
      <c r="I278" s="2250"/>
      <c r="J278" s="2881"/>
      <c r="K278" s="2250"/>
      <c r="L278" s="1265"/>
      <c r="M278" s="2882"/>
      <c r="N278" s="2883"/>
      <c r="O278" s="2884"/>
      <c r="P278" s="2883"/>
      <c r="Q278" s="2883"/>
      <c r="R278" s="2869"/>
      <c r="S278" s="2885"/>
      <c r="T278" s="2869"/>
      <c r="U278" s="2869"/>
      <c r="V278" s="2869"/>
      <c r="W278" s="2869"/>
      <c r="X278" s="2869"/>
      <c r="Y278" s="2869"/>
      <c r="Z278" s="2869"/>
      <c r="AA278" s="2869"/>
      <c r="AB278" s="2869"/>
      <c r="AC278" s="2869"/>
      <c r="AD278" s="2869"/>
      <c r="AE278" s="2869"/>
      <c r="AF278" s="2869"/>
      <c r="AR278" s="206"/>
    </row>
    <row r="279" spans="1:44">
      <c r="F279" s="700"/>
      <c r="G279" s="886"/>
      <c r="H279" s="700"/>
      <c r="I279" s="700"/>
      <c r="J279" s="700"/>
      <c r="K279" s="700"/>
      <c r="L279" s="1266"/>
      <c r="M279" s="911"/>
      <c r="N279" s="887"/>
      <c r="O279" s="887"/>
      <c r="P279" s="887"/>
      <c r="Q279" s="887"/>
      <c r="R279" s="887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R279" s="2"/>
    </row>
    <row r="280" spans="1:44" ht="15.75" customHeight="1"/>
    <row r="281" spans="1:44" ht="15.75" customHeight="1"/>
    <row r="283" spans="1:44" ht="15.75" customHeight="1" thickBot="1"/>
    <row r="284" spans="1:44" s="2309" customFormat="1" ht="15.75" customHeight="1">
      <c r="A284" s="2308"/>
      <c r="B284" s="4237" t="s">
        <v>4869</v>
      </c>
      <c r="C284" s="4237"/>
      <c r="D284" s="4237"/>
      <c r="E284" s="4237"/>
      <c r="F284" s="4237"/>
      <c r="L284" s="3973"/>
    </row>
    <row r="285" spans="1:44" s="2311" customFormat="1" ht="15.75" customHeight="1" thickBot="1">
      <c r="A285" s="2310"/>
      <c r="B285" s="4238"/>
      <c r="C285" s="4238"/>
      <c r="D285" s="4238"/>
      <c r="E285" s="4238"/>
      <c r="F285" s="4238"/>
      <c r="L285" s="3974"/>
    </row>
    <row r="286" spans="1:44" ht="7.5" customHeight="1"/>
    <row r="287" spans="1:44" s="2406" customFormat="1" ht="16.5" thickBot="1">
      <c r="L287" s="299"/>
      <c r="N287" s="2406" t="s">
        <v>557</v>
      </c>
      <c r="O287" s="2406" t="s">
        <v>643</v>
      </c>
      <c r="P287" s="2406" t="s">
        <v>1216</v>
      </c>
      <c r="Q287" s="2406" t="s">
        <v>1217</v>
      </c>
      <c r="R287" s="2406" t="s">
        <v>159</v>
      </c>
      <c r="S287" s="2406" t="s">
        <v>1237</v>
      </c>
      <c r="T287" s="2406" t="s">
        <v>4259</v>
      </c>
      <c r="U287" s="2406" t="s">
        <v>4260</v>
      </c>
      <c r="Y287" s="2565">
        <v>45292</v>
      </c>
      <c r="Z287" s="2565">
        <v>45323</v>
      </c>
      <c r="AA287" s="2565">
        <v>45352</v>
      </c>
      <c r="AB287" s="2565">
        <v>45383</v>
      </c>
      <c r="AC287" s="2565">
        <v>45778</v>
      </c>
      <c r="AD287" s="2565" t="s">
        <v>4365</v>
      </c>
      <c r="AE287" s="2406" t="s">
        <v>4364</v>
      </c>
      <c r="AF287" s="2565">
        <v>45505</v>
      </c>
      <c r="AG287" s="2565" t="s">
        <v>4439</v>
      </c>
      <c r="AH287" s="2565" t="s">
        <v>4440</v>
      </c>
      <c r="AI287" s="2565" t="s">
        <v>4258</v>
      </c>
      <c r="AJ287" s="2565">
        <v>45597</v>
      </c>
      <c r="AK287" s="2565">
        <v>45627</v>
      </c>
      <c r="AL287" s="2888" t="s">
        <v>4441</v>
      </c>
    </row>
    <row r="288" spans="1:44" s="2406" customFormat="1" ht="15.75" customHeight="1" thickBot="1">
      <c r="B288" s="2408"/>
      <c r="C288" s="2409"/>
      <c r="D288" s="2410"/>
      <c r="E288" s="4173" t="s">
        <v>6</v>
      </c>
      <c r="F288" s="4172" t="s">
        <v>7</v>
      </c>
      <c r="G288" s="4176" t="s">
        <v>8</v>
      </c>
      <c r="H288" s="4170" t="s">
        <v>9</v>
      </c>
      <c r="I288" s="4193" t="s">
        <v>10</v>
      </c>
      <c r="J288" s="4194"/>
      <c r="K288" s="4195"/>
      <c r="L288" s="3975"/>
      <c r="M288" s="4214" t="s">
        <v>3631</v>
      </c>
      <c r="N288" s="2808" t="s">
        <v>3545</v>
      </c>
      <c r="O288" s="2808" t="s">
        <v>3545</v>
      </c>
      <c r="P288" s="2808" t="s">
        <v>3545</v>
      </c>
      <c r="Q288" s="2808" t="s">
        <v>3545</v>
      </c>
      <c r="R288" s="2808" t="s">
        <v>3545</v>
      </c>
      <c r="S288" s="2808" t="s">
        <v>3545</v>
      </c>
      <c r="T288" s="2808" t="s">
        <v>3545</v>
      </c>
      <c r="U288" s="2808" t="s">
        <v>3545</v>
      </c>
      <c r="V288" s="2808"/>
      <c r="W288" s="2808"/>
      <c r="X288" s="2808"/>
      <c r="Y288" s="2808" t="s">
        <v>3545</v>
      </c>
      <c r="Z288" s="2808" t="s">
        <v>3545</v>
      </c>
      <c r="AA288" s="2808" t="s">
        <v>3545</v>
      </c>
      <c r="AB288" s="2808" t="s">
        <v>3545</v>
      </c>
      <c r="AC288" s="2808" t="s">
        <v>3545</v>
      </c>
      <c r="AD288" s="2808" t="s">
        <v>3545</v>
      </c>
      <c r="AE288" s="2808" t="s">
        <v>3545</v>
      </c>
      <c r="AF288" s="2808" t="s">
        <v>3545</v>
      </c>
      <c r="AG288" s="2808" t="s">
        <v>3545</v>
      </c>
      <c r="AH288" s="2808" t="s">
        <v>3545</v>
      </c>
      <c r="AI288" s="2808" t="s">
        <v>3545</v>
      </c>
      <c r="AJ288" s="2808" t="s">
        <v>3545</v>
      </c>
      <c r="AK288" s="2808" t="s">
        <v>3545</v>
      </c>
      <c r="AL288" s="2808"/>
      <c r="AM288" s="2244"/>
    </row>
    <row r="289" spans="1:39" s="2406" customFormat="1" ht="15.75" customHeight="1" thickBot="1">
      <c r="B289" s="463"/>
      <c r="C289" s="2409" t="s">
        <v>1767</v>
      </c>
      <c r="D289" s="2414"/>
      <c r="E289" s="4230"/>
      <c r="F289" s="4172"/>
      <c r="G289" s="4176"/>
      <c r="H289" s="4171"/>
      <c r="I289" s="4196"/>
      <c r="J289" s="4197"/>
      <c r="K289" s="4198"/>
      <c r="L289" s="3975"/>
      <c r="M289" s="4214"/>
      <c r="N289" s="2256" t="s">
        <v>3546</v>
      </c>
      <c r="O289" s="2889" t="s">
        <v>3547</v>
      </c>
      <c r="P289" s="2889" t="s">
        <v>3548</v>
      </c>
      <c r="Q289" s="2890" t="s">
        <v>3546</v>
      </c>
      <c r="R289" s="2256" t="s">
        <v>3549</v>
      </c>
      <c r="S289" s="2256"/>
      <c r="T289" s="2256"/>
      <c r="U289" s="2256"/>
      <c r="V289" s="2256"/>
      <c r="W289" s="2256"/>
      <c r="X289" s="2256"/>
      <c r="Y289" s="2256"/>
      <c r="Z289" s="2256"/>
      <c r="AA289" s="2256"/>
      <c r="AB289" s="2256"/>
      <c r="AC289" s="2256"/>
      <c r="AD289" s="2891" t="s">
        <v>4226</v>
      </c>
      <c r="AE289" s="2256" t="s">
        <v>4227</v>
      </c>
      <c r="AF289" s="2808"/>
      <c r="AG289" s="2256"/>
      <c r="AH289" s="2256"/>
      <c r="AI289" s="2256"/>
      <c r="AJ289" s="2256"/>
      <c r="AK289" s="2256"/>
      <c r="AL289" s="2256"/>
      <c r="AM289" s="2244"/>
    </row>
    <row r="290" spans="1:39" s="2406" customFormat="1" ht="39" customHeight="1" thickBot="1">
      <c r="A290" s="2433" t="s">
        <v>27</v>
      </c>
      <c r="C290" s="2420" t="s">
        <v>3550</v>
      </c>
      <c r="D290" s="1669"/>
      <c r="E290" s="4230"/>
      <c r="F290" s="4172"/>
      <c r="G290" s="4176"/>
      <c r="H290" s="4171"/>
      <c r="I290" s="4199"/>
      <c r="J290" s="4200"/>
      <c r="K290" s="4201"/>
      <c r="L290" s="3975"/>
      <c r="M290" s="2892" t="s">
        <v>1728</v>
      </c>
      <c r="N290" s="2893" t="s">
        <v>567</v>
      </c>
      <c r="O290" s="2893" t="s">
        <v>568</v>
      </c>
      <c r="P290" s="2894" t="s">
        <v>571</v>
      </c>
      <c r="Q290" s="2894" t="s">
        <v>574</v>
      </c>
      <c r="R290" s="2895" t="s">
        <v>577</v>
      </c>
      <c r="S290" s="2895" t="s">
        <v>576</v>
      </c>
      <c r="T290" s="2896" t="s">
        <v>568</v>
      </c>
      <c r="U290" s="2896" t="s">
        <v>569</v>
      </c>
      <c r="V290" s="2896"/>
      <c r="W290" s="2896"/>
      <c r="X290" s="2896"/>
      <c r="Y290" s="2897" t="s">
        <v>571</v>
      </c>
      <c r="Z290" s="2897" t="s">
        <v>572</v>
      </c>
      <c r="AA290" s="2897" t="s">
        <v>572</v>
      </c>
      <c r="AB290" s="2898" t="s">
        <v>572</v>
      </c>
      <c r="AC290" s="2899" t="s">
        <v>575</v>
      </c>
      <c r="AD290" s="2899" t="s">
        <v>578</v>
      </c>
      <c r="AE290" s="2899" t="s">
        <v>570</v>
      </c>
      <c r="AF290" s="2899" t="s">
        <v>569</v>
      </c>
      <c r="AG290" s="2900" t="s">
        <v>575</v>
      </c>
      <c r="AH290" s="2900" t="s">
        <v>565</v>
      </c>
      <c r="AI290" s="2900" t="s">
        <v>579</v>
      </c>
      <c r="AJ290" s="2900" t="s">
        <v>579</v>
      </c>
      <c r="AK290" s="2900" t="s">
        <v>567</v>
      </c>
      <c r="AL290" s="2900"/>
      <c r="AM290" s="2244"/>
    </row>
    <row r="291" spans="1:39" s="2789" customFormat="1" ht="61.5" customHeight="1">
      <c r="A291" s="2901" t="s">
        <v>4756</v>
      </c>
      <c r="B291" s="2902" t="s">
        <v>5</v>
      </c>
      <c r="C291" s="1309" t="s">
        <v>3657</v>
      </c>
      <c r="D291" s="1669"/>
      <c r="E291" s="4230"/>
      <c r="F291" s="4173"/>
      <c r="G291" s="2435" t="s">
        <v>78</v>
      </c>
      <c r="H291" s="4171"/>
      <c r="I291" s="2903" t="s">
        <v>79</v>
      </c>
      <c r="J291" s="2903" t="s">
        <v>80</v>
      </c>
      <c r="K291" s="2903" t="s">
        <v>81</v>
      </c>
      <c r="L291" s="3976" t="s">
        <v>1759</v>
      </c>
      <c r="M291" s="2904" t="s">
        <v>409</v>
      </c>
      <c r="N291" s="2905" t="s">
        <v>3530</v>
      </c>
      <c r="O291" s="2905" t="s">
        <v>3531</v>
      </c>
      <c r="P291" s="2905" t="s">
        <v>1294</v>
      </c>
      <c r="Q291" s="2905" t="s">
        <v>1770</v>
      </c>
      <c r="R291" s="2906" t="s">
        <v>3532</v>
      </c>
      <c r="S291" s="1374" t="s">
        <v>3533</v>
      </c>
      <c r="T291" s="2907" t="s">
        <v>3534</v>
      </c>
      <c r="U291" s="1374" t="s">
        <v>3535</v>
      </c>
      <c r="V291" s="1374"/>
      <c r="W291" s="1374"/>
      <c r="X291" s="1374"/>
      <c r="Y291" s="2908" t="s">
        <v>3536</v>
      </c>
      <c r="Z291" s="2908" t="s">
        <v>3537</v>
      </c>
      <c r="AA291" s="2908" t="s">
        <v>3538</v>
      </c>
      <c r="AB291" s="2908" t="s">
        <v>3539</v>
      </c>
      <c r="AC291" s="2909" t="s">
        <v>3540</v>
      </c>
      <c r="AD291" s="2909" t="s">
        <v>102</v>
      </c>
      <c r="AE291" s="2909" t="s">
        <v>3541</v>
      </c>
      <c r="AF291" s="2909" t="s">
        <v>273</v>
      </c>
      <c r="AG291" s="2910" t="s">
        <v>606</v>
      </c>
      <c r="AH291" s="2910" t="s">
        <v>3542</v>
      </c>
      <c r="AI291" s="2910" t="s">
        <v>3543</v>
      </c>
      <c r="AJ291" s="2910" t="s">
        <v>3544</v>
      </c>
      <c r="AK291" s="2910" t="s">
        <v>4917</v>
      </c>
      <c r="AL291" s="2911" t="s">
        <v>1394</v>
      </c>
    </row>
    <row r="292" spans="1:39" s="2406" customFormat="1" ht="15.75" customHeight="1">
      <c r="A292" s="2244"/>
      <c r="B292" s="2870">
        <v>1</v>
      </c>
      <c r="C292" s="2242">
        <f>_xlfn.XLOOKUP($D292, Tabla3[No.], Tabla3[FECHA DE INICIO (PRIMERA CLASE CALENDARIO)]," ")</f>
        <v>45048</v>
      </c>
      <c r="D292" s="2244">
        <v>501</v>
      </c>
      <c r="E292" s="2241" t="str">
        <f>_xlfn.XLOOKUP($D292,  Tabla3[No.],  Tabla3[CURP], " ")</f>
        <v>AEPE891109HPP</v>
      </c>
      <c r="F292" s="2243" t="str">
        <f>_xlfn.XLOOKUP($D292,  Tabla3[No.],  Tabla3[Matrícula Of. SEQ], " ")</f>
        <v>64MD06D2-01</v>
      </c>
      <c r="G292" s="2241" t="str">
        <f>IFERROR(VLOOKUP(D292,Tabla3[],5,FALSE),"")</f>
        <v>ALMENGOR PUELLO ERIC ABEL</v>
      </c>
      <c r="H292" s="1608" t="str">
        <f>MID($E292,11,1)</f>
        <v>H</v>
      </c>
      <c r="I292" s="1608" t="str">
        <f>MID($E292,5,2)</f>
        <v>89</v>
      </c>
      <c r="J292" s="1608" t="str">
        <f>MID($E292,7,2)</f>
        <v>11</v>
      </c>
      <c r="K292" s="1608" t="str">
        <f>MID($E292,9,2)</f>
        <v>09</v>
      </c>
      <c r="L292" s="3818" t="str">
        <f>_xlfn.XLOOKUP($D292,  Tabla3[No.],  Tabla3[ESTATUS ACADÉMICO], " ")</f>
        <v>EGRESADO</v>
      </c>
      <c r="M292" s="2887" t="str">
        <f>_xlfn.XLOOKUP($D292,  Tabla3[No.],  Tabla3[Grupo de clase], " ")</f>
        <v>MD06B3</v>
      </c>
      <c r="N292" s="2809">
        <v>10</v>
      </c>
      <c r="O292" s="2247">
        <v>10</v>
      </c>
      <c r="P292" s="2469">
        <v>8.9</v>
      </c>
      <c r="Q292" s="2912">
        <v>8.9</v>
      </c>
      <c r="R292" s="2469">
        <v>9</v>
      </c>
      <c r="S292" s="2469">
        <v>10</v>
      </c>
      <c r="T292" s="2469">
        <v>10</v>
      </c>
      <c r="U292" s="2469">
        <v>10</v>
      </c>
      <c r="V292" s="2469"/>
      <c r="W292" s="2469"/>
      <c r="X292" s="2469"/>
      <c r="Y292" s="2247">
        <v>8</v>
      </c>
      <c r="Z292" s="2469">
        <v>9</v>
      </c>
      <c r="AA292" s="2469">
        <v>9.85</v>
      </c>
      <c r="AB292" s="2469">
        <v>9.85</v>
      </c>
      <c r="AC292" s="2469">
        <v>9.6</v>
      </c>
      <c r="AD292" s="2469">
        <v>10</v>
      </c>
      <c r="AE292" s="2913" t="s">
        <v>1679</v>
      </c>
      <c r="AF292" s="2469">
        <v>10</v>
      </c>
      <c r="AG292" s="2469">
        <v>10</v>
      </c>
      <c r="AH292" s="2244">
        <v>9</v>
      </c>
      <c r="AI292" s="2244">
        <v>10</v>
      </c>
      <c r="AJ292" s="1772">
        <v>10</v>
      </c>
      <c r="AK292" s="1772">
        <v>9</v>
      </c>
      <c r="AL292" s="2245">
        <f t="shared" ref="AL292:AL315" si="50">AVERAGE(N292:AK292)</f>
        <v>9.5549999999999979</v>
      </c>
    </row>
    <row r="293" spans="1:39" s="2406" customFormat="1" ht="15.75" customHeight="1">
      <c r="A293" s="2244"/>
      <c r="B293" s="1772">
        <v>2</v>
      </c>
      <c r="C293" s="2242">
        <f>_xlfn.XLOOKUP($D293, Tabla3[No.], Tabla3[FECHA DE INICIO (PRIMERA CLASE CALENDARIO)]," ")</f>
        <v>45048</v>
      </c>
      <c r="D293" s="2244">
        <v>502</v>
      </c>
      <c r="E293" s="2241" t="str">
        <f>_xlfn.XLOOKUP($D293,  Tabla3[No.],  Tabla3[CURP], " ")</f>
        <v>ASCR921219MPP</v>
      </c>
      <c r="F293" s="2243" t="str">
        <f>_xlfn.XLOOKUP($D293,  Tabla3[No.],  Tabla3[Matrícula Of. SEQ], " ")</f>
        <v>64MD06D3-01</v>
      </c>
      <c r="G293" s="2241" t="str">
        <f>IFERROR(VLOOKUP(D293,Tabla3[],5,FALSE),"")</f>
        <v>ASPRILLA CORDOBA ROSMIRA FELICIDAD</v>
      </c>
      <c r="H293" s="1608" t="str">
        <f t="shared" ref="H293:H315" si="51">MID($E293,11,1)</f>
        <v>M</v>
      </c>
      <c r="I293" s="1608" t="str">
        <f t="shared" ref="I293:I315" si="52">MID($E293,5,2)</f>
        <v>92</v>
      </c>
      <c r="J293" s="1608" t="str">
        <f t="shared" ref="J293:J315" si="53">MID($E293,7,2)</f>
        <v>12</v>
      </c>
      <c r="K293" s="1608" t="str">
        <f t="shared" ref="K293:K315" si="54">MID($E293,9,2)</f>
        <v>19</v>
      </c>
      <c r="L293" s="3818" t="str">
        <f>_xlfn.XLOOKUP($D293,  Tabla3[No.],  Tabla3[ESTATUS ACADÉMICO], " ")</f>
        <v>EGRESADO</v>
      </c>
      <c r="M293" s="2887" t="str">
        <f>_xlfn.XLOOKUP($D293,  Tabla3[No.],  Tabla3[Grupo de clase], " ")</f>
        <v>MD06B3</v>
      </c>
      <c r="N293" s="2809">
        <v>10</v>
      </c>
      <c r="O293" s="2247">
        <v>10</v>
      </c>
      <c r="P293" s="2469">
        <v>9.3000000000000007</v>
      </c>
      <c r="Q293" s="2912">
        <v>9.3000000000000007</v>
      </c>
      <c r="R293" s="2469">
        <v>10</v>
      </c>
      <c r="S293" s="2469">
        <v>10</v>
      </c>
      <c r="T293" s="2469">
        <v>10</v>
      </c>
      <c r="U293" s="2469">
        <v>10</v>
      </c>
      <c r="V293" s="2469"/>
      <c r="W293" s="2469"/>
      <c r="X293" s="2469"/>
      <c r="Y293" s="2247">
        <v>8</v>
      </c>
      <c r="Z293" s="2469">
        <v>9</v>
      </c>
      <c r="AA293" s="2469">
        <v>9.85</v>
      </c>
      <c r="AB293" s="2469">
        <v>9.85</v>
      </c>
      <c r="AC293" s="2469">
        <v>10</v>
      </c>
      <c r="AD293" s="2469">
        <v>10</v>
      </c>
      <c r="AE293" s="2913" t="s">
        <v>1679</v>
      </c>
      <c r="AF293" s="2469">
        <v>10</v>
      </c>
      <c r="AG293" s="2469">
        <v>10</v>
      </c>
      <c r="AH293" s="2244">
        <v>9</v>
      </c>
      <c r="AI293" s="2244">
        <v>10</v>
      </c>
      <c r="AJ293" s="1772">
        <v>10</v>
      </c>
      <c r="AK293" s="1772">
        <v>10</v>
      </c>
      <c r="AL293" s="2245">
        <f t="shared" si="50"/>
        <v>9.7149999999999999</v>
      </c>
    </row>
    <row r="294" spans="1:39" s="2406" customFormat="1" ht="15.75" customHeight="1">
      <c r="A294" s="2244"/>
      <c r="B294" s="2870">
        <v>3</v>
      </c>
      <c r="C294" s="2242">
        <f>_xlfn.XLOOKUP($D294, Tabla3[No.], Tabla3[FECHA DE INICIO (PRIMERA CLASE CALENDARIO)]," ")</f>
        <v>45048</v>
      </c>
      <c r="D294" s="2244">
        <v>504</v>
      </c>
      <c r="E294" s="2241" t="str">
        <f>_xlfn.XLOOKUP($D294,  Tabla3[No.],  Tabla3[CURP], " ")</f>
        <v>CACH560717HCV</v>
      </c>
      <c r="F294" s="2243" t="str">
        <f>_xlfn.XLOOKUP($D294,  Tabla3[No.],  Tabla3[Matrícula Of. SEQ], " ")</f>
        <v>64MD06D2-03</v>
      </c>
      <c r="G294" s="2241" t="str">
        <f>IFERROR(VLOOKUP(D294,Tabla3[],5,FALSE),"")</f>
        <v>CASTILLO CANTO HERNAN RAMIRO</v>
      </c>
      <c r="H294" s="1608" t="str">
        <f t="shared" si="51"/>
        <v>H</v>
      </c>
      <c r="I294" s="1608" t="str">
        <f t="shared" si="52"/>
        <v>56</v>
      </c>
      <c r="J294" s="1608" t="str">
        <f t="shared" si="53"/>
        <v>07</v>
      </c>
      <c r="K294" s="1608" t="str">
        <f t="shared" si="54"/>
        <v>17</v>
      </c>
      <c r="L294" s="3818" t="str">
        <f>_xlfn.XLOOKUP($D294,  Tabla3[No.],  Tabla3[ESTATUS ACADÉMICO], " ")</f>
        <v>EGRESADO</v>
      </c>
      <c r="M294" s="2887" t="str">
        <f>_xlfn.XLOOKUP($D294,  Tabla3[No.],  Tabla3[Grupo de clase], " ")</f>
        <v>MD06B3</v>
      </c>
      <c r="N294" s="2809">
        <v>10</v>
      </c>
      <c r="O294" s="2247">
        <v>10</v>
      </c>
      <c r="P294" s="2469">
        <v>9.6</v>
      </c>
      <c r="Q294" s="2912">
        <v>9.6</v>
      </c>
      <c r="R294" s="2469">
        <v>10</v>
      </c>
      <c r="S294" s="2469">
        <v>10</v>
      </c>
      <c r="T294" s="2469">
        <v>10</v>
      </c>
      <c r="U294" s="2469">
        <v>10</v>
      </c>
      <c r="V294" s="2469"/>
      <c r="W294" s="2469"/>
      <c r="X294" s="2469"/>
      <c r="Y294" s="2247">
        <v>10</v>
      </c>
      <c r="Z294" s="2469">
        <v>9</v>
      </c>
      <c r="AA294" s="2469">
        <v>9.85</v>
      </c>
      <c r="AB294" s="2469">
        <v>9.6999999999999993</v>
      </c>
      <c r="AC294" s="2469">
        <v>10</v>
      </c>
      <c r="AD294" s="2469">
        <v>10</v>
      </c>
      <c r="AE294" s="2913" t="s">
        <v>1679</v>
      </c>
      <c r="AF294" s="2469">
        <v>10</v>
      </c>
      <c r="AG294" s="2469">
        <v>10</v>
      </c>
      <c r="AH294" s="2244">
        <v>10</v>
      </c>
      <c r="AI294" s="2244">
        <v>10</v>
      </c>
      <c r="AJ294" s="1772">
        <v>10</v>
      </c>
      <c r="AK294" s="1772">
        <v>10</v>
      </c>
      <c r="AL294" s="2245">
        <f t="shared" si="50"/>
        <v>9.8874999999999993</v>
      </c>
    </row>
    <row r="295" spans="1:39" s="2406" customFormat="1" ht="15.75" customHeight="1">
      <c r="A295" s="2799"/>
      <c r="B295" s="1772">
        <v>4</v>
      </c>
      <c r="C295" s="2957">
        <f>_xlfn.XLOOKUP($D295, Tabla3[No.], Tabla3[FECHA DE INICIO (PRIMERA CLASE CALENDARIO)]," ")</f>
        <v>45048</v>
      </c>
      <c r="D295" s="2799">
        <v>503</v>
      </c>
      <c r="E295" s="2958" t="str">
        <f>_xlfn.XLOOKUP($D295,  Tabla3[No.],  Tabla3[CURP], " ")</f>
        <v>CAOA880616Hdp</v>
      </c>
      <c r="F295" s="2959" t="str">
        <f>_xlfn.XLOOKUP($D295,  Tabla3[No.],  Tabla3[Matrícula Of. SEQ], " ")</f>
        <v>64MD06D2-02</v>
      </c>
      <c r="G295" s="2958" t="str">
        <f>IFERROR(VLOOKUP(D295,Tabla3[],5,FALSE),"")</f>
        <v xml:space="preserve">CALDERON ORTEGA ADRIAN ALEXIS </v>
      </c>
      <c r="H295" s="2960" t="str">
        <f t="shared" si="51"/>
        <v>H</v>
      </c>
      <c r="I295" s="2960" t="str">
        <f t="shared" si="52"/>
        <v>88</v>
      </c>
      <c r="J295" s="2960" t="str">
        <f t="shared" si="53"/>
        <v>06</v>
      </c>
      <c r="K295" s="2960" t="str">
        <f t="shared" si="54"/>
        <v>16</v>
      </c>
      <c r="L295" s="3816" t="str">
        <f>_xlfn.XLOOKUP($D295,  Tabla3[No.],  Tabla3[ESTATUS ACADÉMICO], " ")</f>
        <v>BAJA TEMPORAL</v>
      </c>
      <c r="M295" s="2961" t="str">
        <f>_xlfn.XLOOKUP($D295,  Tabla3[No.],  Tabla3[Grupo de clase], " ")</f>
        <v>MD06B3</v>
      </c>
      <c r="N295" s="2962">
        <v>9</v>
      </c>
      <c r="O295" s="2914">
        <v>9</v>
      </c>
      <c r="P295" s="2915">
        <v>0</v>
      </c>
      <c r="Q295" s="2916">
        <v>0</v>
      </c>
      <c r="R295" s="2917">
        <v>5</v>
      </c>
      <c r="S295" s="2917">
        <v>10</v>
      </c>
      <c r="T295" s="2917">
        <v>10</v>
      </c>
      <c r="U295" s="2917">
        <v>10</v>
      </c>
      <c r="V295" s="2917"/>
      <c r="W295" s="2917"/>
      <c r="X295" s="2917"/>
      <c r="Y295" s="2914">
        <v>10</v>
      </c>
      <c r="Z295" s="2917">
        <v>9</v>
      </c>
      <c r="AA295" s="2917">
        <v>9.85</v>
      </c>
      <c r="AB295" s="2917">
        <v>9.85</v>
      </c>
      <c r="AC295" s="2917">
        <v>9.6</v>
      </c>
      <c r="AD295" s="2915">
        <v>0</v>
      </c>
      <c r="AE295" s="2918" t="s">
        <v>1679</v>
      </c>
      <c r="AF295" s="2918" t="s">
        <v>1679</v>
      </c>
      <c r="AG295" s="2918" t="s">
        <v>1679</v>
      </c>
      <c r="AH295" s="2919"/>
      <c r="AI295" s="2244">
        <v>10</v>
      </c>
      <c r="AJ295" s="1772">
        <v>10</v>
      </c>
      <c r="AK295" s="2920"/>
      <c r="AL295" s="2245">
        <f t="shared" si="50"/>
        <v>7.5812499999999989</v>
      </c>
    </row>
    <row r="296" spans="1:39" s="2406" customFormat="1" ht="15.75" customHeight="1">
      <c r="A296" s="2244"/>
      <c r="B296" s="2870">
        <v>5</v>
      </c>
      <c r="C296" s="2242">
        <f>_xlfn.XLOOKUP($D296, Tabla3[No.], Tabla3[FECHA DE INICIO (PRIMERA CLASE CALENDARIO)]," ")</f>
        <v>45048</v>
      </c>
      <c r="D296" s="2244">
        <v>505</v>
      </c>
      <c r="E296" s="2241" t="str">
        <f>_xlfn.XLOOKUP($D296,  Tabla3[No.],  Tabla3[CURP], " ")</f>
        <v>DASD820809HPPVS</v>
      </c>
      <c r="F296" s="2243" t="str">
        <f>_xlfn.XLOOKUP($D296,  Tabla3[No.],  Tabla3[Matrícula Of. SEQ], " ")</f>
        <v>64MD06D2-04</v>
      </c>
      <c r="G296" s="2241" t="str">
        <f>IFERROR(VLOOKUP(D296,Tabla3[],5,FALSE),"")</f>
        <v>DAVILA SALAZAR DANIEL ALEXANDER</v>
      </c>
      <c r="H296" s="1608" t="str">
        <f t="shared" si="51"/>
        <v>H</v>
      </c>
      <c r="I296" s="1608" t="str">
        <f t="shared" si="52"/>
        <v>82</v>
      </c>
      <c r="J296" s="1608" t="str">
        <f t="shared" si="53"/>
        <v>08</v>
      </c>
      <c r="K296" s="1608" t="str">
        <f t="shared" si="54"/>
        <v>09</v>
      </c>
      <c r="L296" s="3818" t="str">
        <f>_xlfn.XLOOKUP($D296,  Tabla3[No.],  Tabla3[ESTATUS ACADÉMICO], " ")</f>
        <v>EGRESADO</v>
      </c>
      <c r="M296" s="2887" t="str">
        <f>_xlfn.XLOOKUP($D296,  Tabla3[No.],  Tabla3[Grupo de clase], " ")</f>
        <v>MD06B3</v>
      </c>
      <c r="N296" s="2809">
        <v>10</v>
      </c>
      <c r="O296" s="2247">
        <v>10</v>
      </c>
      <c r="P296" s="2469">
        <v>8.9</v>
      </c>
      <c r="Q296" s="2912">
        <v>8.9</v>
      </c>
      <c r="R296" s="2469">
        <v>10</v>
      </c>
      <c r="S296" s="2469">
        <v>10</v>
      </c>
      <c r="T296" s="2469">
        <v>10</v>
      </c>
      <c r="U296" s="2469">
        <v>10</v>
      </c>
      <c r="V296" s="2469"/>
      <c r="W296" s="2469"/>
      <c r="X296" s="2469"/>
      <c r="Y296" s="2247">
        <v>10</v>
      </c>
      <c r="Z296" s="2469">
        <v>9</v>
      </c>
      <c r="AA296" s="2469">
        <v>9.85</v>
      </c>
      <c r="AB296" s="2469">
        <v>9.85</v>
      </c>
      <c r="AC296" s="2469">
        <v>9.6</v>
      </c>
      <c r="AD296" s="2469">
        <v>10</v>
      </c>
      <c r="AE296" s="2913" t="s">
        <v>1679</v>
      </c>
      <c r="AF296" s="2469">
        <v>10</v>
      </c>
      <c r="AG296" s="2469">
        <v>10</v>
      </c>
      <c r="AH296" s="2244">
        <v>10</v>
      </c>
      <c r="AI296" s="2244">
        <v>10</v>
      </c>
      <c r="AJ296" s="1772">
        <v>10</v>
      </c>
      <c r="AK296" s="1772">
        <v>10</v>
      </c>
      <c r="AL296" s="2245">
        <f t="shared" si="50"/>
        <v>9.8049999999999979</v>
      </c>
    </row>
    <row r="297" spans="1:39" s="2406" customFormat="1" ht="15.75" customHeight="1">
      <c r="A297" s="2244"/>
      <c r="B297" s="1772">
        <v>6</v>
      </c>
      <c r="C297" s="2242">
        <f>_xlfn.XLOOKUP($D297, Tabla3[No.], Tabla3[FECHA DE INICIO (PRIMERA CLASE CALENDARIO)]," ")</f>
        <v>45048</v>
      </c>
      <c r="D297" s="2244">
        <v>506</v>
      </c>
      <c r="E297" s="2241" t="str">
        <f>_xlfn.XLOOKUP($D297,  Tabla3[No.],  Tabla3[CURP], " ")</f>
        <v>DOVT660806MCP</v>
      </c>
      <c r="F297" s="2243" t="str">
        <f>_xlfn.XLOOKUP($D297,  Tabla3[No.],  Tabla3[Matrícula Of. SEQ], " ")</f>
        <v>64MD06D2-05</v>
      </c>
      <c r="G297" s="2241" t="str">
        <f>IFERROR(VLOOKUP(D297,Tabla3[],5,FALSE),"")</f>
        <v>DOMINGUEZ VASQUEZ TRINIDAD</v>
      </c>
      <c r="H297" s="1608" t="str">
        <f t="shared" si="51"/>
        <v>M</v>
      </c>
      <c r="I297" s="1608" t="str">
        <f t="shared" si="52"/>
        <v>66</v>
      </c>
      <c r="J297" s="1608" t="str">
        <f t="shared" si="53"/>
        <v>08</v>
      </c>
      <c r="K297" s="1608" t="str">
        <f t="shared" si="54"/>
        <v>06</v>
      </c>
      <c r="L297" s="3818" t="str">
        <f>_xlfn.XLOOKUP($D297,  Tabla3[No.],  Tabla3[ESTATUS ACADÉMICO], " ")</f>
        <v>EGRESADO</v>
      </c>
      <c r="M297" s="2887" t="str">
        <f>_xlfn.XLOOKUP($D297,  Tabla3[No.],  Tabla3[Grupo de clase], " ")</f>
        <v>MD06B3</v>
      </c>
      <c r="N297" s="2809">
        <v>10</v>
      </c>
      <c r="O297" s="2247">
        <v>10</v>
      </c>
      <c r="P297" s="2469">
        <v>9</v>
      </c>
      <c r="Q297" s="2912">
        <v>9</v>
      </c>
      <c r="R297" s="2469">
        <v>10</v>
      </c>
      <c r="S297" s="2469">
        <v>10</v>
      </c>
      <c r="T297" s="2469">
        <v>10</v>
      </c>
      <c r="U297" s="2469">
        <v>10</v>
      </c>
      <c r="V297" s="2469"/>
      <c r="W297" s="2469"/>
      <c r="X297" s="2469"/>
      <c r="Y297" s="2247">
        <v>10</v>
      </c>
      <c r="Z297" s="2469">
        <v>8</v>
      </c>
      <c r="AA297" s="2469">
        <v>9.85</v>
      </c>
      <c r="AB297" s="2469">
        <v>9.85</v>
      </c>
      <c r="AC297" s="2469">
        <v>9.6</v>
      </c>
      <c r="AD297" s="2469">
        <v>10</v>
      </c>
      <c r="AE297" s="2913" t="s">
        <v>1679</v>
      </c>
      <c r="AF297" s="2469">
        <v>10</v>
      </c>
      <c r="AG297" s="2469">
        <v>10</v>
      </c>
      <c r="AH297" s="2244">
        <v>9</v>
      </c>
      <c r="AI297" s="2244">
        <v>10</v>
      </c>
      <c r="AJ297" s="1772">
        <v>10</v>
      </c>
      <c r="AK297" s="1772">
        <v>10</v>
      </c>
      <c r="AL297" s="2245">
        <f t="shared" si="50"/>
        <v>9.7149999999999999</v>
      </c>
    </row>
    <row r="298" spans="1:39" s="2406" customFormat="1" ht="15.75" customHeight="1">
      <c r="A298" s="2244"/>
      <c r="B298" s="2870">
        <v>7</v>
      </c>
      <c r="C298" s="2242">
        <f>_xlfn.XLOOKUP($D298, Tabla3[No.], Tabla3[FECHA DE INICIO (PRIMERA CLASE CALENDARIO)]," ")</f>
        <v>45048</v>
      </c>
      <c r="D298" s="2244">
        <v>507</v>
      </c>
      <c r="E298" s="2241" t="str">
        <f>_xlfn.XLOOKUP($D298,  Tabla3[No.],  Tabla3[CURP], " ")</f>
        <v>ESCA861211H</v>
      </c>
      <c r="F298" s="2243" t="str">
        <f>_xlfn.XLOOKUP($D298,  Tabla3[No.],  Tabla3[Matrícula Of. SEQ], " ")</f>
        <v>64MD06D3-02</v>
      </c>
      <c r="G298" s="2241" t="str">
        <f>IFERROR(VLOOKUP(D298,Tabla3[],5,FALSE),"")</f>
        <v>ESCARTIN CUESTA RICARDO ANTONIO</v>
      </c>
      <c r="H298" s="1608" t="str">
        <f t="shared" si="51"/>
        <v>H</v>
      </c>
      <c r="I298" s="1608" t="str">
        <f t="shared" si="52"/>
        <v>86</v>
      </c>
      <c r="J298" s="1608" t="str">
        <f t="shared" si="53"/>
        <v>12</v>
      </c>
      <c r="K298" s="1608" t="str">
        <f t="shared" si="54"/>
        <v>11</v>
      </c>
      <c r="L298" s="3818" t="str">
        <f>_xlfn.XLOOKUP($D298,  Tabla3[No.],  Tabla3[ESTATUS ACADÉMICO], " ")</f>
        <v>EGRESADO</v>
      </c>
      <c r="M298" s="2887" t="str">
        <f>_xlfn.XLOOKUP($D298,  Tabla3[No.],  Tabla3[Grupo de clase], " ")</f>
        <v>MD06B3</v>
      </c>
      <c r="N298" s="2809">
        <v>10</v>
      </c>
      <c r="O298" s="2247">
        <v>10</v>
      </c>
      <c r="P298" s="2469">
        <v>9.1</v>
      </c>
      <c r="Q298" s="2912">
        <v>9.1</v>
      </c>
      <c r="R298" s="2469">
        <v>10</v>
      </c>
      <c r="S298" s="2469">
        <v>10</v>
      </c>
      <c r="T298" s="2469">
        <v>10</v>
      </c>
      <c r="U298" s="2469">
        <v>10</v>
      </c>
      <c r="V298" s="2469"/>
      <c r="W298" s="2469"/>
      <c r="X298" s="2469"/>
      <c r="Y298" s="2247">
        <v>10</v>
      </c>
      <c r="Z298" s="2469">
        <v>9</v>
      </c>
      <c r="AA298" s="2469">
        <v>9.85</v>
      </c>
      <c r="AB298" s="2469">
        <v>9.85</v>
      </c>
      <c r="AC298" s="2469">
        <v>10</v>
      </c>
      <c r="AD298" s="2469">
        <v>10</v>
      </c>
      <c r="AE298" s="2913" t="s">
        <v>1679</v>
      </c>
      <c r="AF298" s="2469">
        <v>10</v>
      </c>
      <c r="AG298" s="2469">
        <v>10</v>
      </c>
      <c r="AH298" s="2244">
        <v>10</v>
      </c>
      <c r="AI298" s="2244">
        <v>10</v>
      </c>
      <c r="AJ298" s="1772">
        <v>10</v>
      </c>
      <c r="AK298" s="1772">
        <v>10</v>
      </c>
      <c r="AL298" s="2245">
        <f t="shared" si="50"/>
        <v>9.8449999999999989</v>
      </c>
    </row>
    <row r="299" spans="1:39" s="2406" customFormat="1" ht="15.75" customHeight="1">
      <c r="A299" s="2244"/>
      <c r="B299" s="1772">
        <v>8</v>
      </c>
      <c r="C299" s="2242">
        <f>_xlfn.XLOOKUP($D299, Tabla3[No.], Tabla3[FECHA DE INICIO (PRIMERA CLASE CALENDARIO)]," ")</f>
        <v>45048</v>
      </c>
      <c r="D299" s="2244">
        <v>508</v>
      </c>
      <c r="E299" s="2241" t="str">
        <f>_xlfn.XLOOKUP($D299,  Tabla3[No.],  Tabla3[CURP], " ")</f>
        <v>JOGV830417M</v>
      </c>
      <c r="F299" s="2243" t="str">
        <f>_xlfn.XLOOKUP($D299,  Tabla3[No.],  Tabla3[Matrícula Of. SEQ], " ")</f>
        <v>64MD06D2-07</v>
      </c>
      <c r="G299" s="2241" t="str">
        <f>IFERROR(VLOOKUP(D299,Tabla3[],5,FALSE),"")</f>
        <v>JORDAN GIRON VIELSA LISBETH</v>
      </c>
      <c r="H299" s="1608" t="str">
        <f t="shared" si="51"/>
        <v>M</v>
      </c>
      <c r="I299" s="1608" t="str">
        <f t="shared" si="52"/>
        <v>83</v>
      </c>
      <c r="J299" s="1608" t="str">
        <f t="shared" si="53"/>
        <v>04</v>
      </c>
      <c r="K299" s="1608" t="str">
        <f t="shared" si="54"/>
        <v>17</v>
      </c>
      <c r="L299" s="3818" t="str">
        <f>_xlfn.XLOOKUP($D299,  Tabla3[No.],  Tabla3[ESTATUS ACADÉMICO], " ")</f>
        <v>EGRESADO</v>
      </c>
      <c r="M299" s="2887" t="str">
        <f>_xlfn.XLOOKUP($D299,  Tabla3[No.],  Tabla3[Grupo de clase], " ")</f>
        <v>MD06B3</v>
      </c>
      <c r="N299" s="2809">
        <v>10</v>
      </c>
      <c r="O299" s="2247">
        <v>10</v>
      </c>
      <c r="P299" s="2469">
        <v>9.6</v>
      </c>
      <c r="Q299" s="2912">
        <v>9.6</v>
      </c>
      <c r="R299" s="2469">
        <v>10</v>
      </c>
      <c r="S299" s="2469">
        <v>10</v>
      </c>
      <c r="T299" s="2469">
        <v>10</v>
      </c>
      <c r="U299" s="2469">
        <v>10</v>
      </c>
      <c r="V299" s="2469"/>
      <c r="W299" s="2469"/>
      <c r="X299" s="2469"/>
      <c r="Y299" s="2247">
        <v>8</v>
      </c>
      <c r="Z299" s="2469">
        <v>9</v>
      </c>
      <c r="AA299" s="2469">
        <v>9.85</v>
      </c>
      <c r="AB299" s="2469">
        <v>9.6999999999999993</v>
      </c>
      <c r="AC299" s="2469">
        <v>9.6</v>
      </c>
      <c r="AD299" s="2469">
        <v>10</v>
      </c>
      <c r="AE299" s="2913" t="s">
        <v>1679</v>
      </c>
      <c r="AF299" s="2469">
        <v>10</v>
      </c>
      <c r="AG299" s="2469">
        <v>10</v>
      </c>
      <c r="AH299" s="2244">
        <v>10</v>
      </c>
      <c r="AI299" s="2244">
        <v>10</v>
      </c>
      <c r="AJ299" s="1772">
        <v>10</v>
      </c>
      <c r="AK299" s="1772">
        <v>10</v>
      </c>
      <c r="AL299" s="2245">
        <f t="shared" si="50"/>
        <v>9.7675000000000001</v>
      </c>
    </row>
    <row r="300" spans="1:39" s="2406" customFormat="1" ht="15.75" customHeight="1">
      <c r="A300" s="2244"/>
      <c r="B300" s="2870">
        <v>9</v>
      </c>
      <c r="C300" s="2242">
        <f>_xlfn.XLOOKUP($D300, Tabla3[No.], Tabla3[FECHA DE INICIO (PRIMERA CLASE CALENDARIO)]," ")</f>
        <v>45048</v>
      </c>
      <c r="D300" s="2244">
        <v>509</v>
      </c>
      <c r="E300" s="2241" t="str">
        <f>_xlfn.XLOOKUP($D300,  Tabla3[No.],  Tabla3[CURP], " ")</f>
        <v>JOFG970418M</v>
      </c>
      <c r="F300" s="2243" t="str">
        <f>_xlfn.XLOOKUP($D300,  Tabla3[No.],  Tabla3[Matrícula Of. SEQ], " ")</f>
        <v>64MD06D2-08</v>
      </c>
      <c r="G300" s="2241" t="str">
        <f>IFERROR(VLOOKUP(D300,Tabla3[],5,FALSE),"")</f>
        <v>JOSEPH FLORES GENESIS JEANETH</v>
      </c>
      <c r="H300" s="1608" t="str">
        <f t="shared" si="51"/>
        <v>M</v>
      </c>
      <c r="I300" s="1608" t="str">
        <f t="shared" si="52"/>
        <v>97</v>
      </c>
      <c r="J300" s="1608" t="str">
        <f t="shared" si="53"/>
        <v>04</v>
      </c>
      <c r="K300" s="1608" t="str">
        <f t="shared" si="54"/>
        <v>18</v>
      </c>
      <c r="L300" s="3818" t="str">
        <f>_xlfn.XLOOKUP($D300,  Tabla3[No.],  Tabla3[ESTATUS ACADÉMICO], " ")</f>
        <v>EGRESADO</v>
      </c>
      <c r="M300" s="2887" t="str">
        <f>_xlfn.XLOOKUP($D300,  Tabla3[No.],  Tabla3[Grupo de clase], " ")</f>
        <v>MD06B3</v>
      </c>
      <c r="N300" s="2809">
        <v>10</v>
      </c>
      <c r="O300" s="2247">
        <v>10</v>
      </c>
      <c r="P300" s="2469">
        <v>9.6</v>
      </c>
      <c r="Q300" s="2912">
        <v>9.6</v>
      </c>
      <c r="R300" s="2469">
        <v>10</v>
      </c>
      <c r="S300" s="2469">
        <v>10</v>
      </c>
      <c r="T300" s="2469">
        <v>10</v>
      </c>
      <c r="U300" s="2469">
        <v>10</v>
      </c>
      <c r="V300" s="2469"/>
      <c r="W300" s="2469"/>
      <c r="X300" s="2469"/>
      <c r="Y300" s="2247">
        <v>10</v>
      </c>
      <c r="Z300" s="2469">
        <v>8.6</v>
      </c>
      <c r="AA300" s="2469">
        <v>9.85</v>
      </c>
      <c r="AB300" s="2469">
        <v>9.85</v>
      </c>
      <c r="AC300" s="2469">
        <v>9.6</v>
      </c>
      <c r="AD300" s="2469">
        <v>10</v>
      </c>
      <c r="AE300" s="2913" t="s">
        <v>1679</v>
      </c>
      <c r="AF300" s="2469">
        <v>10</v>
      </c>
      <c r="AG300" s="2469">
        <v>10</v>
      </c>
      <c r="AH300" s="2244">
        <v>10</v>
      </c>
      <c r="AI300" s="2244">
        <v>10</v>
      </c>
      <c r="AJ300" s="1772">
        <v>10</v>
      </c>
      <c r="AK300" s="1772">
        <v>10</v>
      </c>
      <c r="AL300" s="2245">
        <f t="shared" si="50"/>
        <v>9.8549999999999986</v>
      </c>
    </row>
    <row r="301" spans="1:39" s="2406" customFormat="1" ht="15.75" customHeight="1">
      <c r="A301" s="2244"/>
      <c r="B301" s="1772">
        <v>10</v>
      </c>
      <c r="C301" s="2242">
        <f>_xlfn.XLOOKUP($D301, Tabla3[No.], Tabla3[FECHA DE INICIO (PRIMERA CLASE CALENDARIO)]," ")</f>
        <v>45048</v>
      </c>
      <c r="D301" s="2244">
        <v>511</v>
      </c>
      <c r="E301" s="2241" t="str">
        <f>_xlfn.XLOOKUP($D301,  Tabla3[No.],  Tabla3[CURP], " ")</f>
        <v>MACY840131MDV</v>
      </c>
      <c r="F301" s="2243" t="str">
        <f>_xlfn.XLOOKUP($D301,  Tabla3[No.],  Tabla3[Matrícula Of. SEQ], " ")</f>
        <v>64MD06D2-10</v>
      </c>
      <c r="G301" s="2241" t="str">
        <f>IFERROR(VLOOKUP(D301,Tabla3[],5,FALSE),"")</f>
        <v>MARTINEZ DEL CID YARIELA LINETTE</v>
      </c>
      <c r="H301" s="1608" t="str">
        <f t="shared" si="51"/>
        <v>M</v>
      </c>
      <c r="I301" s="1608" t="str">
        <f t="shared" si="52"/>
        <v>84</v>
      </c>
      <c r="J301" s="1608" t="str">
        <f t="shared" si="53"/>
        <v>01</v>
      </c>
      <c r="K301" s="1608" t="str">
        <f t="shared" si="54"/>
        <v>31</v>
      </c>
      <c r="L301" s="3818" t="str">
        <f>_xlfn.XLOOKUP($D301,  Tabla3[No.],  Tabla3[ESTATUS ACADÉMICO], " ")</f>
        <v>EGRESADO</v>
      </c>
      <c r="M301" s="2887" t="str">
        <f>_xlfn.XLOOKUP($D301,  Tabla3[No.],  Tabla3[Grupo de clase], " ")</f>
        <v>MD06B3</v>
      </c>
      <c r="N301" s="2809">
        <v>10</v>
      </c>
      <c r="O301" s="2247">
        <v>10</v>
      </c>
      <c r="P301" s="2469">
        <v>9</v>
      </c>
      <c r="Q301" s="2912">
        <v>9</v>
      </c>
      <c r="R301" s="2469">
        <v>10</v>
      </c>
      <c r="S301" s="2469">
        <v>10</v>
      </c>
      <c r="T301" s="2469">
        <v>10</v>
      </c>
      <c r="U301" s="2469">
        <v>10</v>
      </c>
      <c r="V301" s="2469"/>
      <c r="W301" s="2469"/>
      <c r="X301" s="2469"/>
      <c r="Y301" s="2247">
        <v>8</v>
      </c>
      <c r="Z301" s="2469">
        <v>9</v>
      </c>
      <c r="AA301" s="2469">
        <v>9.85</v>
      </c>
      <c r="AB301" s="2469">
        <v>9.85</v>
      </c>
      <c r="AC301" s="2469">
        <v>9.6</v>
      </c>
      <c r="AD301" s="2469">
        <v>10</v>
      </c>
      <c r="AE301" s="2913" t="s">
        <v>1679</v>
      </c>
      <c r="AF301" s="2469">
        <v>10</v>
      </c>
      <c r="AG301" s="2469">
        <v>10</v>
      </c>
      <c r="AH301" s="2244">
        <v>9</v>
      </c>
      <c r="AI301" s="2244">
        <v>10</v>
      </c>
      <c r="AJ301" s="1772">
        <v>10</v>
      </c>
      <c r="AK301" s="1772">
        <v>10</v>
      </c>
      <c r="AL301" s="2245">
        <f t="shared" si="50"/>
        <v>9.6649999999999991</v>
      </c>
    </row>
    <row r="302" spans="1:39" s="2406" customFormat="1" ht="15.75" customHeight="1">
      <c r="A302" s="2244"/>
      <c r="B302" s="2870">
        <v>11</v>
      </c>
      <c r="C302" s="2242">
        <f>_xlfn.XLOOKUP($D302, Tabla3[No.], Tabla3[FECHA DE INICIO (PRIMERA CLASE CALENDARIO)]," ")</f>
        <v>45048</v>
      </c>
      <c r="D302" s="2244">
        <v>512</v>
      </c>
      <c r="E302" s="2241" t="str">
        <f>_xlfn.XLOOKUP($D302,  Tabla3[No.],  Tabla3[CURP], " ")</f>
        <v>MIMG821216M</v>
      </c>
      <c r="F302" s="2243" t="str">
        <f>_xlfn.XLOOKUP($D302,  Tabla3[No.],  Tabla3[Matrícula Of. SEQ], " ")</f>
        <v>64MD06D2-11</v>
      </c>
      <c r="G302" s="2241" t="str">
        <f>IFERROR(VLOOKUP(D302,Tabla3[],5,FALSE),"")</f>
        <v>MIRANDA MACIAS GLADYS</v>
      </c>
      <c r="H302" s="1608" t="str">
        <f t="shared" si="51"/>
        <v>M</v>
      </c>
      <c r="I302" s="1608" t="str">
        <f t="shared" si="52"/>
        <v>82</v>
      </c>
      <c r="J302" s="1608" t="str">
        <f t="shared" si="53"/>
        <v>12</v>
      </c>
      <c r="K302" s="1608" t="str">
        <f t="shared" si="54"/>
        <v>16</v>
      </c>
      <c r="L302" s="3818" t="str">
        <f>_xlfn.XLOOKUP($D302,  Tabla3[No.],  Tabla3[ESTATUS ACADÉMICO], " ")</f>
        <v>EGRESADO</v>
      </c>
      <c r="M302" s="2887" t="str">
        <f>_xlfn.XLOOKUP($D302,  Tabla3[No.],  Tabla3[Grupo de clase], " ")</f>
        <v>MD06B3</v>
      </c>
      <c r="N302" s="2809">
        <v>10</v>
      </c>
      <c r="O302" s="2247">
        <v>10</v>
      </c>
      <c r="P302" s="2469">
        <v>10</v>
      </c>
      <c r="Q302" s="2912">
        <v>10</v>
      </c>
      <c r="R302" s="2469">
        <v>10</v>
      </c>
      <c r="S302" s="2469">
        <v>10</v>
      </c>
      <c r="T302" s="2469">
        <v>10</v>
      </c>
      <c r="U302" s="2469">
        <v>10</v>
      </c>
      <c r="V302" s="2469"/>
      <c r="W302" s="2469"/>
      <c r="X302" s="2469"/>
      <c r="Y302" s="2247">
        <v>10</v>
      </c>
      <c r="Z302" s="2469">
        <v>9</v>
      </c>
      <c r="AA302" s="2469">
        <v>9.85</v>
      </c>
      <c r="AB302" s="2469">
        <v>9.85</v>
      </c>
      <c r="AC302" s="2469">
        <v>9.6</v>
      </c>
      <c r="AD302" s="2469">
        <v>10</v>
      </c>
      <c r="AE302" s="2913" t="s">
        <v>1679</v>
      </c>
      <c r="AF302" s="2469">
        <v>10</v>
      </c>
      <c r="AG302" s="2469">
        <v>10</v>
      </c>
      <c r="AH302" s="2244">
        <v>10</v>
      </c>
      <c r="AI302" s="2244">
        <v>10</v>
      </c>
      <c r="AJ302" s="1772">
        <v>10</v>
      </c>
      <c r="AK302" s="1772">
        <v>10</v>
      </c>
      <c r="AL302" s="2245">
        <f t="shared" si="50"/>
        <v>9.9149999999999991</v>
      </c>
    </row>
    <row r="303" spans="1:39" s="2406" customFormat="1" ht="15.75" customHeight="1">
      <c r="A303" s="2244"/>
      <c r="B303" s="1772">
        <v>12</v>
      </c>
      <c r="C303" s="2242">
        <f>_xlfn.XLOOKUP($D303, Tabla3[No.], Tabla3[FECHA DE INICIO (PRIMERA CLASE CALENDARIO)]," ")</f>
        <v>45048</v>
      </c>
      <c r="D303" s="2244">
        <v>510</v>
      </c>
      <c r="E303" s="2241" t="str">
        <f>_xlfn.XLOOKUP($D303,  Tabla3[No.],  Tabla3[CURP], " ")</f>
        <v>LAVS870127H</v>
      </c>
      <c r="F303" s="2243" t="str">
        <f>_xlfn.XLOOKUP($D303,  Tabla3[No.],  Tabla3[Matrícula Of. SEQ], " ")</f>
        <v>64MD06D2-09</v>
      </c>
      <c r="G303" s="2241" t="str">
        <f>IFERROR(VLOOKUP(D303,Tabla3[],5,FALSE),"")</f>
        <v>LASSO VARELA SAMIR NAPOLEON</v>
      </c>
      <c r="H303" s="1608" t="str">
        <f t="shared" si="51"/>
        <v>H</v>
      </c>
      <c r="I303" s="1608" t="str">
        <f t="shared" si="52"/>
        <v>87</v>
      </c>
      <c r="J303" s="1608" t="str">
        <f t="shared" si="53"/>
        <v>01</v>
      </c>
      <c r="K303" s="1608" t="str">
        <f t="shared" si="54"/>
        <v>27</v>
      </c>
      <c r="L303" s="3818" t="str">
        <f>_xlfn.XLOOKUP($D303,  Tabla3[No.],  Tabla3[ESTATUS ACADÉMICO], " ")</f>
        <v>EGRESADO</v>
      </c>
      <c r="M303" s="2887" t="str">
        <f>_xlfn.XLOOKUP($D303,  Tabla3[No.],  Tabla3[Grupo de clase], " ")</f>
        <v>MD06B3</v>
      </c>
      <c r="N303" s="2809">
        <v>10</v>
      </c>
      <c r="O303" s="2921">
        <v>10</v>
      </c>
      <c r="P303" s="2469">
        <v>8.6</v>
      </c>
      <c r="Q303" s="2912">
        <v>9.6</v>
      </c>
      <c r="R303" s="2469">
        <v>9</v>
      </c>
      <c r="S303" s="2469">
        <v>10</v>
      </c>
      <c r="T303" s="2469">
        <v>10</v>
      </c>
      <c r="U303" s="2469">
        <v>10</v>
      </c>
      <c r="V303" s="2469"/>
      <c r="W303" s="2469"/>
      <c r="X303" s="2469"/>
      <c r="Y303" s="2247">
        <v>8</v>
      </c>
      <c r="Z303" s="2469">
        <v>9</v>
      </c>
      <c r="AA303" s="2469">
        <v>9.85</v>
      </c>
      <c r="AB303" s="2469">
        <v>9.85</v>
      </c>
      <c r="AC303" s="2469">
        <v>10</v>
      </c>
      <c r="AD303" s="2469">
        <v>10</v>
      </c>
      <c r="AE303" s="2913" t="s">
        <v>1679</v>
      </c>
      <c r="AF303" s="2469">
        <v>10</v>
      </c>
      <c r="AG303" s="2469">
        <v>10</v>
      </c>
      <c r="AH303" s="2403">
        <v>9</v>
      </c>
      <c r="AI303" s="2244">
        <v>10</v>
      </c>
      <c r="AJ303" s="1772">
        <v>10</v>
      </c>
      <c r="AK303" s="1772">
        <v>8</v>
      </c>
      <c r="AL303" s="2245">
        <f t="shared" si="50"/>
        <v>9.5449999999999982</v>
      </c>
    </row>
    <row r="304" spans="1:39" s="2406" customFormat="1" ht="15.75" customHeight="1">
      <c r="A304" s="2244"/>
      <c r="B304" s="2870">
        <v>13</v>
      </c>
      <c r="C304" s="2242">
        <f>_xlfn.XLOOKUP($D304, Tabla3[No.], Tabla3[FECHA DE INICIO (PRIMERA CLASE CALENDARIO)]," ")</f>
        <v>45048</v>
      </c>
      <c r="D304" s="2244">
        <v>514</v>
      </c>
      <c r="E304" s="2241" t="str">
        <f>_xlfn.XLOOKUP($D304,  Tabla3[No.],  Tabla3[CURP], " ")</f>
        <v>RABD820122MDP</v>
      </c>
      <c r="F304" s="2243" t="str">
        <f>_xlfn.XLOOKUP($D304,  Tabla3[No.],  Tabla3[Matrícula Of. SEQ], " ")</f>
        <v>64MD06D2-13</v>
      </c>
      <c r="G304" s="2241" t="str">
        <f>IFERROR(VLOOKUP(D304,Tabla3[],5,FALSE),"")</f>
        <v>RAMIREZ BAL DESIREE DEL CARMEN</v>
      </c>
      <c r="H304" s="1608" t="str">
        <f t="shared" si="51"/>
        <v>M</v>
      </c>
      <c r="I304" s="1608" t="str">
        <f t="shared" si="52"/>
        <v>82</v>
      </c>
      <c r="J304" s="1608" t="str">
        <f t="shared" si="53"/>
        <v>01</v>
      </c>
      <c r="K304" s="1608" t="str">
        <f t="shared" si="54"/>
        <v>22</v>
      </c>
      <c r="L304" s="3818" t="str">
        <f>_xlfn.XLOOKUP($D304,  Tabla3[No.],  Tabla3[ESTATUS ACADÉMICO], " ")</f>
        <v>EGRESADO</v>
      </c>
      <c r="M304" s="2887" t="str">
        <f>_xlfn.XLOOKUP($D304,  Tabla3[No.],  Tabla3[Grupo de clase], " ")</f>
        <v>MD06B3</v>
      </c>
      <c r="N304" s="2809">
        <v>10</v>
      </c>
      <c r="O304" s="2247">
        <v>10</v>
      </c>
      <c r="P304" s="2469">
        <v>10</v>
      </c>
      <c r="Q304" s="2912">
        <v>10</v>
      </c>
      <c r="R304" s="2469">
        <v>10</v>
      </c>
      <c r="S304" s="2469">
        <v>10</v>
      </c>
      <c r="T304" s="2469">
        <v>10</v>
      </c>
      <c r="U304" s="2469">
        <v>10</v>
      </c>
      <c r="V304" s="2469"/>
      <c r="W304" s="2469"/>
      <c r="X304" s="2469"/>
      <c r="Y304" s="2247">
        <v>10</v>
      </c>
      <c r="Z304" s="2469">
        <v>8.6</v>
      </c>
      <c r="AA304" s="2469">
        <v>9.85</v>
      </c>
      <c r="AB304" s="2469">
        <v>9.85</v>
      </c>
      <c r="AC304" s="2469">
        <v>9.6</v>
      </c>
      <c r="AD304" s="2469">
        <v>10</v>
      </c>
      <c r="AE304" s="2913" t="s">
        <v>1679</v>
      </c>
      <c r="AF304" s="2469">
        <v>10</v>
      </c>
      <c r="AG304" s="2469">
        <v>10</v>
      </c>
      <c r="AH304" s="2244">
        <v>9</v>
      </c>
      <c r="AI304" s="2244">
        <v>10</v>
      </c>
      <c r="AJ304" s="1772">
        <v>10</v>
      </c>
      <c r="AK304" s="1772">
        <v>10</v>
      </c>
      <c r="AL304" s="2245">
        <f t="shared" si="50"/>
        <v>9.8449999999999989</v>
      </c>
    </row>
    <row r="305" spans="1:44" s="2406" customFormat="1" ht="15.75" customHeight="1">
      <c r="A305" s="2244"/>
      <c r="B305" s="1772">
        <v>14</v>
      </c>
      <c r="C305" s="2242">
        <f>_xlfn.XLOOKUP($D305, Tabla3[No.], Tabla3[FECHA DE INICIO (PRIMERA CLASE CALENDARIO)]," ")</f>
        <v>45048</v>
      </c>
      <c r="D305" s="2244">
        <v>515</v>
      </c>
      <c r="E305" s="2241" t="str">
        <f>_xlfn.XLOOKUP($D305,  Tabla3[No.],  Tabla3[CURP], " ")</f>
        <v>REVZ861007MPP</v>
      </c>
      <c r="F305" s="2243" t="str">
        <f>_xlfn.XLOOKUP($D305,  Tabla3[No.],  Tabla3[Matrícula Of. SEQ], " ")</f>
        <v>64MD06D3-04</v>
      </c>
      <c r="G305" s="2241" t="str">
        <f>IFERROR(VLOOKUP(D305,Tabla3[],5,FALSE),"")</f>
        <v>REYES VERNAZA ZULEMYS ZULIBETH</v>
      </c>
      <c r="H305" s="1608" t="str">
        <f t="shared" si="51"/>
        <v>M</v>
      </c>
      <c r="I305" s="1608" t="str">
        <f t="shared" si="52"/>
        <v>86</v>
      </c>
      <c r="J305" s="1608" t="str">
        <f t="shared" si="53"/>
        <v>10</v>
      </c>
      <c r="K305" s="1608" t="str">
        <f t="shared" si="54"/>
        <v>07</v>
      </c>
      <c r="L305" s="3818" t="str">
        <f>_xlfn.XLOOKUP($D305,  Tabla3[No.],  Tabla3[ESTATUS ACADÉMICO], " ")</f>
        <v>EGRESADO</v>
      </c>
      <c r="M305" s="2887" t="str">
        <f>_xlfn.XLOOKUP($D305,  Tabla3[No.],  Tabla3[Grupo de clase], " ")</f>
        <v>MD06B3</v>
      </c>
      <c r="N305" s="2809">
        <v>10</v>
      </c>
      <c r="O305" s="2247">
        <v>10</v>
      </c>
      <c r="P305" s="2469">
        <v>10</v>
      </c>
      <c r="Q305" s="2912">
        <v>10</v>
      </c>
      <c r="R305" s="2469">
        <v>10</v>
      </c>
      <c r="S305" s="2469">
        <v>10</v>
      </c>
      <c r="T305" s="2469">
        <v>10</v>
      </c>
      <c r="U305" s="2469">
        <v>10</v>
      </c>
      <c r="V305" s="2469"/>
      <c r="W305" s="2469"/>
      <c r="X305" s="2469"/>
      <c r="Y305" s="2247">
        <v>8</v>
      </c>
      <c r="Z305" s="2469">
        <v>9</v>
      </c>
      <c r="AA305" s="2469">
        <v>9.85</v>
      </c>
      <c r="AB305" s="2469">
        <v>9.85</v>
      </c>
      <c r="AC305" s="2469">
        <v>9.6</v>
      </c>
      <c r="AD305" s="2469">
        <v>10</v>
      </c>
      <c r="AE305" s="2913" t="s">
        <v>1679</v>
      </c>
      <c r="AF305" s="2469">
        <v>10</v>
      </c>
      <c r="AG305" s="2469">
        <v>10</v>
      </c>
      <c r="AH305" s="2244">
        <v>10</v>
      </c>
      <c r="AI305" s="2244">
        <v>10</v>
      </c>
      <c r="AJ305" s="1772">
        <v>10</v>
      </c>
      <c r="AK305" s="1772">
        <v>10</v>
      </c>
      <c r="AL305" s="2245">
        <f t="shared" si="50"/>
        <v>9.8149999999999995</v>
      </c>
    </row>
    <row r="306" spans="1:44" s="2406" customFormat="1" ht="15.75" customHeight="1">
      <c r="A306" s="2244"/>
      <c r="B306" s="2870">
        <v>15</v>
      </c>
      <c r="C306" s="2242">
        <f>_xlfn.XLOOKUP($D306, Tabla3[No.], Tabla3[FECHA DE INICIO (PRIMERA CLASE CALENDARIO)]," ")</f>
        <v>45048</v>
      </c>
      <c r="D306" s="2244">
        <v>516</v>
      </c>
      <c r="E306" s="2241" t="str">
        <f>_xlfn.XLOOKUP($D306,  Tabla3[No.],  Tabla3[CURP], " ")</f>
        <v>RIAR931102HPP</v>
      </c>
      <c r="F306" s="2243" t="str">
        <f>_xlfn.XLOOKUP($D306,  Tabla3[No.],  Tabla3[Matrícula Of. SEQ], " ")</f>
        <v>64MD06D3-05</v>
      </c>
      <c r="G306" s="2241" t="str">
        <f>IFERROR(VLOOKUP(D306,Tabla3[],5,FALSE),"")</f>
        <v>RIVERA ARENAS RODRIGO</v>
      </c>
      <c r="H306" s="1608" t="str">
        <f t="shared" si="51"/>
        <v>H</v>
      </c>
      <c r="I306" s="1608" t="str">
        <f t="shared" si="52"/>
        <v>93</v>
      </c>
      <c r="J306" s="1608" t="str">
        <f t="shared" si="53"/>
        <v>11</v>
      </c>
      <c r="K306" s="1608" t="str">
        <f t="shared" si="54"/>
        <v>02</v>
      </c>
      <c r="L306" s="3818" t="str">
        <f>_xlfn.XLOOKUP($D306,  Tabla3[No.],  Tabla3[ESTATUS ACADÉMICO], " ")</f>
        <v>EGRESADO</v>
      </c>
      <c r="M306" s="2887" t="str">
        <f>_xlfn.XLOOKUP($D306,  Tabla3[No.],  Tabla3[Grupo de clase], " ")</f>
        <v>MD06B3</v>
      </c>
      <c r="N306" s="2809">
        <v>10</v>
      </c>
      <c r="O306" s="2247">
        <v>10</v>
      </c>
      <c r="P306" s="2469">
        <v>9</v>
      </c>
      <c r="Q306" s="2912">
        <v>9</v>
      </c>
      <c r="R306" s="2469">
        <v>10</v>
      </c>
      <c r="S306" s="2469">
        <v>10</v>
      </c>
      <c r="T306" s="2469">
        <v>10</v>
      </c>
      <c r="U306" s="2469">
        <v>10</v>
      </c>
      <c r="V306" s="2469"/>
      <c r="W306" s="2469"/>
      <c r="X306" s="2469"/>
      <c r="Y306" s="2247">
        <v>10</v>
      </c>
      <c r="Z306" s="2469">
        <v>9</v>
      </c>
      <c r="AA306" s="2469">
        <v>9.85</v>
      </c>
      <c r="AB306" s="2469">
        <v>9.85</v>
      </c>
      <c r="AC306" s="2469">
        <v>9.6</v>
      </c>
      <c r="AD306" s="2469">
        <v>10</v>
      </c>
      <c r="AE306" s="2913" t="s">
        <v>1679</v>
      </c>
      <c r="AF306" s="2469">
        <v>10</v>
      </c>
      <c r="AG306" s="2469">
        <v>10</v>
      </c>
      <c r="AH306" s="2244">
        <v>10</v>
      </c>
      <c r="AI306" s="2244">
        <v>10</v>
      </c>
      <c r="AJ306" s="1772">
        <v>10</v>
      </c>
      <c r="AK306" s="1772">
        <v>10</v>
      </c>
      <c r="AL306" s="2245">
        <f t="shared" si="50"/>
        <v>9.8149999999999995</v>
      </c>
    </row>
    <row r="307" spans="1:44" s="2406" customFormat="1" ht="15.75" customHeight="1">
      <c r="A307" s="2244"/>
      <c r="B307" s="1772">
        <v>16</v>
      </c>
      <c r="C307" s="2242">
        <f>_xlfn.XLOOKUP($D307, Tabla3[No.], Tabla3[FECHA DE INICIO (PRIMERA CLASE CALENDARIO)]," ")</f>
        <v>45048</v>
      </c>
      <c r="D307" s="2244">
        <v>517</v>
      </c>
      <c r="E307" s="2241" t="str">
        <f>_xlfn.XLOOKUP($D307,  Tabla3[No.],  Tabla3[CURP], " ")</f>
        <v>ROGD711213MPP</v>
      </c>
      <c r="F307" s="2243" t="str">
        <f>_xlfn.XLOOKUP($D307,  Tabla3[No.],  Tabla3[Matrícula Of. SEQ], " ")</f>
        <v>64MD06D3-06</v>
      </c>
      <c r="G307" s="2241" t="str">
        <f>IFERROR(VLOOKUP(D307,Tabla3[],5,FALSE),"")</f>
        <v>RODRIGUEZ GUTIERREZ DELIA LINETH</v>
      </c>
      <c r="H307" s="1608" t="str">
        <f t="shared" si="51"/>
        <v>M</v>
      </c>
      <c r="I307" s="1608" t="str">
        <f t="shared" si="52"/>
        <v>71</v>
      </c>
      <c r="J307" s="1608" t="str">
        <f t="shared" si="53"/>
        <v>12</v>
      </c>
      <c r="K307" s="1608" t="str">
        <f t="shared" si="54"/>
        <v>13</v>
      </c>
      <c r="L307" s="3818" t="str">
        <f>_xlfn.XLOOKUP($D307,  Tabla3[No.],  Tabla3[ESTATUS ACADÉMICO], " ")</f>
        <v>EGRESADO</v>
      </c>
      <c r="M307" s="2887" t="str">
        <f>_xlfn.XLOOKUP($D307,  Tabla3[No.],  Tabla3[Grupo de clase], " ")</f>
        <v>MD06B3</v>
      </c>
      <c r="N307" s="2809">
        <v>10</v>
      </c>
      <c r="O307" s="2247">
        <v>10</v>
      </c>
      <c r="P307" s="2469">
        <v>9</v>
      </c>
      <c r="Q307" s="2912">
        <v>9</v>
      </c>
      <c r="R307" s="2469">
        <v>10</v>
      </c>
      <c r="S307" s="2469">
        <v>10</v>
      </c>
      <c r="T307" s="2469">
        <v>10</v>
      </c>
      <c r="U307" s="2469">
        <v>10</v>
      </c>
      <c r="V307" s="2469"/>
      <c r="W307" s="2469"/>
      <c r="X307" s="2469"/>
      <c r="Y307" s="2247">
        <v>10</v>
      </c>
      <c r="Z307" s="2469">
        <v>9.1999999999999993</v>
      </c>
      <c r="AA307" s="2469">
        <v>9.85</v>
      </c>
      <c r="AB307" s="2469">
        <v>9.85</v>
      </c>
      <c r="AC307" s="2469">
        <v>9.6</v>
      </c>
      <c r="AD307" s="2469">
        <v>10</v>
      </c>
      <c r="AE307" s="2913" t="s">
        <v>1679</v>
      </c>
      <c r="AF307" s="2469">
        <v>10</v>
      </c>
      <c r="AG307" s="2469">
        <v>10</v>
      </c>
      <c r="AH307" s="2244">
        <v>10</v>
      </c>
      <c r="AI307" s="2244">
        <v>10</v>
      </c>
      <c r="AJ307" s="1772">
        <v>10</v>
      </c>
      <c r="AK307" s="1772">
        <v>10</v>
      </c>
      <c r="AL307" s="2245">
        <f t="shared" si="50"/>
        <v>9.8249999999999993</v>
      </c>
    </row>
    <row r="308" spans="1:44" s="2406" customFormat="1" ht="15.75" customHeight="1">
      <c r="A308" s="2244"/>
      <c r="B308" s="2870">
        <v>17</v>
      </c>
      <c r="C308" s="2242">
        <f>_xlfn.XLOOKUP($D308, Tabla3[No.], Tabla3[FECHA DE INICIO (PRIMERA CLASE CALENDARIO)]," ")</f>
        <v>45048</v>
      </c>
      <c r="D308" s="2244">
        <v>513</v>
      </c>
      <c r="E308" s="2241" t="str">
        <f>_xlfn.XLOOKUP($D308,  Tabla3[No.],  Tabla3[CURP], " ")</f>
        <v>POHR670809M</v>
      </c>
      <c r="F308" s="2243" t="str">
        <f>_xlfn.XLOOKUP($D308,  Tabla3[No.],  Tabla3[Matrícula Of. SEQ], " ")</f>
        <v>64MD06D2-12</v>
      </c>
      <c r="G308" s="2241" t="str">
        <f>IFERROR(VLOOKUP(D308,Tabla3[],5,FALSE),"")</f>
        <v>POLO FLORES HOLANDA ROSA</v>
      </c>
      <c r="H308" s="1608" t="str">
        <f t="shared" si="51"/>
        <v>M</v>
      </c>
      <c r="I308" s="1608" t="str">
        <f t="shared" si="52"/>
        <v>67</v>
      </c>
      <c r="J308" s="1608" t="str">
        <f t="shared" si="53"/>
        <v>08</v>
      </c>
      <c r="K308" s="1608" t="str">
        <f t="shared" si="54"/>
        <v>09</v>
      </c>
      <c r="L308" s="3818" t="str">
        <f>_xlfn.XLOOKUP($D308,  Tabla3[No.],  Tabla3[ESTATUS ACADÉMICO], " ")</f>
        <v>EGRESADO</v>
      </c>
      <c r="M308" s="2887" t="str">
        <f>_xlfn.XLOOKUP($D308,  Tabla3[No.],  Tabla3[Grupo de clase], " ")</f>
        <v>MD06B3</v>
      </c>
      <c r="N308" s="2809">
        <v>10</v>
      </c>
      <c r="O308" s="2247">
        <v>10</v>
      </c>
      <c r="P308" s="2469">
        <v>9.1999999999999993</v>
      </c>
      <c r="Q308" s="2912">
        <v>9.1999999999999993</v>
      </c>
      <c r="R308" s="2469">
        <v>10</v>
      </c>
      <c r="S308" s="2469">
        <v>10</v>
      </c>
      <c r="T308" s="2469">
        <v>10</v>
      </c>
      <c r="U308" s="2469">
        <v>10</v>
      </c>
      <c r="V308" s="2469"/>
      <c r="W308" s="2469"/>
      <c r="X308" s="2469"/>
      <c r="Y308" s="2247">
        <v>8</v>
      </c>
      <c r="Z308" s="2469">
        <v>8.1999999999999993</v>
      </c>
      <c r="AA308" s="2469">
        <v>9.85</v>
      </c>
      <c r="AB308" s="2469">
        <v>9.85</v>
      </c>
      <c r="AC308" s="2469">
        <v>9.6</v>
      </c>
      <c r="AD308" s="2469">
        <v>10</v>
      </c>
      <c r="AE308" s="2913" t="s">
        <v>1679</v>
      </c>
      <c r="AF308" s="2469">
        <v>10</v>
      </c>
      <c r="AG308" s="2469">
        <v>10</v>
      </c>
      <c r="AH308" s="2244">
        <v>10</v>
      </c>
      <c r="AI308" s="2244">
        <v>10</v>
      </c>
      <c r="AJ308" s="1772">
        <v>10</v>
      </c>
      <c r="AK308" s="1772">
        <v>10</v>
      </c>
      <c r="AL308" s="2245">
        <f t="shared" si="50"/>
        <v>9.6949999999999985</v>
      </c>
    </row>
    <row r="309" spans="1:44" s="2406" customFormat="1" ht="15.75" customHeight="1">
      <c r="A309" s="2244"/>
      <c r="B309" s="1772">
        <v>18</v>
      </c>
      <c r="C309" s="2242">
        <f>_xlfn.XLOOKUP($D309, Tabla3[No.], Tabla3[FECHA DE INICIO (PRIMERA CLASE CALENDARIO)]," ")</f>
        <v>45048</v>
      </c>
      <c r="D309" s="2244">
        <v>518</v>
      </c>
      <c r="E309" s="2241" t="str">
        <f>_xlfn.XLOOKUP($D309,  Tabla3[No.],  Tabla3[CURP], " ")</f>
        <v>ROCI970416MCP</v>
      </c>
      <c r="F309" s="2243" t="str">
        <f>_xlfn.XLOOKUP($D309,  Tabla3[No.],  Tabla3[Matrícula Of. SEQ], " ")</f>
        <v>64MD06D3-07</v>
      </c>
      <c r="G309" s="2241" t="str">
        <f>IFERROR(VLOOKUP(D309,Tabla3[],5,FALSE),"")</f>
        <v>ROWE CORDOBA ISIS RUTH</v>
      </c>
      <c r="H309" s="1608" t="str">
        <f t="shared" si="51"/>
        <v>M</v>
      </c>
      <c r="I309" s="1608" t="str">
        <f t="shared" si="52"/>
        <v>97</v>
      </c>
      <c r="J309" s="1608" t="str">
        <f t="shared" si="53"/>
        <v>04</v>
      </c>
      <c r="K309" s="1608" t="str">
        <f t="shared" si="54"/>
        <v>16</v>
      </c>
      <c r="L309" s="3818" t="str">
        <f>_xlfn.XLOOKUP($D309,  Tabla3[No.],  Tabla3[ESTATUS ACADÉMICO], " ")</f>
        <v>EGRESADO</v>
      </c>
      <c r="M309" s="2887" t="str">
        <f>_xlfn.XLOOKUP($D309,  Tabla3[No.],  Tabla3[Grupo de clase], " ")</f>
        <v>MD06B3</v>
      </c>
      <c r="N309" s="2809">
        <v>10</v>
      </c>
      <c r="O309" s="2247">
        <v>10</v>
      </c>
      <c r="P309" s="2469">
        <v>9.6</v>
      </c>
      <c r="Q309" s="2912">
        <v>9.6</v>
      </c>
      <c r="R309" s="2469">
        <v>10</v>
      </c>
      <c r="S309" s="2469">
        <v>10</v>
      </c>
      <c r="T309" s="2469">
        <v>10</v>
      </c>
      <c r="U309" s="2469">
        <v>10</v>
      </c>
      <c r="V309" s="2469"/>
      <c r="W309" s="2469"/>
      <c r="X309" s="2469"/>
      <c r="Y309" s="2247">
        <v>10</v>
      </c>
      <c r="Z309" s="2469">
        <v>9</v>
      </c>
      <c r="AA309" s="2469">
        <v>9.85</v>
      </c>
      <c r="AB309" s="2469">
        <v>9.85</v>
      </c>
      <c r="AC309" s="2469">
        <v>9.6</v>
      </c>
      <c r="AD309" s="2469">
        <v>10</v>
      </c>
      <c r="AE309" s="2913" t="s">
        <v>1679</v>
      </c>
      <c r="AF309" s="2469">
        <v>10</v>
      </c>
      <c r="AG309" s="2469">
        <v>10</v>
      </c>
      <c r="AH309" s="2244">
        <v>10</v>
      </c>
      <c r="AI309" s="2244">
        <v>10</v>
      </c>
      <c r="AJ309" s="1772">
        <v>10</v>
      </c>
      <c r="AK309" s="1772">
        <v>10</v>
      </c>
      <c r="AL309" s="2245">
        <f t="shared" si="50"/>
        <v>9.875</v>
      </c>
    </row>
    <row r="310" spans="1:44" s="2406" customFormat="1" ht="15.75" customHeight="1">
      <c r="A310" s="2244"/>
      <c r="B310" s="2870">
        <v>19</v>
      </c>
      <c r="C310" s="2242">
        <f>_xlfn.XLOOKUP($D310, Tabla3[No.], Tabla3[FECHA DE INICIO (PRIMERA CLASE CALENDARIO)]," ")</f>
        <v>45048</v>
      </c>
      <c r="D310" s="2244">
        <v>519</v>
      </c>
      <c r="E310" s="2241" t="str">
        <f>_xlfn.XLOOKUP($D310,  Tabla3[No.],  Tabla3[CURP], " ")</f>
        <v>SAAM681012HVP</v>
      </c>
      <c r="F310" s="2243" t="str">
        <f>_xlfn.XLOOKUP($D310,  Tabla3[No.],  Tabla3[Matrícula Of. SEQ], " ")</f>
        <v>64MD06D3-08</v>
      </c>
      <c r="G310" s="2241" t="str">
        <f>IFERROR(VLOOKUP(D310,Tabla3[],5,FALSE),"")</f>
        <v>SALINAS ACOSTA MIGUEL ANGEL</v>
      </c>
      <c r="H310" s="1608" t="str">
        <f t="shared" si="51"/>
        <v>H</v>
      </c>
      <c r="I310" s="1608" t="str">
        <f t="shared" si="52"/>
        <v>68</v>
      </c>
      <c r="J310" s="1608" t="str">
        <f t="shared" si="53"/>
        <v>10</v>
      </c>
      <c r="K310" s="1608" t="str">
        <f t="shared" si="54"/>
        <v>12</v>
      </c>
      <c r="L310" s="3818" t="str">
        <f>_xlfn.XLOOKUP($D310,  Tabla3[No.],  Tabla3[ESTATUS ACADÉMICO], " ")</f>
        <v>EGRESADO</v>
      </c>
      <c r="M310" s="2887" t="str">
        <f>_xlfn.XLOOKUP($D310,  Tabla3[No.],  Tabla3[Grupo de clase], " ")</f>
        <v>MD06B3</v>
      </c>
      <c r="N310" s="2809">
        <v>10</v>
      </c>
      <c r="O310" s="2247">
        <v>10</v>
      </c>
      <c r="P310" s="2469">
        <v>9.1</v>
      </c>
      <c r="Q310" s="2912">
        <v>9.1</v>
      </c>
      <c r="R310" s="2469">
        <v>10</v>
      </c>
      <c r="S310" s="2469">
        <v>10</v>
      </c>
      <c r="T310" s="2469">
        <v>10</v>
      </c>
      <c r="U310" s="2469">
        <v>10</v>
      </c>
      <c r="V310" s="2469"/>
      <c r="W310" s="2469"/>
      <c r="X310" s="2469"/>
      <c r="Y310" s="2247">
        <v>10</v>
      </c>
      <c r="Z310" s="2469">
        <v>9</v>
      </c>
      <c r="AA310" s="2469">
        <v>9.85</v>
      </c>
      <c r="AB310" s="2469">
        <v>9.85</v>
      </c>
      <c r="AC310" s="2469">
        <v>9.6</v>
      </c>
      <c r="AD310" s="2469">
        <v>10</v>
      </c>
      <c r="AE310" s="2913" t="s">
        <v>1679</v>
      </c>
      <c r="AF310" s="2469">
        <v>10</v>
      </c>
      <c r="AG310" s="2469">
        <v>10</v>
      </c>
      <c r="AH310" s="2244">
        <v>10</v>
      </c>
      <c r="AI310" s="2244">
        <v>10</v>
      </c>
      <c r="AJ310" s="1772">
        <v>10</v>
      </c>
      <c r="AK310" s="1772">
        <v>9</v>
      </c>
      <c r="AL310" s="2245">
        <f t="shared" si="50"/>
        <v>9.7750000000000004</v>
      </c>
    </row>
    <row r="311" spans="1:44" s="2406" customFormat="1" ht="15.75" customHeight="1">
      <c r="A311" s="2244"/>
      <c r="B311" s="1772">
        <v>20</v>
      </c>
      <c r="C311" s="2242">
        <f>_xlfn.XLOOKUP($D311, Tabla3[No.], Tabla3[FECHA DE INICIO (PRIMERA CLASE CALENDARIO)]," ")</f>
        <v>45048</v>
      </c>
      <c r="D311" s="2244">
        <v>520</v>
      </c>
      <c r="E311" s="2241" t="str">
        <f>_xlfn.XLOOKUP($D311,  Tabla3[No.],  Tabla3[CURP], " ")</f>
        <v>SESO820401HPP</v>
      </c>
      <c r="F311" s="2243" t="str">
        <f>_xlfn.XLOOKUP($D311,  Tabla3[No.],  Tabla3[Matrícula Of. SEQ], " ")</f>
        <v>64MD06D3-09</v>
      </c>
      <c r="G311" s="2241" t="str">
        <f>IFERROR(VLOOKUP(D311,Tabla3[],5,FALSE),"")</f>
        <v>SEGURA SALAZAR ORLANDO</v>
      </c>
      <c r="H311" s="1608" t="str">
        <f t="shared" si="51"/>
        <v>H</v>
      </c>
      <c r="I311" s="1608" t="str">
        <f t="shared" si="52"/>
        <v>82</v>
      </c>
      <c r="J311" s="1608" t="str">
        <f t="shared" si="53"/>
        <v>04</v>
      </c>
      <c r="K311" s="1608" t="str">
        <f t="shared" si="54"/>
        <v>01</v>
      </c>
      <c r="L311" s="3818" t="str">
        <f>_xlfn.XLOOKUP($D311,  Tabla3[No.],  Tabla3[ESTATUS ACADÉMICO], " ")</f>
        <v>EGRESADO</v>
      </c>
      <c r="M311" s="2887" t="str">
        <f>_xlfn.XLOOKUP($D311,  Tabla3[No.],  Tabla3[Grupo de clase], " ")</f>
        <v>MD06B3</v>
      </c>
      <c r="N311" s="2809">
        <v>10</v>
      </c>
      <c r="O311" s="2247">
        <v>10</v>
      </c>
      <c r="P311" s="2469">
        <v>9.5</v>
      </c>
      <c r="Q311" s="2912">
        <v>9.5</v>
      </c>
      <c r="R311" s="2469">
        <v>10</v>
      </c>
      <c r="S311" s="2469">
        <v>10</v>
      </c>
      <c r="T311" s="2469">
        <v>10</v>
      </c>
      <c r="U311" s="2469">
        <v>10</v>
      </c>
      <c r="V311" s="2469"/>
      <c r="W311" s="2469"/>
      <c r="X311" s="2469"/>
      <c r="Y311" s="2247">
        <v>8</v>
      </c>
      <c r="Z311" s="2469">
        <v>9</v>
      </c>
      <c r="AA311" s="2469">
        <v>9.85</v>
      </c>
      <c r="AB311" s="2469">
        <v>9.85</v>
      </c>
      <c r="AC311" s="2469">
        <v>9.6</v>
      </c>
      <c r="AD311" s="2469">
        <v>10</v>
      </c>
      <c r="AE311" s="2913" t="s">
        <v>1679</v>
      </c>
      <c r="AF311" s="2469">
        <v>10</v>
      </c>
      <c r="AG311" s="2469">
        <v>10</v>
      </c>
      <c r="AH311" s="2244">
        <v>9</v>
      </c>
      <c r="AI311" s="2244">
        <v>10</v>
      </c>
      <c r="AJ311" s="1772">
        <v>10</v>
      </c>
      <c r="AK311" s="1772">
        <v>8</v>
      </c>
      <c r="AL311" s="2245">
        <f t="shared" si="50"/>
        <v>9.6149999999999984</v>
      </c>
    </row>
    <row r="312" spans="1:44" s="2406" customFormat="1" ht="15.75" customHeight="1">
      <c r="A312" s="2244"/>
      <c r="B312" s="2870">
        <v>21</v>
      </c>
      <c r="C312" s="2242">
        <f>_xlfn.XLOOKUP($D312, Tabla3[No.], Tabla3[FECHA DE INICIO (PRIMERA CLASE CALENDARIO)]," ")</f>
        <v>45048</v>
      </c>
      <c r="D312" s="2244">
        <v>521</v>
      </c>
      <c r="E312" s="2241" t="str">
        <f>_xlfn.XLOOKUP($D312,  Tabla3[No.],  Tabla3[CURP], " ")</f>
        <v>SIAC760710H</v>
      </c>
      <c r="F312" s="2243" t="str">
        <f>_xlfn.XLOOKUP($D312,  Tabla3[No.],  Tabla3[Matrícula Of. SEQ], " ")</f>
        <v>64MD06D3-10</v>
      </c>
      <c r="G312" s="2241" t="str">
        <f>IFERROR(VLOOKUP(D312,Tabla3[],5,FALSE),"")</f>
        <v>SIERRA AVILA CARLO ERNESTO</v>
      </c>
      <c r="H312" s="1608" t="str">
        <f t="shared" si="51"/>
        <v>H</v>
      </c>
      <c r="I312" s="1608" t="str">
        <f t="shared" si="52"/>
        <v>76</v>
      </c>
      <c r="J312" s="1608" t="str">
        <f t="shared" si="53"/>
        <v>07</v>
      </c>
      <c r="K312" s="1608" t="str">
        <f t="shared" si="54"/>
        <v>10</v>
      </c>
      <c r="L312" s="3818" t="str">
        <f>_xlfn.XLOOKUP($D312,  Tabla3[No.],  Tabla3[ESTATUS ACADÉMICO], " ")</f>
        <v>EGRESADO</v>
      </c>
      <c r="M312" s="2887" t="str">
        <f>_xlfn.XLOOKUP($D312,  Tabla3[No.],  Tabla3[Grupo de clase], " ")</f>
        <v>MD06B3</v>
      </c>
      <c r="N312" s="2809">
        <v>10</v>
      </c>
      <c r="O312" s="2247">
        <v>10</v>
      </c>
      <c r="P312" s="2469">
        <v>9.1</v>
      </c>
      <c r="Q312" s="2912">
        <v>9.1</v>
      </c>
      <c r="R312" s="2469">
        <v>10</v>
      </c>
      <c r="S312" s="2469">
        <v>10</v>
      </c>
      <c r="T312" s="2469">
        <v>10</v>
      </c>
      <c r="U312" s="2469">
        <v>10</v>
      </c>
      <c r="V312" s="2469"/>
      <c r="W312" s="2469"/>
      <c r="X312" s="2469"/>
      <c r="Y312" s="2247">
        <v>10</v>
      </c>
      <c r="Z312" s="2469">
        <v>9</v>
      </c>
      <c r="AA312" s="2469">
        <v>9.85</v>
      </c>
      <c r="AB312" s="2469">
        <v>9.85</v>
      </c>
      <c r="AC312" s="2469">
        <v>10</v>
      </c>
      <c r="AD312" s="2469">
        <v>10</v>
      </c>
      <c r="AE312" s="2913" t="s">
        <v>1679</v>
      </c>
      <c r="AF312" s="2469">
        <v>10</v>
      </c>
      <c r="AG312" s="2469">
        <v>10</v>
      </c>
      <c r="AH312" s="2244">
        <v>10</v>
      </c>
      <c r="AI312" s="2244">
        <v>10</v>
      </c>
      <c r="AJ312" s="1772">
        <v>10</v>
      </c>
      <c r="AK312" s="1772">
        <v>10</v>
      </c>
      <c r="AL312" s="2245">
        <f t="shared" si="50"/>
        <v>9.8449999999999989</v>
      </c>
    </row>
    <row r="313" spans="1:44" s="2406" customFormat="1" ht="15.75" customHeight="1">
      <c r="A313" s="2244"/>
      <c r="B313" s="1772">
        <v>22</v>
      </c>
      <c r="C313" s="2242">
        <f>_xlfn.XLOOKUP($D313, Tabla3[No.], Tabla3[FECHA DE INICIO (PRIMERA CLASE CALENDARIO)]," ")</f>
        <v>45048</v>
      </c>
      <c r="D313" s="2244">
        <v>522</v>
      </c>
      <c r="E313" s="2241" t="str">
        <f>_xlfn.XLOOKUP($D313,  Tabla3[No.],  Tabla3[CURP], " ")</f>
        <v>SODM680821M</v>
      </c>
      <c r="F313" s="2243" t="str">
        <f>_xlfn.XLOOKUP($D313,  Tabla3[No.],  Tabla3[Matrícula Of. SEQ], " ")</f>
        <v>64MD06D3-11</v>
      </c>
      <c r="G313" s="2241" t="str">
        <f>IFERROR(VLOOKUP(D313,Tabla3[],5,FALSE),"")</f>
        <v xml:space="preserve">SUIRA SOBENIS  MARIBEL </v>
      </c>
      <c r="H313" s="1608" t="str">
        <f t="shared" si="51"/>
        <v>M</v>
      </c>
      <c r="I313" s="1608" t="str">
        <f t="shared" si="52"/>
        <v>68</v>
      </c>
      <c r="J313" s="1608" t="str">
        <f t="shared" si="53"/>
        <v>08</v>
      </c>
      <c r="K313" s="1608" t="str">
        <f t="shared" si="54"/>
        <v>21</v>
      </c>
      <c r="L313" s="3818" t="str">
        <f>_xlfn.XLOOKUP($D313,  Tabla3[No.],  Tabla3[ESTATUS ACADÉMICO], " ")</f>
        <v>EGRESADO</v>
      </c>
      <c r="M313" s="2887" t="str">
        <f>_xlfn.XLOOKUP($D313,  Tabla3[No.],  Tabla3[Grupo de clase], " ")</f>
        <v>MD06B3</v>
      </c>
      <c r="N313" s="2809">
        <v>10</v>
      </c>
      <c r="O313" s="2247">
        <v>10</v>
      </c>
      <c r="P313" s="2469">
        <v>9.6</v>
      </c>
      <c r="Q313" s="2912">
        <v>9.6</v>
      </c>
      <c r="R313" s="2469">
        <v>10</v>
      </c>
      <c r="S313" s="2469">
        <v>10</v>
      </c>
      <c r="T313" s="2469">
        <v>10</v>
      </c>
      <c r="U313" s="2469">
        <v>10</v>
      </c>
      <c r="V313" s="2469"/>
      <c r="W313" s="2469"/>
      <c r="X313" s="2469"/>
      <c r="Y313" s="2247">
        <v>10</v>
      </c>
      <c r="Z313" s="2469">
        <v>9</v>
      </c>
      <c r="AA313" s="2469">
        <v>9.85</v>
      </c>
      <c r="AB313" s="2469">
        <v>9.85</v>
      </c>
      <c r="AC313" s="2469">
        <v>9.6</v>
      </c>
      <c r="AD313" s="2469">
        <v>10</v>
      </c>
      <c r="AE313" s="2913" t="s">
        <v>1679</v>
      </c>
      <c r="AF313" s="2469">
        <v>10</v>
      </c>
      <c r="AG313" s="2469">
        <v>10</v>
      </c>
      <c r="AH313" s="2244">
        <v>10</v>
      </c>
      <c r="AI313" s="2244">
        <v>10</v>
      </c>
      <c r="AJ313" s="1772">
        <v>10</v>
      </c>
      <c r="AK313" s="1772">
        <v>10</v>
      </c>
      <c r="AL313" s="2245">
        <f t="shared" si="50"/>
        <v>9.875</v>
      </c>
    </row>
    <row r="314" spans="1:44" s="2406" customFormat="1" ht="15.75" customHeight="1">
      <c r="A314" s="2244"/>
      <c r="B314" s="2870">
        <v>23</v>
      </c>
      <c r="C314" s="2242">
        <f>_xlfn.XLOOKUP($D314, Tabla3[No.], Tabla3[FECHA DE INICIO (PRIMERA CLASE CALENDARIO)]," ")</f>
        <v>45048</v>
      </c>
      <c r="D314" s="2244">
        <v>523</v>
      </c>
      <c r="E314" s="2241" t="str">
        <f>_xlfn.XLOOKUP($D314,  Tabla3[No.],  Tabla3[CURP], " ")</f>
        <v>TEOE830513MDP</v>
      </c>
      <c r="F314" s="2243" t="str">
        <f>_xlfn.XLOOKUP($D314,  Tabla3[No.],  Tabla3[Matrícula Of. SEQ], " ")</f>
        <v>64MD06D3-12</v>
      </c>
      <c r="G314" s="2241" t="str">
        <f>IFERROR(VLOOKUP(D314,Tabla3[],5,FALSE),"")</f>
        <v>TEJADA OSORIO ELA INDIRA</v>
      </c>
      <c r="H314" s="1608" t="str">
        <f t="shared" si="51"/>
        <v>M</v>
      </c>
      <c r="I314" s="1608" t="str">
        <f t="shared" si="52"/>
        <v>83</v>
      </c>
      <c r="J314" s="1608" t="str">
        <f t="shared" si="53"/>
        <v>05</v>
      </c>
      <c r="K314" s="1608" t="str">
        <f t="shared" si="54"/>
        <v>13</v>
      </c>
      <c r="L314" s="3818" t="str">
        <f>_xlfn.XLOOKUP($D314,  Tabla3[No.],  Tabla3[ESTATUS ACADÉMICO], " ")</f>
        <v>EGRESADO</v>
      </c>
      <c r="M314" s="2887" t="str">
        <f>_xlfn.XLOOKUP($D314,  Tabla3[No.],  Tabla3[Grupo de clase], " ")</f>
        <v>MD06B3</v>
      </c>
      <c r="N314" s="2809">
        <v>10</v>
      </c>
      <c r="O314" s="2247">
        <v>10</v>
      </c>
      <c r="P314" s="2469">
        <v>9.6</v>
      </c>
      <c r="Q314" s="2912">
        <v>9.1</v>
      </c>
      <c r="R314" s="2469">
        <v>10</v>
      </c>
      <c r="S314" s="2469">
        <v>10</v>
      </c>
      <c r="T314" s="2469">
        <v>10</v>
      </c>
      <c r="U314" s="2469">
        <v>10</v>
      </c>
      <c r="V314" s="2469"/>
      <c r="W314" s="2469"/>
      <c r="X314" s="2469"/>
      <c r="Y314" s="2247">
        <v>10</v>
      </c>
      <c r="Z314" s="2469">
        <v>8.6</v>
      </c>
      <c r="AA314" s="2469">
        <v>9.85</v>
      </c>
      <c r="AB314" s="2469">
        <v>9.6999999999999993</v>
      </c>
      <c r="AC314" s="2469">
        <v>9.6</v>
      </c>
      <c r="AD314" s="2469">
        <v>10</v>
      </c>
      <c r="AE314" s="2913" t="s">
        <v>1679</v>
      </c>
      <c r="AF314" s="2469">
        <v>10</v>
      </c>
      <c r="AG314" s="2469">
        <v>10</v>
      </c>
      <c r="AH314" s="2244">
        <v>10</v>
      </c>
      <c r="AI314" s="2244">
        <v>10</v>
      </c>
      <c r="AJ314" s="1772">
        <v>10</v>
      </c>
      <c r="AK314" s="1772">
        <v>10</v>
      </c>
      <c r="AL314" s="2245">
        <f t="shared" si="50"/>
        <v>9.8224999999999998</v>
      </c>
    </row>
    <row r="315" spans="1:44" s="2406" customFormat="1" ht="15.75" customHeight="1">
      <c r="A315" s="2244"/>
      <c r="B315" s="1772">
        <v>24</v>
      </c>
      <c r="C315" s="2242">
        <f>_xlfn.XLOOKUP($D315, Tabla3[No.], Tabla3[FECHA DE INICIO (PRIMERA CLASE CALENDARIO)]," ")</f>
        <v>45048</v>
      </c>
      <c r="D315" s="2244">
        <v>524</v>
      </c>
      <c r="E315" s="2241" t="str">
        <f>_xlfn.XLOOKUP($D315,  Tabla3[No.],  Tabla3[CURP], " ")</f>
        <v>VECM850503M</v>
      </c>
      <c r="F315" s="2243" t="str">
        <f>_xlfn.XLOOKUP($D315,  Tabla3[No.],  Tabla3[Matrícula Of. SEQ], " ")</f>
        <v>64MD06D3-13</v>
      </c>
      <c r="G315" s="2241" t="str">
        <f>IFERROR(VLOOKUP(D315,Tabla3[],5,FALSE),"")</f>
        <v>VEGA CUELLAR MELIDA DEL CARMEN</v>
      </c>
      <c r="H315" s="1608" t="str">
        <f t="shared" si="51"/>
        <v>M</v>
      </c>
      <c r="I315" s="1608" t="str">
        <f t="shared" si="52"/>
        <v>85</v>
      </c>
      <c r="J315" s="1608" t="str">
        <f t="shared" si="53"/>
        <v>05</v>
      </c>
      <c r="K315" s="1608" t="str">
        <f t="shared" si="54"/>
        <v>03</v>
      </c>
      <c r="L315" s="3818" t="str">
        <f>_xlfn.XLOOKUP($D315,  Tabla3[No.],  Tabla3[ESTATUS ACADÉMICO], " ")</f>
        <v>EGRESADO</v>
      </c>
      <c r="M315" s="2887" t="str">
        <f>_xlfn.XLOOKUP($D315,  Tabla3[No.],  Tabla3[Grupo de clase], " ")</f>
        <v>MD06B3</v>
      </c>
      <c r="N315" s="2809">
        <v>10</v>
      </c>
      <c r="O315" s="2247">
        <v>10</v>
      </c>
      <c r="P315" s="2469">
        <v>9.1</v>
      </c>
      <c r="Q315" s="2912">
        <v>9.6</v>
      </c>
      <c r="R315" s="2469">
        <v>10</v>
      </c>
      <c r="S315" s="2469">
        <v>10</v>
      </c>
      <c r="T315" s="2469">
        <v>10</v>
      </c>
      <c r="U315" s="2469">
        <v>10</v>
      </c>
      <c r="V315" s="2469"/>
      <c r="W315" s="2469"/>
      <c r="X315" s="2469"/>
      <c r="Y315" s="2247">
        <v>10</v>
      </c>
      <c r="Z315" s="2469">
        <v>9</v>
      </c>
      <c r="AA315" s="2469">
        <v>9.85</v>
      </c>
      <c r="AB315" s="2469">
        <v>9.85</v>
      </c>
      <c r="AC315" s="2469">
        <v>9.6</v>
      </c>
      <c r="AD315" s="2469">
        <v>10</v>
      </c>
      <c r="AE315" s="2913" t="s">
        <v>1679</v>
      </c>
      <c r="AF315" s="2469">
        <v>10</v>
      </c>
      <c r="AG315" s="2469">
        <v>10</v>
      </c>
      <c r="AH315" s="2244">
        <v>10</v>
      </c>
      <c r="AI315" s="2244">
        <v>10</v>
      </c>
      <c r="AJ315" s="1772">
        <v>10</v>
      </c>
      <c r="AK315" s="1772">
        <v>10</v>
      </c>
      <c r="AL315" s="2245">
        <f t="shared" si="50"/>
        <v>9.85</v>
      </c>
    </row>
    <row r="316" spans="1:44" s="2406" customFormat="1" ht="15.75" customHeight="1">
      <c r="L316" s="299"/>
    </row>
    <row r="317" spans="1:44" ht="15.75" customHeight="1"/>
    <row r="318" spans="1:44" ht="15.75" customHeight="1">
      <c r="B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L318" s="3"/>
      <c r="AM318" s="3"/>
      <c r="AQ318" s="2"/>
    </row>
    <row r="319" spans="1:44" s="2406" customFormat="1" ht="15.75" customHeight="1" thickBot="1">
      <c r="L319" s="299"/>
      <c r="M319" s="2406" t="s">
        <v>765</v>
      </c>
      <c r="N319" s="2406" t="s">
        <v>448</v>
      </c>
      <c r="O319" s="2406" t="s">
        <v>449</v>
      </c>
      <c r="P319" s="2406" t="s">
        <v>562</v>
      </c>
      <c r="Q319" s="2406" t="s">
        <v>451</v>
      </c>
      <c r="R319" s="2406" t="s">
        <v>452</v>
      </c>
      <c r="S319" s="2406" t="s">
        <v>453</v>
      </c>
      <c r="T319" s="2406" t="s">
        <v>454</v>
      </c>
      <c r="U319" s="2406" t="s">
        <v>937</v>
      </c>
      <c r="AQ319" s="206"/>
    </row>
    <row r="320" spans="1:44" s="2406" customFormat="1" ht="15.75" customHeight="1" thickBot="1">
      <c r="B320" s="4228" t="s">
        <v>5</v>
      </c>
      <c r="C320" s="2409" t="s">
        <v>506</v>
      </c>
      <c r="D320" s="2410"/>
      <c r="E320" s="4173" t="s">
        <v>6</v>
      </c>
      <c r="F320" s="4172" t="s">
        <v>7</v>
      </c>
      <c r="G320" s="4176" t="s">
        <v>8</v>
      </c>
      <c r="H320" s="4169" t="s">
        <v>9</v>
      </c>
      <c r="I320" s="4168" t="s">
        <v>10</v>
      </c>
      <c r="J320" s="4168"/>
      <c r="K320" s="4168"/>
      <c r="L320" s="3957"/>
      <c r="M320" s="4215" t="s">
        <v>1149</v>
      </c>
      <c r="N320" s="2479" t="s">
        <v>507</v>
      </c>
      <c r="O320" s="2415" t="s">
        <v>1769</v>
      </c>
      <c r="P320" s="2415"/>
      <c r="Q320" s="2415"/>
      <c r="R320" s="2415"/>
      <c r="S320" s="2415"/>
      <c r="T320" s="2415"/>
      <c r="U320" s="2415"/>
      <c r="V320" s="2415"/>
      <c r="W320" s="2415"/>
      <c r="X320" s="2415"/>
      <c r="Y320" s="2415"/>
      <c r="Z320" s="2415"/>
      <c r="AA320" s="2415"/>
      <c r="AB320" s="2922"/>
      <c r="AC320" s="2244"/>
      <c r="AD320" s="2244"/>
      <c r="AE320" s="2244"/>
      <c r="AF320" s="2244"/>
      <c r="AG320" s="2244"/>
      <c r="AH320" s="2244"/>
      <c r="AI320" s="2244"/>
      <c r="AJ320" s="2244"/>
      <c r="AK320" s="2244"/>
      <c r="AL320" s="2244"/>
      <c r="AR320" s="206"/>
    </row>
    <row r="321" spans="1:44" s="2406" customFormat="1" ht="55.35" customHeight="1" thickBot="1">
      <c r="A321" s="2433" t="s">
        <v>27</v>
      </c>
      <c r="B321" s="4228"/>
      <c r="C321" s="2409" t="s">
        <v>1767</v>
      </c>
      <c r="D321" s="2414"/>
      <c r="E321" s="4230"/>
      <c r="F321" s="4172"/>
      <c r="G321" s="4176"/>
      <c r="H321" s="4169"/>
      <c r="I321" s="4168"/>
      <c r="J321" s="4168"/>
      <c r="K321" s="4168"/>
      <c r="L321" s="3957"/>
      <c r="M321" s="4215"/>
      <c r="N321" s="2923" t="s">
        <v>1768</v>
      </c>
      <c r="O321" s="2923" t="s">
        <v>1768</v>
      </c>
      <c r="P321" s="2415"/>
      <c r="Q321" s="2415"/>
      <c r="R321" s="2415"/>
      <c r="S321" s="2415"/>
      <c r="T321" s="2415"/>
      <c r="U321" s="2415"/>
      <c r="V321" s="2415"/>
      <c r="W321" s="2415"/>
      <c r="X321" s="2415"/>
      <c r="Y321" s="2415"/>
      <c r="Z321" s="2415"/>
      <c r="AA321" s="2415"/>
      <c r="AB321" s="2922"/>
      <c r="AC321" s="2244"/>
      <c r="AD321" s="2244"/>
      <c r="AE321" s="2244"/>
      <c r="AF321" s="2244"/>
      <c r="AG321" s="2244"/>
      <c r="AH321" s="2244"/>
      <c r="AI321" s="2244"/>
      <c r="AJ321" s="2244"/>
      <c r="AK321" s="2244"/>
      <c r="AL321" s="2244"/>
      <c r="AR321" s="206"/>
    </row>
    <row r="322" spans="1:44" s="2406" customFormat="1" ht="25.35" customHeight="1" thickBot="1">
      <c r="A322" s="2434" t="s">
        <v>1729</v>
      </c>
      <c r="B322" s="4228"/>
      <c r="C322" s="2420" t="s">
        <v>464</v>
      </c>
      <c r="D322" s="1669"/>
      <c r="E322" s="4230"/>
      <c r="F322" s="4172"/>
      <c r="G322" s="4176"/>
      <c r="H322" s="4169"/>
      <c r="I322" s="4168"/>
      <c r="J322" s="4168"/>
      <c r="K322" s="4168"/>
      <c r="L322" s="3957"/>
      <c r="M322" s="2420" t="s">
        <v>1728</v>
      </c>
      <c r="N322" s="2924" t="s">
        <v>567</v>
      </c>
      <c r="O322" s="2924" t="s">
        <v>567</v>
      </c>
      <c r="P322" s="2924" t="s">
        <v>573</v>
      </c>
      <c r="Q322" s="2925" t="s">
        <v>568</v>
      </c>
      <c r="R322" s="2925" t="s">
        <v>577</v>
      </c>
      <c r="S322" s="2926" t="s">
        <v>576</v>
      </c>
      <c r="T322" s="2926" t="s">
        <v>568</v>
      </c>
      <c r="U322" s="2927" t="s">
        <v>569</v>
      </c>
      <c r="V322" s="2927"/>
      <c r="W322" s="2927"/>
      <c r="X322" s="2927"/>
      <c r="Y322" s="2927" t="s">
        <v>566</v>
      </c>
      <c r="Z322" s="2928" t="s">
        <v>572</v>
      </c>
      <c r="AA322" s="2928" t="s">
        <v>572</v>
      </c>
      <c r="AB322" s="2928" t="s">
        <v>572</v>
      </c>
      <c r="AC322" s="2929" t="s">
        <v>575</v>
      </c>
      <c r="AD322" s="2930" t="s">
        <v>578</v>
      </c>
      <c r="AE322" s="2930" t="s">
        <v>570</v>
      </c>
      <c r="AF322" s="2931" t="s">
        <v>571</v>
      </c>
      <c r="AG322" s="2932" t="s">
        <v>569</v>
      </c>
      <c r="AH322" s="2900" t="s">
        <v>575</v>
      </c>
      <c r="AI322" s="2900" t="s">
        <v>565</v>
      </c>
      <c r="AJ322" s="2900"/>
      <c r="AK322" s="2900"/>
      <c r="AL322" s="2900" t="s">
        <v>579</v>
      </c>
      <c r="AM322" s="2900" t="s">
        <v>579</v>
      </c>
      <c r="AR322" s="206"/>
    </row>
    <row r="323" spans="1:44" s="2406" customFormat="1" ht="55.35" customHeight="1" thickBot="1">
      <c r="A323" s="2406" t="s">
        <v>1639</v>
      </c>
      <c r="B323" s="4229"/>
      <c r="C323" s="1309" t="s">
        <v>263</v>
      </c>
      <c r="D323" s="1669"/>
      <c r="E323" s="4230"/>
      <c r="F323" s="4172"/>
      <c r="G323" s="2488" t="s">
        <v>78</v>
      </c>
      <c r="H323" s="4169"/>
      <c r="I323" s="2422" t="s">
        <v>79</v>
      </c>
      <c r="J323" s="2422" t="s">
        <v>80</v>
      </c>
      <c r="K323" s="2422" t="s">
        <v>81</v>
      </c>
      <c r="L323" s="3953" t="s">
        <v>1759</v>
      </c>
      <c r="M323" s="2420" t="s">
        <v>409</v>
      </c>
      <c r="N323" s="2933" t="s">
        <v>3530</v>
      </c>
      <c r="O323" s="2933" t="s">
        <v>3530</v>
      </c>
      <c r="P323" s="2933" t="s">
        <v>116</v>
      </c>
      <c r="Q323" s="2933" t="s">
        <v>3531</v>
      </c>
      <c r="R323" s="2934" t="s">
        <v>3532</v>
      </c>
      <c r="S323" s="1374" t="s">
        <v>3533</v>
      </c>
      <c r="T323" s="2906" t="s">
        <v>3534</v>
      </c>
      <c r="U323" s="1374" t="s">
        <v>3535</v>
      </c>
      <c r="V323" s="1374"/>
      <c r="W323" s="1374"/>
      <c r="X323" s="1374"/>
      <c r="Y323" s="2906" t="s">
        <v>3536</v>
      </c>
      <c r="Z323" s="2935" t="s">
        <v>3537</v>
      </c>
      <c r="AA323" s="2936" t="s">
        <v>3538</v>
      </c>
      <c r="AB323" s="2936" t="s">
        <v>3539</v>
      </c>
      <c r="AC323" s="2936" t="s">
        <v>3540</v>
      </c>
      <c r="AD323" s="2937" t="s">
        <v>102</v>
      </c>
      <c r="AE323" s="2937" t="s">
        <v>3541</v>
      </c>
      <c r="AF323" s="2938" t="s">
        <v>1294</v>
      </c>
      <c r="AG323" s="2939" t="s">
        <v>127</v>
      </c>
      <c r="AH323" s="2910" t="s">
        <v>606</v>
      </c>
      <c r="AI323" s="2910" t="s">
        <v>3542</v>
      </c>
      <c r="AJ323" s="2940"/>
      <c r="AK323" s="2940"/>
      <c r="AL323" s="2910" t="s">
        <v>3543</v>
      </c>
      <c r="AM323" s="2910" t="s">
        <v>3544</v>
      </c>
      <c r="AN323" s="2941" t="s">
        <v>1394</v>
      </c>
      <c r="AR323" s="206"/>
    </row>
    <row r="324" spans="1:44" s="2406" customFormat="1" ht="15.75" customHeight="1">
      <c r="A324" s="1772" t="s">
        <v>1621</v>
      </c>
      <c r="B324" s="2248">
        <v>1</v>
      </c>
      <c r="C324" s="2942">
        <v>44649</v>
      </c>
      <c r="D324" s="2942"/>
      <c r="E324" s="2276" t="s">
        <v>923</v>
      </c>
      <c r="F324" s="2943" t="s">
        <v>508</v>
      </c>
      <c r="G324" s="2944" t="s">
        <v>509</v>
      </c>
      <c r="H324" s="2945" t="s">
        <v>433</v>
      </c>
      <c r="I324" s="2946" t="s">
        <v>2741</v>
      </c>
      <c r="J324" s="2946" t="s">
        <v>3492</v>
      </c>
      <c r="K324" s="2946" t="s">
        <v>3492</v>
      </c>
      <c r="L324" s="3666" t="s">
        <v>1195</v>
      </c>
      <c r="M324" s="2947" t="s">
        <v>510</v>
      </c>
      <c r="N324" s="2248">
        <v>10</v>
      </c>
      <c r="O324" s="2248">
        <v>10</v>
      </c>
      <c r="P324" s="2248">
        <v>10</v>
      </c>
      <c r="Q324" s="2248">
        <v>10</v>
      </c>
      <c r="R324" s="2247">
        <v>10</v>
      </c>
      <c r="S324" s="2248">
        <v>10</v>
      </c>
      <c r="T324" s="2247" t="s">
        <v>3498</v>
      </c>
      <c r="U324" s="2248">
        <v>9.6</v>
      </c>
      <c r="V324" s="2248"/>
      <c r="W324" s="2248"/>
      <c r="X324" s="2248"/>
      <c r="Y324" s="2247">
        <v>10</v>
      </c>
      <c r="Z324" s="2247">
        <v>9.6</v>
      </c>
      <c r="AA324" s="2247">
        <v>10</v>
      </c>
      <c r="AB324" s="2247">
        <v>9.4</v>
      </c>
      <c r="AC324" s="2247">
        <v>10</v>
      </c>
      <c r="AD324" s="2247">
        <v>9.3000000000000007</v>
      </c>
      <c r="AE324" s="2948">
        <f t="shared" ref="AE324:AE347" si="55">(AB324*0.4)+(AC324*0.3)+(AD324*0.3)</f>
        <v>9.5500000000000007</v>
      </c>
      <c r="AF324" s="2469">
        <v>10</v>
      </c>
      <c r="AG324" s="2247">
        <v>9.1999999999999993</v>
      </c>
      <c r="AH324" s="2247">
        <v>10</v>
      </c>
      <c r="AI324" s="2244">
        <v>9</v>
      </c>
      <c r="AJ324" s="2244"/>
      <c r="AK324" s="2244"/>
      <c r="AL324" s="2244">
        <v>10</v>
      </c>
      <c r="AM324" s="2244">
        <v>10</v>
      </c>
      <c r="AN324" s="2245">
        <f t="shared" ref="AN324:AN347" si="56">AVERAGE(O324:AM324)</f>
        <v>9.7710526315789465</v>
      </c>
      <c r="AR324" s="206"/>
    </row>
    <row r="325" spans="1:44" s="2406" customFormat="1" ht="15.75" customHeight="1">
      <c r="A325" s="1772" t="s">
        <v>1621</v>
      </c>
      <c r="B325" s="2248">
        <v>2</v>
      </c>
      <c r="C325" s="2942">
        <v>44649</v>
      </c>
      <c r="D325" s="2942"/>
      <c r="E325" s="2276" t="s">
        <v>923</v>
      </c>
      <c r="F325" s="2943" t="s">
        <v>511</v>
      </c>
      <c r="G325" s="2949" t="s">
        <v>512</v>
      </c>
      <c r="H325" s="223" t="s">
        <v>432</v>
      </c>
      <c r="I325" s="2946" t="s">
        <v>3493</v>
      </c>
      <c r="J325" s="2946" t="s">
        <v>3494</v>
      </c>
      <c r="K325" s="2946" t="s">
        <v>3495</v>
      </c>
      <c r="L325" s="3666" t="s">
        <v>1195</v>
      </c>
      <c r="M325" s="2468" t="s">
        <v>510</v>
      </c>
      <c r="N325" s="2248">
        <v>10</v>
      </c>
      <c r="O325" s="2248">
        <v>10</v>
      </c>
      <c r="P325" s="2248">
        <v>10</v>
      </c>
      <c r="Q325" s="2248">
        <v>9.6</v>
      </c>
      <c r="R325" s="2247">
        <v>10</v>
      </c>
      <c r="S325" s="2248">
        <v>10</v>
      </c>
      <c r="T325" s="2247">
        <v>10</v>
      </c>
      <c r="U325" s="2248">
        <v>9.4</v>
      </c>
      <c r="V325" s="2248"/>
      <c r="W325" s="2248"/>
      <c r="X325" s="2248"/>
      <c r="Y325" s="2247">
        <v>10</v>
      </c>
      <c r="Z325" s="2247">
        <v>9</v>
      </c>
      <c r="AA325" s="2247">
        <v>10</v>
      </c>
      <c r="AB325" s="2247">
        <v>9</v>
      </c>
      <c r="AC325" s="2247">
        <v>10</v>
      </c>
      <c r="AD325" s="2247">
        <v>8</v>
      </c>
      <c r="AE325" s="2948">
        <f t="shared" si="55"/>
        <v>9</v>
      </c>
      <c r="AF325" s="2469">
        <v>10</v>
      </c>
      <c r="AG325" s="2247">
        <v>9.1999999999999993</v>
      </c>
      <c r="AH325" s="2247">
        <v>10</v>
      </c>
      <c r="AI325" s="2244">
        <v>9</v>
      </c>
      <c r="AJ325" s="2244"/>
      <c r="AK325" s="2244"/>
      <c r="AL325" s="2244">
        <v>10</v>
      </c>
      <c r="AM325" s="2244">
        <v>10</v>
      </c>
      <c r="AN325" s="2245">
        <f t="shared" si="56"/>
        <v>9.61</v>
      </c>
    </row>
    <row r="326" spans="1:44" s="2406" customFormat="1" ht="15.75" customHeight="1">
      <c r="A326" s="1772" t="s">
        <v>1621</v>
      </c>
      <c r="B326" s="2248">
        <v>3</v>
      </c>
      <c r="C326" s="2942">
        <v>44649</v>
      </c>
      <c r="D326" s="2942"/>
      <c r="E326" s="2276" t="s">
        <v>923</v>
      </c>
      <c r="F326" s="2943" t="s">
        <v>513</v>
      </c>
      <c r="G326" s="2949" t="s">
        <v>514</v>
      </c>
      <c r="H326" s="223" t="s">
        <v>433</v>
      </c>
      <c r="I326" s="2946" t="s">
        <v>3496</v>
      </c>
      <c r="J326" s="2946" t="s">
        <v>669</v>
      </c>
      <c r="K326" s="2946" t="s">
        <v>669</v>
      </c>
      <c r="L326" s="3666" t="s">
        <v>1195</v>
      </c>
      <c r="M326" s="2468" t="s">
        <v>510</v>
      </c>
      <c r="N326" s="2248">
        <v>10</v>
      </c>
      <c r="O326" s="2248">
        <v>10</v>
      </c>
      <c r="P326" s="2248">
        <v>10</v>
      </c>
      <c r="Q326" s="2248">
        <v>9.6</v>
      </c>
      <c r="R326" s="2247">
        <v>10</v>
      </c>
      <c r="S326" s="2248">
        <v>10</v>
      </c>
      <c r="T326" s="2247">
        <v>10</v>
      </c>
      <c r="U326" s="2248">
        <v>9.4</v>
      </c>
      <c r="V326" s="2248"/>
      <c r="W326" s="2248"/>
      <c r="X326" s="2248"/>
      <c r="Y326" s="2247">
        <v>10</v>
      </c>
      <c r="Z326" s="2247">
        <v>8</v>
      </c>
      <c r="AA326" s="2247">
        <v>9.4</v>
      </c>
      <c r="AB326" s="2247">
        <v>8.6</v>
      </c>
      <c r="AC326" s="2247">
        <v>10</v>
      </c>
      <c r="AD326" s="2247">
        <v>8</v>
      </c>
      <c r="AE326" s="2948">
        <f t="shared" si="55"/>
        <v>8.84</v>
      </c>
      <c r="AF326" s="2244">
        <v>10</v>
      </c>
      <c r="AG326" s="2247">
        <v>9.1999999999999993</v>
      </c>
      <c r="AH326" s="2247">
        <v>10</v>
      </c>
      <c r="AI326" s="2244">
        <v>9</v>
      </c>
      <c r="AJ326" s="2244"/>
      <c r="AK326" s="2244"/>
      <c r="AL326" s="2244">
        <v>10</v>
      </c>
      <c r="AM326" s="2244">
        <v>10</v>
      </c>
      <c r="AN326" s="2245">
        <f t="shared" si="56"/>
        <v>9.5019999999999989</v>
      </c>
    </row>
    <row r="327" spans="1:44" s="2406" customFormat="1" ht="15.75" customHeight="1">
      <c r="A327" s="1772" t="s">
        <v>1621</v>
      </c>
      <c r="B327" s="2248">
        <v>4</v>
      </c>
      <c r="C327" s="2942">
        <v>44649</v>
      </c>
      <c r="D327" s="2942"/>
      <c r="E327" s="2276" t="s">
        <v>923</v>
      </c>
      <c r="F327" s="2943" t="s">
        <v>515</v>
      </c>
      <c r="G327" s="2949" t="s">
        <v>516</v>
      </c>
      <c r="H327" s="223" t="s">
        <v>433</v>
      </c>
      <c r="I327" s="2946" t="s">
        <v>3497</v>
      </c>
      <c r="J327" s="2946" t="s">
        <v>3498</v>
      </c>
      <c r="K327" s="2946" t="s">
        <v>3499</v>
      </c>
      <c r="L327" s="3666" t="s">
        <v>1195</v>
      </c>
      <c r="M327" s="2468" t="s">
        <v>510</v>
      </c>
      <c r="N327" s="2248">
        <v>10</v>
      </c>
      <c r="O327" s="2248">
        <v>10</v>
      </c>
      <c r="P327" s="2248">
        <v>10</v>
      </c>
      <c r="Q327" s="2248">
        <v>10</v>
      </c>
      <c r="R327" s="2247">
        <v>9</v>
      </c>
      <c r="S327" s="2248">
        <v>10</v>
      </c>
      <c r="T327" s="2247">
        <v>10</v>
      </c>
      <c r="U327" s="2248">
        <v>9.4</v>
      </c>
      <c r="V327" s="2248"/>
      <c r="W327" s="2248"/>
      <c r="X327" s="2248"/>
      <c r="Y327" s="2247">
        <v>10</v>
      </c>
      <c r="Z327" s="2247">
        <v>10</v>
      </c>
      <c r="AA327" s="2247">
        <v>10</v>
      </c>
      <c r="AB327" s="2247">
        <v>10</v>
      </c>
      <c r="AC327" s="2247">
        <v>10</v>
      </c>
      <c r="AD327" s="2247">
        <v>10</v>
      </c>
      <c r="AE327" s="2948">
        <f t="shared" si="55"/>
        <v>10</v>
      </c>
      <c r="AF327" s="2244">
        <v>9</v>
      </c>
      <c r="AG327" s="2247">
        <v>9.1999999999999993</v>
      </c>
      <c r="AH327" s="2247">
        <v>10</v>
      </c>
      <c r="AI327" s="2244">
        <v>9</v>
      </c>
      <c r="AJ327" s="2244"/>
      <c r="AK327" s="2244"/>
      <c r="AL327" s="2244">
        <v>10</v>
      </c>
      <c r="AM327" s="2244">
        <v>10</v>
      </c>
      <c r="AN327" s="2245">
        <f t="shared" si="56"/>
        <v>9.7799999999999994</v>
      </c>
    </row>
    <row r="328" spans="1:44" s="2406" customFormat="1" ht="15.75" customHeight="1">
      <c r="A328" s="1772" t="s">
        <v>1621</v>
      </c>
      <c r="B328" s="2248">
        <v>5</v>
      </c>
      <c r="C328" s="2942">
        <v>44649</v>
      </c>
      <c r="D328" s="2942"/>
      <c r="E328" s="2276" t="s">
        <v>923</v>
      </c>
      <c r="F328" s="2943" t="s">
        <v>517</v>
      </c>
      <c r="G328" s="2949" t="s">
        <v>518</v>
      </c>
      <c r="H328" s="223" t="s">
        <v>432</v>
      </c>
      <c r="I328" s="2946" t="s">
        <v>3500</v>
      </c>
      <c r="J328" s="2946" t="s">
        <v>669</v>
      </c>
      <c r="K328" s="2946" t="s">
        <v>3501</v>
      </c>
      <c r="L328" s="3666" t="s">
        <v>1195</v>
      </c>
      <c r="M328" s="2468" t="s">
        <v>510</v>
      </c>
      <c r="N328" s="2248">
        <v>10</v>
      </c>
      <c r="O328" s="2248">
        <v>10</v>
      </c>
      <c r="P328" s="2248">
        <v>10</v>
      </c>
      <c r="Q328" s="2248">
        <v>10</v>
      </c>
      <c r="R328" s="2247">
        <v>10</v>
      </c>
      <c r="S328" s="2248">
        <v>10</v>
      </c>
      <c r="T328" s="2247">
        <v>10</v>
      </c>
      <c r="U328" s="2248">
        <v>9.4</v>
      </c>
      <c r="V328" s="2248"/>
      <c r="W328" s="2248"/>
      <c r="X328" s="2248"/>
      <c r="Y328" s="2247">
        <v>10</v>
      </c>
      <c r="Z328" s="2247">
        <v>9.6</v>
      </c>
      <c r="AA328" s="2247">
        <v>10</v>
      </c>
      <c r="AB328" s="2247">
        <v>9</v>
      </c>
      <c r="AC328" s="2247">
        <v>9.8000000000000007</v>
      </c>
      <c r="AD328" s="2247">
        <v>8</v>
      </c>
      <c r="AE328" s="2948">
        <f t="shared" si="55"/>
        <v>8.94</v>
      </c>
      <c r="AF328" s="2244">
        <v>9.1999999999999993</v>
      </c>
      <c r="AG328" s="2950">
        <v>10</v>
      </c>
      <c r="AH328" s="2199">
        <v>10</v>
      </c>
      <c r="AI328" s="2244">
        <v>9</v>
      </c>
      <c r="AJ328" s="2244"/>
      <c r="AK328" s="2244"/>
      <c r="AL328" s="2244">
        <v>10</v>
      </c>
      <c r="AM328" s="2244">
        <v>10</v>
      </c>
      <c r="AN328" s="2245">
        <f t="shared" si="56"/>
        <v>9.6470000000000002</v>
      </c>
    </row>
    <row r="329" spans="1:44" s="2406" customFormat="1" ht="15.75" customHeight="1">
      <c r="A329" s="1772" t="s">
        <v>1621</v>
      </c>
      <c r="B329" s="2248">
        <v>6</v>
      </c>
      <c r="C329" s="2942">
        <v>44649</v>
      </c>
      <c r="D329" s="2942"/>
      <c r="E329" s="2276" t="s">
        <v>923</v>
      </c>
      <c r="F329" s="2943" t="s">
        <v>519</v>
      </c>
      <c r="G329" s="2949" t="s">
        <v>520</v>
      </c>
      <c r="H329" s="223" t="s">
        <v>432</v>
      </c>
      <c r="I329" s="2946" t="s">
        <v>3502</v>
      </c>
      <c r="J329" s="2946" t="s">
        <v>3495</v>
      </c>
      <c r="K329" s="2946" t="s">
        <v>3503</v>
      </c>
      <c r="L329" s="3666" t="s">
        <v>1195</v>
      </c>
      <c r="M329" s="2468" t="s">
        <v>510</v>
      </c>
      <c r="N329" s="2248">
        <v>10</v>
      </c>
      <c r="O329" s="2248">
        <v>10</v>
      </c>
      <c r="P329" s="2248">
        <v>10</v>
      </c>
      <c r="Q329" s="2248">
        <v>10</v>
      </c>
      <c r="R329" s="2247">
        <v>10</v>
      </c>
      <c r="S329" s="2248">
        <v>10</v>
      </c>
      <c r="T329" s="2247">
        <v>10</v>
      </c>
      <c r="U329" s="2248">
        <v>9.4</v>
      </c>
      <c r="V329" s="2248"/>
      <c r="W329" s="2248"/>
      <c r="X329" s="2248"/>
      <c r="Y329" s="2247">
        <v>10</v>
      </c>
      <c r="Z329" s="2247">
        <v>9.6</v>
      </c>
      <c r="AA329" s="2247">
        <v>10</v>
      </c>
      <c r="AB329" s="2247">
        <v>9</v>
      </c>
      <c r="AC329" s="2247">
        <v>9.8000000000000007</v>
      </c>
      <c r="AD329" s="2247">
        <v>9.3000000000000007</v>
      </c>
      <c r="AE329" s="2948">
        <f t="shared" si="55"/>
        <v>9.33</v>
      </c>
      <c r="AF329" s="2244">
        <v>9.6999999999999993</v>
      </c>
      <c r="AG329" s="2950">
        <v>9</v>
      </c>
      <c r="AH329" s="2199">
        <v>10</v>
      </c>
      <c r="AI329" s="2244">
        <v>10</v>
      </c>
      <c r="AJ329" s="2244"/>
      <c r="AK329" s="2244"/>
      <c r="AL329" s="2244">
        <v>10</v>
      </c>
      <c r="AM329" s="2244">
        <v>10</v>
      </c>
      <c r="AN329" s="2245">
        <f t="shared" si="56"/>
        <v>9.7564999999999991</v>
      </c>
    </row>
    <row r="330" spans="1:44" s="2406" customFormat="1" ht="15.75" customHeight="1">
      <c r="A330" s="1772" t="s">
        <v>1621</v>
      </c>
      <c r="B330" s="2248">
        <v>7</v>
      </c>
      <c r="C330" s="2942">
        <v>44649</v>
      </c>
      <c r="D330" s="2942"/>
      <c r="E330" s="2276" t="s">
        <v>923</v>
      </c>
      <c r="F330" s="2943" t="s">
        <v>521</v>
      </c>
      <c r="G330" s="2949" t="s">
        <v>522</v>
      </c>
      <c r="H330" s="223" t="s">
        <v>432</v>
      </c>
      <c r="I330" s="2946" t="s">
        <v>3504</v>
      </c>
      <c r="J330" s="2946" t="s">
        <v>668</v>
      </c>
      <c r="K330" s="2946" t="s">
        <v>3505</v>
      </c>
      <c r="L330" s="3666" t="s">
        <v>1195</v>
      </c>
      <c r="M330" s="2468" t="s">
        <v>510</v>
      </c>
      <c r="N330" s="2248">
        <v>10</v>
      </c>
      <c r="O330" s="2248">
        <v>10</v>
      </c>
      <c r="P330" s="2248">
        <v>10</v>
      </c>
      <c r="Q330" s="2248">
        <v>10</v>
      </c>
      <c r="R330" s="2247">
        <v>10</v>
      </c>
      <c r="S330" s="2248">
        <v>10</v>
      </c>
      <c r="T330" s="2247">
        <v>10</v>
      </c>
      <c r="U330" s="2248">
        <v>9.4</v>
      </c>
      <c r="V330" s="2248"/>
      <c r="W330" s="2248"/>
      <c r="X330" s="2248"/>
      <c r="Y330" s="2247">
        <v>10</v>
      </c>
      <c r="Z330" s="2247">
        <v>10</v>
      </c>
      <c r="AA330" s="2247">
        <v>10</v>
      </c>
      <c r="AB330" s="2247">
        <v>9.8000000000000007</v>
      </c>
      <c r="AC330" s="2247">
        <v>9.8000000000000007</v>
      </c>
      <c r="AD330" s="2247">
        <v>9.3000000000000007</v>
      </c>
      <c r="AE330" s="2948">
        <f t="shared" si="55"/>
        <v>9.65</v>
      </c>
      <c r="AF330" s="2244">
        <v>10</v>
      </c>
      <c r="AG330" s="2950">
        <v>9.5</v>
      </c>
      <c r="AH330" s="2199">
        <v>10</v>
      </c>
      <c r="AI330" s="2244">
        <v>10</v>
      </c>
      <c r="AJ330" s="2244"/>
      <c r="AK330" s="2244"/>
      <c r="AL330" s="2244">
        <v>10</v>
      </c>
      <c r="AM330" s="2244">
        <v>10</v>
      </c>
      <c r="AN330" s="2245">
        <f t="shared" si="56"/>
        <v>9.8725000000000005</v>
      </c>
    </row>
    <row r="331" spans="1:44" s="2406" customFormat="1" ht="15.75" customHeight="1">
      <c r="A331" s="1772" t="s">
        <v>1621</v>
      </c>
      <c r="B331" s="2248">
        <v>8</v>
      </c>
      <c r="C331" s="2942">
        <v>44649</v>
      </c>
      <c r="D331" s="2942"/>
      <c r="E331" s="2276" t="s">
        <v>923</v>
      </c>
      <c r="F331" s="2943" t="s">
        <v>523</v>
      </c>
      <c r="G331" s="2949" t="s">
        <v>524</v>
      </c>
      <c r="H331" s="223" t="s">
        <v>433</v>
      </c>
      <c r="I331" s="2946" t="s">
        <v>3506</v>
      </c>
      <c r="J331" s="2946" t="s">
        <v>669</v>
      </c>
      <c r="K331" s="2946" t="s">
        <v>3507</v>
      </c>
      <c r="L331" s="3666" t="s">
        <v>1195</v>
      </c>
      <c r="M331" s="2468" t="s">
        <v>510</v>
      </c>
      <c r="N331" s="2248">
        <v>10</v>
      </c>
      <c r="O331" s="2248">
        <v>10</v>
      </c>
      <c r="P331" s="2248">
        <v>10</v>
      </c>
      <c r="Q331" s="2248">
        <v>10</v>
      </c>
      <c r="R331" s="2247">
        <v>10</v>
      </c>
      <c r="S331" s="2248">
        <v>10</v>
      </c>
      <c r="T331" s="2247">
        <v>10</v>
      </c>
      <c r="U331" s="2248">
        <v>9.6</v>
      </c>
      <c r="V331" s="2248"/>
      <c r="W331" s="2248"/>
      <c r="X331" s="2248"/>
      <c r="Y331" s="2247">
        <v>10</v>
      </c>
      <c r="Z331" s="2247">
        <v>8.4</v>
      </c>
      <c r="AA331" s="2247">
        <v>10</v>
      </c>
      <c r="AB331" s="2247">
        <v>9.4</v>
      </c>
      <c r="AC331" s="2247">
        <v>10</v>
      </c>
      <c r="AD331" s="2247">
        <v>9</v>
      </c>
      <c r="AE331" s="2948">
        <f t="shared" si="55"/>
        <v>9.4599999999999991</v>
      </c>
      <c r="AF331" s="2244">
        <v>8.6999999999999993</v>
      </c>
      <c r="AG331" s="2247">
        <v>9.1999999999999993</v>
      </c>
      <c r="AH331" s="2247">
        <v>10</v>
      </c>
      <c r="AI331" s="2244">
        <v>10</v>
      </c>
      <c r="AJ331" s="2244"/>
      <c r="AK331" s="2244"/>
      <c r="AL331" s="2244">
        <v>10</v>
      </c>
      <c r="AM331" s="2244">
        <v>10</v>
      </c>
      <c r="AN331" s="2245">
        <f t="shared" si="56"/>
        <v>9.6879999999999988</v>
      </c>
    </row>
    <row r="332" spans="1:44" s="2406" customFormat="1" ht="15.75" customHeight="1">
      <c r="A332" s="1772" t="s">
        <v>1621</v>
      </c>
      <c r="B332" s="2248">
        <v>9</v>
      </c>
      <c r="C332" s="2942">
        <v>44649</v>
      </c>
      <c r="D332" s="2942"/>
      <c r="E332" s="2276" t="s">
        <v>923</v>
      </c>
      <c r="F332" s="2943" t="s">
        <v>525</v>
      </c>
      <c r="G332" s="2949" t="s">
        <v>526</v>
      </c>
      <c r="H332" s="223" t="s">
        <v>432</v>
      </c>
      <c r="I332" s="2946" t="s">
        <v>3508</v>
      </c>
      <c r="J332" s="2946" t="s">
        <v>669</v>
      </c>
      <c r="K332" s="2946" t="s">
        <v>3509</v>
      </c>
      <c r="L332" s="3666" t="s">
        <v>1195</v>
      </c>
      <c r="M332" s="2468" t="s">
        <v>510</v>
      </c>
      <c r="N332" s="2248">
        <v>10</v>
      </c>
      <c r="O332" s="2248">
        <v>10</v>
      </c>
      <c r="P332" s="2248">
        <v>10</v>
      </c>
      <c r="Q332" s="2248">
        <v>10</v>
      </c>
      <c r="R332" s="2247">
        <v>10</v>
      </c>
      <c r="S332" s="2248">
        <v>10</v>
      </c>
      <c r="T332" s="2247">
        <v>10</v>
      </c>
      <c r="U332" s="2248">
        <v>9.6</v>
      </c>
      <c r="V332" s="2248"/>
      <c r="W332" s="2248"/>
      <c r="X332" s="2248"/>
      <c r="Y332" s="2247">
        <v>10</v>
      </c>
      <c r="Z332" s="2247">
        <v>8</v>
      </c>
      <c r="AA332" s="2247">
        <v>10</v>
      </c>
      <c r="AB332" s="2247">
        <v>8.4</v>
      </c>
      <c r="AC332" s="2247">
        <v>10</v>
      </c>
      <c r="AD332" s="2247">
        <v>10</v>
      </c>
      <c r="AE332" s="2948">
        <f t="shared" si="55"/>
        <v>9.36</v>
      </c>
      <c r="AF332" s="2244">
        <v>9</v>
      </c>
      <c r="AG332" s="2950">
        <v>9.8000000000000007</v>
      </c>
      <c r="AH332" s="2199">
        <v>10</v>
      </c>
      <c r="AI332" s="2244">
        <v>9</v>
      </c>
      <c r="AJ332" s="2244"/>
      <c r="AK332" s="2244"/>
      <c r="AL332" s="2244">
        <v>10</v>
      </c>
      <c r="AM332" s="2244">
        <v>10</v>
      </c>
      <c r="AN332" s="2245">
        <f t="shared" si="56"/>
        <v>9.6580000000000013</v>
      </c>
    </row>
    <row r="333" spans="1:44" s="2406" customFormat="1" ht="15.75" customHeight="1">
      <c r="A333" s="1772" t="s">
        <v>1621</v>
      </c>
      <c r="B333" s="2248">
        <v>10</v>
      </c>
      <c r="C333" s="2942">
        <v>44649</v>
      </c>
      <c r="D333" s="2942"/>
      <c r="E333" s="2276" t="s">
        <v>923</v>
      </c>
      <c r="F333" s="2943" t="s">
        <v>527</v>
      </c>
      <c r="G333" s="2949" t="s">
        <v>528</v>
      </c>
      <c r="H333" s="223" t="s">
        <v>432</v>
      </c>
      <c r="I333" s="2946" t="s">
        <v>3510</v>
      </c>
      <c r="J333" s="2946" t="s">
        <v>1336</v>
      </c>
      <c r="K333" s="2946" t="s">
        <v>3511</v>
      </c>
      <c r="L333" s="3666" t="s">
        <v>1195</v>
      </c>
      <c r="M333" s="2468" t="s">
        <v>510</v>
      </c>
      <c r="N333" s="2248">
        <v>10</v>
      </c>
      <c r="O333" s="2248">
        <v>10</v>
      </c>
      <c r="P333" s="2248">
        <v>10</v>
      </c>
      <c r="Q333" s="2248">
        <v>10</v>
      </c>
      <c r="R333" s="2247">
        <v>10</v>
      </c>
      <c r="S333" s="2248">
        <v>10</v>
      </c>
      <c r="T333" s="2247">
        <v>10</v>
      </c>
      <c r="U333" s="2248">
        <v>9.4</v>
      </c>
      <c r="V333" s="2248"/>
      <c r="W333" s="2248"/>
      <c r="X333" s="2248"/>
      <c r="Y333" s="2247">
        <v>10</v>
      </c>
      <c r="Z333" s="2247">
        <v>9</v>
      </c>
      <c r="AA333" s="2247">
        <v>9.6</v>
      </c>
      <c r="AB333" s="2247">
        <v>9.4</v>
      </c>
      <c r="AC333" s="2247">
        <v>10</v>
      </c>
      <c r="AD333" s="2247">
        <v>10</v>
      </c>
      <c r="AE333" s="2948">
        <f t="shared" si="55"/>
        <v>9.76</v>
      </c>
      <c r="AF333" s="2244">
        <v>9</v>
      </c>
      <c r="AG333" s="2247">
        <v>9.1999999999999993</v>
      </c>
      <c r="AH333" s="2247">
        <v>10</v>
      </c>
      <c r="AI333" s="2244">
        <v>9</v>
      </c>
      <c r="AJ333" s="2244"/>
      <c r="AK333" s="2244"/>
      <c r="AL333" s="2244">
        <v>10</v>
      </c>
      <c r="AM333" s="2244">
        <v>10</v>
      </c>
      <c r="AN333" s="2245">
        <f t="shared" si="56"/>
        <v>9.718</v>
      </c>
    </row>
    <row r="334" spans="1:44" s="2406" customFormat="1" ht="15.75" customHeight="1">
      <c r="A334" s="1772" t="s">
        <v>1621</v>
      </c>
      <c r="B334" s="2248">
        <v>11</v>
      </c>
      <c r="C334" s="2942">
        <v>44649</v>
      </c>
      <c r="D334" s="2942"/>
      <c r="E334" s="2276" t="s">
        <v>923</v>
      </c>
      <c r="F334" s="2943" t="s">
        <v>529</v>
      </c>
      <c r="G334" s="2949" t="s">
        <v>530</v>
      </c>
      <c r="H334" s="223" t="s">
        <v>432</v>
      </c>
      <c r="I334" s="2946" t="s">
        <v>3512</v>
      </c>
      <c r="J334" s="2946" t="s">
        <v>668</v>
      </c>
      <c r="K334" s="2946" t="s">
        <v>3499</v>
      </c>
      <c r="L334" s="3666" t="s">
        <v>1195</v>
      </c>
      <c r="M334" s="2468" t="s">
        <v>510</v>
      </c>
      <c r="N334" s="2248">
        <v>10</v>
      </c>
      <c r="O334" s="2248">
        <v>10</v>
      </c>
      <c r="P334" s="2248">
        <v>10</v>
      </c>
      <c r="Q334" s="2248">
        <v>10</v>
      </c>
      <c r="R334" s="2247">
        <v>10</v>
      </c>
      <c r="S334" s="2248">
        <v>10</v>
      </c>
      <c r="T334" s="2247">
        <v>10</v>
      </c>
      <c r="U334" s="2248">
        <v>9.4</v>
      </c>
      <c r="V334" s="2248"/>
      <c r="W334" s="2248"/>
      <c r="X334" s="2248"/>
      <c r="Y334" s="2247">
        <v>10</v>
      </c>
      <c r="Z334" s="2247">
        <v>8</v>
      </c>
      <c r="AA334" s="2247">
        <v>10</v>
      </c>
      <c r="AB334" s="2247">
        <v>8</v>
      </c>
      <c r="AC334" s="2247">
        <v>10</v>
      </c>
      <c r="AD334" s="2247">
        <v>8.3000000000000007</v>
      </c>
      <c r="AE334" s="2948">
        <f t="shared" si="55"/>
        <v>8.6900000000000013</v>
      </c>
      <c r="AF334" s="2244">
        <v>9</v>
      </c>
      <c r="AG334" s="2247">
        <v>9.1999999999999993</v>
      </c>
      <c r="AH334" s="2247">
        <v>10</v>
      </c>
      <c r="AI334" s="2244">
        <v>9</v>
      </c>
      <c r="AJ334" s="2244"/>
      <c r="AK334" s="2244"/>
      <c r="AL334" s="2244">
        <v>10</v>
      </c>
      <c r="AM334" s="2244">
        <v>10</v>
      </c>
      <c r="AN334" s="2245">
        <f t="shared" si="56"/>
        <v>9.4794999999999998</v>
      </c>
    </row>
    <row r="335" spans="1:44" s="2406" customFormat="1" ht="15.75" customHeight="1">
      <c r="A335" s="1772" t="s">
        <v>1621</v>
      </c>
      <c r="B335" s="2248">
        <v>12</v>
      </c>
      <c r="C335" s="2942">
        <v>44649</v>
      </c>
      <c r="D335" s="2942"/>
      <c r="E335" s="2276" t="s">
        <v>923</v>
      </c>
      <c r="F335" s="2943" t="s">
        <v>531</v>
      </c>
      <c r="G335" s="2949" t="s">
        <v>532</v>
      </c>
      <c r="H335" s="223" t="s">
        <v>432</v>
      </c>
      <c r="I335" s="2946" t="s">
        <v>3513</v>
      </c>
      <c r="J335" s="2946" t="s">
        <v>638</v>
      </c>
      <c r="K335" s="2946" t="s">
        <v>3514</v>
      </c>
      <c r="L335" s="3666" t="s">
        <v>1195</v>
      </c>
      <c r="M335" s="2468" t="s">
        <v>510</v>
      </c>
      <c r="N335" s="2248">
        <v>10</v>
      </c>
      <c r="O335" s="2248">
        <v>10</v>
      </c>
      <c r="P335" s="2248">
        <v>10</v>
      </c>
      <c r="Q335" s="2248">
        <v>10</v>
      </c>
      <c r="R335" s="2247">
        <v>10</v>
      </c>
      <c r="S335" s="2248">
        <v>10</v>
      </c>
      <c r="T335" s="2247">
        <v>10</v>
      </c>
      <c r="U335" s="2248">
        <v>10</v>
      </c>
      <c r="V335" s="2248"/>
      <c r="W335" s="2248"/>
      <c r="X335" s="2248"/>
      <c r="Y335" s="2247">
        <v>10</v>
      </c>
      <c r="Z335" s="2247">
        <v>10</v>
      </c>
      <c r="AA335" s="2247">
        <v>10</v>
      </c>
      <c r="AB335" s="2247">
        <v>10</v>
      </c>
      <c r="AC335" s="2247">
        <v>10</v>
      </c>
      <c r="AD335" s="2247">
        <v>9.6999999999999993</v>
      </c>
      <c r="AE335" s="2948">
        <f t="shared" si="55"/>
        <v>9.91</v>
      </c>
      <c r="AF335" s="2244">
        <v>10</v>
      </c>
      <c r="AG335" s="2247">
        <v>9.1999999999999993</v>
      </c>
      <c r="AH335" s="2247">
        <v>10</v>
      </c>
      <c r="AI335" s="2244">
        <v>10</v>
      </c>
      <c r="AJ335" s="2244"/>
      <c r="AK335" s="2244"/>
      <c r="AL335" s="2244">
        <v>10</v>
      </c>
      <c r="AM335" s="2244">
        <v>10</v>
      </c>
      <c r="AN335" s="2245">
        <f t="shared" si="56"/>
        <v>9.9404999999999983</v>
      </c>
    </row>
    <row r="336" spans="1:44" s="2406" customFormat="1" ht="15.75" customHeight="1">
      <c r="A336" s="1772" t="s">
        <v>1621</v>
      </c>
      <c r="B336" s="2248">
        <v>13</v>
      </c>
      <c r="C336" s="2942">
        <v>44649</v>
      </c>
      <c r="D336" s="2942"/>
      <c r="E336" s="2276" t="s">
        <v>923</v>
      </c>
      <c r="F336" s="2943" t="s">
        <v>533</v>
      </c>
      <c r="G336" s="2949" t="s">
        <v>534</v>
      </c>
      <c r="H336" s="223" t="s">
        <v>432</v>
      </c>
      <c r="I336" s="2946" t="s">
        <v>3515</v>
      </c>
      <c r="J336" s="2946" t="s">
        <v>1336</v>
      </c>
      <c r="K336" s="2946" t="s">
        <v>3494</v>
      </c>
      <c r="L336" s="3666" t="s">
        <v>1195</v>
      </c>
      <c r="M336" s="2468" t="s">
        <v>510</v>
      </c>
      <c r="N336" s="2248">
        <v>10</v>
      </c>
      <c r="O336" s="2248">
        <v>10</v>
      </c>
      <c r="P336" s="2248">
        <v>10</v>
      </c>
      <c r="Q336" s="2248">
        <v>9.6</v>
      </c>
      <c r="R336" s="2247">
        <v>10</v>
      </c>
      <c r="S336" s="2248">
        <v>10</v>
      </c>
      <c r="T336" s="2247">
        <v>10</v>
      </c>
      <c r="U336" s="2248">
        <v>9.6</v>
      </c>
      <c r="V336" s="2248"/>
      <c r="W336" s="2248"/>
      <c r="X336" s="2248"/>
      <c r="Y336" s="2247">
        <v>10</v>
      </c>
      <c r="Z336" s="2247">
        <v>9.6</v>
      </c>
      <c r="AA336" s="2247">
        <v>10</v>
      </c>
      <c r="AB336" s="2247">
        <v>9</v>
      </c>
      <c r="AC336" s="2247">
        <v>9.8000000000000007</v>
      </c>
      <c r="AD336" s="2247">
        <v>9.3000000000000007</v>
      </c>
      <c r="AE336" s="2948">
        <f t="shared" si="55"/>
        <v>9.33</v>
      </c>
      <c r="AF336" s="2244">
        <v>9.6999999999999993</v>
      </c>
      <c r="AG336" s="2950">
        <v>9.6</v>
      </c>
      <c r="AH336" s="2199">
        <v>10</v>
      </c>
      <c r="AI336" s="2244">
        <v>9</v>
      </c>
      <c r="AJ336" s="2244"/>
      <c r="AK336" s="2244"/>
      <c r="AL336" s="2244">
        <v>10</v>
      </c>
      <c r="AM336" s="2244">
        <v>10</v>
      </c>
      <c r="AN336" s="2245">
        <f t="shared" si="56"/>
        <v>9.7264999999999979</v>
      </c>
    </row>
    <row r="337" spans="1:40" s="2406" customFormat="1" ht="15.75" customHeight="1">
      <c r="A337" s="1772" t="s">
        <v>1621</v>
      </c>
      <c r="B337" s="2248">
        <v>14</v>
      </c>
      <c r="C337" s="2942">
        <v>44649</v>
      </c>
      <c r="D337" s="2942"/>
      <c r="E337" s="2276" t="s">
        <v>923</v>
      </c>
      <c r="F337" s="2943" t="s">
        <v>535</v>
      </c>
      <c r="G337" s="2949" t="s">
        <v>536</v>
      </c>
      <c r="H337" s="223" t="s">
        <v>433</v>
      </c>
      <c r="I337" s="2946" t="s">
        <v>3516</v>
      </c>
      <c r="J337" s="2946" t="s">
        <v>668</v>
      </c>
      <c r="K337" s="2946" t="s">
        <v>3514</v>
      </c>
      <c r="L337" s="3666" t="s">
        <v>1195</v>
      </c>
      <c r="M337" s="2468" t="s">
        <v>510</v>
      </c>
      <c r="N337" s="2248">
        <v>10</v>
      </c>
      <c r="O337" s="2248">
        <v>10</v>
      </c>
      <c r="P337" s="2248">
        <v>10</v>
      </c>
      <c r="Q337" s="2248">
        <v>10</v>
      </c>
      <c r="R337" s="2247">
        <v>10</v>
      </c>
      <c r="S337" s="2248">
        <v>10</v>
      </c>
      <c r="T337" s="2247">
        <v>10</v>
      </c>
      <c r="U337" s="2248">
        <v>9.4</v>
      </c>
      <c r="V337" s="2248"/>
      <c r="W337" s="2248"/>
      <c r="X337" s="2248"/>
      <c r="Y337" s="2247">
        <v>10</v>
      </c>
      <c r="Z337" s="2247">
        <v>8</v>
      </c>
      <c r="AA337" s="2247">
        <v>8.1</v>
      </c>
      <c r="AB337" s="2247">
        <v>8</v>
      </c>
      <c r="AC337" s="2247">
        <v>9.8000000000000007</v>
      </c>
      <c r="AD337" s="2247">
        <v>9.3000000000000007</v>
      </c>
      <c r="AE337" s="2948">
        <f t="shared" si="55"/>
        <v>8.93</v>
      </c>
      <c r="AF337" s="2244">
        <v>9</v>
      </c>
      <c r="AG337" s="2247">
        <v>9.6999999999999993</v>
      </c>
      <c r="AH337" s="2247">
        <v>10</v>
      </c>
      <c r="AI337" s="2244">
        <v>9</v>
      </c>
      <c r="AJ337" s="2244"/>
      <c r="AK337" s="2244"/>
      <c r="AL337" s="2244">
        <v>10</v>
      </c>
      <c r="AM337" s="2244">
        <v>10</v>
      </c>
      <c r="AN337" s="2245">
        <f t="shared" si="56"/>
        <v>9.4614999999999991</v>
      </c>
    </row>
    <row r="338" spans="1:40" s="2406" customFormat="1" ht="15.75" customHeight="1">
      <c r="A338" s="1772" t="s">
        <v>1621</v>
      </c>
      <c r="B338" s="2248">
        <v>15</v>
      </c>
      <c r="C338" s="2942">
        <v>44649</v>
      </c>
      <c r="D338" s="2942"/>
      <c r="E338" s="2276" t="s">
        <v>923</v>
      </c>
      <c r="F338" s="2943" t="s">
        <v>537</v>
      </c>
      <c r="G338" s="2949" t="s">
        <v>538</v>
      </c>
      <c r="H338" s="223" t="s">
        <v>433</v>
      </c>
      <c r="I338" s="2946" t="s">
        <v>3517</v>
      </c>
      <c r="J338" s="2946" t="s">
        <v>3518</v>
      </c>
      <c r="K338" s="2946" t="s">
        <v>3519</v>
      </c>
      <c r="L338" s="3666" t="s">
        <v>1195</v>
      </c>
      <c r="M338" s="2468" t="s">
        <v>510</v>
      </c>
      <c r="N338" s="2248">
        <v>10</v>
      </c>
      <c r="O338" s="2248">
        <v>10</v>
      </c>
      <c r="P338" s="2248">
        <v>10</v>
      </c>
      <c r="Q338" s="2248">
        <v>9.4</v>
      </c>
      <c r="R338" s="2247">
        <v>10</v>
      </c>
      <c r="S338" s="2248">
        <v>10</v>
      </c>
      <c r="T338" s="2247">
        <v>10</v>
      </c>
      <c r="U338" s="2248">
        <v>9.4</v>
      </c>
      <c r="V338" s="2248"/>
      <c r="W338" s="2248"/>
      <c r="X338" s="2248"/>
      <c r="Y338" s="2247">
        <v>10</v>
      </c>
      <c r="Z338" s="2247">
        <v>9.6</v>
      </c>
      <c r="AA338" s="2247">
        <v>8</v>
      </c>
      <c r="AB338" s="2247">
        <v>8.8000000000000007</v>
      </c>
      <c r="AC338" s="2247">
        <v>9.8000000000000007</v>
      </c>
      <c r="AD338" s="2247">
        <v>9.4</v>
      </c>
      <c r="AE338" s="2948">
        <f t="shared" si="55"/>
        <v>9.2800000000000011</v>
      </c>
      <c r="AF338" s="2244">
        <v>9</v>
      </c>
      <c r="AG338" s="2950">
        <v>9.3000000000000007</v>
      </c>
      <c r="AH338" s="2199">
        <v>10</v>
      </c>
      <c r="AI338" s="2244">
        <v>9</v>
      </c>
      <c r="AJ338" s="2244"/>
      <c r="AK338" s="2244"/>
      <c r="AL338" s="2244">
        <v>10</v>
      </c>
      <c r="AM338" s="2244">
        <v>10</v>
      </c>
      <c r="AN338" s="2245">
        <f t="shared" si="56"/>
        <v>9.5490000000000013</v>
      </c>
    </row>
    <row r="339" spans="1:40" s="2406" customFormat="1" ht="15.75" customHeight="1">
      <c r="A339" s="1772" t="s">
        <v>1621</v>
      </c>
      <c r="B339" s="2248">
        <v>16</v>
      </c>
      <c r="C339" s="2942">
        <v>44649</v>
      </c>
      <c r="D339" s="2942"/>
      <c r="E339" s="2276" t="s">
        <v>923</v>
      </c>
      <c r="F339" s="2943" t="s">
        <v>539</v>
      </c>
      <c r="G339" s="2949" t="s">
        <v>540</v>
      </c>
      <c r="H339" s="223" t="s">
        <v>433</v>
      </c>
      <c r="I339" s="2946" t="s">
        <v>3520</v>
      </c>
      <c r="J339" s="2946" t="s">
        <v>3498</v>
      </c>
      <c r="K339" s="2946" t="s">
        <v>3494</v>
      </c>
      <c r="L339" s="3666" t="s">
        <v>1195</v>
      </c>
      <c r="M339" s="2468" t="s">
        <v>510</v>
      </c>
      <c r="N339" s="2248">
        <v>10</v>
      </c>
      <c r="O339" s="2248">
        <v>10</v>
      </c>
      <c r="P339" s="2248">
        <v>10</v>
      </c>
      <c r="Q339" s="2248">
        <v>10</v>
      </c>
      <c r="R339" s="2247">
        <v>10</v>
      </c>
      <c r="S339" s="2248">
        <v>10</v>
      </c>
      <c r="T339" s="2247">
        <v>10</v>
      </c>
      <c r="U339" s="2248">
        <v>9.6</v>
      </c>
      <c r="V339" s="2248"/>
      <c r="W339" s="2248"/>
      <c r="X339" s="2248"/>
      <c r="Y339" s="2247">
        <v>10</v>
      </c>
      <c r="Z339" s="2247">
        <v>10</v>
      </c>
      <c r="AA339" s="2247">
        <v>10</v>
      </c>
      <c r="AB339" s="2247">
        <v>9.5</v>
      </c>
      <c r="AC339" s="2247">
        <v>10</v>
      </c>
      <c r="AD339" s="2247">
        <v>10</v>
      </c>
      <c r="AE339" s="2948">
        <f t="shared" si="55"/>
        <v>9.8000000000000007</v>
      </c>
      <c r="AF339" s="2244">
        <v>9</v>
      </c>
      <c r="AG339" s="2247">
        <v>9.1999999999999993</v>
      </c>
      <c r="AH339" s="2247">
        <v>10</v>
      </c>
      <c r="AI339" s="2244">
        <v>9</v>
      </c>
      <c r="AJ339" s="2244"/>
      <c r="AK339" s="2244"/>
      <c r="AL339" s="2244">
        <v>10</v>
      </c>
      <c r="AM339" s="2244">
        <v>10</v>
      </c>
      <c r="AN339" s="2245">
        <f t="shared" si="56"/>
        <v>9.8049999999999997</v>
      </c>
    </row>
    <row r="340" spans="1:40" s="2406" customFormat="1" ht="15.75" customHeight="1">
      <c r="A340" s="1772" t="s">
        <v>1621</v>
      </c>
      <c r="B340" s="2248">
        <v>17</v>
      </c>
      <c r="C340" s="2942">
        <v>44649</v>
      </c>
      <c r="D340" s="2942"/>
      <c r="E340" s="2276" t="s">
        <v>923</v>
      </c>
      <c r="F340" s="2943" t="s">
        <v>541</v>
      </c>
      <c r="G340" s="2949" t="s">
        <v>542</v>
      </c>
      <c r="H340" s="223" t="s">
        <v>433</v>
      </c>
      <c r="I340" s="2946" t="s">
        <v>3521</v>
      </c>
      <c r="J340" s="2946" t="s">
        <v>637</v>
      </c>
      <c r="K340" s="2946" t="s">
        <v>3522</v>
      </c>
      <c r="L340" s="3666" t="s">
        <v>1195</v>
      </c>
      <c r="M340" s="2468" t="s">
        <v>510</v>
      </c>
      <c r="N340" s="2248">
        <v>10</v>
      </c>
      <c r="O340" s="2248">
        <v>10</v>
      </c>
      <c r="P340" s="2248">
        <v>10</v>
      </c>
      <c r="Q340" s="2248">
        <v>10</v>
      </c>
      <c r="R340" s="2247">
        <v>10</v>
      </c>
      <c r="S340" s="2248">
        <v>10</v>
      </c>
      <c r="T340" s="2247">
        <v>10</v>
      </c>
      <c r="U340" s="2248">
        <v>9.6</v>
      </c>
      <c r="V340" s="2248"/>
      <c r="W340" s="2248"/>
      <c r="X340" s="2248"/>
      <c r="Y340" s="2247">
        <v>10</v>
      </c>
      <c r="Z340" s="2247">
        <v>9.6</v>
      </c>
      <c r="AA340" s="2247">
        <v>10</v>
      </c>
      <c r="AB340" s="2247">
        <v>9</v>
      </c>
      <c r="AC340" s="2247">
        <v>10</v>
      </c>
      <c r="AD340" s="2247">
        <v>9.6999999999999993</v>
      </c>
      <c r="AE340" s="2948">
        <f t="shared" si="55"/>
        <v>9.51</v>
      </c>
      <c r="AF340" s="2244">
        <v>8.6999999999999993</v>
      </c>
      <c r="AG340" s="2247">
        <v>9.1999999999999993</v>
      </c>
      <c r="AH340" s="2247">
        <v>10</v>
      </c>
      <c r="AI340" s="2244">
        <v>10</v>
      </c>
      <c r="AJ340" s="2244"/>
      <c r="AK340" s="2244"/>
      <c r="AL340" s="2244">
        <v>10</v>
      </c>
      <c r="AM340" s="2244">
        <v>10</v>
      </c>
      <c r="AN340" s="2245">
        <f t="shared" si="56"/>
        <v>9.7654999999999994</v>
      </c>
    </row>
    <row r="341" spans="1:40" s="2406" customFormat="1" ht="15.75" customHeight="1">
      <c r="A341" s="1772" t="s">
        <v>1621</v>
      </c>
      <c r="B341" s="2248">
        <v>18</v>
      </c>
      <c r="C341" s="2942">
        <v>44649</v>
      </c>
      <c r="D341" s="2942"/>
      <c r="E341" s="2276" t="s">
        <v>923</v>
      </c>
      <c r="F341" s="2943" t="s">
        <v>543</v>
      </c>
      <c r="G341" s="2949" t="s">
        <v>544</v>
      </c>
      <c r="H341" s="223" t="s">
        <v>433</v>
      </c>
      <c r="I341" s="2946" t="s">
        <v>3523</v>
      </c>
      <c r="J341" s="2946" t="s">
        <v>638</v>
      </c>
      <c r="K341" s="2946" t="s">
        <v>3524</v>
      </c>
      <c r="L341" s="3666" t="s">
        <v>1195</v>
      </c>
      <c r="M341" s="2468" t="s">
        <v>510</v>
      </c>
      <c r="N341" s="2248">
        <v>10</v>
      </c>
      <c r="O341" s="2248">
        <v>10</v>
      </c>
      <c r="P341" s="2248">
        <v>10</v>
      </c>
      <c r="Q341" s="2248">
        <v>9.6</v>
      </c>
      <c r="R341" s="2247">
        <v>10</v>
      </c>
      <c r="S341" s="2248">
        <v>10</v>
      </c>
      <c r="T341" s="2247">
        <v>10</v>
      </c>
      <c r="U341" s="2248">
        <v>7</v>
      </c>
      <c r="V341" s="2248"/>
      <c r="W341" s="2248"/>
      <c r="X341" s="2248"/>
      <c r="Y341" s="2247">
        <v>10</v>
      </c>
      <c r="Z341" s="2247">
        <v>9.6</v>
      </c>
      <c r="AA341" s="2247">
        <v>8</v>
      </c>
      <c r="AB341" s="2247">
        <v>9.1999999999999993</v>
      </c>
      <c r="AC341" s="2247">
        <v>9.8000000000000007</v>
      </c>
      <c r="AD341" s="2247">
        <v>8</v>
      </c>
      <c r="AE341" s="2948">
        <f t="shared" si="55"/>
        <v>9.02</v>
      </c>
      <c r="AF341" s="2244">
        <v>9</v>
      </c>
      <c r="AG341" s="2247">
        <v>9.8000000000000007</v>
      </c>
      <c r="AH341" s="2247">
        <v>10</v>
      </c>
      <c r="AI341" s="2244">
        <v>9</v>
      </c>
      <c r="AJ341" s="2244"/>
      <c r="AK341" s="2244"/>
      <c r="AL341" s="2244">
        <v>10</v>
      </c>
      <c r="AM341" s="2244">
        <v>10</v>
      </c>
      <c r="AN341" s="2245">
        <f t="shared" si="56"/>
        <v>9.4009999999999998</v>
      </c>
    </row>
    <row r="342" spans="1:40" s="2406" customFormat="1" ht="15.75" customHeight="1">
      <c r="A342" s="1772" t="s">
        <v>1621</v>
      </c>
      <c r="B342" s="2248">
        <v>19</v>
      </c>
      <c r="C342" s="2942">
        <v>44649</v>
      </c>
      <c r="D342" s="2942"/>
      <c r="E342" s="2276" t="s">
        <v>923</v>
      </c>
      <c r="F342" s="2943" t="s">
        <v>545</v>
      </c>
      <c r="G342" s="2949" t="s">
        <v>546</v>
      </c>
      <c r="H342" s="223" t="s">
        <v>432</v>
      </c>
      <c r="I342" s="2946" t="s">
        <v>3525</v>
      </c>
      <c r="J342" s="2946" t="s">
        <v>3495</v>
      </c>
      <c r="K342" s="2946" t="s">
        <v>3526</v>
      </c>
      <c r="L342" s="3666" t="s">
        <v>1195</v>
      </c>
      <c r="M342" s="2468" t="s">
        <v>510</v>
      </c>
      <c r="N342" s="2248">
        <v>10</v>
      </c>
      <c r="O342" s="2248">
        <v>10</v>
      </c>
      <c r="P342" s="2248">
        <v>10</v>
      </c>
      <c r="Q342" s="2248">
        <v>10</v>
      </c>
      <c r="R342" s="2247">
        <v>10</v>
      </c>
      <c r="S342" s="2248">
        <v>10</v>
      </c>
      <c r="T342" s="2247">
        <v>10</v>
      </c>
      <c r="U342" s="2248">
        <v>9.4</v>
      </c>
      <c r="V342" s="2248"/>
      <c r="W342" s="2248"/>
      <c r="X342" s="2248"/>
      <c r="Y342" s="2247">
        <v>10</v>
      </c>
      <c r="Z342" s="2247">
        <v>9.6</v>
      </c>
      <c r="AA342" s="2247">
        <v>9.3000000000000007</v>
      </c>
      <c r="AB342" s="2247">
        <v>9</v>
      </c>
      <c r="AC342" s="2247">
        <v>10</v>
      </c>
      <c r="AD342" s="2247">
        <v>10</v>
      </c>
      <c r="AE342" s="2948">
        <f t="shared" si="55"/>
        <v>9.6</v>
      </c>
      <c r="AF342" s="2244">
        <v>10</v>
      </c>
      <c r="AG342" s="2247">
        <v>9.1999999999999993</v>
      </c>
      <c r="AH342" s="2247">
        <v>10</v>
      </c>
      <c r="AI342" s="2244">
        <v>10</v>
      </c>
      <c r="AJ342" s="2244"/>
      <c r="AK342" s="2244"/>
      <c r="AL342" s="2244">
        <v>10</v>
      </c>
      <c r="AM342" s="2244">
        <v>10</v>
      </c>
      <c r="AN342" s="2245">
        <f t="shared" si="56"/>
        <v>9.8049999999999997</v>
      </c>
    </row>
    <row r="343" spans="1:40" s="2406" customFormat="1" ht="15.75" customHeight="1">
      <c r="A343" s="1772" t="s">
        <v>1621</v>
      </c>
      <c r="B343" s="2248">
        <v>20</v>
      </c>
      <c r="C343" s="2942">
        <v>44649</v>
      </c>
      <c r="D343" s="2942"/>
      <c r="E343" s="2276" t="s">
        <v>923</v>
      </c>
      <c r="F343" s="2943" t="s">
        <v>547</v>
      </c>
      <c r="G343" s="2949" t="s">
        <v>548</v>
      </c>
      <c r="H343" s="223" t="s">
        <v>432</v>
      </c>
      <c r="I343" s="2946" t="s">
        <v>3527</v>
      </c>
      <c r="J343" s="2946" t="s">
        <v>1336</v>
      </c>
      <c r="K343" s="2946" t="s">
        <v>1336</v>
      </c>
      <c r="L343" s="3666" t="s">
        <v>1195</v>
      </c>
      <c r="M343" s="2468" t="s">
        <v>510</v>
      </c>
      <c r="N343" s="2248">
        <v>10</v>
      </c>
      <c r="O343" s="2248">
        <v>10</v>
      </c>
      <c r="P343" s="2248">
        <v>10</v>
      </c>
      <c r="Q343" s="2248">
        <v>10</v>
      </c>
      <c r="R343" s="2247">
        <v>10</v>
      </c>
      <c r="S343" s="2248">
        <v>10</v>
      </c>
      <c r="T343" s="2247">
        <v>10</v>
      </c>
      <c r="U343" s="2248">
        <v>9.6</v>
      </c>
      <c r="V343" s="2248"/>
      <c r="W343" s="2248"/>
      <c r="X343" s="2248"/>
      <c r="Y343" s="2247">
        <v>10</v>
      </c>
      <c r="Z343" s="2247">
        <v>10</v>
      </c>
      <c r="AA343" s="2247">
        <v>9.3000000000000007</v>
      </c>
      <c r="AB343" s="2247">
        <v>9</v>
      </c>
      <c r="AC343" s="2247">
        <v>10</v>
      </c>
      <c r="AD343" s="2247">
        <v>9.3000000000000007</v>
      </c>
      <c r="AE343" s="2948">
        <f t="shared" si="55"/>
        <v>9.39</v>
      </c>
      <c r="AF343" s="2244">
        <v>9</v>
      </c>
      <c r="AG343" s="2247">
        <v>9.1999999999999993</v>
      </c>
      <c r="AH343" s="2247">
        <v>10</v>
      </c>
      <c r="AI343" s="2244">
        <v>9</v>
      </c>
      <c r="AJ343" s="2244"/>
      <c r="AK343" s="2244"/>
      <c r="AL343" s="2244">
        <v>10</v>
      </c>
      <c r="AM343" s="2244">
        <v>10</v>
      </c>
      <c r="AN343" s="2245">
        <f t="shared" si="56"/>
        <v>9.6894999999999989</v>
      </c>
    </row>
    <row r="344" spans="1:40" s="2406" customFormat="1" ht="15.75" customHeight="1">
      <c r="A344" s="1772" t="s">
        <v>1621</v>
      </c>
      <c r="B344" s="2248">
        <v>21</v>
      </c>
      <c r="C344" s="2942">
        <v>44649</v>
      </c>
      <c r="D344" s="2942"/>
      <c r="E344" s="2276" t="s">
        <v>923</v>
      </c>
      <c r="F344" s="2943" t="s">
        <v>549</v>
      </c>
      <c r="G344" s="2949" t="s">
        <v>550</v>
      </c>
      <c r="H344" s="223" t="s">
        <v>433</v>
      </c>
      <c r="I344" s="2946" t="s">
        <v>3528</v>
      </c>
      <c r="J344" s="2946" t="s">
        <v>668</v>
      </c>
      <c r="K344" s="2946" t="s">
        <v>3519</v>
      </c>
      <c r="L344" s="3666" t="s">
        <v>1195</v>
      </c>
      <c r="M344" s="2468" t="s">
        <v>510</v>
      </c>
      <c r="N344" s="2248">
        <v>10</v>
      </c>
      <c r="O344" s="2248">
        <v>10</v>
      </c>
      <c r="P344" s="2248">
        <v>10</v>
      </c>
      <c r="Q344" s="2248">
        <v>10</v>
      </c>
      <c r="R344" s="2247">
        <v>10</v>
      </c>
      <c r="S344" s="2248">
        <v>10</v>
      </c>
      <c r="T344" s="2247">
        <v>10</v>
      </c>
      <c r="U344" s="2248">
        <v>9.6</v>
      </c>
      <c r="V344" s="2248"/>
      <c r="W344" s="2248"/>
      <c r="X344" s="2248"/>
      <c r="Y344" s="2247">
        <v>10</v>
      </c>
      <c r="Z344" s="2247">
        <v>10</v>
      </c>
      <c r="AA344" s="2247">
        <v>9</v>
      </c>
      <c r="AB344" s="2247">
        <v>9</v>
      </c>
      <c r="AC344" s="2247">
        <v>10</v>
      </c>
      <c r="AD344" s="2247">
        <v>10</v>
      </c>
      <c r="AE344" s="2948">
        <f t="shared" si="55"/>
        <v>9.6</v>
      </c>
      <c r="AF344" s="2244">
        <v>10</v>
      </c>
      <c r="AG344" s="2247">
        <v>9.1999999999999993</v>
      </c>
      <c r="AH344" s="2247">
        <v>10</v>
      </c>
      <c r="AI344" s="2244">
        <v>9</v>
      </c>
      <c r="AJ344" s="2244"/>
      <c r="AK344" s="2244"/>
      <c r="AL344" s="2244">
        <v>10</v>
      </c>
      <c r="AM344" s="2244">
        <v>10</v>
      </c>
      <c r="AN344" s="2245">
        <f t="shared" si="56"/>
        <v>9.77</v>
      </c>
    </row>
    <row r="345" spans="1:40" s="2406" customFormat="1" ht="15.75" customHeight="1">
      <c r="A345" s="1772" t="s">
        <v>1621</v>
      </c>
      <c r="B345" s="2248">
        <v>22</v>
      </c>
      <c r="C345" s="2942">
        <v>44649</v>
      </c>
      <c r="D345" s="2942"/>
      <c r="E345" s="2276" t="s">
        <v>923</v>
      </c>
      <c r="F345" s="2943" t="s">
        <v>551</v>
      </c>
      <c r="G345" s="2949" t="s">
        <v>552</v>
      </c>
      <c r="H345" s="223" t="s">
        <v>432</v>
      </c>
      <c r="I345" s="2946" t="s">
        <v>3515</v>
      </c>
      <c r="J345" s="2946" t="s">
        <v>637</v>
      </c>
      <c r="K345" s="2946" t="s">
        <v>637</v>
      </c>
      <c r="L345" s="3666" t="s">
        <v>1195</v>
      </c>
      <c r="M345" s="2468" t="s">
        <v>510</v>
      </c>
      <c r="N345" s="2248">
        <v>10</v>
      </c>
      <c r="O345" s="2248">
        <v>10</v>
      </c>
      <c r="P345" s="2248">
        <v>10</v>
      </c>
      <c r="Q345" s="2248">
        <v>10</v>
      </c>
      <c r="R345" s="2247">
        <v>10</v>
      </c>
      <c r="S345" s="2248">
        <v>10</v>
      </c>
      <c r="T345" s="2247">
        <v>10</v>
      </c>
      <c r="U345" s="2248">
        <v>9.6</v>
      </c>
      <c r="V345" s="2248"/>
      <c r="W345" s="2248"/>
      <c r="X345" s="2248"/>
      <c r="Y345" s="2247">
        <v>10</v>
      </c>
      <c r="Z345" s="2247">
        <v>10</v>
      </c>
      <c r="AA345" s="2247">
        <v>9</v>
      </c>
      <c r="AB345" s="2247">
        <v>9</v>
      </c>
      <c r="AC345" s="2247">
        <v>10</v>
      </c>
      <c r="AD345" s="2247">
        <v>9</v>
      </c>
      <c r="AE345" s="2948">
        <f t="shared" si="55"/>
        <v>9.2999999999999989</v>
      </c>
      <c r="AF345" s="2244">
        <v>10</v>
      </c>
      <c r="AG345" s="2247">
        <v>9.1999999999999993</v>
      </c>
      <c r="AH345" s="2247">
        <v>10</v>
      </c>
      <c r="AI345" s="2244">
        <v>9</v>
      </c>
      <c r="AJ345" s="2244"/>
      <c r="AK345" s="2244"/>
      <c r="AL345" s="2244">
        <v>10</v>
      </c>
      <c r="AM345" s="2244">
        <v>10</v>
      </c>
      <c r="AN345" s="2245">
        <f t="shared" si="56"/>
        <v>9.7050000000000001</v>
      </c>
    </row>
    <row r="346" spans="1:40" s="2406" customFormat="1" ht="15.75" customHeight="1">
      <c r="A346" s="1772" t="s">
        <v>1621</v>
      </c>
      <c r="B346" s="2248">
        <v>23</v>
      </c>
      <c r="C346" s="2942">
        <v>44649</v>
      </c>
      <c r="D346" s="2942"/>
      <c r="E346" s="2276" t="s">
        <v>923</v>
      </c>
      <c r="F346" s="2943" t="s">
        <v>553</v>
      </c>
      <c r="G346" s="2949" t="s">
        <v>554</v>
      </c>
      <c r="H346" s="223" t="s">
        <v>432</v>
      </c>
      <c r="I346" s="2946" t="s">
        <v>3516</v>
      </c>
      <c r="J346" s="2946" t="s">
        <v>637</v>
      </c>
      <c r="K346" s="2946" t="s">
        <v>3529</v>
      </c>
      <c r="L346" s="3666" t="s">
        <v>1195</v>
      </c>
      <c r="M346" s="2468" t="s">
        <v>510</v>
      </c>
      <c r="N346" s="2248">
        <v>10</v>
      </c>
      <c r="O346" s="2248">
        <v>10</v>
      </c>
      <c r="P346" s="2248">
        <v>10</v>
      </c>
      <c r="Q346" s="2248">
        <v>9.6</v>
      </c>
      <c r="R346" s="2247">
        <v>10</v>
      </c>
      <c r="S346" s="2248">
        <v>10</v>
      </c>
      <c r="T346" s="2247">
        <v>10</v>
      </c>
      <c r="U346" s="2248">
        <v>9.4</v>
      </c>
      <c r="V346" s="2248"/>
      <c r="W346" s="2248"/>
      <c r="X346" s="2248"/>
      <c r="Y346" s="2247">
        <v>10</v>
      </c>
      <c r="Z346" s="2247">
        <v>8.4</v>
      </c>
      <c r="AA346" s="2247">
        <v>8</v>
      </c>
      <c r="AB346" s="2247">
        <v>8</v>
      </c>
      <c r="AC346" s="2247">
        <v>9.6</v>
      </c>
      <c r="AD346" s="2247">
        <v>9</v>
      </c>
      <c r="AE346" s="2948">
        <f t="shared" si="55"/>
        <v>8.7799999999999994</v>
      </c>
      <c r="AF346" s="2244">
        <v>9</v>
      </c>
      <c r="AG346" s="2950">
        <v>10</v>
      </c>
      <c r="AH346" s="2199">
        <v>10</v>
      </c>
      <c r="AI346" s="2244">
        <v>9</v>
      </c>
      <c r="AJ346" s="2244"/>
      <c r="AK346" s="2244"/>
      <c r="AL346" s="2244">
        <v>10</v>
      </c>
      <c r="AM346" s="2244">
        <v>10</v>
      </c>
      <c r="AN346" s="2245">
        <f t="shared" si="56"/>
        <v>9.4390000000000001</v>
      </c>
    </row>
    <row r="347" spans="1:40" s="2406" customFormat="1" ht="15.75" customHeight="1">
      <c r="A347" s="1772" t="s">
        <v>1621</v>
      </c>
      <c r="B347" s="2248">
        <v>24</v>
      </c>
      <c r="C347" s="2942">
        <v>44649</v>
      </c>
      <c r="D347" s="2942"/>
      <c r="E347" s="2276" t="s">
        <v>923</v>
      </c>
      <c r="F347" s="2943" t="s">
        <v>555</v>
      </c>
      <c r="G347" s="2949" t="s">
        <v>556</v>
      </c>
      <c r="H347" s="223" t="s">
        <v>432</v>
      </c>
      <c r="I347" s="2946" t="s">
        <v>3493</v>
      </c>
      <c r="J347" s="2946" t="s">
        <v>3494</v>
      </c>
      <c r="K347" s="2946" t="s">
        <v>638</v>
      </c>
      <c r="L347" s="3666" t="s">
        <v>1195</v>
      </c>
      <c r="M347" s="2468" t="s">
        <v>510</v>
      </c>
      <c r="N347" s="2248">
        <v>10</v>
      </c>
      <c r="O347" s="2248">
        <v>10</v>
      </c>
      <c r="P347" s="2248">
        <v>10</v>
      </c>
      <c r="Q347" s="2248">
        <v>10</v>
      </c>
      <c r="R347" s="2247">
        <v>10</v>
      </c>
      <c r="S347" s="2248">
        <v>10</v>
      </c>
      <c r="T347" s="2247">
        <v>10</v>
      </c>
      <c r="U347" s="2248">
        <v>10</v>
      </c>
      <c r="V347" s="2248"/>
      <c r="W347" s="2248"/>
      <c r="X347" s="2248"/>
      <c r="Y347" s="2247">
        <v>10</v>
      </c>
      <c r="Z347" s="2247">
        <v>10</v>
      </c>
      <c r="AA347" s="2247">
        <v>10</v>
      </c>
      <c r="AB347" s="2247">
        <v>9.6</v>
      </c>
      <c r="AC347" s="2247">
        <v>10</v>
      </c>
      <c r="AD347" s="2247">
        <v>10</v>
      </c>
      <c r="AE347" s="2948">
        <f t="shared" si="55"/>
        <v>9.84</v>
      </c>
      <c r="AF347" s="2244">
        <v>10</v>
      </c>
      <c r="AG347" s="2247">
        <v>9.1999999999999993</v>
      </c>
      <c r="AH347" s="2247">
        <v>10</v>
      </c>
      <c r="AI347" s="2244">
        <v>10</v>
      </c>
      <c r="AJ347" s="2244"/>
      <c r="AK347" s="2244"/>
      <c r="AL347" s="2244">
        <v>10</v>
      </c>
      <c r="AM347" s="2244">
        <v>10</v>
      </c>
      <c r="AN347" s="2245">
        <f t="shared" si="56"/>
        <v>9.9319999999999986</v>
      </c>
    </row>
    <row r="348" spans="1:40" s="2406" customFormat="1" ht="15.75" customHeight="1">
      <c r="L348" s="299"/>
    </row>
    <row r="349" spans="1:40" ht="15.75" customHeight="1"/>
    <row r="350" spans="1:40" ht="15.75" customHeight="1"/>
    <row r="351" spans="1:40" s="1694" customFormat="1" ht="18" customHeight="1">
      <c r="L351" s="3977"/>
      <c r="AF351" s="1684"/>
      <c r="AG351" s="1684"/>
      <c r="AH351" s="1684"/>
      <c r="AI351" s="1684"/>
      <c r="AJ351" s="1684"/>
      <c r="AK351" s="1684"/>
    </row>
    <row r="352" spans="1:40" s="1818" customFormat="1" ht="36" customHeight="1">
      <c r="C352" s="1819" t="s">
        <v>4039</v>
      </c>
      <c r="D352" s="1819"/>
      <c r="E352" s="1819"/>
      <c r="L352" s="3978"/>
    </row>
    <row r="353" spans="1:39" ht="19.5" customHeight="1">
      <c r="C353" s="2322"/>
      <c r="D353" s="2322"/>
      <c r="E353" s="2322"/>
    </row>
    <row r="354" spans="1:39" ht="19.5" customHeight="1">
      <c r="C354" s="2322"/>
      <c r="D354" s="2322"/>
      <c r="E354" s="2322"/>
    </row>
    <row r="355" spans="1:39" ht="15.75" customHeight="1"/>
    <row r="356" spans="1:39" ht="15" customHeight="1" thickBot="1"/>
    <row r="357" spans="1:39" ht="15.75" customHeight="1" thickBot="1">
      <c r="A357" s="1546"/>
      <c r="B357" s="4089" t="s">
        <v>5</v>
      </c>
      <c r="C357" s="1548"/>
      <c r="D357" s="4091" t="s">
        <v>3866</v>
      </c>
      <c r="E357" s="4091" t="s">
        <v>6</v>
      </c>
      <c r="F357" s="4091" t="s">
        <v>7</v>
      </c>
      <c r="G357" s="4093" t="s">
        <v>8</v>
      </c>
      <c r="H357" s="4096" t="s">
        <v>9</v>
      </c>
      <c r="I357" s="4086" t="s">
        <v>10</v>
      </c>
      <c r="J357" s="4087"/>
      <c r="K357" s="4087"/>
      <c r="L357" s="4185"/>
      <c r="M357" s="1611"/>
      <c r="N357" s="1282" t="s">
        <v>4994</v>
      </c>
      <c r="O357" s="1295" t="s">
        <v>4824</v>
      </c>
      <c r="P357" s="1295" t="s">
        <v>4825</v>
      </c>
      <c r="Q357" s="1295" t="s">
        <v>453</v>
      </c>
      <c r="R357" s="1295" t="s">
        <v>4826</v>
      </c>
      <c r="S357" s="1282" t="s">
        <v>4827</v>
      </c>
      <c r="T357" s="1295" t="s">
        <v>4987</v>
      </c>
      <c r="U357" s="1295" t="s">
        <v>4988</v>
      </c>
      <c r="V357" s="3092" t="s">
        <v>5102</v>
      </c>
      <c r="W357" s="3098" t="s">
        <v>765</v>
      </c>
      <c r="X357" s="3098"/>
      <c r="Z357" s="2259"/>
      <c r="AA357" s="2259"/>
      <c r="AB357" s="2259"/>
      <c r="AC357" s="2259"/>
      <c r="AD357" s="2259"/>
      <c r="AE357" s="2259"/>
      <c r="AF357" s="2259"/>
      <c r="AG357" s="2259"/>
      <c r="AH357" s="2259"/>
      <c r="AI357" s="2259"/>
      <c r="AJ357" s="2259"/>
      <c r="AK357" s="2259"/>
      <c r="AL357" s="2259"/>
      <c r="AM357" s="2259"/>
    </row>
    <row r="358" spans="1:39" ht="27.75" customHeight="1" thickBot="1">
      <c r="A358" s="1546"/>
      <c r="B358" s="4090"/>
      <c r="C358" s="1548" t="s">
        <v>2825</v>
      </c>
      <c r="D358" s="4092"/>
      <c r="E358" s="4092"/>
      <c r="F358" s="4092"/>
      <c r="G358" s="4094"/>
      <c r="H358" s="4097"/>
      <c r="I358" s="4087"/>
      <c r="J358" s="4088"/>
      <c r="K358" s="4087"/>
      <c r="L358" s="4186"/>
      <c r="M358" s="3012" t="s">
        <v>1149</v>
      </c>
      <c r="N358" s="3013" t="s">
        <v>4381</v>
      </c>
      <c r="O358" s="3013" t="s">
        <v>4382</v>
      </c>
      <c r="P358" s="3013" t="s">
        <v>4383</v>
      </c>
      <c r="Q358" s="3013" t="s">
        <v>4828</v>
      </c>
      <c r="R358" s="3013" t="s">
        <v>4829</v>
      </c>
      <c r="S358" s="3013" t="s">
        <v>4830</v>
      </c>
      <c r="T358" s="3019" t="s">
        <v>4989</v>
      </c>
      <c r="U358" s="626" t="s">
        <v>4990</v>
      </c>
      <c r="V358" s="626" t="s">
        <v>5103</v>
      </c>
      <c r="W358" s="626" t="s">
        <v>5106</v>
      </c>
      <c r="X358" s="626"/>
      <c r="Z358" s="2259"/>
      <c r="AA358" s="2259"/>
      <c r="AB358" s="2259"/>
      <c r="AC358" s="2259"/>
      <c r="AD358" s="2259"/>
      <c r="AE358" s="2259"/>
      <c r="AF358" s="2259"/>
      <c r="AG358" s="2259"/>
      <c r="AH358" s="2259"/>
      <c r="AI358" s="2259"/>
      <c r="AJ358" s="2259"/>
      <c r="AK358" s="2259"/>
      <c r="AL358" s="2259"/>
      <c r="AM358" s="2259"/>
    </row>
    <row r="359" spans="1:39" ht="29.25" customHeight="1" thickBot="1">
      <c r="A359" s="1562" t="s">
        <v>27</v>
      </c>
      <c r="B359" s="4090"/>
      <c r="C359" s="1547"/>
      <c r="D359" s="4092"/>
      <c r="E359" s="4092"/>
      <c r="F359" s="4092"/>
      <c r="G359" s="4095"/>
      <c r="H359" s="4097"/>
      <c r="I359" s="4087"/>
      <c r="J359" s="4087"/>
      <c r="K359" s="4087"/>
      <c r="L359" s="3922"/>
      <c r="M359" s="3012" t="s">
        <v>1728</v>
      </c>
      <c r="N359" s="2990" t="s">
        <v>4476</v>
      </c>
      <c r="O359" s="2990" t="s">
        <v>4981</v>
      </c>
      <c r="P359" s="2990" t="s">
        <v>407</v>
      </c>
      <c r="Q359" s="2990" t="s">
        <v>3958</v>
      </c>
      <c r="R359" s="2990" t="s">
        <v>4993</v>
      </c>
      <c r="S359" s="2990"/>
      <c r="T359" s="2990"/>
      <c r="U359" s="2990"/>
      <c r="V359" s="2990"/>
      <c r="W359" s="2990"/>
      <c r="X359" s="2990"/>
      <c r="Y359" s="3011"/>
      <c r="Z359" s="2259"/>
      <c r="AA359" s="2259"/>
      <c r="AB359" s="2259"/>
      <c r="AC359" s="2259"/>
      <c r="AD359" s="2259"/>
      <c r="AE359" s="2259"/>
      <c r="AF359" s="2259"/>
      <c r="AG359" s="2259"/>
      <c r="AH359" s="2259"/>
      <c r="AI359" s="2259"/>
      <c r="AJ359" s="2259"/>
      <c r="AK359" s="2259"/>
      <c r="AL359" s="2259"/>
      <c r="AM359" s="2259"/>
    </row>
    <row r="360" spans="1:39" ht="45.75" customHeight="1">
      <c r="A360" s="2258" t="s">
        <v>4831</v>
      </c>
      <c r="B360" s="4090"/>
      <c r="C360" s="1564" t="s">
        <v>3882</v>
      </c>
      <c r="D360" s="4092"/>
      <c r="E360" s="4092"/>
      <c r="F360" s="4092"/>
      <c r="G360" s="1565" t="s">
        <v>78</v>
      </c>
      <c r="H360" s="4097"/>
      <c r="I360" s="1566" t="s">
        <v>79</v>
      </c>
      <c r="J360" s="1566" t="s">
        <v>80</v>
      </c>
      <c r="K360" s="1566" t="s">
        <v>81</v>
      </c>
      <c r="L360" s="3952" t="s">
        <v>1759</v>
      </c>
      <c r="M360" s="3029" t="s">
        <v>27</v>
      </c>
      <c r="N360" s="3026" t="s">
        <v>4984</v>
      </c>
      <c r="O360" s="3027" t="s">
        <v>4992</v>
      </c>
      <c r="P360" s="3027" t="s">
        <v>4983</v>
      </c>
      <c r="Q360" s="3027" t="s">
        <v>4465</v>
      </c>
      <c r="R360" s="3028" t="s">
        <v>4404</v>
      </c>
      <c r="S360" s="3028" t="s">
        <v>4700</v>
      </c>
      <c r="T360" s="3006" t="s">
        <v>3607</v>
      </c>
      <c r="U360" s="3006" t="s">
        <v>3608</v>
      </c>
      <c r="V360" s="3859" t="s">
        <v>5104</v>
      </c>
      <c r="W360" s="3859" t="s">
        <v>5105</v>
      </c>
      <c r="X360" s="3103"/>
      <c r="Y360" s="3104"/>
      <c r="Z360" s="2259"/>
      <c r="AA360" s="2259"/>
      <c r="AB360" s="2259"/>
      <c r="AC360" s="2259"/>
      <c r="AD360" s="2259"/>
      <c r="AE360" s="2259"/>
      <c r="AF360" s="2259"/>
      <c r="AG360" s="2259"/>
      <c r="AH360" s="2259"/>
      <c r="AI360" s="2259"/>
      <c r="AJ360" s="2259"/>
      <c r="AK360" s="2259"/>
      <c r="AL360" s="2259"/>
      <c r="AM360" s="2259"/>
    </row>
    <row r="361" spans="1:39" ht="15.75" customHeight="1">
      <c r="A361" s="3861" t="str">
        <f>_xlfn.XLOOKUP($D361,Tabla3[No.],Tabla3[PROGRAMA]," ")</f>
        <v>MDP</v>
      </c>
      <c r="B361" s="3862">
        <v>2</v>
      </c>
      <c r="C361" s="3863">
        <f>_xlfn.XLOOKUP($D361, Tabla3[No.], Tabla3[FECHA DE INICIO (PRIMERA CLASE CALENDARIO)]," ")</f>
        <v>45306</v>
      </c>
      <c r="D361" s="3864">
        <v>669</v>
      </c>
      <c r="E361" s="3865" t="str">
        <f>_xlfn.XLOOKUP($D361,  Tabla3[No.],  Tabla3[CURP], " ")</f>
        <v>LOGW830705HGTPO00</v>
      </c>
      <c r="F361" s="3866" t="str">
        <f>_xlfn.XLOOKUP($D361,  Tabla3[No.],  Tabla3[Matrícula Of. SEQ], " ")</f>
        <v>64MDP04A-04</v>
      </c>
      <c r="G361" s="3867" t="str">
        <f>IFERROR(VLOOKUP(D361,Tabla3[],5,FALSE),"")</f>
        <v>LOPEZ GONZALEZ WILSON JOEL</v>
      </c>
      <c r="H361" s="3862" t="str">
        <f t="shared" ref="H361:H374" si="57">MID($E361,11,1)</f>
        <v>H</v>
      </c>
      <c r="I361" s="3862" t="str">
        <f t="shared" ref="I361:I374" si="58">MID($E361,5,2)</f>
        <v>83</v>
      </c>
      <c r="J361" s="3862" t="str">
        <f t="shared" ref="J361:J374" si="59">MID($E361,7,2)</f>
        <v>07</v>
      </c>
      <c r="K361" s="3862" t="str">
        <f t="shared" ref="K361:K374" si="60">MID($E361,9,2)</f>
        <v>05</v>
      </c>
      <c r="L361" s="3947" t="str">
        <f>_xlfn.XLOOKUP($D361,  Tabla3[No.],  Tabla3[ESTATUS ACADÉMICO], " ")</f>
        <v>EGRESADO</v>
      </c>
      <c r="M361" s="3868" t="str">
        <f>_xlfn.XLOOKUP($D361,  Tabla3[No.],  Tabla3[Grupo de clase], " ")</f>
        <v>MDPG04</v>
      </c>
      <c r="N361" s="3869">
        <v>9.1999999999999993</v>
      </c>
      <c r="O361" s="3869">
        <v>9.4</v>
      </c>
      <c r="P361" s="3869">
        <v>9.3000000000000007</v>
      </c>
      <c r="Q361" s="3869">
        <v>9.4</v>
      </c>
      <c r="R361" s="3869">
        <v>9.5</v>
      </c>
      <c r="S361" s="3870">
        <v>9.4</v>
      </c>
      <c r="T361" s="3870">
        <v>9.6</v>
      </c>
      <c r="U361" s="3869">
        <v>9.6</v>
      </c>
      <c r="V361" s="3869">
        <v>9.1999999999999993</v>
      </c>
      <c r="W361" s="3869">
        <v>9.3000000000000007</v>
      </c>
      <c r="X361" s="3869"/>
      <c r="Y361" s="3871"/>
      <c r="Z361" s="2259"/>
      <c r="AA361" s="2259"/>
      <c r="AB361" s="2259"/>
      <c r="AC361" s="2259"/>
      <c r="AD361" s="2259"/>
      <c r="AE361" s="2259"/>
      <c r="AF361" s="2259"/>
      <c r="AG361" s="2259"/>
      <c r="AH361" s="2259"/>
      <c r="AI361" s="2259"/>
      <c r="AJ361" s="2259"/>
      <c r="AK361" s="2259"/>
      <c r="AL361" s="2259"/>
      <c r="AM361" s="2259"/>
    </row>
    <row r="362" spans="1:39" ht="15.75" customHeight="1">
      <c r="A362" s="3004" t="str">
        <f>_xlfn.XLOOKUP($D362,Tabla3[No.],Tabla3[PROGRAMA]," ")</f>
        <v>MDP</v>
      </c>
      <c r="B362" s="1660">
        <v>3</v>
      </c>
      <c r="C362" s="1600">
        <f>_xlfn.XLOOKUP($D362, Tabla3[No.], Tabla3[FECHA DE INICIO (PRIMERA CLASE CALENDARIO)]," ")</f>
        <v>45306</v>
      </c>
      <c r="D362" s="1660">
        <v>666</v>
      </c>
      <c r="E362" s="1602" t="str">
        <f>_xlfn.XLOOKUP($D362,  Tabla3[No.],  Tabla3[CURP], " ")</f>
        <v>FLSC870815MGTOA00</v>
      </c>
      <c r="F362" s="1603" t="str">
        <f>_xlfn.XLOOKUP($D362,  Tabla3[No.],  Tabla3[Matrícula Of. SEQ], " ")</f>
        <v>64MDP04A-03</v>
      </c>
      <c r="G362" s="2241" t="str">
        <f>IFERROR(VLOOKUP(D362,Tabla3[],5,FALSE),"")</f>
        <v>FLORES SANCHEZ CINDY AZALEA FABIOLA</v>
      </c>
      <c r="H362" s="1660" t="str">
        <f t="shared" si="57"/>
        <v>M</v>
      </c>
      <c r="I362" s="1660" t="str">
        <f t="shared" si="58"/>
        <v>87</v>
      </c>
      <c r="J362" s="1660" t="str">
        <f t="shared" si="59"/>
        <v>08</v>
      </c>
      <c r="K362" s="1660" t="str">
        <f t="shared" si="60"/>
        <v>15</v>
      </c>
      <c r="L362" s="3818" t="str">
        <f>_xlfn.XLOOKUP($D362,  Tabla3[No.],  Tabla3[ESTATUS ACADÉMICO], " ")</f>
        <v>VIGENTE</v>
      </c>
      <c r="M362" s="3860" t="str">
        <f>_xlfn.XLOOKUP($D362,  Tabla3[No.],  Tabla3[Grupo de clase], " ")</f>
        <v>MDPG04</v>
      </c>
      <c r="N362" s="1132">
        <v>10</v>
      </c>
      <c r="O362" s="1132">
        <v>9.4</v>
      </c>
      <c r="P362" s="1132">
        <v>9.3000000000000007</v>
      </c>
      <c r="Q362" s="1132">
        <v>9.4</v>
      </c>
      <c r="R362" s="1132">
        <v>9.5</v>
      </c>
      <c r="S362" s="2261">
        <v>9.4</v>
      </c>
      <c r="T362" s="2261">
        <v>9.6</v>
      </c>
      <c r="U362" s="1132">
        <v>9.6</v>
      </c>
      <c r="V362" s="1132"/>
      <c r="W362" s="1132"/>
      <c r="X362" s="1132"/>
      <c r="Y362" s="2260"/>
      <c r="Z362" s="2259"/>
      <c r="AA362" s="2259"/>
      <c r="AB362" s="2259"/>
      <c r="AC362" s="2259"/>
      <c r="AD362" s="2259"/>
      <c r="AE362" s="2259"/>
      <c r="AF362" s="2259"/>
      <c r="AG362" s="2259"/>
      <c r="AH362" s="2259"/>
      <c r="AI362" s="2259"/>
      <c r="AJ362" s="2259"/>
      <c r="AK362" s="2259"/>
      <c r="AL362" s="2259"/>
      <c r="AM362" s="2259"/>
    </row>
    <row r="363" spans="1:39" ht="15.75" customHeight="1">
      <c r="A363" s="3861" t="str">
        <f>_xlfn.XLOOKUP($D363,Tabla3[No.],Tabla3[PROGRAMA]," ")</f>
        <v>MDP</v>
      </c>
      <c r="B363" s="3862">
        <v>4</v>
      </c>
      <c r="C363" s="3863">
        <f>_xlfn.XLOOKUP($D363, Tabla3[No.], Tabla3[FECHA DE INICIO (PRIMERA CLASE CALENDARIO)]," ")</f>
        <v>45306</v>
      </c>
      <c r="D363" s="3862">
        <v>668</v>
      </c>
      <c r="E363" s="3865" t="str">
        <f>_xlfn.XLOOKUP($D363,  Tabla3[No.],  Tabla3[CURP], " ")</f>
        <v>RESK900915MGTYL00</v>
      </c>
      <c r="F363" s="3866" t="str">
        <f>_xlfn.XLOOKUP($D363,  Tabla3[No.],  Tabla3[Matrícula Of. SEQ], " ")</f>
        <v>64MDP04A-05</v>
      </c>
      <c r="G363" s="3867" t="str">
        <f>IFERROR(VLOOKUP(D363,Tabla3[],5,FALSE),"")</f>
        <v>REYES SOLIS KAREN NOHEMI</v>
      </c>
      <c r="H363" s="3862" t="str">
        <f t="shared" si="57"/>
        <v>M</v>
      </c>
      <c r="I363" s="3862" t="str">
        <f t="shared" si="58"/>
        <v>90</v>
      </c>
      <c r="J363" s="3862" t="str">
        <f t="shared" si="59"/>
        <v>09</v>
      </c>
      <c r="K363" s="3862" t="str">
        <f t="shared" si="60"/>
        <v>15</v>
      </c>
      <c r="L363" s="3947" t="str">
        <f>_xlfn.XLOOKUP($D363,  Tabla3[No.],  Tabla3[ESTATUS ACADÉMICO], " ")</f>
        <v>EGRESADO</v>
      </c>
      <c r="M363" s="3872" t="str">
        <f>_xlfn.XLOOKUP($D363,  Tabla3[No.],  Tabla3[Grupo de clase], " ")</f>
        <v>MDPG04</v>
      </c>
      <c r="N363" s="3869">
        <v>9.1999999999999993</v>
      </c>
      <c r="O363" s="3869">
        <v>9.4</v>
      </c>
      <c r="P363" s="3869">
        <v>9.3000000000000007</v>
      </c>
      <c r="Q363" s="3869">
        <v>9.4</v>
      </c>
      <c r="R363" s="3869">
        <v>9.5</v>
      </c>
      <c r="S363" s="3870">
        <v>9.4</v>
      </c>
      <c r="T363" s="3870">
        <v>9.6</v>
      </c>
      <c r="U363" s="3869">
        <v>9.6</v>
      </c>
      <c r="V363" s="3869">
        <v>9</v>
      </c>
      <c r="W363" s="3869">
        <v>9.5</v>
      </c>
      <c r="X363" s="3869"/>
      <c r="Y363" s="3871"/>
      <c r="Z363" s="2259"/>
      <c r="AA363" s="2259"/>
      <c r="AB363" s="2259"/>
      <c r="AC363" s="2259"/>
      <c r="AD363" s="2259"/>
      <c r="AE363" s="2259"/>
      <c r="AF363" s="2259"/>
      <c r="AG363" s="2259"/>
      <c r="AH363" s="2259"/>
      <c r="AI363" s="2259"/>
      <c r="AJ363" s="2259"/>
      <c r="AK363" s="2259"/>
      <c r="AL363" s="2259"/>
      <c r="AM363" s="2259"/>
    </row>
    <row r="364" spans="1:39" ht="15.75" customHeight="1">
      <c r="A364" s="3004" t="str">
        <f>_xlfn.XLOOKUP($D364,Tabla3[No.],Tabla3[PROGRAMA]," ")</f>
        <v>MDP</v>
      </c>
      <c r="B364" s="1660">
        <v>5</v>
      </c>
      <c r="C364" s="1600">
        <f>_xlfn.XLOOKUP($D364, Tabla3[No.], Tabla3[FECHA DE INICIO (PRIMERA CLASE CALENDARIO)]," ")</f>
        <v>45306</v>
      </c>
      <c r="D364" s="1660">
        <v>665</v>
      </c>
      <c r="E364" s="1602" t="str">
        <f>_xlfn.XLOOKUP($D364,  Tabla3[No.],  Tabla3[CURP], " ")</f>
        <v>CEAA831210HGGRC00</v>
      </c>
      <c r="F364" s="1603" t="str">
        <f>_xlfn.XLOOKUP($D364,  Tabla3[No.],  Tabla3[Matrícula Of. SEQ], " ")</f>
        <v>64MDP04A-02</v>
      </c>
      <c r="G364" s="2241" t="str">
        <f>IFERROR(VLOOKUP(D364,Tabla3[],5,FALSE),"")</f>
        <v>CERNA ACEVEDO AXEL EDILBERTO</v>
      </c>
      <c r="H364" s="1660" t="str">
        <f t="shared" si="57"/>
        <v>H</v>
      </c>
      <c r="I364" s="1660" t="str">
        <f t="shared" si="58"/>
        <v>83</v>
      </c>
      <c r="J364" s="1660" t="str">
        <f t="shared" si="59"/>
        <v>12</v>
      </c>
      <c r="K364" s="1660" t="str">
        <f t="shared" si="60"/>
        <v>10</v>
      </c>
      <c r="L364" s="3818" t="str">
        <f>_xlfn.XLOOKUP($D364,  Tabla3[No.],  Tabla3[ESTATUS ACADÉMICO], " ")</f>
        <v>VIGENTE</v>
      </c>
      <c r="M364" s="3860" t="str">
        <f>_xlfn.XLOOKUP($D364,  Tabla3[No.],  Tabla3[Grupo de clase], " ")</f>
        <v>MDPG04</v>
      </c>
      <c r="N364" s="1132">
        <v>9.1999999999999993</v>
      </c>
      <c r="O364" s="1132">
        <v>9.4</v>
      </c>
      <c r="P364" s="1132">
        <v>9.3000000000000007</v>
      </c>
      <c r="Q364" s="1132">
        <v>9.4</v>
      </c>
      <c r="R364" s="1132">
        <v>9.5</v>
      </c>
      <c r="S364" s="2261">
        <v>9.4</v>
      </c>
      <c r="T364" s="2261">
        <v>9.6</v>
      </c>
      <c r="U364" s="1132">
        <v>9.6</v>
      </c>
      <c r="V364" s="1132">
        <v>9.6</v>
      </c>
      <c r="W364" s="1132">
        <v>9.6</v>
      </c>
      <c r="X364" s="1132"/>
      <c r="Y364" s="2260"/>
      <c r="Z364" s="2259"/>
      <c r="AA364" s="2259"/>
      <c r="AB364" s="2259"/>
      <c r="AC364" s="2259"/>
      <c r="AD364" s="2259"/>
      <c r="AE364" s="2259"/>
      <c r="AF364" s="2259"/>
      <c r="AG364" s="2259"/>
      <c r="AH364" s="2259"/>
      <c r="AI364" s="2259"/>
      <c r="AJ364" s="2259"/>
      <c r="AK364" s="2259"/>
      <c r="AL364" s="2259"/>
      <c r="AM364" s="2259"/>
    </row>
    <row r="365" spans="1:39" ht="15.75" customHeight="1">
      <c r="A365" s="3861" t="str">
        <f>_xlfn.XLOOKUP($D365,Tabla3[No.],Tabla3[PROGRAMA]," ")</f>
        <v>MDP</v>
      </c>
      <c r="B365" s="3862">
        <v>8</v>
      </c>
      <c r="C365" s="3863">
        <f>_xlfn.XLOOKUP($D365, Tabla3[No.], Tabla3[FECHA DE INICIO (PRIMERA CLASE CALENDARIO)]," ")</f>
        <v>45308</v>
      </c>
      <c r="D365" s="3862">
        <v>681</v>
      </c>
      <c r="E365" s="3865" t="str">
        <f>_xlfn.XLOOKUP($D365,  Tabla3[No.],  Tabla3[CURP], " ")</f>
        <v>TEVE810322HGT</v>
      </c>
      <c r="F365" s="3866" t="str">
        <f>_xlfn.XLOOKUP($D365,  Tabla3[No.],  Tabla3[Matrícula Of. SEQ], " ")</f>
        <v>64MDP04B-01</v>
      </c>
      <c r="G365" s="3867" t="str">
        <f>IFERROR(VLOOKUP(D365,Tabla3[],5,FALSE),"")</f>
        <v>TEPAZ VAQUIAX ERIK ELEAZAR</v>
      </c>
      <c r="H365" s="3862" t="str">
        <f t="shared" si="57"/>
        <v>H</v>
      </c>
      <c r="I365" s="3862" t="str">
        <f t="shared" si="58"/>
        <v>81</v>
      </c>
      <c r="J365" s="3862" t="str">
        <f t="shared" si="59"/>
        <v>03</v>
      </c>
      <c r="K365" s="3862" t="str">
        <f t="shared" si="60"/>
        <v>22</v>
      </c>
      <c r="L365" s="3947" t="str">
        <f>_xlfn.XLOOKUP($D365,  Tabla3[No.],  Tabla3[ESTATUS ACADÉMICO], " ")</f>
        <v>EGRESADO</v>
      </c>
      <c r="M365" s="3868" t="str">
        <f>_xlfn.XLOOKUP($D365,  Tabla3[No.],  Tabla3[Grupo de clase], " ")</f>
        <v>MDP04B</v>
      </c>
      <c r="N365" s="3210">
        <v>9.1999999999999993</v>
      </c>
      <c r="O365" s="3210">
        <v>9.4</v>
      </c>
      <c r="P365" s="3210">
        <v>9.3000000000000007</v>
      </c>
      <c r="Q365" s="3210">
        <v>9.4</v>
      </c>
      <c r="R365" s="3210">
        <v>9.5</v>
      </c>
      <c r="S365" s="3211">
        <v>9.4</v>
      </c>
      <c r="T365" s="3211">
        <v>9.6</v>
      </c>
      <c r="U365" s="3210">
        <v>9.6</v>
      </c>
      <c r="V365" s="3210">
        <v>9.6</v>
      </c>
      <c r="W365" s="3210">
        <v>9.6</v>
      </c>
      <c r="X365" s="3210"/>
      <c r="Y365" s="3212"/>
      <c r="Z365" s="2259"/>
      <c r="AA365" s="2259"/>
      <c r="AB365" s="2259"/>
      <c r="AC365" s="2259"/>
      <c r="AD365" s="2259"/>
      <c r="AE365" s="2259"/>
      <c r="AF365" s="2259"/>
      <c r="AG365" s="2259"/>
      <c r="AH365" s="2259"/>
      <c r="AI365" s="2259"/>
      <c r="AJ365" s="2259"/>
      <c r="AK365" s="2259"/>
      <c r="AL365" s="2259"/>
      <c r="AM365" s="2259"/>
    </row>
    <row r="366" spans="1:39" ht="15.75" customHeight="1">
      <c r="A366" s="3861" t="str">
        <f>_xlfn.XLOOKUP($D366,Tabla3[No.],Tabla3[PROGRAMA]," ")</f>
        <v>MDP</v>
      </c>
      <c r="B366" s="3862">
        <v>9</v>
      </c>
      <c r="C366" s="3863">
        <f>_xlfn.XLOOKUP($D366, Tabla3[No.], Tabla3[FECHA DE INICIO (PRIMERA CLASE CALENDARIO)]," ")</f>
        <v>45306</v>
      </c>
      <c r="D366" s="3862">
        <v>667</v>
      </c>
      <c r="E366" s="3865" t="str">
        <f>_xlfn.XLOOKUP($D366,  Tabla3[No.],  Tabla3[CURP], " ")</f>
        <v>PETJ760522HGTLE00</v>
      </c>
      <c r="F366" s="3866" t="str">
        <f>_xlfn.XLOOKUP($D366,  Tabla3[No.],  Tabla3[Matrícula Of. SEQ], " ")</f>
        <v>64MDP04A-04</v>
      </c>
      <c r="G366" s="3867" t="str">
        <f>IFERROR(VLOOKUP(D366,Tabla3[],5,FALSE),"")</f>
        <v>PELLECER TERREAUX JULIO AUGUSTO BENIGNO</v>
      </c>
      <c r="H366" s="3862" t="str">
        <f t="shared" si="57"/>
        <v>H</v>
      </c>
      <c r="I366" s="3862" t="str">
        <f t="shared" si="58"/>
        <v>76</v>
      </c>
      <c r="J366" s="3862" t="str">
        <f t="shared" si="59"/>
        <v>05</v>
      </c>
      <c r="K366" s="3862" t="str">
        <f t="shared" si="60"/>
        <v>22</v>
      </c>
      <c r="L366" s="3947" t="str">
        <f>_xlfn.XLOOKUP($D366,  Tabla3[No.],  Tabla3[ESTATUS ACADÉMICO], " ")</f>
        <v>EGRESADO</v>
      </c>
      <c r="M366" s="3868" t="str">
        <f>_xlfn.XLOOKUP($D366,  Tabla3[No.],  Tabla3[Grupo de clase], " ")</f>
        <v>MDPG04</v>
      </c>
      <c r="N366" s="1173">
        <v>9.5</v>
      </c>
      <c r="O366" s="1132"/>
      <c r="P366" s="1132"/>
      <c r="Q366" s="1132"/>
      <c r="R366" s="1132"/>
      <c r="S366" s="2261"/>
      <c r="T366" s="2261"/>
      <c r="U366" s="1132"/>
      <c r="V366" s="1132"/>
      <c r="W366" s="1132"/>
      <c r="X366" s="1132"/>
      <c r="Y366" s="2260"/>
      <c r="Z366" s="2259"/>
      <c r="AA366" s="2259"/>
      <c r="AB366" s="2259"/>
      <c r="AC366" s="2259"/>
      <c r="AD366" s="2259"/>
      <c r="AE366" s="2259"/>
      <c r="AF366" s="2259"/>
      <c r="AG366" s="2259"/>
      <c r="AH366" s="2259"/>
      <c r="AI366" s="2259"/>
      <c r="AJ366" s="2259"/>
      <c r="AK366" s="2259"/>
      <c r="AL366" s="2259"/>
      <c r="AM366" s="2259"/>
    </row>
    <row r="367" spans="1:39" ht="15.75" customHeight="1">
      <c r="A367" s="3861" t="str">
        <f>_xlfn.XLOOKUP($D365,Tabla3[No.],Tabla3[PROGRAMA]," ")</f>
        <v>MDP</v>
      </c>
      <c r="B367" s="3862">
        <v>10</v>
      </c>
      <c r="C367" s="3863">
        <f>_xlfn.XLOOKUP($D367, Tabla3[No.], Tabla3[FECHA DE INICIO (PRIMERA CLASE CALENDARIO)]," ")</f>
        <v>45507</v>
      </c>
      <c r="D367" s="3862">
        <v>777</v>
      </c>
      <c r="E367" s="3865" t="str">
        <f>_xlfn.XLOOKUP($D367,  Tabla3[No.],  Tabla3[CURP], " ")</f>
        <v>HIEJ870410HGT</v>
      </c>
      <c r="F367" s="3866" t="str">
        <f>_xlfn.XLOOKUP($D367,  Tabla3[No.],  Tabla3[Matrícula Of. SEQ], " ")</f>
        <v>64MDP04D-01</v>
      </c>
      <c r="G367" s="3867" t="str">
        <f>IFERROR(VLOOKUP(D367,Tabla3[],5,FALSE),"")</f>
        <v>HIDALGO ECHEVERRIA JUAN MIGUEL</v>
      </c>
      <c r="H367" s="3862" t="str">
        <f t="shared" si="57"/>
        <v>H</v>
      </c>
      <c r="I367" s="3862" t="str">
        <f t="shared" si="58"/>
        <v>87</v>
      </c>
      <c r="J367" s="3862" t="str">
        <f t="shared" si="59"/>
        <v>04</v>
      </c>
      <c r="K367" s="3862" t="str">
        <f t="shared" si="60"/>
        <v>10</v>
      </c>
      <c r="L367" s="3947" t="str">
        <f>_xlfn.XLOOKUP($D367,  Tabla3[No.],  Tabla3[ESTATUS ACADÉMICO], " ")</f>
        <v>EGRESADO</v>
      </c>
      <c r="M367" s="3868" t="str">
        <f>_xlfn.XLOOKUP($D367,  Tabla3[No.],  Tabla3[Grupo de clase], " ")</f>
        <v>MDPG04D</v>
      </c>
      <c r="N367" s="744"/>
      <c r="O367" s="1132"/>
      <c r="P367" s="1132"/>
      <c r="Q367" s="1132"/>
      <c r="R367" s="1132"/>
      <c r="S367" s="2261"/>
      <c r="T367" s="2261"/>
      <c r="U367" s="1132"/>
      <c r="V367" s="1132"/>
      <c r="W367" s="1132"/>
      <c r="X367" s="1132"/>
      <c r="Y367" s="2260"/>
      <c r="Z367" s="2259"/>
      <c r="AA367" s="2259"/>
      <c r="AB367" s="2259"/>
      <c r="AC367" s="2259"/>
      <c r="AD367" s="2259"/>
      <c r="AE367" s="2259"/>
      <c r="AF367" s="2259"/>
      <c r="AG367" s="2259"/>
      <c r="AH367" s="2259"/>
      <c r="AI367" s="2259"/>
      <c r="AJ367" s="2259"/>
      <c r="AK367" s="2259"/>
      <c r="AL367" s="2259"/>
      <c r="AM367" s="2259"/>
    </row>
    <row r="368" spans="1:39" ht="15.75" customHeight="1">
      <c r="A368" s="3861" t="str">
        <f>_xlfn.XLOOKUP($D368,Tabla3[No.],Tabla3[PROGRAMA]," ")</f>
        <v>JTMDP</v>
      </c>
      <c r="B368" s="3862">
        <v>11</v>
      </c>
      <c r="C368" s="3863">
        <f>_xlfn.XLOOKUP($D368, Tabla3[No.], Tabla3[FECHA DE INICIO (PRIMERA CLASE CALENDARIO)]," ")</f>
        <v>45474</v>
      </c>
      <c r="D368" s="3862">
        <v>740</v>
      </c>
      <c r="E368" s="3865" t="str">
        <f>_xlfn.XLOOKUP($D368,  Tabla3[No.],  Tabla3[CURP], " ")</f>
        <v>PEDG820904HGT</v>
      </c>
      <c r="F368" s="3866" t="str">
        <f>_xlfn.XLOOKUP($D368,  Tabla3[No.],  Tabla3[Matrícula Of. SEQ], " ")</f>
        <v>64MD04E-01</v>
      </c>
      <c r="G368" s="3867" t="str">
        <f>IFERROR(VLOOKUP(D368,Tabla3[],5,FALSE),"")</f>
        <v>PEREZ DOMINGUEZ GEISLER SMAILLE</v>
      </c>
      <c r="H368" s="3862" t="str">
        <f>MID($E368,11,1)</f>
        <v>H</v>
      </c>
      <c r="I368" s="3862" t="str">
        <f>MID($E368,5,2)</f>
        <v>82</v>
      </c>
      <c r="J368" s="3862" t="str">
        <f>MID($E368,7,2)</f>
        <v>09</v>
      </c>
      <c r="K368" s="3862" t="str">
        <f>MID($E368,9,2)</f>
        <v>04</v>
      </c>
      <c r="L368" s="3947" t="str">
        <f>_xlfn.XLOOKUP($D368,  Tabla3[No.],  Tabla3[ESTATUS ACADÉMICO], " ")</f>
        <v>EGRESADO</v>
      </c>
      <c r="M368" s="3868" t="str">
        <f>_xlfn.XLOOKUP($D368,  Tabla3[No.],  Tabla3[Grupo de clase], " ")</f>
        <v>MDPG04B</v>
      </c>
      <c r="N368" s="1132">
        <v>9.1999999999999993</v>
      </c>
      <c r="O368" s="1132">
        <v>9.4</v>
      </c>
      <c r="P368" s="1132">
        <v>9.3000000000000007</v>
      </c>
      <c r="Q368" s="1132">
        <v>9.4</v>
      </c>
      <c r="R368" s="1132">
        <v>9.5</v>
      </c>
      <c r="S368" s="2261">
        <v>9.4</v>
      </c>
      <c r="T368" s="2261">
        <v>9.6</v>
      </c>
      <c r="U368" s="1132">
        <v>9.6</v>
      </c>
      <c r="V368" s="1132">
        <v>9.6</v>
      </c>
      <c r="W368" s="1132">
        <v>9.6</v>
      </c>
      <c r="X368" s="1132"/>
      <c r="Y368" s="2260"/>
      <c r="Z368" s="2259"/>
      <c r="AA368" s="2259"/>
      <c r="AB368" s="2259"/>
      <c r="AC368" s="2259"/>
      <c r="AD368" s="2259"/>
      <c r="AE368" s="2259"/>
      <c r="AF368" s="2259"/>
      <c r="AG368" s="2259"/>
      <c r="AH368" s="2259"/>
      <c r="AI368" s="2259"/>
      <c r="AJ368" s="2259"/>
      <c r="AK368" s="2259"/>
      <c r="AL368" s="2259"/>
      <c r="AM368" s="2259"/>
    </row>
    <row r="369" spans="1:39" ht="15.75" customHeight="1">
      <c r="A369" s="3861" t="str">
        <f>_xlfn.XLOOKUP($D369,Tabla3[No.],Tabla3[PROGRAMA]," ")</f>
        <v>MDP</v>
      </c>
      <c r="B369" s="3862">
        <v>12</v>
      </c>
      <c r="C369" s="3863">
        <f>_xlfn.XLOOKUP($D369, Tabla3[No.], Tabla3[FECHA DE INICIO (PRIMERA CLASE CALENDARIO)]," ")</f>
        <v>45474</v>
      </c>
      <c r="D369" s="3864">
        <v>759</v>
      </c>
      <c r="E369" s="3865" t="str">
        <f>_xlfn.XLOOKUP($D369,  Tabla3[No.],  Tabla3[CURP], " ")</f>
        <v>ESRL880612MGT</v>
      </c>
      <c r="F369" s="3866" t="str">
        <f>_xlfn.XLOOKUP($D369,  Tabla3[No.],  Tabla3[Matrícula Of. SEQ], " ")</f>
        <v>64MDP04F-01</v>
      </c>
      <c r="G369" s="3867" t="str">
        <f>IFERROR(VLOOKUP(D369,Tabla3[],5,FALSE),"")</f>
        <v>ESTRADA RENDON LILLY GABRIELA MARIA</v>
      </c>
      <c r="H369" s="3862" t="str">
        <f t="shared" si="57"/>
        <v>M</v>
      </c>
      <c r="I369" s="3862" t="str">
        <f t="shared" si="58"/>
        <v>88</v>
      </c>
      <c r="J369" s="3862" t="str">
        <f t="shared" si="59"/>
        <v>06</v>
      </c>
      <c r="K369" s="3862" t="str">
        <f t="shared" si="60"/>
        <v>12</v>
      </c>
      <c r="L369" s="3947" t="str">
        <f>_xlfn.XLOOKUP($D369,  Tabla3[No.],  Tabla3[ESTATUS ACADÉMICO], " ")</f>
        <v>EGRESADO</v>
      </c>
      <c r="M369" s="3872" t="str">
        <f>_xlfn.XLOOKUP($D369,  Tabla3[No.],  Tabla3[Grupo de clase], " ")</f>
        <v>MDPG04D</v>
      </c>
      <c r="N369" s="1132">
        <v>9.1999999999999993</v>
      </c>
      <c r="O369" s="1132">
        <v>9.4</v>
      </c>
      <c r="P369" s="1132">
        <v>9.3000000000000007</v>
      </c>
      <c r="Q369" s="1132">
        <v>9.4</v>
      </c>
      <c r="R369" s="1132">
        <v>9.5</v>
      </c>
      <c r="S369" s="2261">
        <v>9.4</v>
      </c>
      <c r="T369" s="2261">
        <v>9.6</v>
      </c>
      <c r="U369" s="1132">
        <v>9.6</v>
      </c>
      <c r="V369" s="1132" t="s">
        <v>5153</v>
      </c>
      <c r="W369" s="1132">
        <v>9.6</v>
      </c>
      <c r="X369" s="1132"/>
      <c r="Y369" s="2260"/>
      <c r="Z369" s="2259"/>
      <c r="AA369" s="2259"/>
      <c r="AB369" s="2259"/>
      <c r="AC369" s="2259"/>
      <c r="AD369" s="2259"/>
      <c r="AE369" s="2259"/>
      <c r="AF369" s="2259"/>
      <c r="AG369" s="2259"/>
      <c r="AH369" s="2259"/>
      <c r="AI369" s="2259"/>
      <c r="AJ369" s="2259"/>
      <c r="AK369" s="2259"/>
      <c r="AL369" s="2259"/>
      <c r="AM369" s="2259"/>
    </row>
    <row r="370" spans="1:39" ht="15.75" customHeight="1">
      <c r="A370" s="3861" t="str">
        <f>_xlfn.XLOOKUP($D370,Tabla3[No.],Tabla3[PROGRAMA]," ")</f>
        <v>JTMDP</v>
      </c>
      <c r="B370" s="3862">
        <v>13</v>
      </c>
      <c r="C370" s="3863">
        <f>_xlfn.XLOOKUP($D370, Tabla3[No.], Tabla3[FECHA DE INICIO (PRIMERA CLASE CALENDARIO)]," ")</f>
        <v>45474</v>
      </c>
      <c r="D370" s="3862">
        <v>760</v>
      </c>
      <c r="E370" s="3865" t="str">
        <f>_xlfn.XLOOKUP($D370,  Tabla3[No.],  Tabla3[CURP], " ")</f>
        <v>RARB680805MGT</v>
      </c>
      <c r="F370" s="3866" t="str">
        <f>_xlfn.XLOOKUP($D370,  Tabla3[No.],  Tabla3[Matrícula Of. SEQ], " ")</f>
        <v>64MDP04E-01</v>
      </c>
      <c r="G370" s="3867" t="str">
        <f>IFERROR(VLOOKUP(D370,Tabla3[],5,FALSE),"")</f>
        <v>RAMIREZ ROMAN BRENDA LISSETH</v>
      </c>
      <c r="H370" s="3862" t="str">
        <f t="shared" si="57"/>
        <v>M</v>
      </c>
      <c r="I370" s="3862" t="str">
        <f t="shared" si="58"/>
        <v>68</v>
      </c>
      <c r="J370" s="3862" t="str">
        <f t="shared" si="59"/>
        <v>08</v>
      </c>
      <c r="K370" s="3862" t="str">
        <f t="shared" si="60"/>
        <v>05</v>
      </c>
      <c r="L370" s="3947" t="str">
        <f>_xlfn.XLOOKUP($D370,  Tabla3[No.],  Tabla3[ESTATUS ACADÉMICO], " ")</f>
        <v>EGRESADO</v>
      </c>
      <c r="M370" s="3868" t="str">
        <f>_xlfn.XLOOKUP($D370,  Tabla3[No.],  Tabla3[Grupo de clase], " ")</f>
        <v>MDPG04D</v>
      </c>
      <c r="N370" s="1132">
        <v>9.1999999999999993</v>
      </c>
      <c r="O370" s="1132">
        <v>9.4</v>
      </c>
      <c r="P370" s="1132">
        <v>9.3000000000000007</v>
      </c>
      <c r="Q370" s="1132">
        <v>9.4</v>
      </c>
      <c r="R370" s="1132">
        <v>9.5</v>
      </c>
      <c r="S370" s="2261">
        <v>9.4</v>
      </c>
      <c r="T370" s="3873"/>
      <c r="U370" s="3873"/>
      <c r="V370" s="1132">
        <v>9.6</v>
      </c>
      <c r="W370" s="1132">
        <v>9.6</v>
      </c>
      <c r="X370" s="1132"/>
      <c r="Y370" s="2260"/>
      <c r="Z370" s="2259"/>
      <c r="AA370" s="2259"/>
      <c r="AB370" s="2259"/>
      <c r="AC370" s="2259"/>
      <c r="AD370" s="2259"/>
      <c r="AE370" s="2259"/>
      <c r="AF370" s="2259"/>
      <c r="AG370" s="2259"/>
      <c r="AH370" s="2259"/>
      <c r="AI370" s="2259"/>
      <c r="AJ370" s="2259"/>
      <c r="AK370" s="2259"/>
      <c r="AL370" s="2259"/>
      <c r="AM370" s="2259"/>
    </row>
    <row r="371" spans="1:39" ht="15.75" customHeight="1">
      <c r="A371" s="3004" t="str">
        <f>_xlfn.XLOOKUP($D371,Tabla3[No.],Tabla3[PROGRAMA]," ")</f>
        <v>MDP</v>
      </c>
      <c r="B371" s="1660">
        <v>14</v>
      </c>
      <c r="C371" s="1600">
        <f>_xlfn.XLOOKUP($D371, Tabla3[No.], Tabla3[FECHA DE INICIO (PRIMERA CLASE CALENDARIO)]," ")</f>
        <v>45507</v>
      </c>
      <c r="D371" s="1660">
        <v>779</v>
      </c>
      <c r="E371" s="1602" t="str">
        <f>_xlfn.XLOOKUP($D371,  Tabla3[No.],  Tabla3[CURP], " ")</f>
        <v>PIHF891225HGT</v>
      </c>
      <c r="F371" s="1603" t="str">
        <f>_xlfn.XLOOKUP($D371,  Tabla3[No.],  Tabla3[Matrícula Of. SEQ], " ")</f>
        <v>64MDP04D-02</v>
      </c>
      <c r="G371" s="2241" t="str">
        <f>IFERROR(VLOOKUP(D371,Tabla3[],5,FALSE),"")</f>
        <v>PINEDA HERNANDEZ FREDDY ORLANDO</v>
      </c>
      <c r="H371" s="1660" t="str">
        <f t="shared" si="57"/>
        <v>H</v>
      </c>
      <c r="I371" s="1660" t="str">
        <f t="shared" si="58"/>
        <v>89</v>
      </c>
      <c r="J371" s="1660" t="str">
        <f t="shared" si="59"/>
        <v>12</v>
      </c>
      <c r="K371" s="1660" t="str">
        <f t="shared" si="60"/>
        <v>25</v>
      </c>
      <c r="L371" s="3818" t="str">
        <f>_xlfn.XLOOKUP($D371,  Tabla3[No.],  Tabla3[ESTATUS ACADÉMICO], " ")</f>
        <v>VIGENTE</v>
      </c>
      <c r="M371" s="2060" t="str">
        <f>_xlfn.XLOOKUP($D371,  Tabla3[No.],  Tabla3[Grupo de clase], " ")</f>
        <v>MDPG04D</v>
      </c>
      <c r="N371" s="1132">
        <v>10</v>
      </c>
      <c r="O371" s="1132">
        <v>9.4</v>
      </c>
      <c r="P371" s="1132">
        <v>9.3000000000000007</v>
      </c>
      <c r="Q371" s="1132">
        <v>9.4</v>
      </c>
      <c r="R371" s="1132">
        <v>9.5</v>
      </c>
      <c r="S371" s="2261">
        <v>9.4</v>
      </c>
      <c r="T371" s="2261">
        <v>9.6</v>
      </c>
      <c r="U371" s="1132">
        <v>9.6</v>
      </c>
      <c r="V371" s="1132">
        <v>9.6</v>
      </c>
      <c r="W371" s="1132">
        <v>9.6</v>
      </c>
      <c r="X371" s="1132"/>
      <c r="Y371" s="2260"/>
      <c r="Z371" s="2259"/>
      <c r="AA371" s="2259"/>
      <c r="AB371" s="2259"/>
      <c r="AC371" s="2259"/>
      <c r="AD371" s="2259"/>
      <c r="AE371" s="2259"/>
      <c r="AF371" s="2259"/>
      <c r="AG371" s="2259"/>
      <c r="AH371" s="2259"/>
      <c r="AI371" s="2259"/>
      <c r="AJ371" s="2259"/>
      <c r="AK371" s="2259"/>
      <c r="AL371" s="2259"/>
      <c r="AM371" s="2259"/>
    </row>
    <row r="372" spans="1:39" ht="15.75" customHeight="1">
      <c r="A372" s="3004" t="str">
        <f>_xlfn.XLOOKUP($D372,Tabla3[No.],Tabla3[PROGRAMA]," ")</f>
        <v>MDP</v>
      </c>
      <c r="B372" s="1660">
        <v>15</v>
      </c>
      <c r="C372" s="1600">
        <f>_xlfn.XLOOKUP($D372, Tabla3[No.], Tabla3[FECHA DE INICIO (PRIMERA CLASE CALENDARIO)]," ")</f>
        <v>45513</v>
      </c>
      <c r="D372" s="1660">
        <v>753</v>
      </c>
      <c r="E372" s="1602" t="str">
        <f>_xlfn.XLOOKUP($D372,  Tabla3[No.],  Tabla3[CURP], " ")</f>
        <v>MOPV770130HGT</v>
      </c>
      <c r="F372" s="1603" t="str">
        <f>_xlfn.XLOOKUP($D372,  Tabla3[No.],  Tabla3[Matrícula Of. SEQ], " ")</f>
        <v>64MD04D-01</v>
      </c>
      <c r="G372" s="2241" t="str">
        <f>IFERROR(VLOOKUP(D372,Tabla3[],5,FALSE),"")</f>
        <v>MORAGA PORRAS VICTOR MANUEL</v>
      </c>
      <c r="H372" s="1660" t="str">
        <f t="shared" si="57"/>
        <v>H</v>
      </c>
      <c r="I372" s="1660" t="str">
        <f t="shared" si="58"/>
        <v>77</v>
      </c>
      <c r="J372" s="1660" t="str">
        <f t="shared" si="59"/>
        <v>01</v>
      </c>
      <c r="K372" s="1660" t="str">
        <f t="shared" si="60"/>
        <v>30</v>
      </c>
      <c r="L372" s="3818" t="str">
        <f>_xlfn.XLOOKUP($D372,  Tabla3[No.],  Tabla3[ESTATUS ACADÉMICO], " ")</f>
        <v>VIGENTE</v>
      </c>
      <c r="M372" s="2060" t="str">
        <f>_xlfn.XLOOKUP($D372,  Tabla3[No.],  Tabla3[Grupo de clase], " ")</f>
        <v>MDPG04D</v>
      </c>
      <c r="N372" s="1132">
        <v>9.1999999999999993</v>
      </c>
      <c r="O372" s="1132">
        <v>9.4</v>
      </c>
      <c r="P372" s="1132">
        <v>9.3000000000000007</v>
      </c>
      <c r="Q372" s="1132">
        <v>9.4</v>
      </c>
      <c r="R372" s="1132">
        <v>9.5</v>
      </c>
      <c r="S372" s="2261">
        <v>9.4</v>
      </c>
      <c r="T372" s="2261">
        <v>9.6</v>
      </c>
      <c r="U372" s="1132">
        <v>9.6</v>
      </c>
      <c r="V372" s="1132">
        <v>9.6</v>
      </c>
      <c r="W372" s="1132">
        <v>9.6</v>
      </c>
      <c r="X372" s="1132"/>
      <c r="Y372" s="2260"/>
      <c r="Z372" s="2259"/>
      <c r="AA372" s="2259"/>
      <c r="AB372" s="2259"/>
      <c r="AC372" s="2259"/>
      <c r="AD372" s="2259"/>
      <c r="AE372" s="2259"/>
      <c r="AF372" s="2259"/>
      <c r="AG372" s="2259"/>
      <c r="AH372" s="2259"/>
      <c r="AI372" s="2259"/>
      <c r="AJ372" s="2259"/>
      <c r="AK372" s="2259"/>
      <c r="AL372" s="2259"/>
      <c r="AM372" s="2259"/>
    </row>
    <row r="373" spans="1:39" ht="15.75" customHeight="1">
      <c r="A373" s="3004" t="str">
        <f>_xlfn.XLOOKUP($D373,Tabla3[No.],Tabla3[PROGRAMA]," ")</f>
        <v>MDP</v>
      </c>
      <c r="B373" s="1660">
        <v>17</v>
      </c>
      <c r="C373" s="1600">
        <f>_xlfn.XLOOKUP($D373, Tabla3[No.], Tabla3[FECHA DE INICIO (PRIMERA CLASE CALENDARIO)]," ")</f>
        <v>45607</v>
      </c>
      <c r="D373" s="1660">
        <v>813</v>
      </c>
      <c r="E373" s="1602" t="str">
        <f>_xlfn.XLOOKUP($D373,  Tabla3[No.],  Tabla3[CURP], " ")</f>
        <v>RELE771130HGTTNR01</v>
      </c>
      <c r="F373" s="1603" t="str">
        <f>_xlfn.XLOOKUP($D373,  Tabla3[No.],  Tabla3[Matrícula Of. SEQ], " ")</f>
        <v>64MDP05A-04</v>
      </c>
      <c r="G373" s="2241" t="str">
        <f>IFERROR(VLOOKUP(D373,Tabla3[],5,FALSE),"")</f>
        <v>RETANA DE LEON ERICK ALEXI</v>
      </c>
      <c r="H373" s="1660" t="str">
        <f>MID($E373,11,1)</f>
        <v>H</v>
      </c>
      <c r="I373" s="1660" t="str">
        <f>MID($E373,5,2)</f>
        <v>77</v>
      </c>
      <c r="J373" s="1660" t="str">
        <f>MID($E373,7,2)</f>
        <v>11</v>
      </c>
      <c r="K373" s="1660" t="str">
        <f>MID($E373,9,2)</f>
        <v>30</v>
      </c>
      <c r="L373" s="3818" t="str">
        <f>_xlfn.XLOOKUP($D373,  Tabla3[No.],  Tabla3[ESTATUS ACADÉMICO], " ")</f>
        <v>VIGENTE</v>
      </c>
      <c r="M373" s="2060" t="str">
        <f>_xlfn.XLOOKUP($D373,  Tabla3[No.],  Tabla3[Grupo de clase], " ")</f>
        <v>MDP05G</v>
      </c>
      <c r="N373" s="1132">
        <v>9.1999999999999993</v>
      </c>
      <c r="O373" s="1132">
        <v>9.4</v>
      </c>
      <c r="P373" s="1132">
        <v>9.3000000000000007</v>
      </c>
      <c r="Q373" s="1132">
        <v>9.4</v>
      </c>
      <c r="R373" s="1132">
        <v>9.5</v>
      </c>
      <c r="S373" s="2261">
        <v>9.4</v>
      </c>
      <c r="T373" s="2261">
        <v>9.6</v>
      </c>
      <c r="U373" s="1132">
        <v>9.6</v>
      </c>
      <c r="V373" s="1132">
        <v>9.6</v>
      </c>
      <c r="W373" s="1132">
        <v>9.6</v>
      </c>
      <c r="X373" s="1132"/>
      <c r="Y373" s="2260"/>
      <c r="Z373" s="2259"/>
      <c r="AA373" s="2259"/>
      <c r="AB373" s="2259"/>
      <c r="AC373" s="2259"/>
      <c r="AD373" s="2259"/>
      <c r="AE373" s="2259"/>
      <c r="AF373" s="2259"/>
      <c r="AG373" s="2259"/>
      <c r="AH373" s="2259"/>
      <c r="AI373" s="2259"/>
      <c r="AJ373" s="2259"/>
      <c r="AK373" s="2259"/>
      <c r="AL373" s="2259"/>
      <c r="AM373" s="2259"/>
    </row>
    <row r="374" spans="1:39" ht="15.75" customHeight="1">
      <c r="A374" s="3004" t="str">
        <f>_xlfn.XLOOKUP($D374,Tabla3[No.],Tabla3[PROGRAMA]," ")</f>
        <v>MDP</v>
      </c>
      <c r="B374" s="1660">
        <v>16</v>
      </c>
      <c r="C374" s="1600">
        <f>_xlfn.XLOOKUP($D374, Tabla3[No.], Tabla3[FECHA DE INICIO (PRIMERA CLASE CALENDARIO)]," ")</f>
        <v>45632</v>
      </c>
      <c r="D374" s="1660">
        <v>801</v>
      </c>
      <c r="E374" s="1602" t="str">
        <f>_xlfn.XLOOKUP($D374,  Tabla3[No.],  Tabla3[CURP], " ")</f>
        <v>SOQJ910821HGT</v>
      </c>
      <c r="F374" s="1603" t="str">
        <f>_xlfn.XLOOKUP($D374,  Tabla3[No.],  Tabla3[Matrícula Of. SEQ], " ")</f>
        <v>64MDP05A-05</v>
      </c>
      <c r="G374" s="2241" t="str">
        <f>IFERROR(VLOOKUP(D374,Tabla3[],5,FALSE),"")</f>
        <v>SOLORZANO QUEVEDO JULIO ENRIQUE</v>
      </c>
      <c r="H374" s="1660" t="str">
        <f t="shared" si="57"/>
        <v>H</v>
      </c>
      <c r="I374" s="1660" t="str">
        <f t="shared" si="58"/>
        <v>91</v>
      </c>
      <c r="J374" s="1660" t="str">
        <f t="shared" si="59"/>
        <v>08</v>
      </c>
      <c r="K374" s="1660" t="str">
        <f t="shared" si="60"/>
        <v>21</v>
      </c>
      <c r="L374" s="3818" t="str">
        <f>_xlfn.XLOOKUP($D374,  Tabla3[No.],  Tabla3[ESTATUS ACADÉMICO], " ")</f>
        <v>VIGENTE</v>
      </c>
      <c r="M374" s="2060" t="str">
        <f>_xlfn.XLOOKUP($D374,  Tabla3[No.],  Tabla3[Grupo de clase], " ")</f>
        <v>MDP05G</v>
      </c>
      <c r="N374" s="1132">
        <v>9.1999999999999993</v>
      </c>
      <c r="O374" s="1132">
        <v>9.4</v>
      </c>
      <c r="P374" s="1132">
        <v>9.3000000000000007</v>
      </c>
      <c r="Q374" s="1132">
        <v>9.4</v>
      </c>
      <c r="R374" s="1132">
        <v>9.5</v>
      </c>
      <c r="S374" s="2261">
        <v>9.4</v>
      </c>
      <c r="T374" s="2261">
        <v>9.6</v>
      </c>
      <c r="U374" s="1132">
        <v>9.6</v>
      </c>
      <c r="V374" s="1132">
        <v>9.6</v>
      </c>
      <c r="W374" s="1132">
        <v>9.6</v>
      </c>
      <c r="X374" s="1132"/>
      <c r="Y374" s="2260"/>
      <c r="Z374" s="2259"/>
      <c r="AA374" s="2259"/>
      <c r="AB374" s="2259"/>
      <c r="AC374" s="2259"/>
      <c r="AD374" s="2259"/>
      <c r="AE374" s="2259"/>
      <c r="AF374" s="2259"/>
      <c r="AG374" s="2259"/>
      <c r="AH374" s="2259"/>
      <c r="AI374" s="2259"/>
      <c r="AJ374" s="2259"/>
      <c r="AK374" s="2259"/>
      <c r="AL374" s="2259"/>
      <c r="AM374" s="2259"/>
    </row>
    <row r="375" spans="1:39" ht="15.75" customHeight="1">
      <c r="A375" s="3004" t="str">
        <f>_xlfn.XLOOKUP($D375,Tabla3[No.],Tabla3[PROGRAMA]," ")</f>
        <v>MDP</v>
      </c>
      <c r="B375" s="1660">
        <v>18</v>
      </c>
      <c r="C375" s="1600">
        <f>_xlfn.XLOOKUP($D375, Tabla3[No.], Tabla3[FECHA DE INICIO (PRIMERA CLASE CALENDARIO)]," ")</f>
        <v>45690</v>
      </c>
      <c r="D375" s="1660">
        <v>833</v>
      </c>
      <c r="E375" s="1602" t="str">
        <f>_xlfn.XLOOKUP($D375,  Tabla3[No.],  Tabla3[CURP], " ")</f>
        <v>AOGV860123MCG</v>
      </c>
      <c r="F375" s="1603" t="str">
        <f>_xlfn.XLOOKUP($D375,  Tabla3[No.],  Tabla3[Matrícula Of. SEQ], " ")</f>
        <v>64MDP05B-01</v>
      </c>
      <c r="G375" s="1604" t="str">
        <f>IFERROR(VLOOKUP(D375,Tabla3[],5,FALSE),"")</f>
        <v>ANTONIO GONZALEZ VIRGINIA CLELIA ISABEL</v>
      </c>
      <c r="H375" s="1660" t="str">
        <f>MID($E375,11,1)</f>
        <v>M</v>
      </c>
      <c r="I375" s="1660" t="str">
        <f>MID($E375,5,2)</f>
        <v>86</v>
      </c>
      <c r="J375" s="1660" t="str">
        <f>MID($E375,7,2)</f>
        <v>01</v>
      </c>
      <c r="K375" s="1660" t="str">
        <f>MID($E375,9,2)</f>
        <v>23</v>
      </c>
      <c r="L375" s="3818" t="str">
        <f>_xlfn.XLOOKUP($D375,  Tabla3[No.],  Tabla3[ESTATUS ACADÉMICO], " ")</f>
        <v>VIGENTE</v>
      </c>
      <c r="M375" s="1824" t="str">
        <f>_xlfn.XLOOKUP($D375,  Tabla3[No.],  Tabla3[Grupo de clase], " ")</f>
        <v>MDP04CG</v>
      </c>
      <c r="N375" s="3008" t="s">
        <v>135</v>
      </c>
      <c r="O375" s="3008" t="s">
        <v>135</v>
      </c>
      <c r="P375" s="3008" t="s">
        <v>135</v>
      </c>
      <c r="Q375" s="3008" t="s">
        <v>135</v>
      </c>
      <c r="R375" s="3008" t="s">
        <v>135</v>
      </c>
      <c r="S375" s="3009">
        <v>9.4</v>
      </c>
      <c r="T375" s="3009">
        <v>9.6</v>
      </c>
      <c r="U375" s="3008">
        <v>9.6</v>
      </c>
      <c r="V375" s="1132">
        <v>9.6</v>
      </c>
      <c r="W375" s="1132">
        <v>9.6</v>
      </c>
      <c r="X375" s="3008"/>
      <c r="Y375" s="744"/>
      <c r="Z375" s="700"/>
      <c r="AA375" s="700"/>
      <c r="AB375" s="700"/>
      <c r="AC375" s="700"/>
      <c r="AD375" s="700"/>
      <c r="AE375" s="700"/>
    </row>
    <row r="376" spans="1:39" ht="15.75" customHeight="1">
      <c r="A376" s="3004" t="str">
        <f>_xlfn.XLOOKUP($D376,Tabla3[No.],Tabla3[PROGRAMA]," ")</f>
        <v>MDP</v>
      </c>
      <c r="B376" s="1660">
        <v>18</v>
      </c>
      <c r="C376" s="1600">
        <f>_xlfn.XLOOKUP($D376, Tabla3[No.], Tabla3[FECHA DE INICIO (PRIMERA CLASE CALENDARIO)]," ")</f>
        <v>45690</v>
      </c>
      <c r="D376" s="1660">
        <v>834</v>
      </c>
      <c r="E376" s="1602" t="str">
        <f>_xlfn.XLOOKUP($D376,  Tabla3[No.],  Tabla3[CURP], " ")</f>
        <v>RURM800315MCG</v>
      </c>
      <c r="F376" s="1603" t="str">
        <f>_xlfn.XLOOKUP($D376,  Tabla3[No.],  Tabla3[Matrícula Of. SEQ], " ")</f>
        <v>64MDP05B-04</v>
      </c>
      <c r="G376" s="1604" t="str">
        <f>IFERROR(VLOOKUP(D376,Tabla3[],5,FALSE),"")</f>
        <v>RUIZ RAMIREZ MARIA AZUCELL</v>
      </c>
      <c r="H376" s="1660" t="str">
        <f>MID($E376,11,1)</f>
        <v>M</v>
      </c>
      <c r="I376" s="1660" t="str">
        <f>MID($E376,5,2)</f>
        <v>80</v>
      </c>
      <c r="J376" s="1660" t="str">
        <f>MID($E376,7,2)</f>
        <v>03</v>
      </c>
      <c r="K376" s="1660" t="str">
        <f>MID($E376,9,2)</f>
        <v>15</v>
      </c>
      <c r="L376" s="3818" t="str">
        <f>_xlfn.XLOOKUP($D376,  Tabla3[No.],  Tabla3[ESTATUS ACADÉMICO], " ")</f>
        <v>VIGENTE</v>
      </c>
      <c r="M376" s="1824" t="str">
        <f>_xlfn.XLOOKUP($D376,  Tabla3[No.],  Tabla3[Grupo de clase], " ")</f>
        <v>MDP04CG</v>
      </c>
      <c r="N376" s="3008" t="s">
        <v>135</v>
      </c>
      <c r="O376" s="3008" t="s">
        <v>135</v>
      </c>
      <c r="P376" s="3008" t="s">
        <v>135</v>
      </c>
      <c r="Q376" s="3008" t="s">
        <v>135</v>
      </c>
      <c r="R376" s="3008" t="s">
        <v>135</v>
      </c>
      <c r="S376" s="3008" t="s">
        <v>135</v>
      </c>
      <c r="T376" s="3008" t="s">
        <v>135</v>
      </c>
      <c r="U376" s="3008">
        <v>9.6</v>
      </c>
      <c r="V376" s="1132">
        <v>9.6</v>
      </c>
      <c r="W376" s="1132">
        <v>9.6</v>
      </c>
      <c r="X376" s="3008"/>
      <c r="Y376" s="744"/>
      <c r="Z376" s="700"/>
      <c r="AA376" s="700"/>
      <c r="AB376" s="700"/>
      <c r="AC376" s="700"/>
      <c r="AD376" s="700"/>
      <c r="AE376" s="700"/>
    </row>
    <row r="377" spans="1:39" ht="15" customHeight="1">
      <c r="X377" s="2321"/>
    </row>
    <row r="378" spans="1:39" ht="15" customHeight="1">
      <c r="X378" s="2321"/>
    </row>
    <row r="381" spans="1:39" ht="15" customHeight="1" thickBot="1"/>
    <row r="382" spans="1:39" ht="15.75" customHeight="1" thickBot="1">
      <c r="A382" s="1546"/>
      <c r="B382" s="4089" t="s">
        <v>5</v>
      </c>
      <c r="C382" s="1548" t="s">
        <v>2825</v>
      </c>
      <c r="D382" s="4091" t="s">
        <v>3866</v>
      </c>
      <c r="E382" s="4091" t="s">
        <v>6</v>
      </c>
      <c r="F382" s="4091" t="s">
        <v>7</v>
      </c>
      <c r="G382" s="4093" t="s">
        <v>8</v>
      </c>
      <c r="H382" s="4096" t="s">
        <v>9</v>
      </c>
      <c r="I382" s="4086" t="s">
        <v>10</v>
      </c>
      <c r="J382" s="4087"/>
      <c r="K382" s="4087"/>
      <c r="L382" s="4185"/>
      <c r="M382" s="1605"/>
      <c r="N382" s="3020" t="s">
        <v>4986</v>
      </c>
      <c r="O382" s="3020" t="s">
        <v>4825</v>
      </c>
      <c r="P382" s="3020" t="s">
        <v>453</v>
      </c>
      <c r="Q382" s="3020" t="s">
        <v>454</v>
      </c>
      <c r="R382" s="3021" t="s">
        <v>4827</v>
      </c>
      <c r="S382" s="3020" t="s">
        <v>4987</v>
      </c>
      <c r="T382" s="3018" t="s">
        <v>4988</v>
      </c>
      <c r="U382" s="743"/>
      <c r="V382" s="3092" t="s">
        <v>5102</v>
      </c>
      <c r="W382" s="3098" t="s">
        <v>765</v>
      </c>
      <c r="X382" s="700"/>
      <c r="Y382" s="700"/>
      <c r="Z382" s="700"/>
      <c r="AA382" s="700"/>
      <c r="AB382" s="700"/>
      <c r="AC382" s="700"/>
    </row>
    <row r="383" spans="1:39" ht="39.75" customHeight="1" thickBot="1">
      <c r="A383" s="1546"/>
      <c r="B383" s="4090"/>
      <c r="C383" s="1548" t="s">
        <v>3463</v>
      </c>
      <c r="D383" s="4092"/>
      <c r="E383" s="4092"/>
      <c r="F383" s="4092"/>
      <c r="G383" s="4094"/>
      <c r="H383" s="4097"/>
      <c r="I383" s="4087"/>
      <c r="J383" s="4088"/>
      <c r="K383" s="4087"/>
      <c r="L383" s="4186"/>
      <c r="M383" s="3012" t="s">
        <v>1149</v>
      </c>
      <c r="N383" s="1291" t="s">
        <v>4381</v>
      </c>
      <c r="O383" s="3022" t="s">
        <v>4382</v>
      </c>
      <c r="P383" s="3022" t="s">
        <v>4383</v>
      </c>
      <c r="Q383" s="3022" t="s">
        <v>4828</v>
      </c>
      <c r="R383" s="3022" t="s">
        <v>4829</v>
      </c>
      <c r="S383" s="3022" t="s">
        <v>4830</v>
      </c>
      <c r="T383" s="3022" t="s">
        <v>4989</v>
      </c>
      <c r="U383" s="3023" t="s">
        <v>4990</v>
      </c>
      <c r="V383" s="626" t="s">
        <v>5103</v>
      </c>
      <c r="W383" s="626" t="s">
        <v>5106</v>
      </c>
      <c r="X383" s="700"/>
      <c r="Y383" s="700"/>
      <c r="Z383" s="700"/>
      <c r="AA383" s="700"/>
      <c r="AB383" s="700"/>
      <c r="AC383" s="700"/>
    </row>
    <row r="384" spans="1:39" ht="24" customHeight="1" thickBot="1">
      <c r="A384" s="1562" t="s">
        <v>27</v>
      </c>
      <c r="B384" s="4090"/>
      <c r="C384" s="1547"/>
      <c r="D384" s="4092"/>
      <c r="E384" s="4092"/>
      <c r="F384" s="4092"/>
      <c r="G384" s="4095"/>
      <c r="H384" s="4097"/>
      <c r="I384" s="4087"/>
      <c r="J384" s="4087"/>
      <c r="K384" s="4087"/>
      <c r="L384" s="3922"/>
      <c r="M384" s="3012" t="s">
        <v>1728</v>
      </c>
      <c r="N384" s="3017" t="s">
        <v>2891</v>
      </c>
      <c r="O384" s="3017" t="s">
        <v>4483</v>
      </c>
      <c r="P384" s="3017" t="s">
        <v>407</v>
      </c>
      <c r="Q384" s="3017" t="s">
        <v>3958</v>
      </c>
      <c r="R384" s="3017"/>
      <c r="S384" s="3017"/>
      <c r="T384" s="3017"/>
      <c r="U384" s="743"/>
      <c r="V384" s="743"/>
      <c r="W384" s="743"/>
      <c r="X384" s="700"/>
      <c r="Y384" s="700"/>
      <c r="Z384" s="700"/>
      <c r="AA384" s="700"/>
      <c r="AB384" s="700"/>
      <c r="AC384" s="700"/>
    </row>
    <row r="385" spans="1:34" ht="46.5" customHeight="1" thickBot="1">
      <c r="A385" s="2258" t="s">
        <v>3896</v>
      </c>
      <c r="B385" s="4090"/>
      <c r="C385" s="1564" t="s">
        <v>3882</v>
      </c>
      <c r="D385" s="4092"/>
      <c r="E385" s="4092"/>
      <c r="F385" s="4092"/>
      <c r="G385" s="1565" t="s">
        <v>78</v>
      </c>
      <c r="H385" s="4097"/>
      <c r="I385" s="1566" t="s">
        <v>79</v>
      </c>
      <c r="J385" s="1566" t="s">
        <v>80</v>
      </c>
      <c r="K385" s="1566" t="s">
        <v>81</v>
      </c>
      <c r="L385" s="3952" t="s">
        <v>1759</v>
      </c>
      <c r="M385" s="3012" t="s">
        <v>27</v>
      </c>
      <c r="N385" s="3005" t="s">
        <v>4984</v>
      </c>
      <c r="O385" s="3005" t="s">
        <v>4982</v>
      </c>
      <c r="P385" s="3005" t="s">
        <v>4983</v>
      </c>
      <c r="Q385" s="3005" t="s">
        <v>4465</v>
      </c>
      <c r="R385" s="3006" t="s">
        <v>4985</v>
      </c>
      <c r="S385" s="3006" t="s">
        <v>4700</v>
      </c>
      <c r="T385" s="3006" t="s">
        <v>3607</v>
      </c>
      <c r="U385" s="3006" t="s">
        <v>3608</v>
      </c>
      <c r="V385" s="3006" t="s">
        <v>5104</v>
      </c>
      <c r="W385" s="3006" t="s">
        <v>5105</v>
      </c>
      <c r="X385" s="700"/>
      <c r="Y385" s="700"/>
      <c r="Z385" s="700"/>
      <c r="AA385" s="700"/>
      <c r="AB385" s="700"/>
      <c r="AC385" s="700"/>
    </row>
    <row r="386" spans="1:34" ht="15.75" customHeight="1" thickBot="1">
      <c r="A386" s="3004" t="str">
        <f>_xlfn.XLOOKUP($D386,Tabla3[No.],Tabla3[PROGRAMA]," ")</f>
        <v>MDP</v>
      </c>
      <c r="B386" s="3002">
        <v>1</v>
      </c>
      <c r="C386" s="1575">
        <f>_xlfn.XLOOKUP($D386, Tabla3[No.], Tabla3[FECHA DE INICIO (PRIMERA CLASE CALENDARIO)]," ")</f>
        <v>45417</v>
      </c>
      <c r="D386" s="1657">
        <v>717</v>
      </c>
      <c r="E386" s="1577" t="str">
        <f>_xlfn.XLOOKUP($D386,  Tabla3[No.],  Tabla3[CURP], " ")</f>
        <v>VANE730901HGGLA00</v>
      </c>
      <c r="F386" s="1578" t="str">
        <f>_xlfn.XLOOKUP($D386,  Tabla3[No.],  Tabla3[Matrícula Of. SEQ], " ")</f>
        <v>64MDP04C-06</v>
      </c>
      <c r="G386" s="1579" t="str">
        <f>IFERROR(VLOOKUP(D386,Tabla3[],5,FALSE),"")</f>
        <v>VALVERT NAJERA EDGAR AMILCAR</v>
      </c>
      <c r="H386" s="1657" t="str">
        <f>MID($E386,11,1)</f>
        <v>H</v>
      </c>
      <c r="I386" s="1657" t="str">
        <f>MID($E386,5,2)</f>
        <v>73</v>
      </c>
      <c r="J386" s="1657" t="str">
        <f>MID($E386,7,2)</f>
        <v>09</v>
      </c>
      <c r="K386" s="1657" t="str">
        <f>MID($E386,9,2)</f>
        <v>01</v>
      </c>
      <c r="L386" s="3920" t="str">
        <f>_xlfn.XLOOKUP($D386,  Tabla3[No.],  Tabla3[ESTATUS ACADÉMICO], " ")</f>
        <v>EGRESADO</v>
      </c>
      <c r="M386" s="3014" t="str">
        <f>_xlfn.XLOOKUP($D386,  Tabla3[No.],  Tabla3[Grupo de clase], " ")</f>
        <v>MDP04G</v>
      </c>
      <c r="N386" s="3015">
        <v>9.1999999999999993</v>
      </c>
      <c r="O386" s="3015">
        <v>9.4</v>
      </c>
      <c r="P386" s="3015">
        <v>9.3000000000000007</v>
      </c>
      <c r="Q386" s="3015">
        <v>9.4</v>
      </c>
      <c r="R386" s="3015">
        <v>9.5</v>
      </c>
      <c r="S386" s="3016">
        <v>9.4</v>
      </c>
      <c r="T386" s="3016">
        <v>9.6</v>
      </c>
      <c r="U386" s="3015">
        <v>9.6</v>
      </c>
      <c r="V386" s="3100">
        <v>9.6</v>
      </c>
      <c r="W386" s="3099">
        <v>9.6</v>
      </c>
      <c r="X386" s="700"/>
      <c r="Y386" s="700"/>
      <c r="Z386" s="700"/>
      <c r="AA386" s="700"/>
      <c r="AB386" s="700"/>
      <c r="AC386" s="700"/>
    </row>
    <row r="387" spans="1:34" ht="15.75" customHeight="1" thickBot="1">
      <c r="A387" s="3004" t="str">
        <f>_xlfn.XLOOKUP($D387,Tabla3[No.],Tabla3[PROGRAMA]," ")</f>
        <v>MDP</v>
      </c>
      <c r="B387" s="3003">
        <v>2</v>
      </c>
      <c r="C387" s="1600">
        <f>_xlfn.XLOOKUP($D387, Tabla3[No.], Tabla3[FECHA DE INICIO (PRIMERA CLASE CALENDARIO)]," ")</f>
        <v>45417</v>
      </c>
      <c r="D387" s="1660">
        <v>716</v>
      </c>
      <c r="E387" s="1602" t="str">
        <f>_xlfn.XLOOKUP($D387,  Tabla3[No.],  Tabla3[CURP], " ")</f>
        <v>VABM730720MGGLBM00</v>
      </c>
      <c r="F387" s="1603" t="str">
        <f>_xlfn.XLOOKUP($D387,  Tabla3[No.],  Tabla3[Matrícula Of. SEQ], " ")</f>
        <v>64MDP04C-05</v>
      </c>
      <c r="G387" s="1604" t="str">
        <f>IFERROR(VLOOKUP(D387,Tabla3[],5,FALSE),"")</f>
        <v>VALVERT BAILON MERALY ROXANA</v>
      </c>
      <c r="H387" s="1660" t="str">
        <f>MID($E387,11,1)</f>
        <v>M</v>
      </c>
      <c r="I387" s="1660" t="str">
        <f>MID($E387,5,2)</f>
        <v>73</v>
      </c>
      <c r="J387" s="1660" t="str">
        <f>MID($E387,7,2)</f>
        <v>07</v>
      </c>
      <c r="K387" s="1660" t="str">
        <f>MID($E387,9,2)</f>
        <v>20</v>
      </c>
      <c r="L387" s="3818" t="str">
        <f>_xlfn.XLOOKUP($D387,  Tabla3[No.],  Tabla3[ESTATUS ACADÉMICO], " ")</f>
        <v>EGRESADO</v>
      </c>
      <c r="M387" s="1824" t="str">
        <f>_xlfn.XLOOKUP($D387,  Tabla3[No.],  Tabla3[Grupo de clase], " ")</f>
        <v>MDP04G</v>
      </c>
      <c r="N387" s="3008">
        <v>9.1999999999999993</v>
      </c>
      <c r="O387" s="3008">
        <v>9.4</v>
      </c>
      <c r="P387" s="3008">
        <v>9.3000000000000007</v>
      </c>
      <c r="Q387" s="3008">
        <v>9.4</v>
      </c>
      <c r="R387" s="3008">
        <v>9.5</v>
      </c>
      <c r="S387" s="3009">
        <v>9.4</v>
      </c>
      <c r="T387" s="3009">
        <v>9.6</v>
      </c>
      <c r="U387" s="3008">
        <v>9.6</v>
      </c>
      <c r="V387" s="3101">
        <v>9.6</v>
      </c>
      <c r="W387" s="1286">
        <v>9.6</v>
      </c>
      <c r="X387" s="700"/>
      <c r="Y387" s="700"/>
      <c r="Z387" s="700"/>
      <c r="AA387" s="700"/>
      <c r="AB387" s="700"/>
      <c r="AC387" s="700"/>
    </row>
    <row r="388" spans="1:34" ht="15.75" customHeight="1" thickBot="1">
      <c r="A388" s="3004" t="str">
        <f>_xlfn.XLOOKUP($D388,Tabla3[No.],Tabla3[PROGRAMA]," ")</f>
        <v>MDP</v>
      </c>
      <c r="B388" s="1660">
        <v>1</v>
      </c>
      <c r="C388" s="1600">
        <f>_xlfn.XLOOKUP($D388, Tabla3[No.], Tabla3[FECHA DE INICIO (PRIMERA CLASE CALENDARIO)]," ")</f>
        <v>45417</v>
      </c>
      <c r="D388" s="1660">
        <v>715</v>
      </c>
      <c r="E388" s="1602" t="str">
        <f>_xlfn.XLOOKUP($D388,  Tabla3[No.],  Tabla3[CURP], " ")</f>
        <v>OEMJ881028HGGBMN00</v>
      </c>
      <c r="F388" s="1603" t="str">
        <f>_xlfn.XLOOKUP($D388,  Tabla3[No.],  Tabla3[Matrícula Of. SEQ], " ")</f>
        <v>64MDP04C-04</v>
      </c>
      <c r="G388" s="2241" t="str">
        <f>IFERROR(VLOOKUP(D388,Tabla3[],5,FALSE),"")</f>
        <v>OBREGON MARTINEZ JUAN FERNANDO</v>
      </c>
      <c r="H388" s="1660" t="str">
        <f>MID($E388,11,1)</f>
        <v>H</v>
      </c>
      <c r="I388" s="1660" t="str">
        <f>MID($E388,5,2)</f>
        <v>88</v>
      </c>
      <c r="J388" s="1660" t="str">
        <f>MID($E388,7,2)</f>
        <v>10</v>
      </c>
      <c r="K388" s="1660" t="str">
        <f>MID($E388,9,2)</f>
        <v>28</v>
      </c>
      <c r="L388" s="3818" t="str">
        <f>_xlfn.XLOOKUP($D388,  Tabla3[No.],  Tabla3[ESTATUS ACADÉMICO], " ")</f>
        <v>EGRESADO</v>
      </c>
      <c r="M388" s="2060" t="str">
        <f>_xlfn.XLOOKUP($D388,  Tabla3[No.],  Tabla3[Grupo de clase], " ")</f>
        <v>MDP04G</v>
      </c>
      <c r="N388" s="3015">
        <v>9.1999999999999993</v>
      </c>
      <c r="O388" s="3015">
        <v>9.4</v>
      </c>
      <c r="P388" s="3015">
        <v>9.3000000000000007</v>
      </c>
      <c r="Q388" s="3015">
        <v>9.4</v>
      </c>
      <c r="R388" s="3015">
        <v>9.5</v>
      </c>
      <c r="S388" s="3038">
        <v>9.4</v>
      </c>
      <c r="T388" s="3038">
        <v>9.6</v>
      </c>
      <c r="U388" s="3039">
        <v>9.6</v>
      </c>
      <c r="V388" s="3095"/>
      <c r="W388" s="3095"/>
      <c r="X388" s="700"/>
      <c r="Y388" s="700"/>
      <c r="Z388" s="700"/>
      <c r="AA388" s="700"/>
      <c r="AB388" s="700"/>
      <c r="AC388" s="700"/>
    </row>
    <row r="389" spans="1:34" ht="15.75" customHeight="1" thickBot="1">
      <c r="A389" s="3004" t="str">
        <f>_xlfn.XLOOKUP($D389,Tabla3[No.],Tabla3[PROGRAMA]," ")</f>
        <v>MDP</v>
      </c>
      <c r="B389" s="3003">
        <v>3</v>
      </c>
      <c r="C389" s="1600">
        <f>_xlfn.XLOOKUP($D389, Tabla3[No.], Tabla3[FECHA DE INICIO (PRIMERA CLASE CALENDARIO)]," ")</f>
        <v>45417</v>
      </c>
      <c r="D389" s="1660">
        <v>714</v>
      </c>
      <c r="E389" s="1602" t="str">
        <f>_xlfn.XLOOKUP($D389,  Tabla3[No.],  Tabla3[CURP], " ")</f>
        <v>ALVL950927MGGRL00</v>
      </c>
      <c r="F389" s="1603" t="str">
        <f>_xlfn.XLOOKUP($D389,  Tabla3[No.],  Tabla3[Matrícula Of. SEQ], " ")</f>
        <v>64MDP04C-01</v>
      </c>
      <c r="G389" s="1604" t="str">
        <f>IFERROR(VLOOKUP(D389,Tabla3[],5,FALSE),"")</f>
        <v>ALARCON VITZIL LIZANI YAMILEX</v>
      </c>
      <c r="H389" s="1660" t="str">
        <f>MID($E389,11,1)</f>
        <v>M</v>
      </c>
      <c r="I389" s="1660" t="str">
        <f>MID($E389,5,2)</f>
        <v>95</v>
      </c>
      <c r="J389" s="1660" t="str">
        <f>MID($E389,7,2)</f>
        <v>09</v>
      </c>
      <c r="K389" s="1660" t="str">
        <f>MID($E389,9,2)</f>
        <v>27</v>
      </c>
      <c r="L389" s="3818" t="str">
        <f>_xlfn.XLOOKUP($D389,  Tabla3[No.],  Tabla3[ESTATUS ACADÉMICO], " ")</f>
        <v>EGRESADO</v>
      </c>
      <c r="M389" s="1824" t="str">
        <f>_xlfn.XLOOKUP($D389,  Tabla3[No.],  Tabla3[Grupo de clase], " ")</f>
        <v>MDP04G</v>
      </c>
      <c r="N389" s="3008">
        <v>10</v>
      </c>
      <c r="O389" s="3008">
        <v>9.4</v>
      </c>
      <c r="P389" s="3008">
        <v>9.3000000000000007</v>
      </c>
      <c r="Q389" s="3008">
        <v>9.4</v>
      </c>
      <c r="R389" s="3008">
        <v>9.5</v>
      </c>
      <c r="S389" s="3009">
        <v>9.4</v>
      </c>
      <c r="T389" s="3009">
        <v>9.6</v>
      </c>
      <c r="U389" s="3008">
        <v>9.6</v>
      </c>
      <c r="V389" s="3100">
        <v>9.6</v>
      </c>
      <c r="W389" s="3099">
        <v>9.6</v>
      </c>
      <c r="X389" s="700"/>
      <c r="Y389" s="700"/>
      <c r="Z389" s="700"/>
      <c r="AA389" s="700"/>
      <c r="AB389" s="700"/>
      <c r="AC389" s="700"/>
    </row>
    <row r="390" spans="1:34" ht="15.75" customHeight="1" thickBot="1">
      <c r="A390" s="3004" t="str">
        <f>_xlfn.XLOOKUP($D390,Tabla3[No.],Tabla3[PROGRAMA]," ")</f>
        <v>MDP</v>
      </c>
      <c r="B390" s="3003">
        <v>4</v>
      </c>
      <c r="C390" s="1600">
        <f>_xlfn.XLOOKUP($D390, Tabla3[No.], Tabla3[FECHA DE INICIO (PRIMERA CLASE CALENDARIO)]," ")</f>
        <v>45417</v>
      </c>
      <c r="D390" s="1660">
        <v>713</v>
      </c>
      <c r="E390" s="1602" t="str">
        <f>_xlfn.XLOOKUP($D390,  Tabla3[No.],  Tabla3[CURP], " ")</f>
        <v>MOME980513HGGRO00</v>
      </c>
      <c r="F390" s="1603" t="str">
        <f>_xlfn.XLOOKUP($D390,  Tabla3[No.],  Tabla3[Matrícula Of. SEQ], " ")</f>
        <v>64MDP04C-03</v>
      </c>
      <c r="G390" s="1604" t="str">
        <f>IFERROR(VLOOKUP(D390,Tabla3[],5,FALSE),"")</f>
        <v>MORALES MORALES ERICK VINICIO</v>
      </c>
      <c r="H390" s="1660" t="str">
        <f>MID($E390,11,1)</f>
        <v>H</v>
      </c>
      <c r="I390" s="1660" t="str">
        <f>MID($E390,5,2)</f>
        <v>98</v>
      </c>
      <c r="J390" s="1660" t="str">
        <f>MID($E390,7,2)</f>
        <v>05</v>
      </c>
      <c r="K390" s="1660" t="str">
        <f>MID($E390,9,2)</f>
        <v>13</v>
      </c>
      <c r="L390" s="3818" t="str">
        <f>_xlfn.XLOOKUP($D390,  Tabla3[No.],  Tabla3[ESTATUS ACADÉMICO], " ")</f>
        <v>EGRESADO</v>
      </c>
      <c r="M390" s="1824" t="str">
        <f>_xlfn.XLOOKUP($D390,  Tabla3[No.],  Tabla3[Grupo de clase], " ")</f>
        <v>MDP04G</v>
      </c>
      <c r="N390" s="3008">
        <v>9.1999999999999993</v>
      </c>
      <c r="O390" s="3008">
        <v>9.4</v>
      </c>
      <c r="P390" s="3008">
        <v>9.3000000000000007</v>
      </c>
      <c r="Q390" s="3008">
        <v>9.4</v>
      </c>
      <c r="R390" s="3008">
        <v>9.5</v>
      </c>
      <c r="S390" s="3009">
        <v>9.4</v>
      </c>
      <c r="T390" s="3009">
        <v>9.6</v>
      </c>
      <c r="U390" s="3008">
        <v>9.6</v>
      </c>
      <c r="V390" s="3101">
        <v>9.6</v>
      </c>
      <c r="W390" s="1286">
        <v>9.6</v>
      </c>
      <c r="X390" s="700"/>
      <c r="Y390" s="700"/>
      <c r="Z390" s="700"/>
      <c r="AA390" s="700"/>
      <c r="AB390" s="700"/>
      <c r="AC390" s="700"/>
    </row>
    <row r="392" spans="1:34" ht="15.75" customHeight="1" thickBot="1"/>
    <row r="393" spans="1:34" ht="15.75" customHeight="1" thickBot="1">
      <c r="B393" s="1283"/>
      <c r="C393" s="1748"/>
      <c r="D393" s="1748"/>
      <c r="E393" s="1748"/>
      <c r="G393" s="1748"/>
      <c r="H393" s="1748"/>
      <c r="I393" s="1748"/>
      <c r="J393" s="1748"/>
      <c r="K393" s="1748"/>
      <c r="L393" s="3979"/>
      <c r="M393" s="1749"/>
      <c r="N393" s="4282" t="s">
        <v>4000</v>
      </c>
      <c r="O393" s="4283"/>
      <c r="P393" s="4283"/>
      <c r="Q393" s="4284"/>
      <c r="R393" s="4276" t="s">
        <v>4001</v>
      </c>
      <c r="S393" s="4277"/>
      <c r="T393" s="4277"/>
      <c r="U393" s="4278"/>
      <c r="V393" s="3091"/>
      <c r="W393" s="3091"/>
      <c r="X393" s="3091"/>
      <c r="Y393" s="4279" t="s">
        <v>4002</v>
      </c>
      <c r="Z393" s="4280"/>
      <c r="AA393" s="4280"/>
      <c r="AB393" s="4281"/>
      <c r="AC393" s="4273" t="s">
        <v>4003</v>
      </c>
      <c r="AD393" s="4274"/>
      <c r="AE393" s="4274"/>
      <c r="AF393" s="4275"/>
    </row>
    <row r="394" spans="1:34" ht="21" customHeight="1" thickBot="1">
      <c r="B394" s="4203" t="s">
        <v>5</v>
      </c>
      <c r="C394" s="1281" t="s">
        <v>1657</v>
      </c>
      <c r="D394" s="1666"/>
      <c r="E394" s="4261" t="s">
        <v>6</v>
      </c>
      <c r="F394" s="4242" t="s">
        <v>1772</v>
      </c>
      <c r="G394" s="4245" t="s">
        <v>8</v>
      </c>
      <c r="H394" s="4248" t="s">
        <v>9</v>
      </c>
      <c r="I394" s="4250" t="s">
        <v>10</v>
      </c>
      <c r="J394" s="4251"/>
      <c r="K394" s="4252"/>
      <c r="L394" s="4259" t="s">
        <v>3551</v>
      </c>
      <c r="M394" s="4260"/>
      <c r="N394" s="1750" t="s">
        <v>4004</v>
      </c>
      <c r="O394" s="1750" t="s">
        <v>4005</v>
      </c>
      <c r="P394" s="1750" t="s">
        <v>3605</v>
      </c>
      <c r="Q394" s="1750" t="s">
        <v>4006</v>
      </c>
      <c r="R394" s="1751" t="s">
        <v>4007</v>
      </c>
      <c r="S394" s="1750" t="s">
        <v>4008</v>
      </c>
      <c r="T394" s="1750" t="s">
        <v>4009</v>
      </c>
      <c r="U394" s="1750" t="s">
        <v>4010</v>
      </c>
      <c r="V394" s="1750"/>
      <c r="W394" s="1750"/>
      <c r="X394" s="1750"/>
      <c r="Y394" s="1751" t="s">
        <v>4011</v>
      </c>
      <c r="Z394" s="1750" t="s">
        <v>4012</v>
      </c>
      <c r="AA394" s="1750" t="s">
        <v>4013</v>
      </c>
      <c r="AB394" s="1751" t="s">
        <v>4014</v>
      </c>
      <c r="AC394" s="1750" t="s">
        <v>4015</v>
      </c>
      <c r="AD394" s="1750" t="s">
        <v>4016</v>
      </c>
      <c r="AE394" s="2315" t="s">
        <v>4017</v>
      </c>
      <c r="AF394" s="1280" t="s">
        <v>4018</v>
      </c>
    </row>
    <row r="395" spans="1:34" ht="53.25" customHeight="1" thickBot="1">
      <c r="B395" s="4204"/>
      <c r="C395" s="1281" t="s">
        <v>3101</v>
      </c>
      <c r="D395" s="1667"/>
      <c r="E395" s="4262"/>
      <c r="F395" s="4243"/>
      <c r="G395" s="4246"/>
      <c r="H395" s="4249"/>
      <c r="I395" s="4253"/>
      <c r="J395" s="4254"/>
      <c r="K395" s="4255"/>
      <c r="L395" s="4259" t="s">
        <v>4019</v>
      </c>
      <c r="M395" s="4260"/>
      <c r="N395" s="3007" t="s">
        <v>4020</v>
      </c>
      <c r="O395" s="3007" t="s">
        <v>4021</v>
      </c>
      <c r="P395" s="3007" t="s">
        <v>4022</v>
      </c>
      <c r="Q395" s="3007" t="s">
        <v>4023</v>
      </c>
      <c r="R395" s="3007" t="s">
        <v>4023</v>
      </c>
      <c r="S395" s="3007" t="s">
        <v>4024</v>
      </c>
      <c r="T395" s="3024" t="s">
        <v>4025</v>
      </c>
      <c r="U395" s="3007" t="s">
        <v>4026</v>
      </c>
      <c r="V395" s="3007"/>
      <c r="W395" s="3007"/>
      <c r="X395" s="3007"/>
      <c r="Y395" s="3007" t="s">
        <v>4027</v>
      </c>
      <c r="Z395" s="1750"/>
      <c r="AA395" s="1750"/>
      <c r="AB395" s="1750"/>
      <c r="AC395" s="1750"/>
      <c r="AD395" s="1750"/>
      <c r="AE395" s="3025"/>
      <c r="AF395" s="1280"/>
    </row>
    <row r="396" spans="1:34" ht="33" customHeight="1" thickBot="1">
      <c r="A396" s="1283" t="s">
        <v>27</v>
      </c>
      <c r="B396" s="4204"/>
      <c r="C396" s="1749"/>
      <c r="D396" s="1668"/>
      <c r="E396" s="4262"/>
      <c r="F396" s="4244"/>
      <c r="G396" s="4247"/>
      <c r="H396" s="4249"/>
      <c r="I396" s="4256"/>
      <c r="J396" s="4257"/>
      <c r="K396" s="4258"/>
      <c r="L396" s="4259" t="s">
        <v>3568</v>
      </c>
      <c r="M396" s="4260"/>
      <c r="N396" s="1753" t="s">
        <v>3578</v>
      </c>
      <c r="O396" s="1753" t="s">
        <v>3572</v>
      </c>
      <c r="P396" s="1753" t="s">
        <v>3570</v>
      </c>
      <c r="Q396" s="1753" t="s">
        <v>3572</v>
      </c>
      <c r="R396" s="1754" t="s">
        <v>4028</v>
      </c>
      <c r="S396" s="1288" t="s">
        <v>3573</v>
      </c>
      <c r="T396" s="1288" t="s">
        <v>4029</v>
      </c>
      <c r="U396" s="1753" t="s">
        <v>4030</v>
      </c>
      <c r="V396" s="1753"/>
      <c r="W396" s="1753"/>
      <c r="X396" s="1753"/>
      <c r="Y396" s="1754" t="s">
        <v>3570</v>
      </c>
      <c r="Z396" s="1753" t="s">
        <v>4031</v>
      </c>
      <c r="AA396" s="1753" t="s">
        <v>3572</v>
      </c>
      <c r="AB396" s="1754" t="s">
        <v>4032</v>
      </c>
      <c r="AC396" s="1755" t="s">
        <v>4029</v>
      </c>
      <c r="AD396" s="1756"/>
      <c r="AE396" s="2316" t="s">
        <v>4033</v>
      </c>
      <c r="AF396" s="1282" t="s">
        <v>3578</v>
      </c>
    </row>
    <row r="397" spans="1:34" ht="65.25" thickBot="1">
      <c r="A397" s="1284" t="s">
        <v>3101</v>
      </c>
      <c r="B397" s="4204"/>
      <c r="C397" s="1791" t="s">
        <v>263</v>
      </c>
      <c r="D397" s="1791" t="s">
        <v>3964</v>
      </c>
      <c r="E397" s="4263"/>
      <c r="F397" s="1292" t="s">
        <v>7</v>
      </c>
      <c r="G397" s="1293" t="s">
        <v>3580</v>
      </c>
      <c r="H397" s="4249"/>
      <c r="I397" s="2053" t="s">
        <v>79</v>
      </c>
      <c r="J397" s="2053" t="s">
        <v>80</v>
      </c>
      <c r="K397" s="2053" t="s">
        <v>81</v>
      </c>
      <c r="L397" s="3980" t="s">
        <v>1759</v>
      </c>
      <c r="M397" s="2054" t="s">
        <v>27</v>
      </c>
      <c r="N397" s="1903" t="s">
        <v>4034</v>
      </c>
      <c r="O397" s="1903" t="s">
        <v>4035</v>
      </c>
      <c r="P397" s="1903" t="s">
        <v>3596</v>
      </c>
      <c r="Q397" s="1903" t="s">
        <v>3597</v>
      </c>
      <c r="R397" s="2055" t="s">
        <v>3598</v>
      </c>
      <c r="S397" s="2055" t="s">
        <v>3599</v>
      </c>
      <c r="T397" s="2055" t="s">
        <v>3588</v>
      </c>
      <c r="U397" s="2056" t="s">
        <v>3600</v>
      </c>
      <c r="V397" s="2056"/>
      <c r="W397" s="2056"/>
      <c r="X397" s="2056"/>
      <c r="Y397" s="2057" t="s">
        <v>4036</v>
      </c>
      <c r="Z397" s="2057" t="s">
        <v>3601</v>
      </c>
      <c r="AA397" s="2057" t="s">
        <v>4037</v>
      </c>
      <c r="AB397" s="2057" t="s">
        <v>3602</v>
      </c>
      <c r="AC397" s="2058" t="s">
        <v>4038</v>
      </c>
      <c r="AD397" s="2058" t="s">
        <v>3603</v>
      </c>
      <c r="AE397" s="2317" t="s">
        <v>3593</v>
      </c>
      <c r="AF397" s="3030" t="s">
        <v>3604</v>
      </c>
    </row>
    <row r="398" spans="1:34" ht="15.75" customHeight="1" thickBot="1">
      <c r="A398" s="3004" t="str">
        <f>_xlfn.XLOOKUP($D398,Tabla3[No.],Tabla3[PROGRAMA]," ")</f>
        <v>MDP</v>
      </c>
      <c r="B398" s="1132">
        <v>1</v>
      </c>
      <c r="C398" s="1575">
        <f>_xlfn.XLOOKUP($D398, Tabla3[No.], Tabla3[FECHA DE INICIO (PRIMERA CLASE CALENDARIO)]," ")</f>
        <v>45065</v>
      </c>
      <c r="D398" s="2329">
        <v>537</v>
      </c>
      <c r="E398" s="1230" t="str">
        <f>_xlfn.XLOOKUP($D398,  Tabla3[No.],  Tabla3[CURP], " ")</f>
        <v>AALL820829MCG00</v>
      </c>
      <c r="F398" s="1380" t="str">
        <f>_xlfn.XLOOKUP($E398, Tabla3[CURP], Tabla3[Matrícula Of. SEQ])</f>
        <v>64MDP03B2-01</v>
      </c>
      <c r="G398" s="2048" t="str">
        <f>IFERROR(VLOOKUP(D398,Tabla3[],5,FALSE),"")</f>
        <v>AVILA LARA LUISA MARIA</v>
      </c>
      <c r="H398" s="1605" t="str">
        <f t="shared" ref="H398:H422" si="61">MID($E398,11,1)</f>
        <v>M</v>
      </c>
      <c r="I398" s="1605" t="str">
        <f t="shared" ref="I398:I422" si="62">MID($E398,5,2)</f>
        <v>82</v>
      </c>
      <c r="J398" s="1605" t="str">
        <f t="shared" ref="J398:J422" si="63">MID($E398,7,2)</f>
        <v>08</v>
      </c>
      <c r="K398" s="1605" t="str">
        <f t="shared" ref="K398:K422" si="64">MID($E398,9,2)</f>
        <v>29</v>
      </c>
      <c r="L398" s="3948" t="str">
        <f>_xlfn.XLOOKUP($D398,  Tabla3[No.],  Tabla3[ESTATUS ACADÉMICO], " ")</f>
        <v>EGRESADO</v>
      </c>
      <c r="M398" s="1824" t="str">
        <f>_xlfn.XLOOKUP($D398,  Tabla3[No.],  Tabla3[Grupo de clase], " ")</f>
        <v>MDPG03</v>
      </c>
      <c r="N398" s="3008">
        <v>9.1999999999999993</v>
      </c>
      <c r="O398" s="3008">
        <v>9.1999999999999993</v>
      </c>
      <c r="P398" s="3008">
        <v>9.6999999999999993</v>
      </c>
      <c r="Q398" s="3008">
        <v>9.5</v>
      </c>
      <c r="R398" s="3008">
        <v>9.1999999999999993</v>
      </c>
      <c r="S398" s="3031">
        <v>9.4</v>
      </c>
      <c r="T398" s="3031">
        <v>9.1999999999999993</v>
      </c>
      <c r="U398" s="3008">
        <v>9.5</v>
      </c>
      <c r="V398" s="3008"/>
      <c r="W398" s="3008"/>
      <c r="X398" s="3008"/>
      <c r="Y398" s="3008">
        <v>9.5</v>
      </c>
      <c r="Z398" s="3008">
        <v>9.5</v>
      </c>
      <c r="AA398" s="3008">
        <v>9.5</v>
      </c>
      <c r="AB398" s="3008">
        <v>9.5</v>
      </c>
      <c r="AC398" s="3008">
        <v>9.4</v>
      </c>
      <c r="AD398" s="3008">
        <v>9.3000000000000007</v>
      </c>
      <c r="AE398" s="3008">
        <v>9.1999999999999993</v>
      </c>
      <c r="AF398" s="3008">
        <v>9.3000000000000007</v>
      </c>
      <c r="AG398" s="2314"/>
      <c r="AH398" s="2314"/>
    </row>
    <row r="399" spans="1:34" ht="15.75" customHeight="1" thickBot="1">
      <c r="A399" s="3004" t="str">
        <f>_xlfn.XLOOKUP($D399,Tabla3[No.],Tabla3[PROGRAMA]," ")</f>
        <v>JTMDP</v>
      </c>
      <c r="B399" s="1132">
        <v>2</v>
      </c>
      <c r="C399" s="1575">
        <f>_xlfn.XLOOKUP($D399, Tabla3[No.], Tabla3[FECHA DE INICIO (PRIMERA CLASE CALENDARIO)]," ")</f>
        <v>45065</v>
      </c>
      <c r="D399" s="1379">
        <v>539</v>
      </c>
      <c r="E399" s="1230" t="str">
        <f>_xlfn.XLOOKUP($D399,  Tabla3[No.],  Tabla3[CURP], " ")</f>
        <v>BAJA</v>
      </c>
      <c r="F399" s="1380" t="str">
        <f>_xlfn.XLOOKUP($E399, Tabla3[CURP], Tabla3[Matrícula Of. SEQ])</f>
        <v>64MDP03B3-01</v>
      </c>
      <c r="G399" s="3000" t="str">
        <f>IFERROR(VLOOKUP(D399,Tabla3[],5,FALSE),"")</f>
        <v>CACERES ARRIAZA KARLA YOLANDA</v>
      </c>
      <c r="H399" s="1605" t="str">
        <f t="shared" si="61"/>
        <v/>
      </c>
      <c r="I399" s="1605" t="str">
        <f t="shared" si="62"/>
        <v/>
      </c>
      <c r="J399" s="1605" t="str">
        <f t="shared" si="63"/>
        <v/>
      </c>
      <c r="K399" s="1605" t="str">
        <f t="shared" si="64"/>
        <v/>
      </c>
      <c r="L399" s="3948" t="str">
        <f>_xlfn.XLOOKUP($D399,  Tabla3[No.],  Tabla3[ESTATUS ACADÉMICO], " ")</f>
        <v>BAJA TEMPORAL</v>
      </c>
      <c r="M399" s="1824" t="str">
        <f>_xlfn.XLOOKUP($D399,  Tabla3[No.],  Tabla3[Grupo de clase], " ")</f>
        <v>MDPG03</v>
      </c>
      <c r="N399" s="3008">
        <v>9.8000000000000007</v>
      </c>
      <c r="O399" s="3008">
        <v>9</v>
      </c>
      <c r="P399" s="3008">
        <v>9.1999999999999993</v>
      </c>
      <c r="Q399" s="3010"/>
      <c r="R399" s="3010"/>
      <c r="S399" s="3010"/>
      <c r="T399" s="3010"/>
      <c r="U399" s="3010"/>
      <c r="V399" s="3010"/>
      <c r="W399" s="3010"/>
      <c r="X399" s="3010"/>
      <c r="Y399" s="3010"/>
      <c r="Z399" s="3010"/>
      <c r="AA399" s="3010"/>
      <c r="AB399" s="3010"/>
      <c r="AC399" s="3010"/>
      <c r="AD399" s="3010"/>
      <c r="AE399" s="3010"/>
      <c r="AF399" s="3010"/>
      <c r="AG399" s="2314"/>
      <c r="AH399" s="2314"/>
    </row>
    <row r="400" spans="1:34" ht="15.75" customHeight="1" thickBot="1">
      <c r="A400" s="3004" t="str">
        <f>_xlfn.XLOOKUP($D400,Tabla3[No.],Tabla3[PROGRAMA]," ")</f>
        <v>JTMDP</v>
      </c>
      <c r="B400" s="1132">
        <v>3</v>
      </c>
      <c r="C400" s="1575">
        <f>_xlfn.XLOOKUP($D400, Tabla3[No.], Tabla3[FECHA DE INICIO (PRIMERA CLASE CALENDARIO)]," ")</f>
        <v>45065</v>
      </c>
      <c r="D400" s="1379">
        <v>540</v>
      </c>
      <c r="E400" s="1230" t="str">
        <f>_xlfn.XLOOKUP($D400,  Tabla3[No.],  Tabla3[CURP], " ")</f>
        <v>BAJA</v>
      </c>
      <c r="F400" s="1380" t="str">
        <f>_xlfn.XLOOKUP($E400, Tabla3[CURP], Tabla3[Matrícula Of. SEQ])</f>
        <v>64MDP03B3-01</v>
      </c>
      <c r="G400" s="3000" t="str">
        <f>IFERROR(VLOOKUP(D400,Tabla3[],5,FALSE),"")</f>
        <v>CAMEY EQUITE RUTH NOEMI</v>
      </c>
      <c r="H400" s="1605" t="str">
        <f t="shared" si="61"/>
        <v/>
      </c>
      <c r="I400" s="1605" t="str">
        <f t="shared" si="62"/>
        <v/>
      </c>
      <c r="J400" s="1605" t="str">
        <f t="shared" si="63"/>
        <v/>
      </c>
      <c r="K400" s="1605" t="str">
        <f t="shared" si="64"/>
        <v/>
      </c>
      <c r="L400" s="3948" t="str">
        <f>_xlfn.XLOOKUP($D400,  Tabla3[No.],  Tabla3[ESTATUS ACADÉMICO], " ")</f>
        <v>BAJA TEMPORAL</v>
      </c>
      <c r="M400" s="1824" t="str">
        <f>_xlfn.XLOOKUP($D400,  Tabla3[No.],  Tabla3[Grupo de clase], " ")</f>
        <v>MDPG03</v>
      </c>
      <c r="N400" s="3008">
        <v>9.8000000000000007</v>
      </c>
      <c r="O400" s="3008">
        <v>9.1999999999999993</v>
      </c>
      <c r="P400" s="3008">
        <v>9.1999999999999993</v>
      </c>
      <c r="Q400" s="3010"/>
      <c r="R400" s="3010"/>
      <c r="S400" s="3010"/>
      <c r="T400" s="3010"/>
      <c r="U400" s="3010"/>
      <c r="V400" s="3010"/>
      <c r="W400" s="3010"/>
      <c r="X400" s="3010"/>
      <c r="Y400" s="3010"/>
      <c r="Z400" s="3010"/>
      <c r="AA400" s="3010"/>
      <c r="AB400" s="3010"/>
      <c r="AC400" s="3010"/>
      <c r="AD400" s="3010"/>
      <c r="AE400" s="3010"/>
      <c r="AF400" s="3010"/>
      <c r="AG400" s="2314"/>
      <c r="AH400" s="2314"/>
    </row>
    <row r="401" spans="1:34" ht="15.75" customHeight="1" thickBot="1">
      <c r="A401" s="3004" t="str">
        <f>_xlfn.XLOOKUP($D401,Tabla3[No.],Tabla3[PROGRAMA]," ")</f>
        <v>MDP</v>
      </c>
      <c r="B401" s="1132">
        <v>4</v>
      </c>
      <c r="C401" s="1575">
        <f>_xlfn.XLOOKUP($D401, Tabla3[No.], Tabla3[FECHA DE INICIO (PRIMERA CLASE CALENDARIO)]," ")</f>
        <v>45065</v>
      </c>
      <c r="D401" s="1379">
        <v>530</v>
      </c>
      <c r="E401" s="1230" t="str">
        <f>_xlfn.XLOOKUP($D401,  Tabla3[No.],  Tabla3[CURP], " ")</f>
        <v>HEDJ800101HGT</v>
      </c>
      <c r="F401" s="1380" t="str">
        <f>_xlfn.XLOOKUP($E401, Tabla3[CURP], Tabla3[Matrícula Of. SEQ])</f>
        <v>64MDP03B2-06</v>
      </c>
      <c r="G401" s="2048" t="str">
        <f>IFERROR(VLOOKUP(D401,Tabla3[],5,FALSE),"")</f>
        <v>HERNANDEZ DE LEON JOSUE DAVID</v>
      </c>
      <c r="H401" s="1605" t="str">
        <f t="shared" si="61"/>
        <v>H</v>
      </c>
      <c r="I401" s="1605" t="str">
        <f t="shared" si="62"/>
        <v>80</v>
      </c>
      <c r="J401" s="1605" t="str">
        <f t="shared" si="63"/>
        <v>01</v>
      </c>
      <c r="K401" s="1605" t="str">
        <f t="shared" si="64"/>
        <v>01</v>
      </c>
      <c r="L401" s="3818" t="str">
        <f>_xlfn.XLOOKUP($D401,  Tabla3[No.],  Tabla3[ESTATUS ACADÉMICO], " ")</f>
        <v>EGRESADO</v>
      </c>
      <c r="M401" s="1824" t="str">
        <f>_xlfn.XLOOKUP($D401,  Tabla3[No.],  Tabla3[Grupo de clase], " ")</f>
        <v>MDPG03</v>
      </c>
      <c r="N401" s="3008">
        <v>9.8000000000000007</v>
      </c>
      <c r="O401" s="3008">
        <v>9.1999999999999993</v>
      </c>
      <c r="P401" s="3008">
        <v>9.1999999999999993</v>
      </c>
      <c r="Q401" s="3008">
        <v>9.3000000000000007</v>
      </c>
      <c r="R401" s="3031">
        <v>9.3000000000000007</v>
      </c>
      <c r="S401" s="3031">
        <v>9.5</v>
      </c>
      <c r="T401" s="3031">
        <v>9.3000000000000007</v>
      </c>
      <c r="U401" s="3008">
        <v>9.4</v>
      </c>
      <c r="V401" s="3008"/>
      <c r="W401" s="3008"/>
      <c r="X401" s="3008"/>
      <c r="Y401" s="3008">
        <v>9.5</v>
      </c>
      <c r="Z401" s="3008">
        <v>9.4</v>
      </c>
      <c r="AA401" s="3031">
        <v>9.1999999999999993</v>
      </c>
      <c r="AB401" s="3008">
        <v>9.5</v>
      </c>
      <c r="AC401" s="3031">
        <v>9.5</v>
      </c>
      <c r="AD401" s="3008">
        <v>9.4</v>
      </c>
      <c r="AE401" s="3008">
        <v>9.5</v>
      </c>
      <c r="AF401" s="3031">
        <v>9.3000000000000007</v>
      </c>
      <c r="AG401" s="2314"/>
      <c r="AH401" s="2314"/>
    </row>
    <row r="402" spans="1:34" ht="15.75" customHeight="1" thickBot="1">
      <c r="A402" s="3004" t="str">
        <f>_xlfn.XLOOKUP($D402,Tabla3[No.],Tabla3[PROGRAMA]," ")</f>
        <v>JTMDP</v>
      </c>
      <c r="B402" s="1132">
        <v>5</v>
      </c>
      <c r="C402" s="1575">
        <f>_xlfn.XLOOKUP($D402, Tabla3[No.], Tabla3[FECHA DE INICIO (PRIMERA CLASE CALENDARIO)]," ")</f>
        <v>45065</v>
      </c>
      <c r="D402" s="2329">
        <v>541</v>
      </c>
      <c r="E402" s="1230" t="str">
        <f>_xlfn.XLOOKUP($D402,  Tabla3[No.],  Tabla3[CURP], " ")</f>
        <v>KIAE700414HGT</v>
      </c>
      <c r="F402" s="1380" t="str">
        <f>_xlfn.XLOOKUP($E402, Tabla3[CURP], Tabla3[Matrícula Of. SEQ])</f>
        <v>64MDP03B3-03</v>
      </c>
      <c r="G402" s="2048" t="str">
        <f>IFERROR(VLOOKUP(D402,Tabla3[],5,FALSE),"")</f>
        <v>KIESLING ALVARADO ERVIN HERMAN</v>
      </c>
      <c r="H402" s="1605" t="str">
        <f t="shared" si="61"/>
        <v>H</v>
      </c>
      <c r="I402" s="1605" t="str">
        <f t="shared" si="62"/>
        <v>70</v>
      </c>
      <c r="J402" s="1605" t="str">
        <f t="shared" si="63"/>
        <v>04</v>
      </c>
      <c r="K402" s="1605" t="str">
        <f t="shared" si="64"/>
        <v>14</v>
      </c>
      <c r="L402" s="3818" t="str">
        <f>_xlfn.XLOOKUP($D402,  Tabla3[No.],  Tabla3[ESTATUS ACADÉMICO], " ")</f>
        <v>EGRESADO</v>
      </c>
      <c r="M402" s="1824" t="str">
        <f>_xlfn.XLOOKUP($D402,  Tabla3[No.],  Tabla3[Grupo de clase], " ")</f>
        <v>MDPG03</v>
      </c>
      <c r="N402" s="3008">
        <v>9.3000000000000007</v>
      </c>
      <c r="O402" s="3008">
        <v>9.1999999999999993</v>
      </c>
      <c r="P402" s="3008">
        <v>9.9</v>
      </c>
      <c r="Q402" s="3008">
        <v>9.4</v>
      </c>
      <c r="R402" s="3031">
        <v>9.3000000000000007</v>
      </c>
      <c r="S402" s="3031">
        <v>9.5</v>
      </c>
      <c r="T402" s="3031">
        <v>9.3000000000000007</v>
      </c>
      <c r="U402" s="3008">
        <v>9.4</v>
      </c>
      <c r="V402" s="3008"/>
      <c r="W402" s="3008"/>
      <c r="X402" s="3008"/>
      <c r="Y402" s="3008">
        <v>9.5</v>
      </c>
      <c r="Z402" s="3008">
        <v>9.4</v>
      </c>
      <c r="AA402" s="3031">
        <v>9.3000000000000007</v>
      </c>
      <c r="AB402" s="3008">
        <v>9.5</v>
      </c>
      <c r="AC402" s="3031">
        <v>9.1999999999999993</v>
      </c>
      <c r="AD402" s="3008">
        <v>9.4</v>
      </c>
      <c r="AE402" s="3008">
        <v>9.5</v>
      </c>
      <c r="AF402" s="3031">
        <v>9.3000000000000007</v>
      </c>
      <c r="AG402" s="2314"/>
      <c r="AH402" s="2314"/>
    </row>
    <row r="403" spans="1:34" ht="15.75" customHeight="1" thickBot="1">
      <c r="A403" s="3004" t="str">
        <f>_xlfn.XLOOKUP($D403,Tabla3[No.],Tabla3[PROGRAMA]," ")</f>
        <v>MDP</v>
      </c>
      <c r="B403" s="1132">
        <v>6</v>
      </c>
      <c r="C403" s="1575">
        <f>_xlfn.XLOOKUP($D403, Tabla3[No.], Tabla3[FECHA DE INICIO (PRIMERA CLASE CALENDARIO)]," ")</f>
        <v>45065</v>
      </c>
      <c r="D403" s="1379">
        <v>538</v>
      </c>
      <c r="E403" s="1230" t="str">
        <f>_xlfn.XLOOKUP($D403,  Tabla3[No.],  Tabla3[CURP], " ")</f>
        <v>LASE850329MGT</v>
      </c>
      <c r="F403" s="1380" t="str">
        <f>_xlfn.XLOOKUP($E403, Tabla3[CURP], Tabla3[Matrícula Of. SEQ])</f>
        <v>64MDP03B2-08</v>
      </c>
      <c r="G403" s="2048" t="str">
        <f>IFERROR(VLOOKUP(D403,Tabla3[],5,FALSE),"")</f>
        <v>LARA STEPHANIE</v>
      </c>
      <c r="H403" s="1605" t="str">
        <f t="shared" si="61"/>
        <v>M</v>
      </c>
      <c r="I403" s="1605" t="str">
        <f t="shared" si="62"/>
        <v>85</v>
      </c>
      <c r="J403" s="1605" t="str">
        <f t="shared" si="63"/>
        <v>03</v>
      </c>
      <c r="K403" s="1605" t="str">
        <f t="shared" si="64"/>
        <v>29</v>
      </c>
      <c r="L403" s="3948" t="str">
        <f>_xlfn.XLOOKUP($D403,  Tabla3[No.],  Tabla3[ESTATUS ACADÉMICO], " ")</f>
        <v>VIGENTE</v>
      </c>
      <c r="M403" s="1824" t="str">
        <f>_xlfn.XLOOKUP($D403,  Tabla3[No.],  Tabla3[Grupo de clase], " ")</f>
        <v>MDPG03</v>
      </c>
      <c r="N403" s="3008">
        <v>9.1999999999999993</v>
      </c>
      <c r="O403" s="3008">
        <v>9.1999999999999993</v>
      </c>
      <c r="P403" s="3008">
        <v>9.9</v>
      </c>
      <c r="Q403" s="3008">
        <v>9.6</v>
      </c>
      <c r="R403" s="3031">
        <v>9.3000000000000007</v>
      </c>
      <c r="S403" s="3031">
        <v>9.5</v>
      </c>
      <c r="T403" s="3031">
        <v>9.3000000000000007</v>
      </c>
      <c r="U403" s="3008">
        <v>9.4</v>
      </c>
      <c r="V403" s="3008"/>
      <c r="W403" s="3008"/>
      <c r="X403" s="3008"/>
      <c r="Y403" s="3008">
        <v>9.5</v>
      </c>
      <c r="Z403" s="3008">
        <v>9.4</v>
      </c>
      <c r="AA403" s="3031">
        <v>9.3000000000000007</v>
      </c>
      <c r="AB403" s="3008">
        <v>9.5</v>
      </c>
      <c r="AC403" s="3031">
        <v>9.3000000000000007</v>
      </c>
      <c r="AD403" s="3008">
        <v>9.4</v>
      </c>
      <c r="AE403" s="3008">
        <v>9.5</v>
      </c>
      <c r="AF403" s="3031">
        <v>9.3000000000000007</v>
      </c>
      <c r="AG403" s="2314"/>
      <c r="AH403" s="2314"/>
    </row>
    <row r="404" spans="1:34" ht="15.75" customHeight="1" thickBot="1">
      <c r="A404" s="3004" t="str">
        <f>_xlfn.XLOOKUP($D404,Tabla3[No.],Tabla3[PROGRAMA]," ")</f>
        <v>MDP</v>
      </c>
      <c r="B404" s="1132">
        <v>7</v>
      </c>
      <c r="C404" s="1575">
        <f>_xlfn.XLOOKUP($D404, Tabla3[No.], Tabla3[FECHA DE INICIO (PRIMERA CLASE CALENDARIO)]," ")</f>
        <v>45065</v>
      </c>
      <c r="D404" s="1379">
        <v>532</v>
      </c>
      <c r="E404" s="1230" t="str">
        <f>_xlfn.XLOOKUP($D404,  Tabla3[No.],  Tabla3[CURP], " ")</f>
        <v>MAPJ780503HGGRRAU00</v>
      </c>
      <c r="F404" s="1380" t="str">
        <f>_xlfn.XLOOKUP($E404, Tabla3[CURP], Tabla3[Matrícula Of. SEQ])</f>
        <v>64MDP03B2-10</v>
      </c>
      <c r="G404" s="2048" t="str">
        <f>IFERROR(VLOOKUP(D404,Tabla3[],5,FALSE),"")</f>
        <v>MARTINEZ PAREDES JUAN ALBERTO</v>
      </c>
      <c r="H404" s="1605" t="str">
        <f t="shared" si="61"/>
        <v>H</v>
      </c>
      <c r="I404" s="1605" t="str">
        <f t="shared" si="62"/>
        <v>78</v>
      </c>
      <c r="J404" s="1605" t="str">
        <f t="shared" si="63"/>
        <v>05</v>
      </c>
      <c r="K404" s="1605" t="str">
        <f t="shared" si="64"/>
        <v>03</v>
      </c>
      <c r="L404" s="3818" t="str">
        <f>_xlfn.XLOOKUP($D404,  Tabla3[No.],  Tabla3[ESTATUS ACADÉMICO], " ")</f>
        <v>EGRESADO</v>
      </c>
      <c r="M404" s="1824" t="str">
        <f>_xlfn.XLOOKUP($D404,  Tabla3[No.],  Tabla3[Grupo de clase], " ")</f>
        <v>MDPG03</v>
      </c>
      <c r="N404" s="3008">
        <v>9.9</v>
      </c>
      <c r="O404" s="3008">
        <v>9.1999999999999993</v>
      </c>
      <c r="P404" s="3008">
        <v>9.3000000000000007</v>
      </c>
      <c r="Q404" s="3008">
        <v>9.6</v>
      </c>
      <c r="R404" s="3031">
        <v>9.3000000000000007</v>
      </c>
      <c r="S404" s="3031">
        <v>9.5</v>
      </c>
      <c r="T404" s="3031">
        <v>9.3000000000000007</v>
      </c>
      <c r="U404" s="3008">
        <v>9.4</v>
      </c>
      <c r="V404" s="3008"/>
      <c r="W404" s="3008"/>
      <c r="X404" s="3008"/>
      <c r="Y404" s="3008">
        <v>9.5</v>
      </c>
      <c r="Z404" s="3008">
        <v>9.4</v>
      </c>
      <c r="AA404" s="3031">
        <v>9.3000000000000007</v>
      </c>
      <c r="AB404" s="3008">
        <v>9.5</v>
      </c>
      <c r="AC404" s="3031">
        <v>9.3000000000000007</v>
      </c>
      <c r="AD404" s="3008">
        <v>9.4</v>
      </c>
      <c r="AE404" s="3008">
        <v>9.5</v>
      </c>
      <c r="AF404" s="3031">
        <v>9.3000000000000007</v>
      </c>
      <c r="AG404" s="2314"/>
      <c r="AH404" s="2314"/>
    </row>
    <row r="405" spans="1:34" ht="15.75" customHeight="1" thickBot="1">
      <c r="A405" s="3004" t="str">
        <f>_xlfn.XLOOKUP($D405,Tabla3[No.],Tabla3[PROGRAMA]," ")</f>
        <v>MDP</v>
      </c>
      <c r="B405" s="1132">
        <v>8</v>
      </c>
      <c r="C405" s="1575">
        <f>_xlfn.XLOOKUP($D405, Tabla3[No.], Tabla3[FECHA DE INICIO (PRIMERA CLASE CALENDARIO)]," ")</f>
        <v>45065</v>
      </c>
      <c r="D405" s="1379">
        <v>580</v>
      </c>
      <c r="E405" s="1602" t="str">
        <f>_xlfn.XLOOKUP($D405,  Tabla3[No.],  Tabla3[CURP], " ")</f>
        <v>MAIA</v>
      </c>
      <c r="F405" s="1603" t="str">
        <f>_xlfn.XLOOKUP($D405,  Tabla3[No.],  Tabla3[Matrícula Of. SEQ], " ")</f>
        <v>BAJA</v>
      </c>
      <c r="G405" s="1604" t="str">
        <f>IFERROR(VLOOKUP(D405,Tabla3[],5,FALSE),"")</f>
        <v>MARROQUIN IBARRA ANDY FERNANDO</v>
      </c>
      <c r="H405" s="1660" t="str">
        <f>MID($E405,11,1)</f>
        <v/>
      </c>
      <c r="I405" s="1660" t="str">
        <f>MID($E405,5,2)</f>
        <v/>
      </c>
      <c r="J405" s="1660" t="str">
        <f>MID($E405,7,2)</f>
        <v/>
      </c>
      <c r="K405" s="1660" t="str">
        <f>MID($E405,9,2)</f>
        <v/>
      </c>
      <c r="L405" s="3818" t="str">
        <f>_xlfn.XLOOKUP($D405,  Tabla3[No.],  Tabla3[ESTATUS ACADÉMICO], " ")</f>
        <v>BAJA TEMPORAL</v>
      </c>
      <c r="M405" s="1824" t="str">
        <f>_xlfn.XLOOKUP($D405,  Tabla3[No.],  Tabla3[Grupo de clase], " ")</f>
        <v>MDP0G03</v>
      </c>
      <c r="N405" s="3008">
        <v>9.6999999999999993</v>
      </c>
      <c r="O405" s="3008">
        <v>9.3000000000000007</v>
      </c>
      <c r="P405" s="3008">
        <v>9.3000000000000007</v>
      </c>
      <c r="Q405" s="3008">
        <v>9.6</v>
      </c>
      <c r="R405" s="3031">
        <v>9.1999999999999993</v>
      </c>
      <c r="S405" s="3031">
        <v>9.5</v>
      </c>
      <c r="T405" s="3031">
        <v>9.1999999999999993</v>
      </c>
      <c r="U405" s="3010"/>
      <c r="V405" s="3010"/>
      <c r="W405" s="3010"/>
      <c r="X405" s="3010"/>
      <c r="Y405" s="3010"/>
      <c r="Z405" s="3010"/>
      <c r="AA405" s="3010"/>
      <c r="AB405" s="3010"/>
      <c r="AC405" s="3010"/>
      <c r="AD405" s="3010"/>
      <c r="AE405" s="3010"/>
      <c r="AF405" s="3010"/>
      <c r="AG405" s="2314"/>
      <c r="AH405" s="2314"/>
    </row>
    <row r="406" spans="1:34" ht="15.75" customHeight="1" thickBot="1">
      <c r="A406" s="3004" t="str">
        <f>_xlfn.XLOOKUP($D406,Tabla3[No.],Tabla3[PROGRAMA]," ")</f>
        <v>JTMDP</v>
      </c>
      <c r="B406" s="1132">
        <v>9</v>
      </c>
      <c r="C406" s="1575">
        <f>_xlfn.XLOOKUP($D406, Tabla3[No.], Tabla3[FECHA DE INICIO (PRIMERA CLASE CALENDARIO)]," ")</f>
        <v>45065</v>
      </c>
      <c r="D406" s="1379">
        <v>542</v>
      </c>
      <c r="E406" s="1602" t="str">
        <f>_xlfn.XLOOKUP($D406,  Tabla3[No.],  Tabla3[CURP], " ")</f>
        <v>MEAJ800101HGT</v>
      </c>
      <c r="F406" s="1603" t="str">
        <f>_xlfn.XLOOKUP($D406,  Tabla3[No.],  Tabla3[Matrícula Of. SEQ], " ")</f>
        <v>64MDP03B3-04</v>
      </c>
      <c r="G406" s="1604" t="str">
        <f>IFERROR(VLOOKUP(D406,Tabla3[],5,FALSE),"")</f>
        <v>MENDEZ AGUILAR JHONNATAN ESAU</v>
      </c>
      <c r="H406" s="1660" t="str">
        <f>MID($E406,11,1)</f>
        <v>H</v>
      </c>
      <c r="I406" s="1660" t="str">
        <f>MID($E406,5,2)</f>
        <v>80</v>
      </c>
      <c r="J406" s="1660" t="str">
        <f>MID($E406,7,2)</f>
        <v>01</v>
      </c>
      <c r="K406" s="1660" t="str">
        <f>MID($E406,9,2)</f>
        <v>01</v>
      </c>
      <c r="L406" s="3818" t="str">
        <f>_xlfn.XLOOKUP($D406,  Tabla3[No.],  Tabla3[ESTATUS ACADÉMICO], " ")</f>
        <v>EGRESADO</v>
      </c>
      <c r="M406" s="1824" t="str">
        <f>_xlfn.XLOOKUP($D406,  Tabla3[No.],  Tabla3[Grupo de clase], " ")</f>
        <v>MDPG03</v>
      </c>
      <c r="N406" s="3008">
        <v>9.8000000000000007</v>
      </c>
      <c r="O406" s="3008">
        <v>9.3000000000000007</v>
      </c>
      <c r="P406" s="3008">
        <v>9.3000000000000007</v>
      </c>
      <c r="Q406" s="3008">
        <v>9.6</v>
      </c>
      <c r="R406" s="3031">
        <v>9.3000000000000007</v>
      </c>
      <c r="S406" s="3031">
        <v>9.5</v>
      </c>
      <c r="T406" s="3031">
        <v>9.3000000000000007</v>
      </c>
      <c r="U406" s="3032">
        <v>9.4</v>
      </c>
      <c r="V406" s="3032"/>
      <c r="W406" s="3032"/>
      <c r="X406" s="3032"/>
      <c r="Y406" s="3032">
        <v>9.5</v>
      </c>
      <c r="Z406" s="3032">
        <v>9.5</v>
      </c>
      <c r="AA406" s="3032">
        <v>9.1999999999999993</v>
      </c>
      <c r="AB406" s="3032">
        <v>9.4</v>
      </c>
      <c r="AC406" s="3008">
        <v>9.5</v>
      </c>
      <c r="AD406" s="3008">
        <v>9.4</v>
      </c>
      <c r="AE406" s="3008">
        <v>9.4</v>
      </c>
      <c r="AF406" s="3008">
        <v>9.5</v>
      </c>
      <c r="AG406" s="2314"/>
      <c r="AH406" s="2314"/>
    </row>
    <row r="407" spans="1:34" ht="15.75" customHeight="1" thickBot="1">
      <c r="A407" s="3004" t="str">
        <f>_xlfn.XLOOKUP($D407,Tabla3[No.],Tabla3[PROGRAMA]," ")</f>
        <v>MDP</v>
      </c>
      <c r="B407" s="1132">
        <v>10</v>
      </c>
      <c r="C407" s="1575">
        <f>_xlfn.XLOOKUP($D407, Tabla3[No.], Tabla3[FECHA DE INICIO (PRIMERA CLASE CALENDARIO)]," ")</f>
        <v>45065</v>
      </c>
      <c r="D407" s="1379">
        <v>533</v>
      </c>
      <c r="E407" s="1230" t="str">
        <f>_xlfn.XLOOKUP($D407,  Tabla3[No.],  Tabla3[CURP], " ")</f>
        <v>MERD871008HCGG00</v>
      </c>
      <c r="F407" s="1380" t="str">
        <f>_xlfn.XLOOKUP($E407, Tabla3[CURP], Tabla3[Matrícula Of. SEQ])</f>
        <v>64MDP03B2-11</v>
      </c>
      <c r="G407" s="2048" t="str">
        <f>IFERROR(VLOOKUP(D407,Tabla3[],5,FALSE),"")</f>
        <v>MENDOZA RACANCOJ DANY JONATAN</v>
      </c>
      <c r="H407" s="1605" t="str">
        <f t="shared" si="61"/>
        <v>H</v>
      </c>
      <c r="I407" s="1605" t="str">
        <f t="shared" si="62"/>
        <v>87</v>
      </c>
      <c r="J407" s="1605" t="str">
        <f t="shared" si="63"/>
        <v>10</v>
      </c>
      <c r="K407" s="1605" t="str">
        <f t="shared" si="64"/>
        <v>08</v>
      </c>
      <c r="L407" s="3818" t="str">
        <f>_xlfn.XLOOKUP($D407,  Tabla3[No.],  Tabla3[ESTATUS ACADÉMICO], " ")</f>
        <v>EGRESADO</v>
      </c>
      <c r="M407" s="1824" t="str">
        <f>_xlfn.XLOOKUP($D407,  Tabla3[No.],  Tabla3[Grupo de clase], " ")</f>
        <v>MDPG03</v>
      </c>
      <c r="N407" s="3008">
        <v>9.8000000000000007</v>
      </c>
      <c r="O407" s="3008">
        <v>9.1999999999999993</v>
      </c>
      <c r="P407" s="3008">
        <v>9.5</v>
      </c>
      <c r="Q407" s="3008">
        <v>9.6</v>
      </c>
      <c r="R407" s="3031">
        <v>9.3000000000000007</v>
      </c>
      <c r="S407" s="3031">
        <v>9.1999999999999993</v>
      </c>
      <c r="T407" s="3031">
        <v>9.3000000000000007</v>
      </c>
      <c r="U407" s="3032">
        <v>9.4</v>
      </c>
      <c r="V407" s="3032"/>
      <c r="W407" s="3032"/>
      <c r="X407" s="3032"/>
      <c r="Y407" s="3032">
        <v>9.5</v>
      </c>
      <c r="Z407" s="3032">
        <v>9.5</v>
      </c>
      <c r="AA407" s="3032">
        <v>9.1999999999999993</v>
      </c>
      <c r="AB407" s="3032">
        <v>9.4</v>
      </c>
      <c r="AC407" s="3008">
        <v>9.5</v>
      </c>
      <c r="AD407" s="3008">
        <v>9.4</v>
      </c>
      <c r="AE407" s="3008">
        <v>9.4</v>
      </c>
      <c r="AF407" s="3008">
        <v>9.5</v>
      </c>
      <c r="AG407" s="2314"/>
      <c r="AH407" s="2314"/>
    </row>
    <row r="408" spans="1:34" ht="15.75" customHeight="1" thickBot="1">
      <c r="A408" s="3004" t="str">
        <f>_xlfn.XLOOKUP($D408,Tabla3[No.],Tabla3[PROGRAMA]," ")</f>
        <v>MDP</v>
      </c>
      <c r="B408" s="1132">
        <v>11</v>
      </c>
      <c r="C408" s="1575">
        <f>_xlfn.XLOOKUP($D408, Tabla3[No.], Tabla3[FECHA DE INICIO (PRIMERA CLASE CALENDARIO)]," ")</f>
        <v>45065</v>
      </c>
      <c r="D408" s="1379">
        <v>536</v>
      </c>
      <c r="E408" s="1230" t="str">
        <f>_xlfn.XLOOKUP($D408,  Tabla3[No.],  Tabla3[CURP], " ")</f>
        <v>RIMH840407HGGVEE00</v>
      </c>
      <c r="F408" s="1380" t="str">
        <f>_xlfn.XLOOKUP($E408, Tabla3[CURP], Tabla3[Matrícula Of. SEQ])</f>
        <v>64MDP03B2-13</v>
      </c>
      <c r="G408" s="2048" t="str">
        <f>IFERROR(VLOOKUP(D408,Tabla3[],5,FALSE),"")</f>
        <v>RIVERA MEDINA HECTOR EDGARDO</v>
      </c>
      <c r="H408" s="1605" t="str">
        <f t="shared" si="61"/>
        <v>H</v>
      </c>
      <c r="I408" s="1605" t="str">
        <f t="shared" si="62"/>
        <v>84</v>
      </c>
      <c r="J408" s="1605" t="str">
        <f t="shared" si="63"/>
        <v>04</v>
      </c>
      <c r="K408" s="1605" t="str">
        <f t="shared" si="64"/>
        <v>07</v>
      </c>
      <c r="L408" s="3818" t="str">
        <f>_xlfn.XLOOKUP($D408,  Tabla3[No.],  Tabla3[ESTATUS ACADÉMICO], " ")</f>
        <v>EGRESADO</v>
      </c>
      <c r="M408" s="1824" t="str">
        <f>_xlfn.XLOOKUP($D408,  Tabla3[No.],  Tabla3[Grupo de clase], " ")</f>
        <v>MDPG03</v>
      </c>
      <c r="N408" s="3008">
        <v>9.6999999999999993</v>
      </c>
      <c r="O408" s="3008">
        <v>9.1999999999999993</v>
      </c>
      <c r="P408" s="3008">
        <v>9.6999999999999993</v>
      </c>
      <c r="Q408" s="3008">
        <v>9.6</v>
      </c>
      <c r="R408" s="3031">
        <v>9.3000000000000007</v>
      </c>
      <c r="S408" s="3031">
        <v>9.3000000000000007</v>
      </c>
      <c r="T408" s="3031">
        <v>9.3000000000000007</v>
      </c>
      <c r="U408" s="3008">
        <v>9.4</v>
      </c>
      <c r="V408" s="3008"/>
      <c r="W408" s="3008"/>
      <c r="X408" s="3008"/>
      <c r="Y408" s="3008">
        <v>9.5</v>
      </c>
      <c r="Z408" s="3008">
        <v>9.5</v>
      </c>
      <c r="AA408" s="3008">
        <v>9.3000000000000007</v>
      </c>
      <c r="AB408" s="3008">
        <v>9.3000000000000007</v>
      </c>
      <c r="AC408" s="3008">
        <v>9.3000000000000007</v>
      </c>
      <c r="AD408" s="3008">
        <v>9.4</v>
      </c>
      <c r="AE408" s="3008">
        <v>9.4</v>
      </c>
      <c r="AF408" s="3008">
        <v>9.5</v>
      </c>
      <c r="AG408" s="2314"/>
      <c r="AH408" s="2314"/>
    </row>
    <row r="409" spans="1:34" ht="15.75" customHeight="1" thickBot="1">
      <c r="A409" s="3004" t="str">
        <f>_xlfn.XLOOKUP($D409,Tabla3[No.],Tabla3[PROGRAMA]," ")</f>
        <v>MDP</v>
      </c>
      <c r="B409" s="1132">
        <v>12</v>
      </c>
      <c r="C409" s="1575">
        <f>_xlfn.XLOOKUP($D409, Tabla3[No.], Tabla3[FECHA DE INICIO (PRIMERA CLASE CALENDARIO)]," ")</f>
        <v>45065</v>
      </c>
      <c r="D409" s="1379">
        <v>534</v>
      </c>
      <c r="E409" s="1230" t="str">
        <f>_xlfn.XLOOKUP($D409,  Tabla3[No.],  Tabla3[CURP], " ")</f>
        <v>ROGJ871008HCGCU00</v>
      </c>
      <c r="F409" s="1380" t="str">
        <f>_xlfn.XLOOKUP($E409, Tabla3[CURP], Tabla3[Matrícula Of. SEQ])</f>
        <v>64MDP03B2-14</v>
      </c>
      <c r="G409" s="2048" t="str">
        <f>IFERROR(VLOOKUP(D409,Tabla3[],5,FALSE),"")</f>
        <v>ROCA GUINEA JOSE FERNANDO</v>
      </c>
      <c r="H409" s="1605" t="str">
        <f t="shared" si="61"/>
        <v>H</v>
      </c>
      <c r="I409" s="1605" t="str">
        <f t="shared" si="62"/>
        <v>87</v>
      </c>
      <c r="J409" s="1605" t="str">
        <f t="shared" si="63"/>
        <v>10</v>
      </c>
      <c r="K409" s="1605" t="str">
        <f t="shared" si="64"/>
        <v>08</v>
      </c>
      <c r="L409" s="3818" t="str">
        <f>_xlfn.XLOOKUP($D409,  Tabla3[No.],  Tabla3[ESTATUS ACADÉMICO], " ")</f>
        <v>EGRESADO</v>
      </c>
      <c r="M409" s="1824" t="str">
        <f>_xlfn.XLOOKUP($D409,  Tabla3[No.],  Tabla3[Grupo de clase], " ")</f>
        <v>MDPG03</v>
      </c>
      <c r="N409" s="3008">
        <v>9.5</v>
      </c>
      <c r="O409" s="3008">
        <v>9.1999999999999993</v>
      </c>
      <c r="P409" s="3008">
        <v>9.3000000000000007</v>
      </c>
      <c r="Q409" s="3008">
        <v>9.6</v>
      </c>
      <c r="R409" s="3031">
        <v>9.3000000000000007</v>
      </c>
      <c r="S409" s="3031">
        <v>9.3000000000000007</v>
      </c>
      <c r="T409" s="3031">
        <v>9.3000000000000007</v>
      </c>
      <c r="U409" s="3008">
        <v>9.4</v>
      </c>
      <c r="V409" s="3008"/>
      <c r="W409" s="3008"/>
      <c r="X409" s="3008"/>
      <c r="Y409" s="3008">
        <v>9.5</v>
      </c>
      <c r="Z409" s="3008">
        <v>9.5</v>
      </c>
      <c r="AA409" s="3008">
        <v>9.1999999999999993</v>
      </c>
      <c r="AB409" s="3008">
        <v>9.4</v>
      </c>
      <c r="AC409" s="3008">
        <v>9.4</v>
      </c>
      <c r="AD409" s="3008">
        <v>9.4</v>
      </c>
      <c r="AE409" s="3008">
        <v>9.4</v>
      </c>
      <c r="AF409" s="3008">
        <v>9.3000000000000007</v>
      </c>
      <c r="AG409" s="2314"/>
      <c r="AH409" s="2314"/>
    </row>
    <row r="410" spans="1:34" ht="15.75" customHeight="1" thickBot="1">
      <c r="A410" s="3004" t="str">
        <f>_xlfn.XLOOKUP($D410,Tabla3[No.],Tabla3[PROGRAMA]," ")</f>
        <v>MDP</v>
      </c>
      <c r="B410" s="1132">
        <v>13</v>
      </c>
      <c r="C410" s="1575">
        <f>_xlfn.XLOOKUP($D410, Tabla3[No.], Tabla3[FECHA DE INICIO (PRIMERA CLASE CALENDARIO)]," ")</f>
        <v>45065</v>
      </c>
      <c r="D410" s="1379">
        <v>535</v>
      </c>
      <c r="E410" s="1230" t="str">
        <f>_xlfn.XLOOKUP($D410,  Tabla3[No.],  Tabla3[CURP], " ")</f>
        <v>VIGJ770412HGGLOO00</v>
      </c>
      <c r="F410" s="1380" t="str">
        <f>_xlfn.XLOOKUP($E410, Tabla3[CURP], Tabla3[Matrícula Of. SEQ])</f>
        <v>64MDP03B2-17</v>
      </c>
      <c r="G410" s="2048" t="str">
        <f>IFERROR(VLOOKUP(D410,Tabla3[],5,FALSE),"")</f>
        <v>VILLATORO GONZALEZ JONATHAN STEVE</v>
      </c>
      <c r="H410" s="1605" t="str">
        <f t="shared" si="61"/>
        <v>H</v>
      </c>
      <c r="I410" s="1605" t="str">
        <f t="shared" si="62"/>
        <v>77</v>
      </c>
      <c r="J410" s="1605" t="str">
        <f t="shared" si="63"/>
        <v>04</v>
      </c>
      <c r="K410" s="1605" t="str">
        <f t="shared" si="64"/>
        <v>12</v>
      </c>
      <c r="L410" s="3818" t="str">
        <f>_xlfn.XLOOKUP($D410,  Tabla3[No.],  Tabla3[ESTATUS ACADÉMICO], " ")</f>
        <v>EGRESADO</v>
      </c>
      <c r="M410" s="1824" t="str">
        <f>_xlfn.XLOOKUP($D410,  Tabla3[No.],  Tabla3[Grupo de clase], " ")</f>
        <v>MDPG03</v>
      </c>
      <c r="N410" s="3008">
        <v>9.8000000000000007</v>
      </c>
      <c r="O410" s="3008">
        <v>10</v>
      </c>
      <c r="P410" s="3008">
        <v>9.9</v>
      </c>
      <c r="Q410" s="3008">
        <v>9.6</v>
      </c>
      <c r="R410" s="3031">
        <v>9.3000000000000007</v>
      </c>
      <c r="S410" s="3031">
        <v>9.3000000000000007</v>
      </c>
      <c r="T410" s="3031">
        <v>9.3000000000000007</v>
      </c>
      <c r="U410" s="3008">
        <v>9.5</v>
      </c>
      <c r="V410" s="3008"/>
      <c r="W410" s="3008"/>
      <c r="X410" s="3008"/>
      <c r="Y410" s="3008">
        <v>9.5</v>
      </c>
      <c r="Z410" s="3008">
        <v>9.3000000000000007</v>
      </c>
      <c r="AA410" s="3008">
        <v>9.5</v>
      </c>
      <c r="AB410" s="3008">
        <v>9.5</v>
      </c>
      <c r="AC410" s="3008">
        <v>9.1999999999999993</v>
      </c>
      <c r="AD410" s="3008">
        <v>9.5</v>
      </c>
      <c r="AE410" s="3008">
        <v>9.5</v>
      </c>
      <c r="AF410" s="3008">
        <v>9.5</v>
      </c>
      <c r="AG410" s="2314"/>
      <c r="AH410" s="2314"/>
    </row>
    <row r="411" spans="1:34" ht="15.75" customHeight="1" thickBot="1">
      <c r="A411" s="3004" t="str">
        <f>_xlfn.XLOOKUP($D411,Tabla3[No.],Tabla3[PROGRAMA]," ")</f>
        <v>JTMDP</v>
      </c>
      <c r="B411" s="1132">
        <v>14</v>
      </c>
      <c r="C411" s="1575">
        <f>_xlfn.XLOOKUP($D411, Tabla3[No.], Tabla3[FECHA DE INICIO (PRIMERA CLASE CALENDARIO)]," ")</f>
        <v>45065</v>
      </c>
      <c r="D411" s="1379">
        <v>559</v>
      </c>
      <c r="E411" s="1602" t="str">
        <f>_xlfn.XLOOKUP($D411,  Tabla3[No.],  Tabla3[CURP], " ")</f>
        <v>ZEGI800101HGT</v>
      </c>
      <c r="F411" s="1603" t="str">
        <f>_xlfn.XLOOKUP($D411,  Tabla3[No.],  Tabla3[Matrícula Of. SEQ], " ")</f>
        <v>64MDP03B3-05</v>
      </c>
      <c r="G411" s="1604" t="str">
        <f>IFERROR(VLOOKUP(D411,Tabla3[],5,FALSE),"")</f>
        <v>ZELADA GALINDO ISRAEL GUGLIELMO</v>
      </c>
      <c r="H411" s="1660" t="str">
        <f>MID($E411,11,1)</f>
        <v>H</v>
      </c>
      <c r="I411" s="1660" t="str">
        <f>MID($E411,5,2)</f>
        <v>80</v>
      </c>
      <c r="J411" s="1660" t="str">
        <f>MID($E411,7,2)</f>
        <v>01</v>
      </c>
      <c r="K411" s="1660" t="str">
        <f>MID($E411,9,2)</f>
        <v>01</v>
      </c>
      <c r="L411" s="3818" t="str">
        <f>_xlfn.XLOOKUP($D411,  Tabla3[No.],  Tabla3[ESTATUS ACADÉMICO], " ")</f>
        <v>EGRESADO</v>
      </c>
      <c r="M411" s="1824" t="str">
        <f>_xlfn.XLOOKUP($D411,  Tabla3[No.],  Tabla3[Grupo de clase], " ")</f>
        <v>MDPG03</v>
      </c>
      <c r="N411" s="3008">
        <v>10</v>
      </c>
      <c r="O411" s="3008">
        <v>10</v>
      </c>
      <c r="P411" s="3008">
        <v>9.3000000000000007</v>
      </c>
      <c r="Q411" s="3008">
        <v>9.6</v>
      </c>
      <c r="R411" s="3031">
        <v>9.3000000000000007</v>
      </c>
      <c r="S411" s="3031">
        <v>9.3000000000000007</v>
      </c>
      <c r="T411" s="3031">
        <v>9.3000000000000007</v>
      </c>
      <c r="U411" s="3010"/>
      <c r="V411" s="3010"/>
      <c r="W411" s="3010"/>
      <c r="X411" s="3010"/>
      <c r="Y411" s="3010"/>
      <c r="Z411" s="3010"/>
      <c r="AA411" s="3010"/>
      <c r="AB411" s="3010"/>
      <c r="AC411" s="3010"/>
      <c r="AD411" s="3010"/>
      <c r="AE411" s="3010"/>
      <c r="AF411" s="3010"/>
      <c r="AG411" s="2314"/>
      <c r="AH411" s="2314"/>
    </row>
    <row r="412" spans="1:34" ht="15.75" customHeight="1" thickBot="1">
      <c r="A412" s="3004" t="str">
        <f>_xlfn.XLOOKUP($D412,Tabla3[No.],Tabla3[PROGRAMA]," ")</f>
        <v>MDP</v>
      </c>
      <c r="B412" s="1132">
        <v>15</v>
      </c>
      <c r="C412" s="1575">
        <f>_xlfn.XLOOKUP($D412, Tabla3[No.], Tabla3[FECHA DE INICIO (PRIMERA CLASE CALENDARIO)]," ")</f>
        <v>45065</v>
      </c>
      <c r="D412" s="1379">
        <v>527</v>
      </c>
      <c r="E412" s="1230" t="str">
        <f>_xlfn.XLOOKUP($D412,  Tabla3[No.],  Tabla3[CURP], " ")</f>
        <v>CHMB890930MGGIAR00</v>
      </c>
      <c r="F412" s="1380" t="str">
        <f>_xlfn.XLOOKUP($E412, Tabla3[CURP], Tabla3[Matrícula Of. SEQ])</f>
        <v>64MDP03B2-03</v>
      </c>
      <c r="G412" s="2048" t="str">
        <f>IFERROR(VLOOKUP(D412,Tabla3[],5,FALSE),"")</f>
        <v>CHINCHILLA MAYEN BRENDA SOFIA</v>
      </c>
      <c r="H412" s="1605" t="str">
        <f t="shared" si="61"/>
        <v>M</v>
      </c>
      <c r="I412" s="1605" t="str">
        <f t="shared" si="62"/>
        <v>89</v>
      </c>
      <c r="J412" s="1605" t="str">
        <f t="shared" si="63"/>
        <v>09</v>
      </c>
      <c r="K412" s="1605" t="str">
        <f t="shared" si="64"/>
        <v>30</v>
      </c>
      <c r="L412" s="3818" t="str">
        <f>_xlfn.XLOOKUP($D412,  Tabla3[No.],  Tabla3[ESTATUS ACADÉMICO], " ")</f>
        <v>EGRESADO</v>
      </c>
      <c r="M412" s="1824" t="str">
        <f>_xlfn.XLOOKUP($D412,  Tabla3[No.],  Tabla3[Grupo de clase], " ")</f>
        <v>MDPG03</v>
      </c>
      <c r="N412" s="3008">
        <v>10</v>
      </c>
      <c r="O412" s="3008">
        <v>10</v>
      </c>
      <c r="P412" s="3008">
        <v>9.9</v>
      </c>
      <c r="Q412" s="3008">
        <v>9.3000000000000007</v>
      </c>
      <c r="R412" s="3031">
        <v>9.3000000000000007</v>
      </c>
      <c r="S412" s="3031">
        <v>9.3000000000000007</v>
      </c>
      <c r="T412" s="3031">
        <v>9.3000000000000007</v>
      </c>
      <c r="U412" s="3008">
        <v>9.4</v>
      </c>
      <c r="V412" s="3008"/>
      <c r="W412" s="3008"/>
      <c r="X412" s="3008"/>
      <c r="Y412" s="3008">
        <v>9.5</v>
      </c>
      <c r="Z412" s="3008">
        <v>9.4</v>
      </c>
      <c r="AA412" s="3008">
        <v>9.5</v>
      </c>
      <c r="AB412" s="3008">
        <v>9.5</v>
      </c>
      <c r="AC412" s="3008">
        <v>9.5</v>
      </c>
      <c r="AD412" s="3008">
        <v>9.5</v>
      </c>
      <c r="AE412" s="3008">
        <v>9.5</v>
      </c>
      <c r="AF412" s="3008">
        <v>9.5</v>
      </c>
      <c r="AG412" s="2314"/>
      <c r="AH412" s="2314"/>
    </row>
    <row r="413" spans="1:34" ht="15.75" customHeight="1" thickBot="1">
      <c r="A413" s="3004" t="str">
        <f>_xlfn.XLOOKUP($D413,Tabla3[No.],Tabla3[PROGRAMA]," ")</f>
        <v>MDP</v>
      </c>
      <c r="B413" s="1132">
        <v>16</v>
      </c>
      <c r="C413" s="1575">
        <f>_xlfn.XLOOKUP($D413, Tabla3[No.], Tabla3[FECHA DE INICIO (PRIMERA CLASE CALENDARIO)]," ")</f>
        <v>45065</v>
      </c>
      <c r="D413" s="1379">
        <v>531</v>
      </c>
      <c r="E413" s="1230" t="str">
        <f>_xlfn.XLOOKUP($D413,  Tabla3[No.],  Tabla3[CURP], " ")</f>
        <v>MOPW821021MCG</v>
      </c>
      <c r="F413" s="1380" t="str">
        <f>_xlfn.XLOOKUP($E413, Tabla3[CURP], Tabla3[Matrícula Of. SEQ])</f>
        <v>64MDP03B2-12</v>
      </c>
      <c r="G413" s="2048" t="str">
        <f>IFERROR(VLOOKUP(D413,Tabla3[],5,FALSE),"")</f>
        <v>MORALES PEREZ WENDY VANESSA</v>
      </c>
      <c r="H413" s="1605" t="str">
        <f t="shared" si="61"/>
        <v>M</v>
      </c>
      <c r="I413" s="1605" t="str">
        <f t="shared" si="62"/>
        <v>82</v>
      </c>
      <c r="J413" s="1605" t="str">
        <f t="shared" si="63"/>
        <v>10</v>
      </c>
      <c r="K413" s="1605" t="str">
        <f t="shared" si="64"/>
        <v>21</v>
      </c>
      <c r="L413" s="3948" t="str">
        <f>_xlfn.XLOOKUP($D413,  Tabla3[No.],  Tabla3[ESTATUS ACADÉMICO], " ")</f>
        <v>EGRESADO</v>
      </c>
      <c r="M413" s="1824" t="str">
        <f>_xlfn.XLOOKUP($D413,  Tabla3[No.],  Tabla3[Grupo de clase], " ")</f>
        <v>MDPG03</v>
      </c>
      <c r="N413" s="3008">
        <v>9.6</v>
      </c>
      <c r="O413" s="3008">
        <v>10</v>
      </c>
      <c r="P413" s="3008">
        <v>9.9</v>
      </c>
      <c r="Q413" s="3008">
        <v>9.4</v>
      </c>
      <c r="R413" s="3008">
        <v>9.3000000000000007</v>
      </c>
      <c r="S413" s="3031">
        <v>9.3000000000000007</v>
      </c>
      <c r="T413" s="3008">
        <v>9.3000000000000007</v>
      </c>
      <c r="U413" s="3008">
        <v>9.4</v>
      </c>
      <c r="V413" s="3008"/>
      <c r="W413" s="3008"/>
      <c r="X413" s="3008"/>
      <c r="Y413" s="3008">
        <v>9.5</v>
      </c>
      <c r="Z413" s="3008">
        <v>9.6</v>
      </c>
      <c r="AA413" s="3008">
        <v>9.4</v>
      </c>
      <c r="AB413" s="3008">
        <v>9.3000000000000007</v>
      </c>
      <c r="AC413" s="3008">
        <v>9.1999999999999993</v>
      </c>
      <c r="AD413" s="3008">
        <v>9.6</v>
      </c>
      <c r="AE413" s="3008">
        <v>9.4</v>
      </c>
      <c r="AF413" s="3008">
        <v>9.3000000000000007</v>
      </c>
      <c r="AG413" s="2314"/>
      <c r="AH413" s="2314"/>
    </row>
    <row r="414" spans="1:34" ht="15.75" customHeight="1" thickBot="1">
      <c r="A414" s="3004" t="str">
        <f>_xlfn.XLOOKUP($D414,Tabla3[No.],Tabla3[PROGRAMA]," ")</f>
        <v>JTMDP</v>
      </c>
      <c r="B414" s="1132">
        <v>17</v>
      </c>
      <c r="C414" s="1575">
        <f>_xlfn.XLOOKUP($D414, Tabla3[No.], Tabla3[FECHA DE INICIO (PRIMERA CLASE CALENDARIO)]," ")</f>
        <v>45083</v>
      </c>
      <c r="D414" s="1379">
        <v>564</v>
      </c>
      <c r="E414" s="1602" t="str">
        <f>_xlfn.XLOOKUP($D414,  Tabla3[No.],  Tabla3[CURP], " ")</f>
        <v>DICW800101HGT</v>
      </c>
      <c r="F414" s="1603" t="str">
        <f>_xlfn.XLOOKUP($D414,  Tabla3[No.],  Tabla3[Matrícula Of. SEQ], " ")</f>
        <v>64MDP03D-01</v>
      </c>
      <c r="G414" s="1604" t="str">
        <f>IFERROR(VLOOKUP(D414,Tabla3[],5,FALSE),"")</f>
        <v>DIVAS CANUZ WALTER ALFONSO</v>
      </c>
      <c r="H414" s="1660" t="str">
        <f t="shared" si="61"/>
        <v>H</v>
      </c>
      <c r="I414" s="1660" t="str">
        <f t="shared" si="62"/>
        <v>80</v>
      </c>
      <c r="J414" s="1660" t="str">
        <f t="shared" si="63"/>
        <v>01</v>
      </c>
      <c r="K414" s="1660" t="str">
        <f t="shared" si="64"/>
        <v>01</v>
      </c>
      <c r="L414" s="3818" t="str">
        <f>_xlfn.XLOOKUP($D414,  Tabla3[No.],  Tabla3[ESTATUS ACADÉMICO], " ")</f>
        <v>EGRESADO</v>
      </c>
      <c r="M414" s="1824" t="str">
        <f>_xlfn.XLOOKUP($D414,  Tabla3[No.],  Tabla3[Grupo de clase], " ")</f>
        <v>MDPG03</v>
      </c>
      <c r="N414" s="3008">
        <v>9.6999999999999993</v>
      </c>
      <c r="O414" s="3008">
        <v>10</v>
      </c>
      <c r="P414" s="3008">
        <v>9.9</v>
      </c>
      <c r="Q414" s="3008">
        <v>9.1999999999999993</v>
      </c>
      <c r="R414" s="3008">
        <v>9.1999999999999993</v>
      </c>
      <c r="S414" s="3033">
        <v>9.3000000000000007</v>
      </c>
      <c r="T414" s="3010">
        <f>AVERAGE(N414:S414)</f>
        <v>9.5499999999999989</v>
      </c>
      <c r="U414" s="3010"/>
      <c r="V414" s="3010"/>
      <c r="W414" s="3010"/>
      <c r="X414" s="3010"/>
      <c r="Y414" s="3010"/>
      <c r="Z414" s="3010"/>
      <c r="AA414" s="3010"/>
      <c r="AB414" s="3010"/>
      <c r="AC414" s="3010"/>
      <c r="AD414" s="3010"/>
      <c r="AE414" s="3010"/>
      <c r="AF414" s="3010"/>
      <c r="AG414" s="2314"/>
      <c r="AH414" s="2314"/>
    </row>
    <row r="415" spans="1:34" ht="15.75" customHeight="1">
      <c r="A415" s="3004" t="str">
        <f>_xlfn.XLOOKUP($D415,Tabla3[No.],Tabla3[PROGRAMA]," ")</f>
        <v>JTMDP</v>
      </c>
      <c r="B415" s="1132">
        <v>18</v>
      </c>
      <c r="C415" s="1575">
        <f>_xlfn.XLOOKUP($D415, Tabla3[No.], Tabla3[FECHA DE INICIO (PRIMERA CLASE CALENDARIO)]," ")</f>
        <v>45093</v>
      </c>
      <c r="D415" s="1379">
        <v>567</v>
      </c>
      <c r="E415" s="1602" t="str">
        <f>_xlfn.XLOOKUP($D415,  Tabla3[No.],  Tabla3[CURP], " ")</f>
        <v>CAMN</v>
      </c>
      <c r="F415" s="1603" t="str">
        <f>_xlfn.XLOOKUP($D415,  Tabla3[No.],  Tabla3[Matrícula Of. SEQ], " ")</f>
        <v>64MDP03-11</v>
      </c>
      <c r="G415" s="1604" t="str">
        <f>IFERROR(VLOOKUP(D415,Tabla3[],5,FALSE),"")</f>
        <v>CASTILLO MORALES NELSON JOSUE</v>
      </c>
      <c r="H415" s="1660" t="str">
        <f t="shared" si="61"/>
        <v/>
      </c>
      <c r="I415" s="1660" t="str">
        <f t="shared" si="62"/>
        <v/>
      </c>
      <c r="J415" s="1660" t="str">
        <f t="shared" si="63"/>
        <v/>
      </c>
      <c r="K415" s="1660" t="str">
        <f t="shared" si="64"/>
        <v/>
      </c>
      <c r="L415" s="3818" t="str">
        <f>_xlfn.XLOOKUP($D415,  Tabla3[No.],  Tabla3[ESTATUS ACADÉMICO], " ")</f>
        <v>EGRESADO</v>
      </c>
      <c r="M415" s="1824" t="str">
        <f>_xlfn.XLOOKUP($D415,  Tabla3[No.],  Tabla3[Grupo de clase], " ")</f>
        <v>MDPG03</v>
      </c>
      <c r="N415" s="3008">
        <v>9.6999999999999993</v>
      </c>
      <c r="O415" s="3008">
        <v>10</v>
      </c>
      <c r="P415" s="3008">
        <v>9.9</v>
      </c>
      <c r="Q415" s="3008">
        <v>9.4</v>
      </c>
      <c r="R415" s="3008">
        <v>9.5</v>
      </c>
      <c r="S415" s="3031">
        <v>9.3000000000000007</v>
      </c>
      <c r="T415" s="3008">
        <v>9.5</v>
      </c>
      <c r="U415" s="3008">
        <v>9.4</v>
      </c>
      <c r="V415" s="3008"/>
      <c r="W415" s="3008"/>
      <c r="X415" s="3008"/>
      <c r="Y415" s="3008">
        <v>9.5</v>
      </c>
      <c r="Z415" s="3008">
        <v>9.4</v>
      </c>
      <c r="AA415" s="3008">
        <v>9.1999999999999993</v>
      </c>
      <c r="AB415" s="3008">
        <v>9.5</v>
      </c>
      <c r="AC415" s="3008">
        <v>9.4</v>
      </c>
      <c r="AD415" s="3008">
        <v>9.5</v>
      </c>
      <c r="AE415" s="3008">
        <v>9</v>
      </c>
      <c r="AF415" s="3008">
        <v>9.5</v>
      </c>
      <c r="AG415" s="2314"/>
      <c r="AH415" s="2314"/>
    </row>
    <row r="416" spans="1:34" ht="15.75" customHeight="1" thickBot="1">
      <c r="A416" s="3004" t="str">
        <f>_xlfn.XLOOKUP($D416,Tabla3[No.],Tabla3[PROGRAMA]," ")</f>
        <v xml:space="preserve"> </v>
      </c>
      <c r="B416" s="1132">
        <v>19</v>
      </c>
      <c r="C416" s="1790"/>
      <c r="D416" s="1379"/>
      <c r="E416" s="3001" t="str">
        <f>_xlfn.XLOOKUP($D416,  Tabla3[No.],  Tabla3[CURP], " ")</f>
        <v xml:space="preserve"> </v>
      </c>
      <c r="F416" s="1790" t="str">
        <f>_xlfn.XLOOKUP($D416,  Tabla3[No.],  Tabla3[Matrícula Of. SEQ], " ")</f>
        <v xml:space="preserve"> </v>
      </c>
      <c r="G416" s="1790" t="s">
        <v>3727</v>
      </c>
      <c r="H416" s="1605" t="str">
        <f t="shared" si="61"/>
        <v/>
      </c>
      <c r="I416" s="1605" t="str">
        <f t="shared" si="62"/>
        <v/>
      </c>
      <c r="J416" s="1605" t="str">
        <f t="shared" si="63"/>
        <v/>
      </c>
      <c r="K416" s="1605" t="str">
        <f t="shared" si="64"/>
        <v/>
      </c>
      <c r="L416" s="3818" t="str">
        <f>_xlfn.XLOOKUP($D416,  Tabla3[No.],  Tabla3[ESTATUS ACADÉMICO], " ")</f>
        <v xml:space="preserve"> </v>
      </c>
      <c r="M416" s="1824" t="str">
        <f>_xlfn.XLOOKUP($D416,  Tabla3[No.],  Tabla3[Grupo de clase], " ")</f>
        <v xml:space="preserve"> </v>
      </c>
      <c r="N416" s="3034">
        <v>9.6999999999999993</v>
      </c>
      <c r="O416" s="3034">
        <v>10</v>
      </c>
      <c r="P416" s="3034">
        <v>9.9</v>
      </c>
      <c r="Q416" s="3035">
        <v>9.6</v>
      </c>
      <c r="R416" s="3035" t="s">
        <v>135</v>
      </c>
      <c r="S416" s="3036">
        <v>9.3000000000000007</v>
      </c>
      <c r="T416" s="3035">
        <v>9.5</v>
      </c>
      <c r="U416" s="3035">
        <v>9.5</v>
      </c>
      <c r="V416" s="3035"/>
      <c r="W416" s="3035"/>
      <c r="X416" s="3035"/>
      <c r="Y416" s="3035">
        <v>9.5</v>
      </c>
      <c r="Z416" s="3035">
        <v>9.3000000000000007</v>
      </c>
      <c r="AA416" s="3035">
        <v>9.3000000000000007</v>
      </c>
      <c r="AB416" s="3035">
        <v>9.5</v>
      </c>
      <c r="AC416" s="3035">
        <v>9.5</v>
      </c>
      <c r="AD416" s="3035">
        <v>9.5</v>
      </c>
      <c r="AE416" s="3035">
        <v>9.1999999999999993</v>
      </c>
      <c r="AF416" s="3035">
        <v>9.5</v>
      </c>
      <c r="AG416" s="1690" t="s">
        <v>4708</v>
      </c>
      <c r="AH416" s="2314"/>
    </row>
    <row r="417" spans="1:34" ht="15.75" customHeight="1" thickBot="1">
      <c r="A417" s="3004" t="str">
        <f>_xlfn.XLOOKUP($D417,Tabla3[No.],Tabla3[PROGRAMA]," ")</f>
        <v>MDP</v>
      </c>
      <c r="B417" s="1132">
        <v>20</v>
      </c>
      <c r="C417" s="1575">
        <f>_xlfn.XLOOKUP($D417, Tabla3[No.], Tabla3[FECHA DE INICIO (PRIMERA CLASE CALENDARIO)]," ")</f>
        <v>45306</v>
      </c>
      <c r="D417" s="2330">
        <v>667</v>
      </c>
      <c r="E417" s="1230" t="str">
        <f>_xlfn.XLOOKUP($D417,  Tabla3[No.],  Tabla3[CURP], " ")</f>
        <v>PETJ760522HGTLE00</v>
      </c>
      <c r="F417" s="1380" t="str">
        <f>_xlfn.XLOOKUP($E417, Tabla3[CURP], Tabla3[Matrícula Of. SEQ])</f>
        <v>64MDP04A-04</v>
      </c>
      <c r="G417" s="2048" t="str">
        <f>IFERROR(VLOOKUP(D417,Tabla3[],5,FALSE),"")</f>
        <v>PELLECER TERREAUX JULIO AUGUSTO BENIGNO</v>
      </c>
      <c r="H417" s="1605" t="str">
        <f t="shared" si="61"/>
        <v>H</v>
      </c>
      <c r="I417" s="1605" t="str">
        <f t="shared" si="62"/>
        <v>76</v>
      </c>
      <c r="J417" s="1605" t="str">
        <f t="shared" si="63"/>
        <v>05</v>
      </c>
      <c r="K417" s="1605" t="str">
        <f t="shared" si="64"/>
        <v>22</v>
      </c>
      <c r="L417" s="3818" t="str">
        <f>_xlfn.XLOOKUP($D417,  Tabla3[No.],  Tabla3[ESTATUS ACADÉMICO], " ")</f>
        <v>EGRESADO</v>
      </c>
      <c r="M417" s="1824" t="str">
        <f>_xlfn.XLOOKUP($D417,  Tabla3[No.],  Tabla3[Grupo de clase], " ")</f>
        <v>MDPG04</v>
      </c>
      <c r="N417" s="3008">
        <v>9.6999999999999993</v>
      </c>
      <c r="O417" s="3008">
        <v>10</v>
      </c>
      <c r="P417" s="3008">
        <v>9.9</v>
      </c>
      <c r="Q417" s="3037">
        <v>9.6</v>
      </c>
      <c r="R417" s="3008">
        <v>9.3000000000000007</v>
      </c>
      <c r="S417" s="3008">
        <v>9.5</v>
      </c>
      <c r="T417" s="3008">
        <v>9.5</v>
      </c>
      <c r="U417" s="3008">
        <v>9.5</v>
      </c>
      <c r="V417" s="3008">
        <f>AVERAGE(N417:U417)</f>
        <v>9.625</v>
      </c>
      <c r="W417" s="3008"/>
      <c r="X417" s="3008"/>
      <c r="Y417" s="3008">
        <v>9.5</v>
      </c>
      <c r="Z417" s="3008">
        <v>9.5</v>
      </c>
      <c r="AA417" s="3008">
        <v>9.5</v>
      </c>
      <c r="AB417" s="3008">
        <v>9.5</v>
      </c>
      <c r="AC417" s="3008">
        <v>9.5</v>
      </c>
      <c r="AD417" s="3032">
        <v>9.5</v>
      </c>
      <c r="AE417" s="3008">
        <v>9.1999999999999993</v>
      </c>
      <c r="AF417" s="3008">
        <v>9.5</v>
      </c>
      <c r="AG417" s="2314"/>
      <c r="AH417" s="2314"/>
    </row>
    <row r="418" spans="1:34" ht="15.75" customHeight="1" thickBot="1">
      <c r="A418" s="3004" t="str">
        <f>_xlfn.XLOOKUP($D418,Tabla3[No.],Tabla3[PROGRAMA]," ")</f>
        <v>MDP</v>
      </c>
      <c r="B418" s="1132">
        <v>21</v>
      </c>
      <c r="C418" s="1575">
        <f>_xlfn.XLOOKUP($D418, Tabla3[No.], Tabla3[FECHA DE INICIO (PRIMERA CLASE CALENDARIO)]," ")</f>
        <v>45417</v>
      </c>
      <c r="D418" s="2330">
        <v>715</v>
      </c>
      <c r="E418" s="1230" t="str">
        <f>_xlfn.XLOOKUP($D418,  Tabla3[No.],  Tabla3[CURP], " ")</f>
        <v>OEMJ881028HGGBMN00</v>
      </c>
      <c r="F418" s="1380" t="str">
        <f>_xlfn.XLOOKUP($E418, Tabla3[CURP], Tabla3[Matrícula Of. SEQ])</f>
        <v>64MDP04C-04</v>
      </c>
      <c r="G418" s="2048" t="str">
        <f>IFERROR(VLOOKUP(D418,Tabla3[],5,FALSE),"")</f>
        <v>OBREGON MARTINEZ JUAN FERNANDO</v>
      </c>
      <c r="H418" s="1605" t="str">
        <f t="shared" si="61"/>
        <v>H</v>
      </c>
      <c r="I418" s="1605" t="str">
        <f t="shared" si="62"/>
        <v>88</v>
      </c>
      <c r="J418" s="1605" t="str">
        <f t="shared" si="63"/>
        <v>10</v>
      </c>
      <c r="K418" s="1605" t="str">
        <f t="shared" si="64"/>
        <v>28</v>
      </c>
      <c r="L418" s="3818" t="str">
        <f>_xlfn.XLOOKUP($D418,  Tabla3[No.],  Tabla3[ESTATUS ACADÉMICO], " ")</f>
        <v>EGRESADO</v>
      </c>
      <c r="M418" s="1824" t="str">
        <f>_xlfn.XLOOKUP($D418,  Tabla3[No.],  Tabla3[Grupo de clase], " ")</f>
        <v>MDP04G</v>
      </c>
      <c r="N418" s="3008">
        <v>9.6999999999999993</v>
      </c>
      <c r="O418" s="3008">
        <v>10</v>
      </c>
      <c r="P418" s="3008">
        <v>9.9</v>
      </c>
      <c r="Q418" s="3037">
        <v>9.6</v>
      </c>
      <c r="R418" s="3008">
        <v>9.3000000000000007</v>
      </c>
      <c r="S418" s="3008">
        <v>9.3000000000000007</v>
      </c>
      <c r="T418" s="3008">
        <v>9.5</v>
      </c>
      <c r="U418" s="3008">
        <v>9.4</v>
      </c>
      <c r="V418" s="3008"/>
      <c r="W418" s="3008"/>
      <c r="X418" s="3008"/>
      <c r="Y418" s="3008">
        <v>9.5</v>
      </c>
      <c r="Z418" s="3008">
        <v>9.5</v>
      </c>
      <c r="AA418" s="3008">
        <v>9.1999999999999993</v>
      </c>
      <c r="AB418" s="3008">
        <v>9.3000000000000007</v>
      </c>
      <c r="AC418" s="3008">
        <v>9.4</v>
      </c>
      <c r="AD418" s="3008">
        <v>9.4</v>
      </c>
      <c r="AE418" s="3008">
        <v>9.1999999999999993</v>
      </c>
      <c r="AF418" s="3008">
        <v>9.5</v>
      </c>
      <c r="AG418" s="2314"/>
      <c r="AH418" s="2314"/>
    </row>
    <row r="419" spans="1:34" ht="15.75" customHeight="1" thickBot="1">
      <c r="A419" s="3004" t="str">
        <f>_xlfn.XLOOKUP($D419,Tabla3[No.],Tabla3[PROGRAMA]," ")</f>
        <v>MDP</v>
      </c>
      <c r="B419" s="1132">
        <v>22</v>
      </c>
      <c r="C419" s="1575">
        <f>_xlfn.XLOOKUP($D419, Tabla3[No.], Tabla3[FECHA DE INICIO (PRIMERA CLASE CALENDARIO)]," ")</f>
        <v>45306</v>
      </c>
      <c r="D419" s="2330">
        <v>669</v>
      </c>
      <c r="E419" s="1230" t="str">
        <f>_xlfn.XLOOKUP($D419,  Tabla3[No.],  Tabla3[CURP], " ")</f>
        <v>LOGW830705HGTPO00</v>
      </c>
      <c r="F419" s="1380" t="str">
        <f>_xlfn.XLOOKUP($E419, Tabla3[CURP], Tabla3[Matrícula Of. SEQ])</f>
        <v>64MDP04A-04</v>
      </c>
      <c r="G419" s="2048" t="str">
        <f>IFERROR(VLOOKUP(D419,Tabla3[],5,FALSE),"")</f>
        <v>LOPEZ GONZALEZ WILSON JOEL</v>
      </c>
      <c r="H419" s="1605" t="str">
        <f t="shared" si="61"/>
        <v>H</v>
      </c>
      <c r="I419" s="1605" t="str">
        <f t="shared" si="62"/>
        <v>83</v>
      </c>
      <c r="J419" s="1605" t="str">
        <f t="shared" si="63"/>
        <v>07</v>
      </c>
      <c r="K419" s="1605" t="str">
        <f t="shared" si="64"/>
        <v>05</v>
      </c>
      <c r="L419" s="3818" t="str">
        <f>_xlfn.XLOOKUP($D419,  Tabla3[No.],  Tabla3[ESTATUS ACADÉMICO], " ")</f>
        <v>EGRESADO</v>
      </c>
      <c r="M419" s="1824" t="str">
        <f>_xlfn.XLOOKUP($D419,  Tabla3[No.],  Tabla3[Grupo de clase], " ")</f>
        <v>MDPG04</v>
      </c>
      <c r="N419" s="3008">
        <v>9.6999999999999993</v>
      </c>
      <c r="O419" s="3008">
        <v>10</v>
      </c>
      <c r="P419" s="3008">
        <v>9.9</v>
      </c>
      <c r="Q419" s="3037">
        <v>9.6</v>
      </c>
      <c r="R419" s="3008">
        <v>9.3000000000000007</v>
      </c>
      <c r="S419" s="3008">
        <v>9.3000000000000007</v>
      </c>
      <c r="T419" s="3008">
        <v>9.5</v>
      </c>
      <c r="U419" s="3008">
        <v>9.3000000000000007</v>
      </c>
      <c r="V419" s="3008">
        <f>AVERAGE(N419:U419)</f>
        <v>9.5749999999999993</v>
      </c>
      <c r="W419" s="3008"/>
      <c r="X419" s="3008"/>
      <c r="Y419" s="3008">
        <v>9.5</v>
      </c>
      <c r="Z419" s="3008">
        <v>9.5</v>
      </c>
      <c r="AA419" s="3008">
        <v>9.4</v>
      </c>
      <c r="AB419" s="3008">
        <v>9.4</v>
      </c>
      <c r="AC419" s="3008">
        <v>9.3000000000000007</v>
      </c>
      <c r="AD419" s="3032">
        <v>9.5</v>
      </c>
      <c r="AE419" s="3008">
        <v>9.1999999999999993</v>
      </c>
      <c r="AF419" s="3008">
        <v>9.5</v>
      </c>
      <c r="AG419" s="2314"/>
      <c r="AH419" s="2314"/>
    </row>
    <row r="420" spans="1:34" ht="15.75" customHeight="1" thickBot="1">
      <c r="A420" s="3004" t="str">
        <f>_xlfn.XLOOKUP($D420,Tabla3[No.],Tabla3[PROGRAMA]," ")</f>
        <v>MDP</v>
      </c>
      <c r="B420" s="1132">
        <v>23</v>
      </c>
      <c r="C420" s="1575">
        <f>_xlfn.XLOOKUP($D420, Tabla3[No.], Tabla3[FECHA DE INICIO (PRIMERA CLASE CALENDARIO)]," ")</f>
        <v>45306</v>
      </c>
      <c r="D420" s="2330">
        <v>666</v>
      </c>
      <c r="E420" s="1230" t="str">
        <f>_xlfn.XLOOKUP($D420,  Tabla3[No.],  Tabla3[CURP], " ")</f>
        <v>FLSC870815MGTOA00</v>
      </c>
      <c r="F420" s="1380" t="str">
        <f>_xlfn.XLOOKUP($E420, Tabla3[CURP], Tabla3[Matrícula Of. SEQ])</f>
        <v>64MDP04A-03</v>
      </c>
      <c r="G420" s="2048" t="str">
        <f>IFERROR(VLOOKUP(D420,Tabla3[],5,FALSE),"")</f>
        <v>FLORES SANCHEZ CINDY AZALEA FABIOLA</v>
      </c>
      <c r="H420" s="1605" t="str">
        <f t="shared" si="61"/>
        <v>M</v>
      </c>
      <c r="I420" s="1605" t="str">
        <f t="shared" si="62"/>
        <v>87</v>
      </c>
      <c r="J420" s="1605" t="str">
        <f t="shared" si="63"/>
        <v>08</v>
      </c>
      <c r="K420" s="1605" t="str">
        <f t="shared" si="64"/>
        <v>15</v>
      </c>
      <c r="L420" s="3818" t="str">
        <f>_xlfn.XLOOKUP($D420,  Tabla3[No.],  Tabla3[ESTATUS ACADÉMICO], " ")</f>
        <v>VIGENTE</v>
      </c>
      <c r="M420" s="1824" t="str">
        <f>_xlfn.XLOOKUP($D420,  Tabla3[No.],  Tabla3[Grupo de clase], " ")</f>
        <v>MDPG04</v>
      </c>
      <c r="N420" s="3008">
        <v>9.6999999999999993</v>
      </c>
      <c r="O420" s="3008">
        <v>10</v>
      </c>
      <c r="P420" s="3008">
        <v>9.9</v>
      </c>
      <c r="Q420" s="3037">
        <v>9.6</v>
      </c>
      <c r="R420" s="3008">
        <v>9.3000000000000007</v>
      </c>
      <c r="S420" s="3008">
        <v>9.3000000000000007</v>
      </c>
      <c r="T420" s="3008">
        <v>9.6</v>
      </c>
      <c r="U420" s="3008">
        <v>9.4</v>
      </c>
      <c r="V420" s="3008">
        <f>AVERAGE(N420:U420)</f>
        <v>9.6</v>
      </c>
      <c r="W420" s="3008"/>
      <c r="X420" s="3008"/>
      <c r="Y420" s="3008">
        <v>9.5</v>
      </c>
      <c r="Z420" s="3008">
        <v>9.5</v>
      </c>
      <c r="AA420" s="3008">
        <v>9.5</v>
      </c>
      <c r="AB420" s="3008">
        <v>9.5</v>
      </c>
      <c r="AC420" s="3008">
        <v>9.4</v>
      </c>
      <c r="AD420" s="3032">
        <v>9.5</v>
      </c>
      <c r="AE420" s="3008">
        <v>9.1999999999999993</v>
      </c>
      <c r="AF420" s="3008">
        <v>9.5</v>
      </c>
      <c r="AG420" s="2314"/>
      <c r="AH420" s="2314"/>
    </row>
    <row r="421" spans="1:34" ht="15.75" customHeight="1" thickBot="1">
      <c r="A421" s="3004" t="str">
        <f>_xlfn.XLOOKUP($D421,Tabla3[No.],Tabla3[PROGRAMA]," ")</f>
        <v>MDP</v>
      </c>
      <c r="B421" s="1132">
        <v>24</v>
      </c>
      <c r="C421" s="1575">
        <f>_xlfn.XLOOKUP($D421, Tabla3[No.], Tabla3[FECHA DE INICIO (PRIMERA CLASE CALENDARIO)]," ")</f>
        <v>45306</v>
      </c>
      <c r="D421" s="2330">
        <v>668</v>
      </c>
      <c r="E421" s="1230" t="str">
        <f>_xlfn.XLOOKUP($D421,  Tabla3[No.],  Tabla3[CURP], " ")</f>
        <v>RESK900915MGTYL00</v>
      </c>
      <c r="F421" s="1380" t="str">
        <f>_xlfn.XLOOKUP($E421, Tabla3[CURP], Tabla3[Matrícula Of. SEQ])</f>
        <v>64MDP04A-05</v>
      </c>
      <c r="G421" s="2048" t="str">
        <f>IFERROR(VLOOKUP(D421,Tabla3[],5,FALSE),"")</f>
        <v>REYES SOLIS KAREN NOHEMI</v>
      </c>
      <c r="H421" s="1605" t="str">
        <f t="shared" si="61"/>
        <v>M</v>
      </c>
      <c r="I421" s="1605" t="str">
        <f t="shared" si="62"/>
        <v>90</v>
      </c>
      <c r="J421" s="1605" t="str">
        <f t="shared" si="63"/>
        <v>09</v>
      </c>
      <c r="K421" s="1605" t="str">
        <f t="shared" si="64"/>
        <v>15</v>
      </c>
      <c r="L421" s="3818" t="str">
        <f>_xlfn.XLOOKUP($D421,  Tabla3[No.],  Tabla3[ESTATUS ACADÉMICO], " ")</f>
        <v>EGRESADO</v>
      </c>
      <c r="M421" s="1824" t="str">
        <f>_xlfn.XLOOKUP($D421,  Tabla3[No.],  Tabla3[Grupo de clase], " ")</f>
        <v>MDPG04</v>
      </c>
      <c r="N421" s="3008">
        <v>9.6999999999999993</v>
      </c>
      <c r="O421" s="3008">
        <v>10</v>
      </c>
      <c r="P421" s="3008">
        <v>9.9</v>
      </c>
      <c r="Q421" s="3037">
        <v>9.6</v>
      </c>
      <c r="R421" s="3008">
        <v>9.3000000000000007</v>
      </c>
      <c r="S421" s="3008">
        <v>9.3000000000000007</v>
      </c>
      <c r="T421" s="3008">
        <v>9.6</v>
      </c>
      <c r="U421" s="3008">
        <v>9.4</v>
      </c>
      <c r="V421" s="3008">
        <f>AVERAGE(N421:U421)</f>
        <v>9.6</v>
      </c>
      <c r="W421" s="3008"/>
      <c r="X421" s="3008"/>
      <c r="Y421" s="3008">
        <v>9.5</v>
      </c>
      <c r="Z421" s="3008">
        <v>9.5</v>
      </c>
      <c r="AA421" s="3008">
        <v>9.3000000000000007</v>
      </c>
      <c r="AB421" s="3008">
        <v>9.5</v>
      </c>
      <c r="AC421" s="3008">
        <v>9.4</v>
      </c>
      <c r="AD421" s="3032">
        <v>9.3000000000000007</v>
      </c>
      <c r="AE421" s="3008">
        <v>9</v>
      </c>
      <c r="AF421" s="3008">
        <v>9.5</v>
      </c>
      <c r="AG421" s="2314"/>
      <c r="AH421" s="2314"/>
    </row>
    <row r="422" spans="1:34" ht="15.75" customHeight="1" thickBot="1">
      <c r="A422" s="3004" t="str">
        <f>_xlfn.XLOOKUP($D422,Tabla3[No.],Tabla3[PROGRAMA]," ")</f>
        <v>MDP</v>
      </c>
      <c r="B422" s="1132">
        <v>25</v>
      </c>
      <c r="C422" s="1575">
        <f>_xlfn.XLOOKUP($D422, Tabla3[No.], Tabla3[FECHA DE INICIO (PRIMERA CLASE CALENDARIO)]," ")</f>
        <v>45306</v>
      </c>
      <c r="D422" s="2330">
        <v>665</v>
      </c>
      <c r="E422" s="1230" t="str">
        <f>_xlfn.XLOOKUP($D422,  Tabla3[No.],  Tabla3[CURP], " ")</f>
        <v>CEAA831210HGGRC00</v>
      </c>
      <c r="F422" s="1380" t="str">
        <f>_xlfn.XLOOKUP($E422, Tabla3[CURP], Tabla3[Matrícula Of. SEQ])</f>
        <v>64MDP04A-02</v>
      </c>
      <c r="G422" s="2048" t="str">
        <f>IFERROR(VLOOKUP(D422,Tabla3[],5,FALSE),"")</f>
        <v>CERNA ACEVEDO AXEL EDILBERTO</v>
      </c>
      <c r="H422" s="1605" t="str">
        <f t="shared" si="61"/>
        <v>H</v>
      </c>
      <c r="I422" s="1605" t="str">
        <f t="shared" si="62"/>
        <v>83</v>
      </c>
      <c r="J422" s="1605" t="str">
        <f t="shared" si="63"/>
        <v>12</v>
      </c>
      <c r="K422" s="1605" t="str">
        <f t="shared" si="64"/>
        <v>10</v>
      </c>
      <c r="L422" s="3818" t="str">
        <f>_xlfn.XLOOKUP($D422,  Tabla3[No.],  Tabla3[ESTATUS ACADÉMICO], " ")</f>
        <v>VIGENTE</v>
      </c>
      <c r="M422" s="1824" t="str">
        <f>_xlfn.XLOOKUP($D422,  Tabla3[No.],  Tabla3[Grupo de clase], " ")</f>
        <v>MDPG04</v>
      </c>
      <c r="N422" s="3008">
        <v>9.6999999999999993</v>
      </c>
      <c r="O422" s="3008">
        <v>10</v>
      </c>
      <c r="P422" s="3008">
        <v>9.9</v>
      </c>
      <c r="Q422" s="3037">
        <v>9.6</v>
      </c>
      <c r="R422" s="3008" t="s">
        <v>135</v>
      </c>
      <c r="S422" s="3008" t="s">
        <v>135</v>
      </c>
      <c r="T422" s="3008">
        <v>9.6999999999999993</v>
      </c>
      <c r="U422" s="3008">
        <v>9.4</v>
      </c>
      <c r="V422" s="3008">
        <f>AVERAGE(N422:U422)</f>
        <v>9.7166666666666668</v>
      </c>
      <c r="W422" s="3008"/>
      <c r="X422" s="3008"/>
      <c r="Y422" s="3008">
        <v>9.5</v>
      </c>
      <c r="Z422" s="3008">
        <v>9.3000000000000007</v>
      </c>
      <c r="AA422" s="3008">
        <v>9.1999999999999993</v>
      </c>
      <c r="AB422" s="3008">
        <v>9.5</v>
      </c>
      <c r="AC422" s="3008">
        <v>9.4</v>
      </c>
      <c r="AD422" s="3032">
        <v>9.5</v>
      </c>
      <c r="AE422" s="3008">
        <v>9</v>
      </c>
      <c r="AF422" s="3008">
        <v>9.5</v>
      </c>
      <c r="AG422" s="2314"/>
      <c r="AH422" s="2314"/>
    </row>
    <row r="423" spans="1:34" ht="15.75" customHeight="1">
      <c r="A423" s="3004" t="str">
        <f>_xlfn.XLOOKUP($D423,Tabla3[No.],Tabla3[PROGRAMA]," ")</f>
        <v>MDP</v>
      </c>
      <c r="B423" s="1132">
        <v>26</v>
      </c>
      <c r="C423" s="1575">
        <f>_xlfn.XLOOKUP($D423, Tabla3[No.], Tabla3[FECHA DE INICIO (PRIMERA CLASE CALENDARIO)]," ")</f>
        <v>45308</v>
      </c>
      <c r="D423" s="2331">
        <v>681</v>
      </c>
      <c r="E423" s="1230" t="str">
        <f>_xlfn.XLOOKUP($D423,  Tabla3[No.],  Tabla3[CURP], " ")</f>
        <v>TEVE810322HGT</v>
      </c>
      <c r="F423" s="1380" t="str">
        <f>_xlfn.XLOOKUP($E423, Tabla3[CURP], Tabla3[Matrícula Of. SEQ])</f>
        <v>64MDP04B-01</v>
      </c>
      <c r="G423" s="2048" t="str">
        <f>IFERROR(VLOOKUP(D423,Tabla3[],5,FALSE),"")</f>
        <v>TEPAZ VAQUIAX ERIK ELEAZAR</v>
      </c>
      <c r="H423" s="1605" t="str">
        <f>MID($E423,11,1)</f>
        <v>H</v>
      </c>
      <c r="I423" s="1605" t="str">
        <f>MID($E423,5,2)</f>
        <v>81</v>
      </c>
      <c r="J423" s="1605" t="str">
        <f>MID($E423,7,2)</f>
        <v>03</v>
      </c>
      <c r="K423" s="1605" t="str">
        <f>MID($E423,9,2)</f>
        <v>22</v>
      </c>
      <c r="L423" s="3818" t="str">
        <f>_xlfn.XLOOKUP($D423,  Tabla3[No.],  Tabla3[ESTATUS ACADÉMICO], " ")</f>
        <v>EGRESADO</v>
      </c>
      <c r="M423" s="1824" t="str">
        <f>_xlfn.XLOOKUP($D423,  Tabla3[No.],  Tabla3[Grupo de clase], " ")</f>
        <v>MDP04B</v>
      </c>
      <c r="N423" s="3008">
        <v>9.6999999999999993</v>
      </c>
      <c r="O423" s="3008">
        <v>10</v>
      </c>
      <c r="P423" s="3008" t="s">
        <v>135</v>
      </c>
      <c r="Q423" s="3008" t="s">
        <v>135</v>
      </c>
      <c r="R423" s="3008" t="s">
        <v>135</v>
      </c>
      <c r="S423" s="3008" t="s">
        <v>135</v>
      </c>
      <c r="T423" s="3008" t="s">
        <v>135</v>
      </c>
      <c r="U423" s="3008">
        <v>9.4</v>
      </c>
      <c r="V423" s="3008"/>
      <c r="W423" s="3008"/>
      <c r="X423" s="3008"/>
      <c r="Y423" s="3008">
        <v>9.5</v>
      </c>
      <c r="Z423" s="3008">
        <v>9.5</v>
      </c>
      <c r="AA423" s="3008">
        <v>9.1999999999999993</v>
      </c>
      <c r="AB423" s="3008">
        <v>9.5</v>
      </c>
      <c r="AC423" s="3008">
        <v>9.3000000000000007</v>
      </c>
      <c r="AD423" s="3008">
        <v>9.5</v>
      </c>
      <c r="AE423" s="3008">
        <v>9.1999999999999993</v>
      </c>
      <c r="AF423" s="3008">
        <v>9.5</v>
      </c>
      <c r="AG423" s="2314"/>
      <c r="AH423" s="2314"/>
    </row>
    <row r="424" spans="1:34" ht="15.75" customHeight="1">
      <c r="N424" s="3008">
        <v>1</v>
      </c>
      <c r="O424" s="3008">
        <v>2</v>
      </c>
      <c r="P424" s="3008">
        <v>3</v>
      </c>
      <c r="Q424" s="3008">
        <v>4</v>
      </c>
      <c r="R424" s="3008">
        <v>5</v>
      </c>
      <c r="S424" s="3008">
        <v>6</v>
      </c>
      <c r="T424" s="3008">
        <v>7</v>
      </c>
      <c r="U424" s="3008">
        <v>8</v>
      </c>
      <c r="V424" s="3008"/>
      <c r="W424" s="3008"/>
      <c r="X424" s="3008"/>
      <c r="Y424" s="3008">
        <v>9</v>
      </c>
      <c r="Z424" s="3008">
        <v>10</v>
      </c>
      <c r="AA424" s="3008">
        <v>11</v>
      </c>
      <c r="AB424" s="3008">
        <v>12</v>
      </c>
      <c r="AC424" s="3008">
        <v>13</v>
      </c>
      <c r="AD424" s="3008">
        <v>14</v>
      </c>
      <c r="AE424" s="3008">
        <v>15</v>
      </c>
      <c r="AF424" s="3008">
        <v>16</v>
      </c>
      <c r="AG424" s="2314"/>
      <c r="AH424" s="2314"/>
    </row>
    <row r="425" spans="1:34" s="700" customFormat="1" ht="15.75" customHeight="1">
      <c r="A425" s="2334"/>
      <c r="B425" s="2334"/>
      <c r="C425" s="2334"/>
      <c r="D425" s="2334"/>
      <c r="E425" s="2334"/>
      <c r="F425" s="2334"/>
      <c r="G425" s="2334"/>
      <c r="H425" s="2334"/>
      <c r="I425" s="2334"/>
      <c r="J425" s="2334"/>
      <c r="K425" s="2334"/>
      <c r="L425" s="3981"/>
      <c r="M425" s="2334"/>
      <c r="N425" s="2334"/>
      <c r="O425" s="2334"/>
      <c r="P425" s="2334"/>
      <c r="Q425" s="2334"/>
      <c r="R425" s="2334"/>
      <c r="S425" s="2334"/>
      <c r="T425" s="2334"/>
      <c r="U425" s="2334"/>
      <c r="V425" s="2334"/>
      <c r="W425" s="2334"/>
      <c r="X425" s="2334"/>
      <c r="Y425" s="2334"/>
      <c r="Z425" s="2334"/>
      <c r="AA425" s="2334"/>
      <c r="AB425" s="2334"/>
      <c r="AC425" s="2334"/>
      <c r="AD425" s="2334"/>
      <c r="AE425" s="2334"/>
      <c r="AF425" s="2334"/>
      <c r="AG425" s="2334"/>
    </row>
    <row r="426" spans="1:34" s="700" customFormat="1" ht="15.75" customHeight="1" thickBot="1">
      <c r="A426" s="2064"/>
      <c r="B426" s="2064"/>
      <c r="C426" s="2332"/>
      <c r="D426" s="2332"/>
      <c r="E426" s="2332"/>
      <c r="F426" s="2332"/>
      <c r="G426" s="2332"/>
      <c r="H426" s="2332"/>
      <c r="I426" s="2332"/>
      <c r="J426" s="2332"/>
      <c r="K426" s="2332"/>
      <c r="L426" s="3982"/>
      <c r="M426" s="2333"/>
      <c r="N426" s="4270" t="s">
        <v>4000</v>
      </c>
      <c r="O426" s="4271"/>
      <c r="P426" s="4271"/>
      <c r="Q426" s="4272"/>
      <c r="R426" s="4264" t="s">
        <v>4001</v>
      </c>
      <c r="S426" s="4265"/>
      <c r="T426" s="4265"/>
      <c r="U426" s="4266"/>
      <c r="V426" s="3043"/>
      <c r="W426" s="3043"/>
      <c r="X426" s="3043"/>
      <c r="Y426" s="4267" t="s">
        <v>4002</v>
      </c>
      <c r="Z426" s="4268"/>
      <c r="AA426" s="4268"/>
      <c r="AB426" s="4269"/>
      <c r="AC426" s="4239" t="s">
        <v>4103</v>
      </c>
      <c r="AD426" s="4240"/>
      <c r="AE426" s="4240"/>
      <c r="AF426" s="4241"/>
      <c r="AG426" s="2064"/>
    </row>
    <row r="427" spans="1:34" ht="21" customHeight="1" thickBot="1">
      <c r="A427" s="1782"/>
      <c r="B427" s="4203" t="s">
        <v>5</v>
      </c>
      <c r="C427" s="1281" t="s">
        <v>1657</v>
      </c>
      <c r="D427" s="1666"/>
      <c r="E427" s="4261" t="s">
        <v>6</v>
      </c>
      <c r="F427" s="4242" t="s">
        <v>1772</v>
      </c>
      <c r="G427" s="4245" t="s">
        <v>8</v>
      </c>
      <c r="H427" s="4248" t="s">
        <v>9</v>
      </c>
      <c r="I427" s="4250" t="s">
        <v>10</v>
      </c>
      <c r="J427" s="4251"/>
      <c r="K427" s="4252"/>
      <c r="L427" s="4259" t="s">
        <v>3551</v>
      </c>
      <c r="M427" s="4260"/>
      <c r="N427" s="1750" t="s">
        <v>3582</v>
      </c>
      <c r="O427" s="1750" t="s">
        <v>3583</v>
      </c>
      <c r="P427" s="1750" t="s">
        <v>3584</v>
      </c>
      <c r="Q427" s="1750" t="s">
        <v>3585</v>
      </c>
      <c r="R427" s="1750" t="s">
        <v>3586</v>
      </c>
      <c r="S427" s="1750" t="s">
        <v>4005</v>
      </c>
      <c r="T427" s="1750" t="s">
        <v>3605</v>
      </c>
      <c r="U427" s="1750" t="s">
        <v>4006</v>
      </c>
      <c r="V427" s="1750"/>
      <c r="W427" s="1750"/>
      <c r="X427" s="1750"/>
      <c r="Y427" s="1751" t="s">
        <v>4007</v>
      </c>
      <c r="Z427" s="1750" t="s">
        <v>4008</v>
      </c>
      <c r="AA427" s="1750" t="s">
        <v>4009</v>
      </c>
      <c r="AB427" s="1750" t="s">
        <v>4104</v>
      </c>
      <c r="AC427" s="1750" t="s">
        <v>4012</v>
      </c>
      <c r="AD427" s="1751" t="s">
        <v>4014</v>
      </c>
      <c r="AE427" s="1750" t="s">
        <v>4016</v>
      </c>
      <c r="AF427" s="1750" t="s">
        <v>4018</v>
      </c>
      <c r="AG427" s="1782"/>
    </row>
    <row r="428" spans="1:34" ht="21" customHeight="1" thickBot="1">
      <c r="A428" s="1782"/>
      <c r="B428" s="4204"/>
      <c r="C428" s="1281" t="s">
        <v>2956</v>
      </c>
      <c r="D428" s="1667"/>
      <c r="E428" s="4262"/>
      <c r="F428" s="4243"/>
      <c r="G428" s="4246"/>
      <c r="H428" s="4249"/>
      <c r="I428" s="4253"/>
      <c r="J428" s="4254"/>
      <c r="K428" s="4255"/>
      <c r="L428" s="4259" t="s">
        <v>4019</v>
      </c>
      <c r="M428" s="4260"/>
      <c r="N428" s="1752" t="s">
        <v>4105</v>
      </c>
      <c r="O428" s="1752" t="s">
        <v>4106</v>
      </c>
      <c r="P428" s="1752" t="s">
        <v>4107</v>
      </c>
      <c r="Q428" s="1752" t="s">
        <v>4108</v>
      </c>
      <c r="R428" s="1752" t="s">
        <v>4020</v>
      </c>
      <c r="S428" s="1752" t="s">
        <v>4109</v>
      </c>
      <c r="T428" s="1752" t="s">
        <v>4022</v>
      </c>
      <c r="U428" s="1752" t="s">
        <v>4023</v>
      </c>
      <c r="V428" s="1752"/>
      <c r="W428" s="1752"/>
      <c r="X428" s="1752"/>
      <c r="Y428" s="1783"/>
      <c r="Z428" s="1783"/>
      <c r="AA428" s="1783"/>
      <c r="AB428" s="1752" t="s">
        <v>4026</v>
      </c>
      <c r="AC428" s="1752" t="s">
        <v>4027</v>
      </c>
      <c r="AD428" s="1783"/>
      <c r="AE428" s="1783"/>
      <c r="AF428" s="1783"/>
      <c r="AG428" s="1782"/>
    </row>
    <row r="429" spans="1:34" ht="42" customHeight="1" thickBot="1">
      <c r="A429" s="1784" t="s">
        <v>27</v>
      </c>
      <c r="B429" s="4204"/>
      <c r="C429" s="1783"/>
      <c r="D429" s="1668"/>
      <c r="E429" s="4262"/>
      <c r="F429" s="4244"/>
      <c r="G429" s="4247"/>
      <c r="H429" s="4249"/>
      <c r="I429" s="4256"/>
      <c r="J429" s="4257"/>
      <c r="K429" s="4258"/>
      <c r="L429" s="4259" t="s">
        <v>3568</v>
      </c>
      <c r="M429" s="4260"/>
      <c r="N429" s="1753" t="s">
        <v>3570</v>
      </c>
      <c r="O429" s="1753" t="s">
        <v>3587</v>
      </c>
      <c r="P429" s="1753" t="s">
        <v>3572</v>
      </c>
      <c r="Q429" s="1753" t="s">
        <v>3577</v>
      </c>
      <c r="R429" s="1753" t="s">
        <v>3578</v>
      </c>
      <c r="S429" s="1753" t="s">
        <v>3572</v>
      </c>
      <c r="T429" s="1753" t="s">
        <v>3570</v>
      </c>
      <c r="U429" s="1753" t="s">
        <v>3572</v>
      </c>
      <c r="V429" s="1753"/>
      <c r="W429" s="1753"/>
      <c r="X429" s="1753"/>
      <c r="Y429" s="1753" t="s">
        <v>3572</v>
      </c>
      <c r="Z429" s="1753" t="s">
        <v>3573</v>
      </c>
      <c r="AA429" s="1785" t="s">
        <v>3588</v>
      </c>
      <c r="AB429" s="1753" t="s">
        <v>4110</v>
      </c>
      <c r="AC429" s="1753" t="s">
        <v>4111</v>
      </c>
      <c r="AD429" s="1754" t="s">
        <v>3578</v>
      </c>
      <c r="AE429" s="1753" t="s">
        <v>3572</v>
      </c>
      <c r="AF429" s="1753" t="s">
        <v>3589</v>
      </c>
      <c r="AG429" s="1782"/>
    </row>
    <row r="430" spans="1:34" ht="66.599999999999994" customHeight="1" thickBot="1">
      <c r="A430" s="1281" t="s">
        <v>2956</v>
      </c>
      <c r="B430" s="4204"/>
      <c r="C430" s="1791" t="s">
        <v>263</v>
      </c>
      <c r="D430" s="1791" t="s">
        <v>3964</v>
      </c>
      <c r="E430" s="4263"/>
      <c r="F430" s="1292" t="s">
        <v>7</v>
      </c>
      <c r="G430" s="1293" t="s">
        <v>3580</v>
      </c>
      <c r="H430" s="4249"/>
      <c r="I430" s="2053" t="s">
        <v>79</v>
      </c>
      <c r="J430" s="2053" t="s">
        <v>80</v>
      </c>
      <c r="K430" s="2053" t="s">
        <v>81</v>
      </c>
      <c r="L430" s="3980" t="s">
        <v>1759</v>
      </c>
      <c r="M430" s="2054" t="s">
        <v>27</v>
      </c>
      <c r="N430" s="1903" t="s">
        <v>3590</v>
      </c>
      <c r="O430" s="1903" t="s">
        <v>3591</v>
      </c>
      <c r="P430" s="1903" t="s">
        <v>3592</v>
      </c>
      <c r="Q430" s="1903" t="s">
        <v>3593</v>
      </c>
      <c r="R430" s="2070" t="s">
        <v>3594</v>
      </c>
      <c r="S430" s="2071" t="s">
        <v>3595</v>
      </c>
      <c r="T430" s="2071" t="s">
        <v>3596</v>
      </c>
      <c r="U430" s="2071" t="s">
        <v>3597</v>
      </c>
      <c r="V430" s="2071"/>
      <c r="W430" s="2071"/>
      <c r="X430" s="2071"/>
      <c r="Y430" s="2072" t="s">
        <v>3598</v>
      </c>
      <c r="Z430" s="2072" t="s">
        <v>3599</v>
      </c>
      <c r="AA430" s="2072" t="s">
        <v>3588</v>
      </c>
      <c r="AB430" s="2073" t="s">
        <v>3600</v>
      </c>
      <c r="AC430" s="2074" t="s">
        <v>3601</v>
      </c>
      <c r="AD430" s="2075" t="s">
        <v>3602</v>
      </c>
      <c r="AE430" s="2075" t="s">
        <v>3603</v>
      </c>
      <c r="AF430" s="2075" t="s">
        <v>3604</v>
      </c>
      <c r="AG430" s="1782"/>
    </row>
    <row r="431" spans="1:34" ht="15.75" customHeight="1" thickBot="1">
      <c r="A431" s="3004" t="str">
        <f>_xlfn.XLOOKUP($D431,Tabla3[No.],Tabla3[PROGRAMA]," ")</f>
        <v>MDP</v>
      </c>
      <c r="B431" s="1295">
        <v>1</v>
      </c>
      <c r="C431" s="1600">
        <f>_xlfn.XLOOKUP($D431, Tabla3[No.], Tabla3[FECHA DE INICIO (PRIMERA CLASE CALENDARIO)]," ")</f>
        <v>44953</v>
      </c>
      <c r="D431" s="1287">
        <v>485</v>
      </c>
      <c r="E431" s="1230" t="str">
        <f>_xlfn.XLOOKUP($D431,  Tabla3[No.],  Tabla3[CURP], " ")</f>
        <v>HEGJ800612MGTRU00</v>
      </c>
      <c r="F431" s="1380" t="str">
        <f>_xlfn.XLOOKUP($E431, Tabla3[CURP], Tabla3[Matrícula Of. SEQ])</f>
        <v>64MDP03A-04</v>
      </c>
      <c r="G431" s="2048" t="str">
        <f>IFERROR(VLOOKUP(D431,Tabla3[],5,FALSE),"")</f>
        <v>HERRERA GUALIM JANALI GUADALUPE</v>
      </c>
      <c r="H431" s="1605" t="str">
        <f>MID($E431,11,1)</f>
        <v>M</v>
      </c>
      <c r="I431" s="1605" t="str">
        <f>MID($E431,5,2)</f>
        <v>80</v>
      </c>
      <c r="J431" s="1605" t="str">
        <f>MID($E431,7,2)</f>
        <v>06</v>
      </c>
      <c r="K431" s="1605" t="str">
        <f>MID($E431,9,2)</f>
        <v>12</v>
      </c>
      <c r="L431" s="3818" t="str">
        <f>_xlfn.XLOOKUP($D431,  Tabla3[No.],  Tabla3[ESTATUS ACADÉMICO], " ")</f>
        <v>EGRESADO</v>
      </c>
      <c r="M431" s="1824" t="str">
        <f>_xlfn.XLOOKUP($D431,  Tabla3[No.],  Tabla3[Grupo de clase], " ")</f>
        <v>MDPG02</v>
      </c>
      <c r="N431" s="1132">
        <v>9.4</v>
      </c>
      <c r="O431" s="1132">
        <v>9</v>
      </c>
      <c r="P431" s="1132">
        <v>9</v>
      </c>
      <c r="Q431" s="1132">
        <v>9.3000000000000007</v>
      </c>
      <c r="R431" s="2012">
        <v>9.1</v>
      </c>
      <c r="S431" s="2012">
        <v>9</v>
      </c>
      <c r="T431" s="2012">
        <v>9.9</v>
      </c>
      <c r="U431" s="2012">
        <v>9.5</v>
      </c>
      <c r="V431" s="2012"/>
      <c r="W431" s="2012"/>
      <c r="X431" s="2012"/>
      <c r="Y431" s="1298">
        <v>9.1999999999999993</v>
      </c>
      <c r="Z431" s="1132">
        <v>9.1999999999999993</v>
      </c>
      <c r="AA431" s="1298">
        <v>9.1999999999999993</v>
      </c>
      <c r="AB431" s="1132">
        <v>9.4</v>
      </c>
      <c r="AC431" s="1132">
        <v>9.5</v>
      </c>
      <c r="AD431" s="1132">
        <v>9.5</v>
      </c>
      <c r="AE431" s="1132">
        <v>9.3000000000000007</v>
      </c>
      <c r="AF431" s="1132">
        <v>9.1999999999999993</v>
      </c>
      <c r="AG431" s="2067"/>
    </row>
    <row r="432" spans="1:34" ht="15.75" customHeight="1" thickBot="1">
      <c r="A432" s="3004" t="str">
        <f>_xlfn.XLOOKUP($D432,Tabla3[No.],Tabla3[PROGRAMA]," ")</f>
        <v>MDP</v>
      </c>
      <c r="B432" s="2062">
        <v>2</v>
      </c>
      <c r="C432" s="2082">
        <f>_xlfn.XLOOKUP($D432, Tabla3[No.], Tabla3[FECHA DE INICIO (PRIMERA CLASE CALENDARIO)]," ")</f>
        <v>44953</v>
      </c>
      <c r="D432" s="2063">
        <v>487</v>
      </c>
      <c r="E432" s="2083" t="str">
        <f>_xlfn.XLOOKUP($D432,  Tabla3[No.],  Tabla3[CURP], " ")</f>
        <v>RACR861129HGT</v>
      </c>
      <c r="F432" s="1879" t="str">
        <f>_xlfn.XLOOKUP($E432, Tabla3[CURP], Tabla3[Matrícula Of. SEQ])</f>
        <v>64MDP03A-11</v>
      </c>
      <c r="G432" s="2084" t="str">
        <f>IFERROR(VLOOKUP(D432,Tabla3[],5,FALSE),"")</f>
        <v>RAMIREZ CEBALLOS RAUL ENRIQUE</v>
      </c>
      <c r="H432" s="2085" t="str">
        <f t="shared" ref="H432:H437" si="65">MID($E432,11,1)</f>
        <v>H</v>
      </c>
      <c r="I432" s="2085" t="str">
        <f t="shared" ref="I432:I436" si="66">MID($E432,5,2)</f>
        <v>86</v>
      </c>
      <c r="J432" s="2085" t="str">
        <f t="shared" ref="J432:J436" si="67">MID($E432,7,2)</f>
        <v>11</v>
      </c>
      <c r="K432" s="2085" t="str">
        <f t="shared" ref="K432:K436" si="68">MID($E432,9,2)</f>
        <v>29</v>
      </c>
      <c r="L432" s="3816" t="str">
        <f>_xlfn.XLOOKUP($D432,  Tabla3[No.],  Tabla3[ESTATUS ACADÉMICO], " ")</f>
        <v>BAJA TEMPORAL</v>
      </c>
      <c r="M432" s="2109" t="str">
        <f>_xlfn.XLOOKUP($D432,  Tabla3[No.],  Tabla3[Grupo de clase], " ")</f>
        <v>MDPG02</v>
      </c>
      <c r="N432" s="2076">
        <v>9.5</v>
      </c>
      <c r="O432" s="2076">
        <v>9.5</v>
      </c>
      <c r="P432" s="2076">
        <v>9.5</v>
      </c>
      <c r="Q432" s="2076">
        <v>9.1999999999999993</v>
      </c>
      <c r="R432" s="2077">
        <v>9</v>
      </c>
      <c r="S432" s="2077">
        <v>9</v>
      </c>
      <c r="T432" s="2077">
        <v>9.5</v>
      </c>
      <c r="U432" s="2059"/>
      <c r="V432" s="2059"/>
      <c r="W432" s="2059"/>
      <c r="X432" s="2059"/>
      <c r="Y432" s="2059"/>
      <c r="Z432" s="2059"/>
      <c r="AA432" s="2059"/>
      <c r="AB432" s="2059"/>
      <c r="AC432" s="2059"/>
      <c r="AD432" s="2059"/>
      <c r="AE432" s="2059"/>
      <c r="AF432" s="2059"/>
      <c r="AG432" s="2068"/>
    </row>
    <row r="433" spans="1:47" ht="15.75" customHeight="1" thickBot="1">
      <c r="A433" s="3004" t="str">
        <f>_xlfn.XLOOKUP($D433,Tabla3[No.],Tabla3[PROGRAMA]," ")</f>
        <v>MDP</v>
      </c>
      <c r="B433" s="1295">
        <v>3</v>
      </c>
      <c r="C433" s="1600">
        <f>_xlfn.XLOOKUP($D433, Tabla3[No.], Tabla3[FECHA DE INICIO (PRIMERA CLASE CALENDARIO)]," ")</f>
        <v>44953</v>
      </c>
      <c r="D433" s="1287">
        <v>483</v>
      </c>
      <c r="E433" s="1230" t="str">
        <f>_xlfn.XLOOKUP($D433,  Tabla3[No.],  Tabla3[CURP], " ")</f>
        <v>JIVS730215MGT</v>
      </c>
      <c r="F433" s="1380" t="str">
        <f>_xlfn.XLOOKUP($E433, Tabla3[CURP], Tabla3[Matrícula Of. SEQ])</f>
        <v>64MDP03A-05</v>
      </c>
      <c r="G433" s="2048" t="str">
        <f>IFERROR(VLOOKUP(D433,Tabla3[],5,FALSE),"")</f>
        <v>JIMENEZ VILLEDA SANDRA JEANNETTE</v>
      </c>
      <c r="H433" s="1605" t="str">
        <f t="shared" si="65"/>
        <v>M</v>
      </c>
      <c r="I433" s="1605" t="str">
        <f t="shared" si="66"/>
        <v>73</v>
      </c>
      <c r="J433" s="1605" t="str">
        <f t="shared" si="67"/>
        <v>02</v>
      </c>
      <c r="K433" s="1605" t="str">
        <f t="shared" si="68"/>
        <v>15</v>
      </c>
      <c r="L433" s="3818" t="str">
        <f>_xlfn.XLOOKUP($D433,  Tabla3[No.],  Tabla3[ESTATUS ACADÉMICO], " ")</f>
        <v>EGRESADO</v>
      </c>
      <c r="M433" s="1824" t="str">
        <f>_xlfn.XLOOKUP($D433,  Tabla3[No.],  Tabla3[Grupo de clase], " ")</f>
        <v>MDPG02</v>
      </c>
      <c r="N433" s="1132">
        <v>9</v>
      </c>
      <c r="O433" s="1132">
        <v>9.4</v>
      </c>
      <c r="P433" s="1132">
        <v>9.4</v>
      </c>
      <c r="Q433" s="1132">
        <v>9.1999999999999993</v>
      </c>
      <c r="R433" s="2012">
        <v>9</v>
      </c>
      <c r="S433" s="2012">
        <v>9.3000000000000007</v>
      </c>
      <c r="T433" s="2012">
        <v>9.6999999999999993</v>
      </c>
      <c r="U433" s="2012">
        <v>9.6999999999999993</v>
      </c>
      <c r="V433" s="2012"/>
      <c r="W433" s="2012"/>
      <c r="X433" s="2012"/>
      <c r="Y433" s="1298">
        <v>9.3000000000000007</v>
      </c>
      <c r="Z433" s="1298">
        <v>9.4</v>
      </c>
      <c r="AA433" s="1298">
        <v>9.1999999999999993</v>
      </c>
      <c r="AB433" s="1132">
        <v>9.5</v>
      </c>
      <c r="AC433" s="1132">
        <v>9.5</v>
      </c>
      <c r="AD433" s="1132">
        <v>9.6</v>
      </c>
      <c r="AE433" s="1132">
        <v>9.6999999999999993</v>
      </c>
      <c r="AF433" s="1132">
        <v>9.5</v>
      </c>
      <c r="AG433" s="2067"/>
    </row>
    <row r="434" spans="1:47" ht="15.75" customHeight="1" thickBot="1">
      <c r="A434" s="3004" t="str">
        <f>_xlfn.XLOOKUP($D434,Tabla3[No.],Tabla3[PROGRAMA]," ")</f>
        <v>MDP</v>
      </c>
      <c r="B434" s="1295">
        <v>4</v>
      </c>
      <c r="C434" s="2086">
        <f>_xlfn.XLOOKUP($D434, Tabla3[No.], Tabla3[FECHA DE INICIO (PRIMERA CLASE CALENDARIO)]," ")</f>
        <v>44953</v>
      </c>
      <c r="D434" s="2087">
        <v>486</v>
      </c>
      <c r="E434" s="2088" t="str">
        <f>_xlfn.XLOOKUP($D434,  Tabla3[No.],  Tabla3[CURP], " ")</f>
        <v>DAPS910912HGTVE00</v>
      </c>
      <c r="F434" s="2089" t="str">
        <f>_xlfn.XLOOKUP($E434, Tabla3[CURP], Tabla3[Matrícula Of. SEQ])</f>
        <v>64MDP03A-02</v>
      </c>
      <c r="G434" s="2090" t="str">
        <f>IFERROR(VLOOKUP(D434,Tabla3[],5,FALSE),"")</f>
        <v>DAVILA PULEX SERGIO GUALBERTO</v>
      </c>
      <c r="H434" s="2091" t="str">
        <f t="shared" si="65"/>
        <v>H</v>
      </c>
      <c r="I434" s="2091" t="str">
        <f t="shared" si="66"/>
        <v>91</v>
      </c>
      <c r="J434" s="2091" t="str">
        <f t="shared" si="67"/>
        <v>09</v>
      </c>
      <c r="K434" s="2091" t="str">
        <f t="shared" si="68"/>
        <v>12</v>
      </c>
      <c r="L434" s="3949" t="str">
        <f>_xlfn.XLOOKUP($D434,  Tabla3[No.],  Tabla3[ESTATUS ACADÉMICO], " ")</f>
        <v>EGRESADO</v>
      </c>
      <c r="M434" s="2125" t="str">
        <f>_xlfn.XLOOKUP($D434,  Tabla3[No.],  Tabla3[Grupo de clase], " ")</f>
        <v>MDPG02</v>
      </c>
      <c r="N434" s="2078">
        <v>9.4</v>
      </c>
      <c r="O434" s="2078">
        <v>9</v>
      </c>
      <c r="P434" s="2078">
        <v>9</v>
      </c>
      <c r="Q434" s="2078">
        <v>9.1999999999999993</v>
      </c>
      <c r="R434" s="2079">
        <v>9</v>
      </c>
      <c r="S434" s="2079">
        <v>9.3000000000000007</v>
      </c>
      <c r="T434" s="2079">
        <v>9.6999999999999993</v>
      </c>
      <c r="U434" s="2080"/>
      <c r="V434" s="2080"/>
      <c r="W434" s="2080"/>
      <c r="X434" s="2080"/>
      <c r="Y434" s="2081">
        <v>9.1999999999999993</v>
      </c>
      <c r="Z434" s="2081">
        <v>9.3000000000000007</v>
      </c>
      <c r="AA434" s="2081">
        <v>9.1999999999999993</v>
      </c>
      <c r="AB434" s="2078">
        <v>9.4</v>
      </c>
      <c r="AC434" s="2078">
        <v>9.5</v>
      </c>
      <c r="AD434" s="2078">
        <v>9.6</v>
      </c>
      <c r="AE434" s="2078">
        <v>9.5</v>
      </c>
      <c r="AF434" s="2078">
        <v>9.6</v>
      </c>
      <c r="AG434" s="2069"/>
      <c r="AH434" s="1747"/>
      <c r="AI434" s="1747"/>
      <c r="AJ434" s="1747"/>
      <c r="AK434" s="1747"/>
      <c r="AL434" s="1747"/>
    </row>
    <row r="435" spans="1:47" ht="15.75" customHeight="1" thickBot="1">
      <c r="A435" s="3004" t="str">
        <f>_xlfn.XLOOKUP($D435,Tabla3[No.],Tabla3[PROGRAMA]," ")</f>
        <v>MDP</v>
      </c>
      <c r="B435" s="2062">
        <v>5</v>
      </c>
      <c r="C435" s="1600">
        <f>_xlfn.XLOOKUP($D435, Tabla3[No.], Tabla3[FECHA DE INICIO (PRIMERA CLASE CALENDARIO)]," ")</f>
        <v>44998</v>
      </c>
      <c r="D435" s="1287">
        <v>526</v>
      </c>
      <c r="E435" s="1230" t="str">
        <f>_xlfn.XLOOKUP($D435,  Tabla3[No.],  Tabla3[CURP], " ")</f>
        <v>HEEP821213HGGRSA00</v>
      </c>
      <c r="F435" s="1380" t="str">
        <f>_xlfn.XLOOKUP($E435, Tabla3[CURP], Tabla3[Matrícula Of. SEQ])</f>
        <v>64MDP03B2-07</v>
      </c>
      <c r="G435" s="2048" t="str">
        <f>IFERROR(VLOOKUP(D435,Tabla3[],5,FALSE),"")</f>
        <v>HERNANDEZ ESCOBAR PABLO MANUEL</v>
      </c>
      <c r="H435" s="1605" t="str">
        <f t="shared" si="65"/>
        <v>H</v>
      </c>
      <c r="I435" s="1605" t="str">
        <f t="shared" si="66"/>
        <v>82</v>
      </c>
      <c r="J435" s="1605" t="str">
        <f t="shared" si="67"/>
        <v>12</v>
      </c>
      <c r="K435" s="1605" t="str">
        <f t="shared" si="68"/>
        <v>13</v>
      </c>
      <c r="L435" s="3818" t="str">
        <f>_xlfn.XLOOKUP($D435,  Tabla3[No.],  Tabla3[ESTATUS ACADÉMICO], " ")</f>
        <v>EGRESADO</v>
      </c>
      <c r="M435" s="1824" t="str">
        <f>_xlfn.XLOOKUP($D435,  Tabla3[No.],  Tabla3[Grupo de clase], " ")</f>
        <v>MDPG02</v>
      </c>
      <c r="N435" s="1297" t="s">
        <v>135</v>
      </c>
      <c r="O435" s="1297" t="s">
        <v>135</v>
      </c>
      <c r="P435" s="1297" t="s">
        <v>135</v>
      </c>
      <c r="Q435" s="1132">
        <v>9.1999999999999993</v>
      </c>
      <c r="R435" s="2012">
        <v>9.9</v>
      </c>
      <c r="S435" s="2012">
        <v>9.3000000000000007</v>
      </c>
      <c r="T435" s="2012">
        <v>9.6999999999999993</v>
      </c>
      <c r="U435" s="1132">
        <v>9.1999999999999993</v>
      </c>
      <c r="V435" s="1132"/>
      <c r="W435" s="1132"/>
      <c r="X435" s="1132"/>
      <c r="Y435" s="1298">
        <v>9.1999999999999993</v>
      </c>
      <c r="Z435" s="1298">
        <v>9.4</v>
      </c>
      <c r="AA435" s="1298">
        <v>9.1999999999999993</v>
      </c>
      <c r="AB435" s="1132">
        <v>9.5</v>
      </c>
      <c r="AC435" s="1132">
        <v>9.5</v>
      </c>
      <c r="AD435" s="1132">
        <v>9.4</v>
      </c>
      <c r="AE435" s="1132">
        <v>9.5</v>
      </c>
      <c r="AF435" s="1132">
        <v>9.4</v>
      </c>
      <c r="AG435" s="2069"/>
      <c r="AH435" s="1747"/>
      <c r="AI435" s="1747"/>
      <c r="AJ435" s="1747"/>
      <c r="AK435" s="1747"/>
      <c r="AL435" s="1747"/>
    </row>
    <row r="436" spans="1:47" ht="15.75" customHeight="1" thickBot="1">
      <c r="A436" s="3004" t="str">
        <f>_xlfn.XLOOKUP($D436,Tabla3[No.],Tabla3[PROGRAMA]," ")</f>
        <v>MDP</v>
      </c>
      <c r="B436" s="1295">
        <v>6</v>
      </c>
      <c r="C436" s="1600">
        <f>_xlfn.XLOOKUP($D436, Tabla3[No.], Tabla3[FECHA DE INICIO (PRIMERA CLASE CALENDARIO)]," ")</f>
        <v>45017</v>
      </c>
      <c r="D436" s="1287">
        <v>528</v>
      </c>
      <c r="E436" s="1230" t="str">
        <f>_xlfn.XLOOKUP($D436,  Tabla3[No.],  Tabla3[CURP], " ")</f>
        <v>ESHM780728MGGTEA00</v>
      </c>
      <c r="F436" s="1380" t="str">
        <f>_xlfn.XLOOKUP($E436, Tabla3[CURP], Tabla3[Matrícula Of. SEQ])</f>
        <v>64MDP03B-01</v>
      </c>
      <c r="G436" s="2048" t="str">
        <f>IFERROR(VLOOKUP(D436,Tabla3[],5,FALSE),"")</f>
        <v>ESTRADA HERNANDEZ MARIA BEATRIZ</v>
      </c>
      <c r="H436" s="1605" t="str">
        <f t="shared" si="65"/>
        <v>M</v>
      </c>
      <c r="I436" s="1605" t="str">
        <f t="shared" si="66"/>
        <v>78</v>
      </c>
      <c r="J436" s="1605" t="str">
        <f t="shared" si="67"/>
        <v>07</v>
      </c>
      <c r="K436" s="1605" t="str">
        <f t="shared" si="68"/>
        <v>28</v>
      </c>
      <c r="L436" s="3818" t="str">
        <f>_xlfn.XLOOKUP($D436,  Tabla3[No.],  Tabla3[ESTATUS ACADÉMICO], " ")</f>
        <v>EGRESADO</v>
      </c>
      <c r="M436" s="1824" t="str">
        <f>_xlfn.XLOOKUP($D436,  Tabla3[No.],  Tabla3[Grupo de clase], " ")</f>
        <v>MDPG02</v>
      </c>
      <c r="N436" s="1297" t="s">
        <v>135</v>
      </c>
      <c r="O436" s="1297" t="s">
        <v>135</v>
      </c>
      <c r="P436" s="1297" t="s">
        <v>135</v>
      </c>
      <c r="Q436" s="1132">
        <v>9.1999999999999993</v>
      </c>
      <c r="R436" s="2012">
        <v>9.9</v>
      </c>
      <c r="S436" s="2012">
        <v>9.3000000000000007</v>
      </c>
      <c r="T436" s="2012">
        <v>9.6999999999999993</v>
      </c>
      <c r="U436" s="1132">
        <v>9.1999999999999993</v>
      </c>
      <c r="V436" s="1132"/>
      <c r="W436" s="1132"/>
      <c r="X436" s="1132"/>
      <c r="Y436" s="1298">
        <v>9.1999999999999993</v>
      </c>
      <c r="Z436" s="1298">
        <v>9.4</v>
      </c>
      <c r="AA436" s="1132">
        <v>9.1999999999999993</v>
      </c>
      <c r="AB436" s="1132">
        <v>9.5</v>
      </c>
      <c r="AC436" s="1132">
        <v>9.5</v>
      </c>
      <c r="AD436" s="1132">
        <v>9.5</v>
      </c>
      <c r="AE436" s="1132">
        <v>9.1999999999999993</v>
      </c>
      <c r="AF436" s="1132">
        <v>9.3000000000000007</v>
      </c>
      <c r="AG436" s="2067"/>
    </row>
    <row r="437" spans="1:47" ht="15.75" customHeight="1" thickBot="1">
      <c r="A437" s="3004" t="str">
        <f>_xlfn.XLOOKUP($D437,Tabla3[No.],Tabla3[PROGRAMA]," ")</f>
        <v>MDP</v>
      </c>
      <c r="B437" s="1295">
        <v>7</v>
      </c>
      <c r="C437" s="1600">
        <f>_xlfn.XLOOKUP($D437, Tabla3[No.], Tabla3[FECHA DE INICIO (PRIMERA CLASE CALENDARIO)]," ")</f>
        <v>45065</v>
      </c>
      <c r="D437" s="1287">
        <v>529</v>
      </c>
      <c r="E437" s="1230" t="str">
        <f>_xlfn.XLOOKUP($D437,  Tabla3[No.],  Tabla3[CURP], " ")</f>
        <v>SODM800101MGT</v>
      </c>
      <c r="F437" s="1380" t="str">
        <f>_xlfn.XLOOKUP($E437, Tabla3[CURP], Tabla3[Matrícula Of. SEQ])</f>
        <v>64MDP03B2-16</v>
      </c>
      <c r="G437" s="2048" t="str">
        <f>IFERROR(VLOOKUP(D437,Tabla3[],5,FALSE),"")</f>
        <v>SOLARES DAVILA MARIA ARELY</v>
      </c>
      <c r="H437" s="1605" t="str">
        <f t="shared" si="65"/>
        <v>M</v>
      </c>
      <c r="I437" s="2066"/>
      <c r="J437" s="2066"/>
      <c r="K437" s="2066"/>
      <c r="L437" s="3818" t="str">
        <f>_xlfn.XLOOKUP($D437,  Tabla3[No.],  Tabla3[ESTATUS ACADÉMICO], " ")</f>
        <v>BAJA TEMPORAL</v>
      </c>
      <c r="M437" s="1824" t="str">
        <f>_xlfn.XLOOKUP($D437,  Tabla3[No.],  Tabla3[Grupo de clase], " ")</f>
        <v>MDPG02</v>
      </c>
      <c r="N437" s="1297" t="s">
        <v>135</v>
      </c>
      <c r="O437" s="1297" t="s">
        <v>135</v>
      </c>
      <c r="P437" s="1297" t="s">
        <v>135</v>
      </c>
      <c r="Q437" s="1132">
        <v>9.1999999999999993</v>
      </c>
      <c r="R437" s="2012">
        <v>9.4</v>
      </c>
      <c r="S437" s="2012">
        <v>9.1999999999999993</v>
      </c>
      <c r="T437" s="2012">
        <v>9.9</v>
      </c>
      <c r="U437" s="1132">
        <v>9.1999999999999993</v>
      </c>
      <c r="V437" s="1132"/>
      <c r="W437" s="1132"/>
      <c r="X437" s="1132"/>
      <c r="Y437" s="2059"/>
      <c r="Z437" s="2059"/>
      <c r="AA437" s="2059"/>
      <c r="AB437" s="2059"/>
      <c r="AC437" s="2059"/>
      <c r="AD437" s="2059"/>
      <c r="AE437" s="2059"/>
      <c r="AF437" s="2059"/>
      <c r="AG437" s="2067"/>
    </row>
    <row r="438" spans="1:47" ht="15.75" customHeight="1" thickBot="1">
      <c r="A438" s="1782"/>
      <c r="B438" s="2064"/>
      <c r="C438" s="2064"/>
      <c r="D438" s="2064"/>
      <c r="E438" s="2064"/>
      <c r="F438" s="2064"/>
      <c r="G438" s="2064"/>
      <c r="H438" s="2064"/>
      <c r="I438" s="2064"/>
      <c r="J438" s="2064"/>
      <c r="K438" s="2064"/>
      <c r="L438" s="3983"/>
      <c r="M438" s="2064"/>
      <c r="N438" s="2065">
        <v>1</v>
      </c>
      <c r="O438" s="2065">
        <v>2</v>
      </c>
      <c r="P438" s="2065">
        <v>3</v>
      </c>
      <c r="Q438" s="2065">
        <v>4</v>
      </c>
      <c r="R438" s="2065">
        <v>5</v>
      </c>
      <c r="S438" s="2065">
        <v>6</v>
      </c>
      <c r="T438" s="2065">
        <v>7</v>
      </c>
      <c r="U438" s="2065">
        <v>8</v>
      </c>
      <c r="V438" s="2065"/>
      <c r="W438" s="2065"/>
      <c r="X438" s="2065"/>
      <c r="Y438" s="2065">
        <v>9</v>
      </c>
      <c r="Z438" s="2065">
        <v>10</v>
      </c>
      <c r="AA438" s="2065">
        <v>11</v>
      </c>
      <c r="AB438" s="2065">
        <v>12</v>
      </c>
      <c r="AC438" s="2065">
        <v>13</v>
      </c>
      <c r="AD438" s="2065">
        <v>14</v>
      </c>
      <c r="AE438" s="2065">
        <v>15</v>
      </c>
      <c r="AF438" s="2065">
        <v>16</v>
      </c>
      <c r="AG438" s="1782"/>
    </row>
    <row r="439" spans="1:47" ht="15.75" customHeight="1"/>
    <row r="440" spans="1:47" ht="15.75" customHeight="1" thickBot="1"/>
    <row r="441" spans="1:47" ht="15.75" customHeight="1" thickTop="1" thickBot="1">
      <c r="A441" s="1991" t="s">
        <v>4683</v>
      </c>
      <c r="B441" s="2102"/>
      <c r="C441" s="2102"/>
      <c r="D441" s="2102"/>
      <c r="E441" s="2102"/>
      <c r="F441" s="2102"/>
      <c r="G441" s="2102"/>
      <c r="H441" s="1992"/>
      <c r="I441" s="1992"/>
      <c r="J441" s="1992"/>
      <c r="K441" s="1993"/>
      <c r="L441" s="4339" t="s">
        <v>4684</v>
      </c>
      <c r="M441" s="4340"/>
      <c r="N441" s="4339" t="s">
        <v>4685</v>
      </c>
      <c r="O441" s="4340"/>
      <c r="P441" s="4339" t="s">
        <v>4001</v>
      </c>
      <c r="Q441" s="4341"/>
      <c r="R441" s="4341"/>
      <c r="S441" s="4340"/>
      <c r="T441" s="4339" t="s">
        <v>4002</v>
      </c>
      <c r="U441" s="4341"/>
      <c r="V441" s="4341"/>
      <c r="W441" s="4341"/>
      <c r="X441" s="4341"/>
      <c r="Y441" s="4340"/>
      <c r="Z441" s="4339" t="s">
        <v>4103</v>
      </c>
      <c r="AA441" s="4341"/>
      <c r="AB441" s="4341"/>
      <c r="AC441" s="4340"/>
      <c r="AD441" s="4307" t="s">
        <v>1516</v>
      </c>
      <c r="AE441" s="4308"/>
      <c r="AF441" s="4308"/>
      <c r="AG441" s="4309"/>
      <c r="AH441" s="2314"/>
      <c r="AI441" s="2314"/>
      <c r="AJ441" s="2314"/>
      <c r="AK441" s="2314"/>
      <c r="AL441" s="2314"/>
      <c r="AM441" s="2314"/>
      <c r="AN441" s="2314"/>
      <c r="AO441" s="2314"/>
      <c r="AP441" s="2314"/>
      <c r="AQ441" s="2314"/>
      <c r="AR441" s="2314"/>
      <c r="AS441" s="2314"/>
      <c r="AT441" s="2314"/>
      <c r="AU441" s="2314"/>
    </row>
    <row r="442" spans="1:47" ht="21" customHeight="1" thickTop="1" thickBot="1">
      <c r="A442" s="2097"/>
      <c r="B442" s="4119" t="s">
        <v>5</v>
      </c>
      <c r="C442" s="2107" t="s">
        <v>1657</v>
      </c>
      <c r="D442" s="4331" t="s">
        <v>3964</v>
      </c>
      <c r="E442" s="4336" t="s">
        <v>6</v>
      </c>
      <c r="F442" s="4312" t="s">
        <v>1772</v>
      </c>
      <c r="G442" s="4315" t="s">
        <v>8</v>
      </c>
      <c r="H442" s="4318" t="s">
        <v>9</v>
      </c>
      <c r="I442" s="4321" t="s">
        <v>10</v>
      </c>
      <c r="J442" s="4322"/>
      <c r="K442" s="4323"/>
      <c r="L442" s="4329" t="s">
        <v>3551</v>
      </c>
      <c r="M442" s="4330"/>
      <c r="N442" s="1994" t="s">
        <v>3552</v>
      </c>
      <c r="O442" s="1994" t="s">
        <v>3553</v>
      </c>
      <c r="P442" s="1994" t="s">
        <v>3554</v>
      </c>
      <c r="Q442" s="1994" t="s">
        <v>3555</v>
      </c>
      <c r="R442" s="1994" t="s">
        <v>3556</v>
      </c>
      <c r="S442" s="1994" t="s">
        <v>3557</v>
      </c>
      <c r="T442" s="1994" t="s">
        <v>3558</v>
      </c>
      <c r="U442" s="1994" t="s">
        <v>3559</v>
      </c>
      <c r="V442" s="1994" t="s">
        <v>3560</v>
      </c>
      <c r="W442" s="1994" t="s">
        <v>3561</v>
      </c>
      <c r="X442" s="1994" t="s">
        <v>4686</v>
      </c>
      <c r="Y442" s="1994" t="s">
        <v>3562</v>
      </c>
      <c r="Z442" s="1994" t="s">
        <v>3563</v>
      </c>
      <c r="AA442" s="1994" t="s">
        <v>3564</v>
      </c>
      <c r="AB442" s="1994" t="s">
        <v>3565</v>
      </c>
      <c r="AC442" s="2992" t="s">
        <v>3566</v>
      </c>
      <c r="AD442" s="2998"/>
      <c r="AE442" s="2314"/>
      <c r="AF442" s="2314"/>
      <c r="AG442" s="2314"/>
      <c r="AH442" s="2314"/>
      <c r="AI442" s="2314"/>
      <c r="AJ442" s="2314"/>
      <c r="AK442" s="2314"/>
      <c r="AL442" s="2314"/>
      <c r="AM442" s="2314"/>
      <c r="AN442" s="2314"/>
      <c r="AO442" s="2314"/>
      <c r="AP442" s="2314"/>
      <c r="AQ442" s="2314"/>
      <c r="AR442" s="2314"/>
    </row>
    <row r="443" spans="1:47" ht="48" customHeight="1" thickTop="1" thickBot="1">
      <c r="A443" s="2097"/>
      <c r="B443" s="4310"/>
      <c r="C443" s="2108" t="s">
        <v>2824</v>
      </c>
      <c r="D443" s="4332"/>
      <c r="E443" s="4337"/>
      <c r="F443" s="4313"/>
      <c r="G443" s="4316"/>
      <c r="H443" s="4319"/>
      <c r="I443" s="4324"/>
      <c r="J443" s="4254"/>
      <c r="K443" s="4325"/>
      <c r="L443" s="4329" t="s">
        <v>1149</v>
      </c>
      <c r="M443" s="4330"/>
      <c r="N443" s="1995" t="s">
        <v>3567</v>
      </c>
      <c r="O443" s="1995" t="s">
        <v>3567</v>
      </c>
      <c r="P443" s="1995" t="s">
        <v>3567</v>
      </c>
      <c r="Q443" s="1995" t="s">
        <v>3567</v>
      </c>
      <c r="R443" s="1995" t="s">
        <v>3567</v>
      </c>
      <c r="S443" s="1995" t="s">
        <v>3567</v>
      </c>
      <c r="T443" s="1995" t="s">
        <v>3567</v>
      </c>
      <c r="U443" s="1995" t="s">
        <v>3567</v>
      </c>
      <c r="V443" s="1995" t="s">
        <v>3567</v>
      </c>
      <c r="W443" s="1995" t="s">
        <v>3567</v>
      </c>
      <c r="X443" s="1995" t="s">
        <v>4687</v>
      </c>
      <c r="Y443" s="1995" t="s">
        <v>4688</v>
      </c>
      <c r="Z443" s="1995" t="s">
        <v>4689</v>
      </c>
      <c r="AA443" s="1995" t="s">
        <v>4690</v>
      </c>
      <c r="AB443" s="1995" t="s">
        <v>4690</v>
      </c>
      <c r="AC443" s="2993" t="s">
        <v>4691</v>
      </c>
      <c r="AD443" s="2998"/>
      <c r="AE443" s="2314"/>
      <c r="AF443" s="2314"/>
      <c r="AG443" s="2314"/>
      <c r="AH443" s="2314"/>
      <c r="AI443" s="2314"/>
      <c r="AJ443" s="2314"/>
      <c r="AK443" s="2314"/>
      <c r="AL443" s="2314"/>
      <c r="AM443" s="2314"/>
      <c r="AN443" s="2314"/>
      <c r="AO443" s="2314"/>
      <c r="AP443" s="2314"/>
      <c r="AQ443" s="2314"/>
      <c r="AR443" s="2314"/>
    </row>
    <row r="444" spans="1:47" ht="21" customHeight="1" thickTop="1" thickBot="1">
      <c r="A444" s="2100" t="s">
        <v>27</v>
      </c>
      <c r="B444" s="4310"/>
      <c r="C444" s="4334" t="s">
        <v>263</v>
      </c>
      <c r="D444" s="4332"/>
      <c r="E444" s="4337"/>
      <c r="F444" s="4314"/>
      <c r="G444" s="4317"/>
      <c r="H444" s="4319"/>
      <c r="I444" s="4326"/>
      <c r="J444" s="4327"/>
      <c r="K444" s="4328"/>
      <c r="L444" s="4329" t="s">
        <v>3568</v>
      </c>
      <c r="M444" s="4330"/>
      <c r="N444" s="1899" t="s">
        <v>3569</v>
      </c>
      <c r="O444" s="1899" t="s">
        <v>3570</v>
      </c>
      <c r="P444" s="1899" t="s">
        <v>3571</v>
      </c>
      <c r="Q444" s="1899" t="s">
        <v>3572</v>
      </c>
      <c r="R444" s="1996" t="s">
        <v>3573</v>
      </c>
      <c r="S444" s="1899" t="s">
        <v>3571</v>
      </c>
      <c r="T444" s="1899" t="s">
        <v>3574</v>
      </c>
      <c r="U444" s="1899" t="s">
        <v>3575</v>
      </c>
      <c r="V444" s="1899" t="s">
        <v>3574</v>
      </c>
      <c r="W444" s="1899" t="s">
        <v>3576</v>
      </c>
      <c r="X444" s="1899" t="s">
        <v>4692</v>
      </c>
      <c r="Y444" s="1899" t="s">
        <v>3577</v>
      </c>
      <c r="Z444" s="1899" t="s">
        <v>3573</v>
      </c>
      <c r="AA444" s="1899" t="s">
        <v>3572</v>
      </c>
      <c r="AB444" s="1899" t="s">
        <v>3572</v>
      </c>
      <c r="AC444" s="2994" t="s">
        <v>3570</v>
      </c>
      <c r="AD444" s="2998"/>
      <c r="AE444" s="2314"/>
      <c r="AF444" s="2314"/>
      <c r="AG444" s="2314"/>
      <c r="AH444" s="2314"/>
      <c r="AI444" s="2314"/>
      <c r="AJ444" s="2314"/>
      <c r="AK444" s="2314"/>
      <c r="AL444" s="2314"/>
      <c r="AM444" s="2314"/>
      <c r="AN444" s="2314"/>
      <c r="AO444" s="2314"/>
      <c r="AP444" s="2314"/>
      <c r="AQ444" s="2314"/>
      <c r="AR444" s="2314"/>
    </row>
    <row r="445" spans="1:47" ht="36.75" customHeight="1" thickTop="1" thickBot="1">
      <c r="A445" s="2101" t="s">
        <v>2824</v>
      </c>
      <c r="B445" s="4311"/>
      <c r="C445" s="4335"/>
      <c r="D445" s="4333"/>
      <c r="E445" s="4338"/>
      <c r="F445" s="2106" t="s">
        <v>7</v>
      </c>
      <c r="G445" s="2105" t="s">
        <v>3580</v>
      </c>
      <c r="H445" s="4320"/>
      <c r="I445" s="1997" t="s">
        <v>79</v>
      </c>
      <c r="J445" s="1997" t="s">
        <v>80</v>
      </c>
      <c r="K445" s="1997" t="s">
        <v>81</v>
      </c>
      <c r="L445" s="3984" t="s">
        <v>1759</v>
      </c>
      <c r="M445" s="1998" t="s">
        <v>27</v>
      </c>
      <c r="N445" s="2110" t="s">
        <v>4693</v>
      </c>
      <c r="O445" s="2110" t="s">
        <v>610</v>
      </c>
      <c r="P445" s="2111" t="s">
        <v>4694</v>
      </c>
      <c r="Q445" s="2112" t="s">
        <v>4695</v>
      </c>
      <c r="R445" s="2113" t="s">
        <v>4696</v>
      </c>
      <c r="S445" s="2114" t="s">
        <v>4697</v>
      </c>
      <c r="T445" s="2115" t="s">
        <v>4698</v>
      </c>
      <c r="U445" s="2116" t="s">
        <v>4699</v>
      </c>
      <c r="V445" s="2115" t="s">
        <v>4700</v>
      </c>
      <c r="W445" s="2117" t="s">
        <v>4701</v>
      </c>
      <c r="X445" s="2117" t="s">
        <v>4702</v>
      </c>
      <c r="Y445" s="2117" t="s">
        <v>4703</v>
      </c>
      <c r="Z445" s="2118" t="s">
        <v>4704</v>
      </c>
      <c r="AA445" s="2119" t="s">
        <v>4705</v>
      </c>
      <c r="AB445" s="2118" t="s">
        <v>4706</v>
      </c>
      <c r="AC445" s="2995" t="s">
        <v>3581</v>
      </c>
      <c r="AD445" s="2999" t="s">
        <v>1394</v>
      </c>
      <c r="AE445" s="2991"/>
      <c r="AF445" s="2991"/>
      <c r="AG445" s="2314"/>
      <c r="AH445" s="2314"/>
      <c r="AI445" s="2314"/>
      <c r="AJ445" s="2314"/>
      <c r="AK445" s="2314"/>
      <c r="AL445" s="2314"/>
      <c r="AM445" s="2314"/>
      <c r="AN445" s="2314"/>
      <c r="AO445" s="2314"/>
      <c r="AP445" s="2314"/>
      <c r="AQ445" s="2314"/>
      <c r="AR445" s="2314"/>
    </row>
    <row r="446" spans="1:47" ht="15.75" customHeight="1" thickTop="1">
      <c r="A446" s="3004" t="str">
        <f>_xlfn.XLOOKUP($D446,Tabla3[No.],Tabla3[PROGRAMA]," ")</f>
        <v>MDP</v>
      </c>
      <c r="B446" s="2103">
        <v>1</v>
      </c>
      <c r="C446" s="2061">
        <f>_xlfn.XLOOKUP($D446, Tabla3[No.], Tabla3[FECHA DE INICIO (PRIMERA CLASE CALENDARIO)]," ")</f>
        <v>44638</v>
      </c>
      <c r="D446" s="2104">
        <v>444</v>
      </c>
      <c r="E446" s="1230" t="str">
        <f>_xlfn.XLOOKUP($D446,  Tabla3[No.],  Tabla3[CURP], " ")</f>
        <v>VEPL851229HGG</v>
      </c>
      <c r="F446" s="1380" t="str">
        <f>_xlfn.XLOOKUP($E446, Tabla3[CURP], Tabla3[Matrícula Of. SEQ])</f>
        <v>64MDP03-15</v>
      </c>
      <c r="G446" s="2048" t="str">
        <f>IFERROR(VLOOKUP(D446,Tabla3[],5,FALSE),"")</f>
        <v>VELARDE PEREZ LUIS ESTUARDO</v>
      </c>
      <c r="H446" s="1605" t="str">
        <f t="shared" ref="H446:H460" si="69">MID($E446,11,1)</f>
        <v>H</v>
      </c>
      <c r="I446" s="1605" t="str">
        <f t="shared" ref="I446:I460" si="70">MID($E446,5,2)</f>
        <v>85</v>
      </c>
      <c r="J446" s="1605" t="str">
        <f t="shared" ref="J446:J460" si="71">MID($E446,7,2)</f>
        <v>12</v>
      </c>
      <c r="K446" s="1605" t="str">
        <f t="shared" ref="K446:K460" si="72">MID($E446,9,2)</f>
        <v>29</v>
      </c>
      <c r="L446" s="3818" t="str">
        <f>_xlfn.XLOOKUP($D446,  Tabla3[No.],  Tabla3[ESTATUS ACADÉMICO], " ")</f>
        <v>EGRESADO</v>
      </c>
      <c r="M446" s="1824" t="str">
        <f>_xlfn.XLOOKUP($D446,  Tabla3[No.],  Tabla3[Grupo de clase], " ")</f>
        <v>MDPG01</v>
      </c>
      <c r="N446" s="1132">
        <v>10</v>
      </c>
      <c r="O446" s="1132">
        <v>9.6999999999999993</v>
      </c>
      <c r="P446" s="1132">
        <v>9.4</v>
      </c>
      <c r="Q446" s="1132">
        <v>10</v>
      </c>
      <c r="R446" s="1132">
        <v>9.4</v>
      </c>
      <c r="S446" s="2012">
        <v>9.6999999999999993</v>
      </c>
      <c r="T446" s="2012">
        <v>9</v>
      </c>
      <c r="U446" s="1132">
        <v>9.4</v>
      </c>
      <c r="V446" s="2012">
        <v>9.4</v>
      </c>
      <c r="W446" s="2012">
        <v>9.1999999999999993</v>
      </c>
      <c r="X446" s="1132">
        <v>9.4</v>
      </c>
      <c r="Y446" s="1132">
        <v>9.4</v>
      </c>
      <c r="Z446" s="1132">
        <v>9.1999999999999993</v>
      </c>
      <c r="AA446" s="2012">
        <v>9.4</v>
      </c>
      <c r="AB446" s="1132">
        <v>9.5</v>
      </c>
      <c r="AC446" s="2312">
        <v>9.3000000000000007</v>
      </c>
      <c r="AD446" s="2998">
        <f t="shared" ref="AD446:AD460" si="73">AVERAGE(N446:AC446)</f>
        <v>9.4625000000000021</v>
      </c>
      <c r="AE446" s="2314"/>
      <c r="AF446" s="2314"/>
      <c r="AG446" s="2314"/>
      <c r="AH446" s="2314"/>
      <c r="AI446" s="2314"/>
      <c r="AJ446" s="2314"/>
      <c r="AK446" s="2314"/>
      <c r="AL446" s="2314"/>
      <c r="AM446" s="2314"/>
      <c r="AN446" s="2314"/>
      <c r="AO446" s="2314"/>
      <c r="AP446" s="2314"/>
      <c r="AQ446" s="2314"/>
      <c r="AR446" s="2314"/>
    </row>
    <row r="447" spans="1:47" ht="15.75" customHeight="1">
      <c r="A447" s="3004" t="str">
        <f>_xlfn.XLOOKUP($D447,Tabla3[No.],Tabla3[PROGRAMA]," ")</f>
        <v>MDP</v>
      </c>
      <c r="B447" s="1295">
        <v>2</v>
      </c>
      <c r="C447" s="1600">
        <f>_xlfn.XLOOKUP($D447, Tabla3[No.], Tabla3[FECHA DE INICIO (PRIMERA CLASE CALENDARIO)]," ")</f>
        <v>44638</v>
      </c>
      <c r="D447" s="2098">
        <v>442</v>
      </c>
      <c r="E447" s="1602" t="str">
        <f>_xlfn.XLOOKUP($D447,  Tabla3[No.],  Tabla3[CURP], " ")</f>
        <v>REFJ800101HGT</v>
      </c>
      <c r="F447" s="1603" t="str">
        <f>_xlfn.XLOOKUP($D447,  Tabla3[No.],  Tabla3[Matrícula Of. SEQ], " ")</f>
        <v>64MDP03-12</v>
      </c>
      <c r="G447" s="1604" t="str">
        <f>IFERROR(VLOOKUP(D447,Tabla3[],5,FALSE),"")</f>
        <v>RECINOS FABIAN JULIO CESAR</v>
      </c>
      <c r="H447" s="1660" t="str">
        <f t="shared" si="69"/>
        <v>H</v>
      </c>
      <c r="I447" s="1660" t="str">
        <f t="shared" si="70"/>
        <v>80</v>
      </c>
      <c r="J447" s="1660" t="str">
        <f t="shared" si="71"/>
        <v>01</v>
      </c>
      <c r="K447" s="1660" t="str">
        <f t="shared" si="72"/>
        <v>01</v>
      </c>
      <c r="L447" s="3818" t="str">
        <f>_xlfn.XLOOKUP($D447,  Tabla3[No.],  Tabla3[ESTATUS ACADÉMICO], " ")</f>
        <v>EGRESADO</v>
      </c>
      <c r="M447" s="1824" t="str">
        <f>_xlfn.XLOOKUP($D447,  Tabla3[No.],  Tabla3[Grupo de clase], " ")</f>
        <v>MDPG01</v>
      </c>
      <c r="N447" s="1132">
        <v>9.6</v>
      </c>
      <c r="O447" s="1132">
        <v>9.6</v>
      </c>
      <c r="P447" s="1132">
        <v>9.6999999999999993</v>
      </c>
      <c r="Q447" s="1132">
        <v>9.5</v>
      </c>
      <c r="R447" s="1132">
        <v>9.5</v>
      </c>
      <c r="S447" s="2012">
        <v>9.5</v>
      </c>
      <c r="T447" s="2012">
        <v>9</v>
      </c>
      <c r="U447" s="1132">
        <v>9.1999999999999993</v>
      </c>
      <c r="V447" s="2012">
        <v>9.1999999999999993</v>
      </c>
      <c r="W447" s="2012">
        <v>9.3000000000000007</v>
      </c>
      <c r="X447" s="1132">
        <v>9.1999999999999993</v>
      </c>
      <c r="Y447" s="1132">
        <v>9.4</v>
      </c>
      <c r="Z447" s="1132">
        <v>9.1999999999999993</v>
      </c>
      <c r="AA447" s="2012">
        <v>9.1999999999999993</v>
      </c>
      <c r="AB447" s="1132">
        <v>9.5</v>
      </c>
      <c r="AC447" s="2312">
        <v>9.6</v>
      </c>
      <c r="AD447" s="2998">
        <f t="shared" si="73"/>
        <v>9.3875000000000011</v>
      </c>
      <c r="AE447" s="2314"/>
      <c r="AF447" s="2314"/>
      <c r="AG447" s="2314"/>
      <c r="AH447" s="2314"/>
      <c r="AI447" s="2314"/>
      <c r="AJ447" s="2314"/>
      <c r="AK447" s="2314"/>
      <c r="AL447" s="2314"/>
      <c r="AM447" s="2314"/>
      <c r="AN447" s="2314"/>
      <c r="AO447" s="2314"/>
      <c r="AP447" s="2314"/>
      <c r="AQ447" s="2314"/>
      <c r="AR447" s="2314"/>
    </row>
    <row r="448" spans="1:47" ht="15.75" customHeight="1">
      <c r="A448" s="3004" t="str">
        <f>_xlfn.XLOOKUP($D448,Tabla3[No.],Tabla3[PROGRAMA]," ")</f>
        <v>MDP</v>
      </c>
      <c r="B448" s="1295">
        <v>3</v>
      </c>
      <c r="C448" s="1600">
        <f>_xlfn.XLOOKUP($D448, Tabla3[No.], Tabla3[FECHA DE INICIO (PRIMERA CLASE CALENDARIO)]," ")</f>
        <v>44638</v>
      </c>
      <c r="D448" s="2098">
        <v>438</v>
      </c>
      <c r="E448" s="1602" t="str">
        <f>_xlfn.XLOOKUP($D448,  Tabla3[No.],  Tabla3[CURP], " ")</f>
        <v>HELV800101MGT</v>
      </c>
      <c r="F448" s="1603" t="str">
        <f>_xlfn.XLOOKUP($D448,  Tabla3[No.],  Tabla3[Matrícula Of. SEQ], " ")</f>
        <v>64MDP03-08</v>
      </c>
      <c r="G448" s="1604" t="str">
        <f>IFERROR(VLOOKUP(D448,Tabla3[],5,FALSE),"")</f>
        <v>HERNANDEZ LOPEZ VICKY ARELLY</v>
      </c>
      <c r="H448" s="1660" t="str">
        <f t="shared" si="69"/>
        <v>M</v>
      </c>
      <c r="I448" s="1660" t="str">
        <f t="shared" si="70"/>
        <v>80</v>
      </c>
      <c r="J448" s="1660" t="str">
        <f t="shared" si="71"/>
        <v>01</v>
      </c>
      <c r="K448" s="1660" t="str">
        <f t="shared" si="72"/>
        <v>01</v>
      </c>
      <c r="L448" s="3818" t="str">
        <f>_xlfn.XLOOKUP($D448,  Tabla3[No.],  Tabla3[ESTATUS ACADÉMICO], " ")</f>
        <v>EGRESADO</v>
      </c>
      <c r="M448" s="1824" t="str">
        <f>_xlfn.XLOOKUP($D448,  Tabla3[No.],  Tabla3[Grupo de clase], " ")</f>
        <v>MDPG01</v>
      </c>
      <c r="N448" s="1132">
        <v>9.6999999999999993</v>
      </c>
      <c r="O448" s="1132">
        <v>9.6999999999999993</v>
      </c>
      <c r="P448" s="1132">
        <v>9.9</v>
      </c>
      <c r="Q448" s="1132">
        <v>9.5</v>
      </c>
      <c r="R448" s="1132">
        <v>9.5</v>
      </c>
      <c r="S448" s="2012">
        <v>9.5</v>
      </c>
      <c r="T448" s="2012">
        <v>9</v>
      </c>
      <c r="U448" s="1132">
        <v>9.1999999999999993</v>
      </c>
      <c r="V448" s="2012">
        <v>9.4</v>
      </c>
      <c r="W448" s="2012">
        <v>9.4</v>
      </c>
      <c r="X448" s="1132">
        <v>9.1999999999999993</v>
      </c>
      <c r="Y448" s="1132">
        <v>9.4</v>
      </c>
      <c r="Z448" s="1132">
        <v>9.1999999999999993</v>
      </c>
      <c r="AA448" s="2012">
        <v>9.5</v>
      </c>
      <c r="AB448" s="1132">
        <v>9.5</v>
      </c>
      <c r="AC448" s="2312">
        <v>9.1999999999999993</v>
      </c>
      <c r="AD448" s="2998">
        <f t="shared" si="73"/>
        <v>9.4250000000000007</v>
      </c>
      <c r="AE448" s="2314"/>
      <c r="AF448" s="2314"/>
      <c r="AG448" s="2314"/>
      <c r="AH448" s="2314"/>
      <c r="AI448" s="2314"/>
      <c r="AJ448" s="2314"/>
      <c r="AK448" s="2314"/>
      <c r="AL448" s="2314"/>
      <c r="AM448" s="2314"/>
      <c r="AN448" s="2314"/>
      <c r="AO448" s="2314"/>
      <c r="AP448" s="2314"/>
      <c r="AQ448" s="2314"/>
      <c r="AR448" s="2314"/>
    </row>
    <row r="449" spans="1:44" ht="15.75" customHeight="1">
      <c r="A449" s="3004" t="str">
        <f>_xlfn.XLOOKUP($D449,Tabla3[No.],Tabla3[PROGRAMA]," ")</f>
        <v>MDP</v>
      </c>
      <c r="B449" s="1295">
        <v>4</v>
      </c>
      <c r="C449" s="1600">
        <f>_xlfn.XLOOKUP($D449, Tabla3[No.], Tabla3[FECHA DE INICIO (PRIMERA CLASE CALENDARIO)]," ")</f>
        <v>44638</v>
      </c>
      <c r="D449" s="2098">
        <v>435</v>
      </c>
      <c r="E449" s="1230" t="str">
        <f>_xlfn.XLOOKUP($D449,  Tabla3[No.],  Tabla3[CURP], " ")</f>
        <v>GAGU800101HGT</v>
      </c>
      <c r="F449" s="1380" t="str">
        <f>_xlfn.XLOOKUP($E449, Tabla3[CURP], Tabla3[Matrícula Of. SEQ])</f>
        <v>64MDP03-05</v>
      </c>
      <c r="G449" s="2048" t="str">
        <f>IFERROR(VLOOKUP(D449,Tabla3[],5,FALSE),"")</f>
        <v>GARCIA GONZALEZ UBER ASAEL</v>
      </c>
      <c r="H449" s="1605" t="str">
        <f t="shared" si="69"/>
        <v>H</v>
      </c>
      <c r="I449" s="1605" t="str">
        <f t="shared" si="70"/>
        <v>80</v>
      </c>
      <c r="J449" s="1605" t="str">
        <f t="shared" si="71"/>
        <v>01</v>
      </c>
      <c r="K449" s="1605" t="str">
        <f t="shared" si="72"/>
        <v>01</v>
      </c>
      <c r="L449" s="3818" t="str">
        <f>_xlfn.XLOOKUP($D449,  Tabla3[No.],  Tabla3[ESTATUS ACADÉMICO], " ")</f>
        <v>EGRESADO</v>
      </c>
      <c r="M449" s="1824" t="str">
        <f>_xlfn.XLOOKUP($D449,  Tabla3[No.],  Tabla3[Grupo de clase], " ")</f>
        <v>MDPG01</v>
      </c>
      <c r="N449" s="1132">
        <v>10</v>
      </c>
      <c r="O449" s="1132">
        <v>10</v>
      </c>
      <c r="P449" s="1132">
        <v>10</v>
      </c>
      <c r="Q449" s="1132">
        <v>10</v>
      </c>
      <c r="R449" s="1132">
        <v>9</v>
      </c>
      <c r="S449" s="2012">
        <v>9</v>
      </c>
      <c r="T449" s="2012">
        <v>9</v>
      </c>
      <c r="U449" s="1132">
        <v>9.1999999999999993</v>
      </c>
      <c r="V449" s="2012">
        <v>9.1999999999999993</v>
      </c>
      <c r="W449" s="2012">
        <v>9.1999999999999993</v>
      </c>
      <c r="X449" s="1132">
        <v>9.1999999999999993</v>
      </c>
      <c r="Y449" s="1132">
        <v>9.4</v>
      </c>
      <c r="Z449" s="1132">
        <v>9.1999999999999993</v>
      </c>
      <c r="AA449" s="2012">
        <v>9.1999999999999993</v>
      </c>
      <c r="AB449" s="1132">
        <v>9</v>
      </c>
      <c r="AC449" s="2312">
        <v>9.6</v>
      </c>
      <c r="AD449" s="2998">
        <f t="shared" si="73"/>
        <v>9.3875000000000011</v>
      </c>
      <c r="AE449" s="2314"/>
      <c r="AF449" s="2314"/>
      <c r="AG449" s="2314"/>
      <c r="AH449" s="2314"/>
      <c r="AI449" s="2314"/>
      <c r="AJ449" s="2314"/>
      <c r="AK449" s="2314"/>
      <c r="AL449" s="2314"/>
      <c r="AM449" s="2314"/>
      <c r="AN449" s="2314"/>
      <c r="AO449" s="2314"/>
      <c r="AP449" s="2314"/>
      <c r="AQ449" s="2314"/>
      <c r="AR449" s="2314"/>
    </row>
    <row r="450" spans="1:44" ht="15.75" customHeight="1">
      <c r="A450" s="3004" t="str">
        <f>_xlfn.XLOOKUP($D450,Tabla3[No.],Tabla3[PROGRAMA]," ")</f>
        <v>MDP</v>
      </c>
      <c r="B450" s="1295">
        <v>5</v>
      </c>
      <c r="C450" s="1600">
        <f>_xlfn.XLOOKUP($D450, Tabla3[No.], Tabla3[FECHA DE INICIO (PRIMERA CLASE CALENDARIO)]," ")</f>
        <v>44638</v>
      </c>
      <c r="D450" s="2098">
        <v>454</v>
      </c>
      <c r="E450" s="1230" t="str">
        <f>_xlfn.XLOOKUP($D450,  Tabla3[No.],  Tabla3[CURP], " ")</f>
        <v>LOPC810411HGTPOR00</v>
      </c>
      <c r="F450" s="1380" t="str">
        <f>_xlfn.XLOOKUP($E450, Tabla3[CURP], Tabla3[Matrícula Of. SEQ])</f>
        <v>64MDP03B2-09</v>
      </c>
      <c r="G450" s="2048" t="str">
        <f>IFERROR(VLOOKUP(D450,Tabla3[],5,FALSE),"")</f>
        <v>LOPEZ POP CRISTOFER AARON</v>
      </c>
      <c r="H450" s="1605" t="str">
        <f t="shared" si="69"/>
        <v>H</v>
      </c>
      <c r="I450" s="1605" t="str">
        <f t="shared" si="70"/>
        <v>81</v>
      </c>
      <c r="J450" s="1605" t="str">
        <f t="shared" si="71"/>
        <v>04</v>
      </c>
      <c r="K450" s="1605" t="str">
        <f t="shared" si="72"/>
        <v>11</v>
      </c>
      <c r="L450" s="3818" t="str">
        <f>_xlfn.XLOOKUP($D450,  Tabla3[No.],  Tabla3[ESTATUS ACADÉMICO], " ")</f>
        <v>EGRESADO</v>
      </c>
      <c r="M450" s="1824" t="str">
        <f>_xlfn.XLOOKUP($D450,  Tabla3[No.],  Tabla3[Grupo de clase], " ")</f>
        <v>MDPG01</v>
      </c>
      <c r="N450" s="1132">
        <v>9.6999999999999993</v>
      </c>
      <c r="O450" s="1132">
        <v>9.6999999999999993</v>
      </c>
      <c r="P450" s="1132">
        <v>9.4</v>
      </c>
      <c r="Q450" s="1132">
        <v>9</v>
      </c>
      <c r="R450" s="1132">
        <v>9</v>
      </c>
      <c r="S450" s="2012">
        <v>9</v>
      </c>
      <c r="T450" s="2012">
        <v>9</v>
      </c>
      <c r="U450" s="1132">
        <v>9.1999999999999993</v>
      </c>
      <c r="V450" s="2012">
        <v>9.1999999999999993</v>
      </c>
      <c r="W450" s="2012">
        <v>9.1999999999999993</v>
      </c>
      <c r="X450" s="1132">
        <v>9.1999999999999993</v>
      </c>
      <c r="Y450" s="1132">
        <v>9.4</v>
      </c>
      <c r="Z450" s="1132">
        <v>9.1999999999999993</v>
      </c>
      <c r="AA450" s="2012">
        <v>9</v>
      </c>
      <c r="AB450" s="1132">
        <v>9.5</v>
      </c>
      <c r="AC450" s="2312">
        <v>9.1999999999999993</v>
      </c>
      <c r="AD450" s="2998">
        <f t="shared" si="73"/>
        <v>9.2437500000000004</v>
      </c>
      <c r="AE450" s="2314"/>
      <c r="AF450" s="2314"/>
      <c r="AG450" s="2314"/>
      <c r="AH450" s="2314"/>
      <c r="AI450" s="2314"/>
      <c r="AJ450" s="2314"/>
      <c r="AK450" s="2314"/>
      <c r="AL450" s="2314"/>
      <c r="AM450" s="2314"/>
      <c r="AN450" s="2314"/>
      <c r="AO450" s="2314"/>
      <c r="AP450" s="2314"/>
      <c r="AQ450" s="2314"/>
      <c r="AR450" s="2314"/>
    </row>
    <row r="451" spans="1:44" ht="15.75" customHeight="1">
      <c r="A451" s="3004" t="str">
        <f>_xlfn.XLOOKUP($D451,Tabla3[No.],Tabla3[PROGRAMA]," ")</f>
        <v>MDP</v>
      </c>
      <c r="B451" s="1295">
        <v>6</v>
      </c>
      <c r="C451" s="1600">
        <f>_xlfn.XLOOKUP($D451, Tabla3[No.], Tabla3[FECHA DE INICIO (PRIMERA CLASE CALENDARIO)]," ")</f>
        <v>44638</v>
      </c>
      <c r="D451" s="2098">
        <v>443</v>
      </c>
      <c r="E451" s="1230" t="str">
        <f>_xlfn.XLOOKUP($D451,  Tabla3[No.],  Tabla3[CURP], " ")</f>
        <v>UUAP900628HGG</v>
      </c>
      <c r="F451" s="1380" t="str">
        <f>_xlfn.XLOOKUP($E451, Tabla3[CURP], Tabla3[Matrícula Of. SEQ])</f>
        <v>64MDP03-14</v>
      </c>
      <c r="G451" s="2048" t="str">
        <f>IFERROR(VLOOKUP(D451,Tabla3[],5,FALSE),"")</f>
        <v>URRUTIA ALFARO PETER MICHAEL</v>
      </c>
      <c r="H451" s="1605" t="str">
        <f t="shared" si="69"/>
        <v>H</v>
      </c>
      <c r="I451" s="1605" t="str">
        <f t="shared" si="70"/>
        <v>90</v>
      </c>
      <c r="J451" s="1605" t="str">
        <f t="shared" si="71"/>
        <v>06</v>
      </c>
      <c r="K451" s="1605" t="str">
        <f t="shared" si="72"/>
        <v>28</v>
      </c>
      <c r="L451" s="3818" t="str">
        <f>_xlfn.XLOOKUP($D451,  Tabla3[No.],  Tabla3[ESTATUS ACADÉMICO], " ")</f>
        <v>EGRESADO</v>
      </c>
      <c r="M451" s="1824" t="str">
        <f>_xlfn.XLOOKUP($D451,  Tabla3[No.],  Tabla3[Grupo de clase], " ")</f>
        <v>MDPG01</v>
      </c>
      <c r="N451" s="1132">
        <v>9.5</v>
      </c>
      <c r="O451" s="1132">
        <v>9.5</v>
      </c>
      <c r="P451" s="1132">
        <v>10</v>
      </c>
      <c r="Q451" s="1132">
        <v>10</v>
      </c>
      <c r="R451" s="1132">
        <v>9.1999999999999993</v>
      </c>
      <c r="S451" s="2012">
        <v>9.4</v>
      </c>
      <c r="T451" s="2012">
        <v>9</v>
      </c>
      <c r="U451" s="1132">
        <v>9.4</v>
      </c>
      <c r="V451" s="2012">
        <v>9.4</v>
      </c>
      <c r="W451" s="2012">
        <v>9.4</v>
      </c>
      <c r="X451" s="1132">
        <v>9.4</v>
      </c>
      <c r="Y451" s="1132">
        <v>9.4</v>
      </c>
      <c r="Z451" s="1132">
        <v>9.1999999999999993</v>
      </c>
      <c r="AA451" s="2012">
        <v>9</v>
      </c>
      <c r="AB451" s="1132">
        <v>9</v>
      </c>
      <c r="AC451" s="2312">
        <v>9.1999999999999993</v>
      </c>
      <c r="AD451" s="2998">
        <f t="shared" si="73"/>
        <v>9.375</v>
      </c>
      <c r="AE451" s="2314"/>
      <c r="AF451" s="2314"/>
      <c r="AG451" s="2314"/>
      <c r="AH451" s="2314"/>
      <c r="AI451" s="2314"/>
      <c r="AJ451" s="2314"/>
      <c r="AK451" s="2314"/>
      <c r="AL451" s="2314"/>
      <c r="AM451" s="2314"/>
      <c r="AN451" s="2314"/>
      <c r="AO451" s="2314"/>
      <c r="AP451" s="2314"/>
      <c r="AQ451" s="2314"/>
      <c r="AR451" s="2314"/>
    </row>
    <row r="452" spans="1:44" ht="15.75" customHeight="1">
      <c r="A452" s="3004" t="str">
        <f>_xlfn.XLOOKUP($D452,Tabla3[No.],Tabla3[PROGRAMA]," ")</f>
        <v>MDP</v>
      </c>
      <c r="B452" s="1295">
        <v>7</v>
      </c>
      <c r="C452" s="1600">
        <f>_xlfn.XLOOKUP($D452, Tabla3[No.], Tabla3[FECHA DE INICIO (PRIMERA CLASE CALENDARIO)]," ")</f>
        <v>44638</v>
      </c>
      <c r="D452" s="2098">
        <v>440</v>
      </c>
      <c r="E452" s="1602" t="str">
        <f>_xlfn.XLOOKUP($D452,  Tabla3[No.],  Tabla3[CURP], " ")</f>
        <v>MOPS800101MGT</v>
      </c>
      <c r="F452" s="1603" t="str">
        <f>_xlfn.XLOOKUP($D452,  Tabla3[No.],  Tabla3[Matrícula Of. SEQ], " ")</f>
        <v>64MDP03-10</v>
      </c>
      <c r="G452" s="1604" t="str">
        <f>IFERROR(VLOOKUP(D452,Tabla3[],5,FALSE),"")</f>
        <v>MORA PACHECO SILVIA ESTELA</v>
      </c>
      <c r="H452" s="1660" t="str">
        <f>MID($E452,11,1)</f>
        <v>M</v>
      </c>
      <c r="I452" s="1660" t="str">
        <f>MID($E452,5,2)</f>
        <v>80</v>
      </c>
      <c r="J452" s="1660" t="str">
        <f>MID($E452,7,2)</f>
        <v>01</v>
      </c>
      <c r="K452" s="1660" t="str">
        <f>MID($E452,9,2)</f>
        <v>01</v>
      </c>
      <c r="L452" s="3818" t="str">
        <f>_xlfn.XLOOKUP($D452,  Tabla3[No.],  Tabla3[ESTATUS ACADÉMICO], " ")</f>
        <v>EGRESADO</v>
      </c>
      <c r="M452" s="1824" t="str">
        <f>_xlfn.XLOOKUP($D452,  Tabla3[No.],  Tabla3[Grupo de clase], " ")</f>
        <v>MDPG01</v>
      </c>
      <c r="N452" s="1132">
        <v>9.6</v>
      </c>
      <c r="O452" s="1132">
        <v>9.5</v>
      </c>
      <c r="P452" s="1132">
        <v>9.9</v>
      </c>
      <c r="Q452" s="1132">
        <v>9</v>
      </c>
      <c r="R452" s="1132">
        <v>9</v>
      </c>
      <c r="S452" s="2012">
        <v>9.6999999999999993</v>
      </c>
      <c r="T452" s="2012">
        <v>9</v>
      </c>
      <c r="U452" s="1132">
        <v>9.5</v>
      </c>
      <c r="V452" s="2012">
        <v>9.4</v>
      </c>
      <c r="W452" s="2012">
        <v>9.4</v>
      </c>
      <c r="X452" s="1132">
        <v>9.5</v>
      </c>
      <c r="Y452" s="1132">
        <v>9.5</v>
      </c>
      <c r="Z452" s="1132">
        <v>9.4</v>
      </c>
      <c r="AA452" s="2012">
        <v>9.4</v>
      </c>
      <c r="AB452" s="1132">
        <v>9</v>
      </c>
      <c r="AC452" s="2312">
        <v>9.1999999999999993</v>
      </c>
      <c r="AD452" s="2998">
        <f t="shared" si="73"/>
        <v>9.375</v>
      </c>
      <c r="AE452" s="2314"/>
      <c r="AF452" s="2314"/>
      <c r="AG452" s="2314"/>
      <c r="AH452" s="2314"/>
      <c r="AI452" s="2314"/>
      <c r="AJ452" s="2314"/>
      <c r="AK452" s="2314"/>
      <c r="AL452" s="2314"/>
      <c r="AM452" s="2314"/>
      <c r="AN452" s="2314"/>
      <c r="AO452" s="2314"/>
      <c r="AP452" s="2314"/>
      <c r="AQ452" s="2314"/>
      <c r="AR452" s="2314"/>
    </row>
    <row r="453" spans="1:44" ht="15.75" customHeight="1">
      <c r="A453" s="3004" t="str">
        <f>_xlfn.XLOOKUP($D453,Tabla3[No.],Tabla3[PROGRAMA]," ")</f>
        <v>MDP</v>
      </c>
      <c r="B453" s="1295">
        <v>8</v>
      </c>
      <c r="C453" s="1600">
        <f>_xlfn.XLOOKUP($D453, Tabla3[No.], Tabla3[FECHA DE INICIO (PRIMERA CLASE CALENDARIO)]," ")</f>
        <v>44638</v>
      </c>
      <c r="D453" s="2098">
        <v>453</v>
      </c>
      <c r="E453" s="1230" t="str">
        <f>_xlfn.XLOOKUP($D453,  Tabla3[No.],  Tabla3[CURP], " ")</f>
        <v>CALA600307HGT</v>
      </c>
      <c r="F453" s="1380" t="str">
        <f>_xlfn.XLOOKUP($E453, Tabla3[CURP], Tabla3[Matrícula Of. SEQ])</f>
        <v>64MDP03A-01</v>
      </c>
      <c r="G453" s="2048" t="str">
        <f>IFERROR(VLOOKUP(D453,Tabla3[],5,FALSE),"")</f>
        <v>CABRERA LUNA ARMANDO BENJAMIN</v>
      </c>
      <c r="H453" s="1605" t="str">
        <f t="shared" si="69"/>
        <v>H</v>
      </c>
      <c r="I453" s="1605" t="str">
        <f t="shared" si="70"/>
        <v>60</v>
      </c>
      <c r="J453" s="1605" t="str">
        <f t="shared" si="71"/>
        <v>03</v>
      </c>
      <c r="K453" s="1605" t="str">
        <f t="shared" si="72"/>
        <v>07</v>
      </c>
      <c r="L453" s="3818" t="str">
        <f>_xlfn.XLOOKUP($D453,  Tabla3[No.],  Tabla3[ESTATUS ACADÉMICO], " ")</f>
        <v>EGRESADO</v>
      </c>
      <c r="M453" s="1824" t="str">
        <f>_xlfn.XLOOKUP($D453,  Tabla3[No.],  Tabla3[Grupo de clase], " ")</f>
        <v>MDPG01</v>
      </c>
      <c r="N453" s="1132">
        <v>10</v>
      </c>
      <c r="O453" s="1132">
        <v>10</v>
      </c>
      <c r="P453" s="1132">
        <v>9.6</v>
      </c>
      <c r="Q453" s="1132">
        <v>10</v>
      </c>
      <c r="R453" s="1132">
        <v>9.4</v>
      </c>
      <c r="S453" s="2012">
        <v>9.4</v>
      </c>
      <c r="T453" s="2012">
        <v>9</v>
      </c>
      <c r="U453" s="1132">
        <v>9.1999999999999993</v>
      </c>
      <c r="V453" s="2012">
        <v>9.1999999999999993</v>
      </c>
      <c r="W453" s="2012">
        <v>9.3000000000000007</v>
      </c>
      <c r="X453" s="1132">
        <v>9.1999999999999993</v>
      </c>
      <c r="Y453" s="1132">
        <v>9.4</v>
      </c>
      <c r="Z453" s="1132">
        <v>9.1999999999999993</v>
      </c>
      <c r="AA453" s="2012">
        <v>9</v>
      </c>
      <c r="AB453" s="1132">
        <v>9.5</v>
      </c>
      <c r="AC453" s="2312">
        <v>10</v>
      </c>
      <c r="AD453" s="2998">
        <f t="shared" si="73"/>
        <v>9.4625000000000021</v>
      </c>
      <c r="AE453" s="2314"/>
      <c r="AF453" s="2314"/>
      <c r="AG453" s="2314"/>
      <c r="AH453" s="2314"/>
      <c r="AI453" s="2314"/>
      <c r="AJ453" s="2314"/>
      <c r="AK453" s="2314"/>
      <c r="AL453" s="2314"/>
      <c r="AM453" s="2314"/>
      <c r="AN453" s="2314"/>
      <c r="AO453" s="2314"/>
      <c r="AP453" s="2314"/>
      <c r="AQ453" s="2314"/>
      <c r="AR453" s="2314"/>
    </row>
    <row r="454" spans="1:44" ht="15.75" customHeight="1">
      <c r="A454" s="3004" t="str">
        <f>_xlfn.XLOOKUP($D454,Tabla3[No.],Tabla3[PROGRAMA]," ")</f>
        <v>MDP</v>
      </c>
      <c r="B454" s="1295">
        <v>9</v>
      </c>
      <c r="C454" s="1600">
        <f>_xlfn.XLOOKUP($D454, Tabla3[No.], Tabla3[FECHA DE INICIO (PRIMERA CLASE CALENDARIO)]," ")</f>
        <v>44638</v>
      </c>
      <c r="D454" s="2098">
        <v>432</v>
      </c>
      <c r="E454" s="1230" t="str">
        <f>_xlfn.XLOOKUP($D454,  Tabla3[No.],  Tabla3[CURP], " ")</f>
        <v>AJMJ800101HGT</v>
      </c>
      <c r="F454" s="1380" t="str">
        <f>_xlfn.XLOOKUP($E454, Tabla3[CURP], Tabla3[Matrícula Of. SEQ])</f>
        <v>64MDP03-01</v>
      </c>
      <c r="G454" s="2048" t="str">
        <f>IFERROR(VLOOKUP(D454,Tabla3[],5,FALSE),"")</f>
        <v>AJIATAZ MARTINEZ JAIRO BENJAMIN</v>
      </c>
      <c r="H454" s="1605" t="str">
        <f t="shared" si="69"/>
        <v>H</v>
      </c>
      <c r="I454" s="1605" t="str">
        <f t="shared" si="70"/>
        <v>80</v>
      </c>
      <c r="J454" s="1605" t="str">
        <f t="shared" si="71"/>
        <v>01</v>
      </c>
      <c r="K454" s="1605" t="str">
        <f t="shared" si="72"/>
        <v>01</v>
      </c>
      <c r="L454" s="3818" t="str">
        <f>_xlfn.XLOOKUP($D454,  Tabla3[No.],  Tabla3[ESTATUS ACADÉMICO], " ")</f>
        <v>EGRESADO</v>
      </c>
      <c r="M454" s="1824" t="str">
        <f>_xlfn.XLOOKUP($D454,  Tabla3[No.],  Tabla3[Grupo de clase], " ")</f>
        <v>MDPG01</v>
      </c>
      <c r="N454" s="1132">
        <v>10</v>
      </c>
      <c r="O454" s="1132">
        <v>10</v>
      </c>
      <c r="P454" s="1132">
        <v>9.9</v>
      </c>
      <c r="Q454" s="1132">
        <v>10</v>
      </c>
      <c r="R454" s="1132">
        <v>9.1999999999999993</v>
      </c>
      <c r="S454" s="2012">
        <v>9.1999999999999993</v>
      </c>
      <c r="T454" s="2012">
        <v>9</v>
      </c>
      <c r="U454" s="1132">
        <v>9.1999999999999993</v>
      </c>
      <c r="V454" s="2012">
        <v>9.1999999999999993</v>
      </c>
      <c r="W454" s="2012">
        <v>9.1999999999999993</v>
      </c>
      <c r="X454" s="1132">
        <v>9.1999999999999993</v>
      </c>
      <c r="Y454" s="1132">
        <v>9.4</v>
      </c>
      <c r="Z454" s="1132">
        <v>9.1999999999999993</v>
      </c>
      <c r="AA454" s="2012">
        <v>9.1999999999999993</v>
      </c>
      <c r="AB454" s="1132">
        <v>9.5</v>
      </c>
      <c r="AC454" s="2312">
        <v>9.1999999999999993</v>
      </c>
      <c r="AD454" s="2998">
        <f t="shared" si="73"/>
        <v>9.4124999999999996</v>
      </c>
      <c r="AE454" s="2314"/>
      <c r="AF454" s="2314"/>
      <c r="AG454" s="2314"/>
      <c r="AH454" s="2314"/>
      <c r="AI454" s="2314"/>
      <c r="AJ454" s="2314"/>
      <c r="AK454" s="2314"/>
      <c r="AL454" s="2314"/>
      <c r="AM454" s="2314"/>
      <c r="AN454" s="2314"/>
      <c r="AO454" s="2314"/>
      <c r="AP454" s="2314"/>
      <c r="AQ454" s="2314"/>
      <c r="AR454" s="2314"/>
    </row>
    <row r="455" spans="1:44" ht="15.75" customHeight="1">
      <c r="A455" s="3004" t="str">
        <f>_xlfn.XLOOKUP($D455,Tabla3[No.],Tabla3[PROGRAMA]," ")</f>
        <v>MDP</v>
      </c>
      <c r="B455" s="1295">
        <v>10</v>
      </c>
      <c r="C455" s="1600">
        <f>_xlfn.XLOOKUP($D455, Tabla3[No.], Tabla3[FECHA DE INICIO (PRIMERA CLASE CALENDARIO)]," ")</f>
        <v>44638</v>
      </c>
      <c r="D455" s="2098">
        <v>437</v>
      </c>
      <c r="E455" s="1602" t="str">
        <f>_xlfn.XLOOKUP($D455,  Tabla3[No.],  Tabla3[CURP], " ")</f>
        <v>GAPM800101MGT</v>
      </c>
      <c r="F455" s="1603" t="str">
        <f>_xlfn.XLOOKUP($D455,  Tabla3[No.],  Tabla3[Matrícula Of. SEQ], " ")</f>
        <v>64MDP03-07</v>
      </c>
      <c r="G455" s="1604" t="str">
        <f>IFERROR(VLOOKUP(D455,Tabla3[],5,FALSE),"")</f>
        <v>GARCIA PAREDES MARTA PATRICIA</v>
      </c>
      <c r="H455" s="1660" t="str">
        <f t="shared" si="69"/>
        <v>M</v>
      </c>
      <c r="I455" s="1660" t="str">
        <f t="shared" si="70"/>
        <v>80</v>
      </c>
      <c r="J455" s="1660" t="str">
        <f t="shared" si="71"/>
        <v>01</v>
      </c>
      <c r="K455" s="1660" t="str">
        <f t="shared" si="72"/>
        <v>01</v>
      </c>
      <c r="L455" s="3818" t="str">
        <f>_xlfn.XLOOKUP($D455,  Tabla3[No.],  Tabla3[ESTATUS ACADÉMICO], " ")</f>
        <v>EGRESADO</v>
      </c>
      <c r="M455" s="1824" t="str">
        <f>_xlfn.XLOOKUP($D455,  Tabla3[No.],  Tabla3[Grupo de clase], " ")</f>
        <v>MDPG01</v>
      </c>
      <c r="N455" s="1132">
        <v>9.6999999999999993</v>
      </c>
      <c r="O455" s="1132">
        <v>10</v>
      </c>
      <c r="P455" s="1132">
        <v>9.6999999999999993</v>
      </c>
      <c r="Q455" s="1132">
        <v>9</v>
      </c>
      <c r="R455" s="1132">
        <v>9</v>
      </c>
      <c r="S455" s="2012">
        <v>9</v>
      </c>
      <c r="T455" s="2012">
        <v>9</v>
      </c>
      <c r="U455" s="1132">
        <v>9.1999999999999993</v>
      </c>
      <c r="V455" s="2012">
        <v>9.1999999999999993</v>
      </c>
      <c r="W455" s="2012">
        <v>9.5</v>
      </c>
      <c r="X455" s="1132">
        <v>9.1999999999999993</v>
      </c>
      <c r="Y455" s="1132">
        <v>9.4</v>
      </c>
      <c r="Z455" s="1132">
        <v>9.1999999999999993</v>
      </c>
      <c r="AA455" s="2012">
        <v>9.4</v>
      </c>
      <c r="AB455" s="1132">
        <v>9.5</v>
      </c>
      <c r="AC455" s="2312">
        <v>10</v>
      </c>
      <c r="AD455" s="2998">
        <f t="shared" si="73"/>
        <v>9.3750000000000018</v>
      </c>
      <c r="AE455" s="2314"/>
      <c r="AF455" s="2314"/>
      <c r="AG455" s="2314"/>
      <c r="AH455" s="2314"/>
      <c r="AI455" s="2314"/>
      <c r="AJ455" s="2314"/>
      <c r="AK455" s="2314"/>
      <c r="AL455" s="2314"/>
      <c r="AM455" s="2314"/>
      <c r="AN455" s="2314"/>
      <c r="AO455" s="2314"/>
      <c r="AP455" s="2314"/>
      <c r="AQ455" s="2314"/>
      <c r="AR455" s="2314"/>
    </row>
    <row r="456" spans="1:44" ht="15.75" customHeight="1">
      <c r="A456" s="3004" t="str">
        <f>_xlfn.XLOOKUP($D456,Tabla3[No.],Tabla3[PROGRAMA]," ")</f>
        <v>MDP</v>
      </c>
      <c r="B456" s="1295">
        <v>11</v>
      </c>
      <c r="C456" s="1600">
        <f>_xlfn.XLOOKUP($D456, Tabla3[No.], Tabla3[FECHA DE INICIO (PRIMERA CLASE CALENDARIO)]," ")</f>
        <v>44708</v>
      </c>
      <c r="D456" s="2098">
        <v>439</v>
      </c>
      <c r="E456" s="1602" t="str">
        <f>_xlfn.XLOOKUP($D456,  Tabla3[No.],  Tabla3[CURP], " ")</f>
        <v>MEAK800101MGT</v>
      </c>
      <c r="F456" s="1603" t="str">
        <f>_xlfn.XLOOKUP($D456,  Tabla3[No.],  Tabla3[Matrícula Of. SEQ], " ")</f>
        <v>64MDP03-09</v>
      </c>
      <c r="G456" s="1604" t="str">
        <f>IFERROR(VLOOKUP(D456,Tabla3[],5,FALSE),"")</f>
        <v>MEJIA ARREOLA KAREN SUSANA</v>
      </c>
      <c r="H456" s="1660" t="str">
        <f t="shared" si="69"/>
        <v>M</v>
      </c>
      <c r="I456" s="1660" t="str">
        <f t="shared" si="70"/>
        <v>80</v>
      </c>
      <c r="J456" s="1660" t="str">
        <f t="shared" si="71"/>
        <v>01</v>
      </c>
      <c r="K456" s="1660" t="str">
        <f t="shared" si="72"/>
        <v>01</v>
      </c>
      <c r="L456" s="3818" t="str">
        <f>_xlfn.XLOOKUP($D456,  Tabla3[No.],  Tabla3[ESTATUS ACADÉMICO], " ")</f>
        <v>BAJA DEFINITIVA</v>
      </c>
      <c r="M456" s="1824" t="str">
        <f>_xlfn.XLOOKUP($D456,  Tabla3[No.],  Tabla3[Grupo de clase], " ")</f>
        <v>MDPG01</v>
      </c>
      <c r="N456" s="1289">
        <v>9.5</v>
      </c>
      <c r="O456" s="1289">
        <v>9.5</v>
      </c>
      <c r="P456" s="1132">
        <v>9.4</v>
      </c>
      <c r="Q456" s="1132">
        <v>9.4</v>
      </c>
      <c r="R456" s="1132">
        <v>9</v>
      </c>
      <c r="S456" s="2012">
        <v>9.5</v>
      </c>
      <c r="T456" s="2012">
        <v>9</v>
      </c>
      <c r="U456" s="1132">
        <v>9.1999999999999993</v>
      </c>
      <c r="V456" s="2012">
        <v>9.1999999999999993</v>
      </c>
      <c r="W456" s="2012">
        <v>9.1999999999999993</v>
      </c>
      <c r="X456" s="1132">
        <v>9.1999999999999993</v>
      </c>
      <c r="Y456" s="1132">
        <v>9.4</v>
      </c>
      <c r="Z456" s="1132">
        <v>9.1999999999999993</v>
      </c>
      <c r="AA456" s="2012">
        <v>9.4</v>
      </c>
      <c r="AB456" s="1132">
        <v>9.5</v>
      </c>
      <c r="AC456" s="2312">
        <v>10</v>
      </c>
      <c r="AD456" s="2998">
        <f t="shared" si="73"/>
        <v>9.3500000000000014</v>
      </c>
      <c r="AE456" s="2314"/>
      <c r="AF456" s="2314"/>
      <c r="AG456" s="2314"/>
      <c r="AH456" s="2314"/>
      <c r="AI456" s="2314"/>
      <c r="AJ456" s="2314"/>
      <c r="AK456" s="2314"/>
      <c r="AL456" s="2314"/>
      <c r="AM456" s="2314"/>
      <c r="AN456" s="2314"/>
      <c r="AO456" s="2314"/>
      <c r="AP456" s="2314"/>
      <c r="AQ456" s="2314"/>
      <c r="AR456" s="2314"/>
    </row>
    <row r="457" spans="1:44" ht="15.75" customHeight="1">
      <c r="A457" s="3004" t="str">
        <f>_xlfn.XLOOKUP($D457,Tabla3[No.],Tabla3[PROGRAMA]," ")</f>
        <v>MDP</v>
      </c>
      <c r="B457" s="1295">
        <v>12</v>
      </c>
      <c r="C457" s="1600">
        <f>_xlfn.XLOOKUP($D457, Tabla3[No.], Tabla3[FECHA DE INICIO (PRIMERA CLASE CALENDARIO)]," ")</f>
        <v>44708</v>
      </c>
      <c r="D457" s="2098">
        <v>436</v>
      </c>
      <c r="E457" s="1602" t="str">
        <f>_xlfn.XLOOKUP($D457,  Tabla3[No.],  Tabla3[CURP], " ")</f>
        <v>GAFD800101MGT</v>
      </c>
      <c r="F457" s="1603" t="str">
        <f>_xlfn.XLOOKUP($D457,  Tabla3[No.],  Tabla3[Matrícula Of. SEQ], " ")</f>
        <v>64MDP03-06</v>
      </c>
      <c r="G457" s="1604" t="str">
        <f>IFERROR(VLOOKUP(D457,Tabla3[],5,FALSE),"")</f>
        <v>GARCIA FRAATZ DEBORA ESTHER</v>
      </c>
      <c r="H457" s="1660" t="str">
        <f t="shared" si="69"/>
        <v>M</v>
      </c>
      <c r="I457" s="1660" t="str">
        <f t="shared" si="70"/>
        <v>80</v>
      </c>
      <c r="J457" s="1660" t="str">
        <f t="shared" si="71"/>
        <v>01</v>
      </c>
      <c r="K457" s="1660" t="str">
        <f t="shared" si="72"/>
        <v>01</v>
      </c>
      <c r="L457" s="3818" t="str">
        <f>_xlfn.XLOOKUP($D457,  Tabla3[No.],  Tabla3[ESTATUS ACADÉMICO], " ")</f>
        <v>EGRESADO</v>
      </c>
      <c r="M457" s="1824" t="str">
        <f>_xlfn.XLOOKUP($D457,  Tabla3[No.],  Tabla3[Grupo de clase], " ")</f>
        <v>MDPG01</v>
      </c>
      <c r="N457" s="2120">
        <v>9</v>
      </c>
      <c r="O457" s="2120">
        <v>9</v>
      </c>
      <c r="P457" s="2012">
        <v>9.6999999999999993</v>
      </c>
      <c r="Q457" s="2012">
        <v>9</v>
      </c>
      <c r="R457" s="2012">
        <v>9</v>
      </c>
      <c r="S457" s="2012">
        <v>9</v>
      </c>
      <c r="T457" s="2012">
        <v>9</v>
      </c>
      <c r="U457" s="1132">
        <v>9.1999999999999993</v>
      </c>
      <c r="V457" s="2012">
        <v>9.1999999999999993</v>
      </c>
      <c r="W457" s="2012">
        <v>9.1999999999999993</v>
      </c>
      <c r="X457" s="1132">
        <v>9.1999999999999993</v>
      </c>
      <c r="Y457" s="1132">
        <v>9.4</v>
      </c>
      <c r="Z457" s="1132">
        <v>9.1999999999999993</v>
      </c>
      <c r="AA457" s="2012">
        <v>9.4</v>
      </c>
      <c r="AB457" s="2012">
        <v>9.5</v>
      </c>
      <c r="AC457" s="2312">
        <v>10</v>
      </c>
      <c r="AD457" s="2998">
        <f t="shared" si="73"/>
        <v>9.2500000000000018</v>
      </c>
      <c r="AE457" s="2314"/>
      <c r="AF457" s="2314"/>
      <c r="AG457" s="2314"/>
      <c r="AH457" s="2314"/>
      <c r="AI457" s="2314"/>
      <c r="AJ457" s="2314"/>
      <c r="AK457" s="2314"/>
      <c r="AL457" s="2314"/>
      <c r="AM457" s="2314"/>
      <c r="AN457" s="2314"/>
      <c r="AO457" s="2314"/>
      <c r="AP457" s="2314"/>
      <c r="AQ457" s="2314"/>
      <c r="AR457" s="2314"/>
    </row>
    <row r="458" spans="1:44" ht="15.75" customHeight="1">
      <c r="A458" s="3004" t="str">
        <f>_xlfn.XLOOKUP($D458,Tabla3[No.],Tabla3[PROGRAMA]," ")</f>
        <v>MDP</v>
      </c>
      <c r="B458" s="1295">
        <v>13</v>
      </c>
      <c r="C458" s="1600">
        <f>_xlfn.XLOOKUP($D458, Tabla3[No.], Tabla3[FECHA DE INICIO (PRIMERA CLASE CALENDARIO)]," ")</f>
        <v>44708</v>
      </c>
      <c r="D458" s="2098">
        <v>441</v>
      </c>
      <c r="E458" s="1602" t="str">
        <f>_xlfn.XLOOKUP($D458,  Tabla3[No.],  Tabla3[CURP], " ")</f>
        <v>MOGF800101HGT</v>
      </c>
      <c r="F458" s="1603" t="str">
        <f>_xlfn.XLOOKUP($D458,  Tabla3[No.],  Tabla3[Matrícula Of. SEQ], " ")</f>
        <v>64MDP03-11</v>
      </c>
      <c r="G458" s="1604" t="str">
        <f>IFERROR(VLOOKUP(D458,Tabla3[],5,FALSE),"")</f>
        <v>MORALES GARCIA FRANCISCO JOSUE</v>
      </c>
      <c r="H458" s="1660" t="str">
        <f t="shared" si="69"/>
        <v>H</v>
      </c>
      <c r="I458" s="1660" t="str">
        <f t="shared" si="70"/>
        <v>80</v>
      </c>
      <c r="J458" s="1660" t="str">
        <f t="shared" si="71"/>
        <v>01</v>
      </c>
      <c r="K458" s="1660" t="str">
        <f t="shared" si="72"/>
        <v>01</v>
      </c>
      <c r="L458" s="3818" t="str">
        <f>_xlfn.XLOOKUP($D458,  Tabla3[No.],  Tabla3[ESTATUS ACADÉMICO], " ")</f>
        <v>EGRESADO</v>
      </c>
      <c r="M458" s="1824" t="str">
        <f>_xlfn.XLOOKUP($D458,  Tabla3[No.],  Tabla3[Grupo de clase], " ")</f>
        <v>MDPG01</v>
      </c>
      <c r="N458" s="2120">
        <v>9</v>
      </c>
      <c r="O458" s="2120">
        <v>9</v>
      </c>
      <c r="P458" s="2012">
        <v>9.4</v>
      </c>
      <c r="Q458" s="2012">
        <v>9.3000000000000007</v>
      </c>
      <c r="R458" s="2012">
        <v>9</v>
      </c>
      <c r="S458" s="2012">
        <v>9</v>
      </c>
      <c r="T458" s="2012">
        <v>9</v>
      </c>
      <c r="U458" s="1132">
        <v>9.1999999999999993</v>
      </c>
      <c r="V458" s="2012">
        <v>9.4</v>
      </c>
      <c r="W458" s="2012">
        <v>9.4</v>
      </c>
      <c r="X458" s="1132">
        <v>9.1999999999999993</v>
      </c>
      <c r="Y458" s="1132">
        <v>9.4</v>
      </c>
      <c r="Z458" s="2012">
        <v>9.1999999999999993</v>
      </c>
      <c r="AA458" s="2012">
        <v>9.4</v>
      </c>
      <c r="AB458" s="2012">
        <v>9</v>
      </c>
      <c r="AC458" s="2996">
        <v>9.1999999999999993</v>
      </c>
      <c r="AD458" s="2998">
        <f t="shared" si="73"/>
        <v>9.1937500000000014</v>
      </c>
      <c r="AE458" s="2314"/>
      <c r="AF458" s="2314"/>
      <c r="AG458" s="2314"/>
      <c r="AH458" s="2314"/>
      <c r="AI458" s="2314"/>
      <c r="AJ458" s="2314"/>
      <c r="AK458" s="2314"/>
      <c r="AL458" s="2314"/>
      <c r="AM458" s="2314"/>
      <c r="AN458" s="2314"/>
      <c r="AO458" s="2314"/>
      <c r="AP458" s="2314"/>
      <c r="AQ458" s="2314"/>
      <c r="AR458" s="2314"/>
    </row>
    <row r="459" spans="1:44" ht="15.75" customHeight="1">
      <c r="A459" s="3004" t="str">
        <f>_xlfn.XLOOKUP($D459,Tabla3[No.],Tabla3[PROGRAMA]," ")</f>
        <v>MDP</v>
      </c>
      <c r="B459" s="2062">
        <v>14</v>
      </c>
      <c r="C459" s="2082">
        <f>_xlfn.XLOOKUP($D459, Tabla3[No.], Tabla3[FECHA DE INICIO (PRIMERA CLASE CALENDARIO)]," ")</f>
        <v>44953</v>
      </c>
      <c r="D459" s="2099">
        <v>482</v>
      </c>
      <c r="E459" s="1602" t="str">
        <f>_xlfn.XLOOKUP($D459,  Tabla3[No.],  Tabla3[CURP], " ")</f>
        <v>RATC800101HGT</v>
      </c>
      <c r="F459" s="1603" t="str">
        <f>_xlfn.XLOOKUP($D459,  Tabla3[No.],  Tabla3[Matrícula Of. SEQ], " ")</f>
        <v>64MDP03A-10</v>
      </c>
      <c r="G459" s="1604" t="str">
        <f>IFERROR(VLOOKUP(D459,Tabla3[],5,FALSE),"")</f>
        <v xml:space="preserve">RASCH TOPKE CHRISTIAN ALEXANDER ENRIQUE </v>
      </c>
      <c r="H459" s="1660" t="str">
        <f t="shared" si="69"/>
        <v>H</v>
      </c>
      <c r="I459" s="1660" t="str">
        <f t="shared" si="70"/>
        <v>80</v>
      </c>
      <c r="J459" s="1660" t="str">
        <f t="shared" si="71"/>
        <v>01</v>
      </c>
      <c r="K459" s="1660" t="str">
        <f t="shared" si="72"/>
        <v>01</v>
      </c>
      <c r="L459" s="3818" t="str">
        <f>_xlfn.XLOOKUP($D459,  Tabla3[No.],  Tabla3[ESTATUS ACADÉMICO], " ")</f>
        <v>BAJA TEMPORAL</v>
      </c>
      <c r="M459" s="1824" t="str">
        <f>_xlfn.XLOOKUP($D459,  Tabla3[No.],  Tabla3[Grupo de clase], " ")</f>
        <v>MDPG01</v>
      </c>
      <c r="N459" s="2077">
        <v>9</v>
      </c>
      <c r="O459" s="2077">
        <v>9.4</v>
      </c>
      <c r="P459" s="2077">
        <v>9</v>
      </c>
      <c r="Q459" s="2077" t="s">
        <v>135</v>
      </c>
      <c r="R459" s="2077" t="s">
        <v>136</v>
      </c>
      <c r="S459" s="2077">
        <v>9</v>
      </c>
      <c r="T459" s="2077">
        <v>9.3000000000000007</v>
      </c>
      <c r="U459" s="2077">
        <v>9.1999999999999993</v>
      </c>
      <c r="V459" s="2077">
        <v>9.4</v>
      </c>
      <c r="W459" s="2077">
        <v>9.1</v>
      </c>
      <c r="X459" s="2076">
        <v>9.1999999999999993</v>
      </c>
      <c r="Y459" s="2076">
        <v>9.4</v>
      </c>
      <c r="Z459" s="2059" t="s">
        <v>135</v>
      </c>
      <c r="AA459" s="2077" t="s">
        <v>135</v>
      </c>
      <c r="AB459" s="2059" t="s">
        <v>135</v>
      </c>
      <c r="AC459" s="2313"/>
      <c r="AD459" s="2998">
        <f t="shared" si="73"/>
        <v>9.2000000000000011</v>
      </c>
      <c r="AE459" s="2314"/>
      <c r="AF459" s="2314"/>
      <c r="AG459" s="2314"/>
      <c r="AH459" s="2314"/>
      <c r="AI459" s="2314"/>
      <c r="AJ459" s="2314"/>
      <c r="AK459" s="2314"/>
      <c r="AL459" s="2314"/>
      <c r="AM459" s="2314"/>
      <c r="AN459" s="2314"/>
      <c r="AO459" s="2314"/>
      <c r="AP459" s="2314"/>
      <c r="AQ459" s="2314"/>
      <c r="AR459" s="2314"/>
    </row>
    <row r="460" spans="1:44" ht="15.75" customHeight="1">
      <c r="A460" s="3004" t="str">
        <f>_xlfn.XLOOKUP($D460,Tabla3[No.],Tabla3[PROGRAMA]," ")</f>
        <v>MDP</v>
      </c>
      <c r="B460" s="1295">
        <v>15</v>
      </c>
      <c r="C460" s="1600">
        <f>_xlfn.XLOOKUP($D460, Tabla3[No.], Tabla3[FECHA DE INICIO (PRIMERA CLASE CALENDARIO)]," ")</f>
        <v>44809</v>
      </c>
      <c r="D460" s="2098">
        <v>456</v>
      </c>
      <c r="E460" s="1230" t="str">
        <f>_xlfn.XLOOKUP($D460,  Tabla3[No.],  Tabla3[CURP], " ")</f>
        <v>BLGA971202GGMAOD00</v>
      </c>
      <c r="F460" s="1380" t="str">
        <f>_xlfn.XLOOKUP($E460, Tabla3[CURP], Tabla3[Matrícula Of. SEQ])</f>
        <v xml:space="preserve">64MDP03B-02 </v>
      </c>
      <c r="G460" s="2048" t="str">
        <f>IFERROR(VLOOKUP(D460,Tabla3[],5,FALSE),"")</f>
        <v xml:space="preserve">BLANCO GOMEZ  ADRIANA MARIA </v>
      </c>
      <c r="H460" s="1605" t="str">
        <f t="shared" si="69"/>
        <v>G</v>
      </c>
      <c r="I460" s="1605" t="str">
        <f t="shared" si="70"/>
        <v>97</v>
      </c>
      <c r="J460" s="1605" t="str">
        <f t="shared" si="71"/>
        <v>12</v>
      </c>
      <c r="K460" s="1605" t="str">
        <f t="shared" si="72"/>
        <v>02</v>
      </c>
      <c r="L460" s="3818" t="str">
        <f>_xlfn.XLOOKUP($D460,  Tabla3[No.],  Tabla3[ESTATUS ACADÉMICO], " ")</f>
        <v>EGRESADO</v>
      </c>
      <c r="M460" s="1824" t="str">
        <f>_xlfn.XLOOKUP($D460,  Tabla3[No.],  Tabla3[Grupo de clase], " ")</f>
        <v>MDPG01</v>
      </c>
      <c r="N460" s="2121">
        <v>9.5</v>
      </c>
      <c r="O460" s="2121">
        <v>9.4</v>
      </c>
      <c r="P460" s="2121">
        <v>9.1999999999999993</v>
      </c>
      <c r="Q460" s="2121">
        <v>9.3000000000000007</v>
      </c>
      <c r="R460" s="2121">
        <v>9.1999999999999993</v>
      </c>
      <c r="S460" s="2121">
        <v>9.9</v>
      </c>
      <c r="T460" s="2122" t="s">
        <v>135</v>
      </c>
      <c r="U460" s="2123">
        <v>9.1999999999999993</v>
      </c>
      <c r="V460" s="2123">
        <v>9.1999999999999993</v>
      </c>
      <c r="W460" s="2123">
        <v>9.3000000000000007</v>
      </c>
      <c r="X460" s="1299">
        <v>9.1999999999999993</v>
      </c>
      <c r="Y460" s="1299">
        <v>9.4</v>
      </c>
      <c r="Z460" s="2123">
        <v>9.4</v>
      </c>
      <c r="AA460" s="2123">
        <v>9.4</v>
      </c>
      <c r="AB460" s="2123">
        <v>9.5</v>
      </c>
      <c r="AC460" s="2997">
        <v>9.6999999999999993</v>
      </c>
      <c r="AD460" s="2998">
        <f t="shared" si="73"/>
        <v>9.3866666666666667</v>
      </c>
      <c r="AE460" s="2314"/>
      <c r="AF460" s="2314"/>
      <c r="AG460" s="2314"/>
      <c r="AH460" s="2314"/>
      <c r="AI460" s="2314"/>
      <c r="AJ460" s="2314"/>
      <c r="AK460" s="2314"/>
      <c r="AL460" s="2314"/>
      <c r="AM460" s="2314"/>
      <c r="AN460" s="2314"/>
      <c r="AO460" s="2314"/>
      <c r="AP460" s="2314"/>
      <c r="AQ460" s="2314"/>
      <c r="AR460" s="2314"/>
    </row>
    <row r="461" spans="1:44" ht="15.75" customHeight="1">
      <c r="M461" s="700"/>
      <c r="N461" s="2124">
        <v>1</v>
      </c>
      <c r="O461" s="2124">
        <v>2</v>
      </c>
      <c r="P461" s="2124">
        <v>3</v>
      </c>
      <c r="Q461" s="2124">
        <v>4</v>
      </c>
      <c r="R461" s="2124">
        <v>5</v>
      </c>
      <c r="S461" s="2124">
        <v>6</v>
      </c>
      <c r="T461" s="2124">
        <v>7</v>
      </c>
      <c r="U461" s="2124">
        <v>8</v>
      </c>
      <c r="V461" s="2124"/>
      <c r="W461" s="2124"/>
      <c r="X461" s="2124"/>
      <c r="Y461" s="2124">
        <v>9</v>
      </c>
      <c r="Z461" s="2124">
        <v>10</v>
      </c>
      <c r="AA461" s="2124">
        <v>11</v>
      </c>
      <c r="AB461" s="2124">
        <v>12</v>
      </c>
      <c r="AC461" s="2124">
        <v>13</v>
      </c>
      <c r="AD461" s="2124">
        <v>14</v>
      </c>
      <c r="AE461" s="2124">
        <v>15</v>
      </c>
      <c r="AF461" s="2124">
        <v>16</v>
      </c>
      <c r="AG461" s="700"/>
    </row>
    <row r="462" spans="1:44" ht="15.75" customHeight="1"/>
    <row r="463" spans="1:44" ht="15.75" customHeight="1"/>
    <row r="464" spans="1:44" s="1694" customFormat="1" ht="15.75" customHeight="1">
      <c r="B464" s="4345" t="s">
        <v>4795</v>
      </c>
      <c r="C464" s="4345"/>
      <c r="D464" s="4345"/>
      <c r="E464" s="4345"/>
      <c r="L464" s="3977"/>
    </row>
    <row r="465" spans="1:28" s="1694" customFormat="1" ht="15.75" customHeight="1" thickBot="1">
      <c r="B465" s="4346"/>
      <c r="C465" s="4346"/>
      <c r="D465" s="4346"/>
      <c r="E465" s="4346"/>
      <c r="L465" s="3977"/>
    </row>
    <row r="466" spans="1:28" s="1694" customFormat="1" ht="15.75" customHeight="1" thickTop="1" thickBot="1">
      <c r="A466" s="2182"/>
      <c r="B466" s="2183"/>
      <c r="C466" s="2183"/>
      <c r="D466" s="2183"/>
      <c r="E466" s="2183"/>
      <c r="F466" s="2183"/>
      <c r="G466" s="2183"/>
      <c r="H466" s="2183"/>
      <c r="I466" s="2183"/>
      <c r="J466" s="2184"/>
      <c r="K466" s="4342" t="s">
        <v>4768</v>
      </c>
      <c r="L466" s="4344"/>
      <c r="M466" s="2183"/>
      <c r="N466" s="2183"/>
      <c r="O466" s="2183"/>
      <c r="P466" s="2183"/>
      <c r="Q466" s="2183"/>
      <c r="R466" s="2184"/>
      <c r="S466" s="4342" t="s">
        <v>4685</v>
      </c>
      <c r="T466" s="4343"/>
      <c r="U466" s="4343"/>
      <c r="V466" s="4343"/>
      <c r="W466" s="4343"/>
      <c r="X466" s="4343"/>
      <c r="Y466" s="4344"/>
      <c r="Z466" s="2183"/>
      <c r="AA466" s="2185"/>
    </row>
    <row r="467" spans="1:28" ht="21" customHeight="1" thickTop="1" thickBot="1">
      <c r="A467" s="2154"/>
      <c r="B467" s="4347" t="s">
        <v>5</v>
      </c>
      <c r="C467" s="2155"/>
      <c r="D467" s="3078"/>
      <c r="E467" s="4350" t="s">
        <v>6</v>
      </c>
      <c r="F467" s="4353" t="s">
        <v>1772</v>
      </c>
      <c r="G467" s="4356" t="s">
        <v>8</v>
      </c>
      <c r="H467" s="4359" t="s">
        <v>9</v>
      </c>
      <c r="I467" s="4321" t="s">
        <v>10</v>
      </c>
      <c r="J467" s="4322"/>
      <c r="K467" s="4323"/>
      <c r="L467" s="4329" t="s">
        <v>3551</v>
      </c>
      <c r="M467" s="4330"/>
      <c r="N467" s="2156" t="s">
        <v>4769</v>
      </c>
      <c r="O467" s="2156" t="s">
        <v>4770</v>
      </c>
      <c r="P467" s="2156" t="s">
        <v>4771</v>
      </c>
      <c r="Q467" s="2156" t="s">
        <v>4772</v>
      </c>
      <c r="R467" s="2156" t="s">
        <v>4773</v>
      </c>
      <c r="S467" s="2156" t="s">
        <v>4773</v>
      </c>
      <c r="T467" s="2156" t="s">
        <v>3558</v>
      </c>
      <c r="U467" s="2156" t="s">
        <v>4774</v>
      </c>
      <c r="V467" s="2156"/>
      <c r="W467" s="2156"/>
      <c r="X467" s="2156"/>
      <c r="Y467" s="2156" t="s">
        <v>4775</v>
      </c>
      <c r="Z467" s="2156" t="s">
        <v>4776</v>
      </c>
      <c r="AA467" s="2157" t="s">
        <v>4777</v>
      </c>
      <c r="AB467" s="2158" t="s">
        <v>4778</v>
      </c>
    </row>
    <row r="468" spans="1:28" ht="21" customHeight="1" thickTop="1" thickBot="1">
      <c r="A468" s="2153"/>
      <c r="B468" s="4348"/>
      <c r="C468" s="2155"/>
      <c r="D468" s="3078"/>
      <c r="E468" s="4351"/>
      <c r="F468" s="4354"/>
      <c r="G468" s="4357"/>
      <c r="H468" s="4360"/>
      <c r="I468" s="4324"/>
      <c r="J468" s="4254"/>
      <c r="K468" s="4325"/>
      <c r="L468" s="4329" t="s">
        <v>1149</v>
      </c>
      <c r="M468" s="4330"/>
      <c r="N468" s="1995" t="s">
        <v>3567</v>
      </c>
      <c r="O468" s="1995" t="s">
        <v>3567</v>
      </c>
      <c r="P468" s="1995" t="s">
        <v>3567</v>
      </c>
      <c r="Q468" s="1995" t="s">
        <v>3567</v>
      </c>
      <c r="R468" s="1995" t="s">
        <v>3567</v>
      </c>
      <c r="S468" s="1995" t="s">
        <v>3567</v>
      </c>
      <c r="T468" s="1995" t="s">
        <v>3567</v>
      </c>
      <c r="U468" s="1995" t="s">
        <v>3567</v>
      </c>
      <c r="V468" s="1995"/>
      <c r="W468" s="1995"/>
      <c r="X468" s="1995"/>
      <c r="Y468" s="1995" t="s">
        <v>3567</v>
      </c>
      <c r="Z468" s="1995" t="s">
        <v>3567</v>
      </c>
      <c r="AA468" s="2159" t="s">
        <v>3567</v>
      </c>
      <c r="AB468" s="1752" t="s">
        <v>3567</v>
      </c>
    </row>
    <row r="469" spans="1:28" ht="42" customHeight="1" thickTop="1" thickBot="1">
      <c r="A469" s="2160" t="s">
        <v>27</v>
      </c>
      <c r="B469" s="4348"/>
      <c r="C469" s="2153"/>
      <c r="D469" s="3079"/>
      <c r="E469" s="4352"/>
      <c r="F469" s="4355"/>
      <c r="G469" s="4358"/>
      <c r="H469" s="4360"/>
      <c r="I469" s="4326"/>
      <c r="J469" s="4327"/>
      <c r="K469" s="4328"/>
      <c r="L469" s="4329" t="s">
        <v>3568</v>
      </c>
      <c r="M469" s="4330"/>
      <c r="N469" s="2161" t="s">
        <v>3569</v>
      </c>
      <c r="O469" s="2161" t="s">
        <v>3570</v>
      </c>
      <c r="P469" s="2161" t="s">
        <v>3571</v>
      </c>
      <c r="Q469" s="2161" t="s">
        <v>4779</v>
      </c>
      <c r="R469" s="2162" t="s">
        <v>4780</v>
      </c>
      <c r="S469" s="2162" t="s">
        <v>4780</v>
      </c>
      <c r="T469" s="2162" t="s">
        <v>4781</v>
      </c>
      <c r="U469" s="2162" t="s">
        <v>4779</v>
      </c>
      <c r="V469" s="2162"/>
      <c r="W469" s="2162"/>
      <c r="X469" s="2162"/>
      <c r="Y469" s="2162" t="s">
        <v>4782</v>
      </c>
      <c r="Z469" s="2162" t="s">
        <v>4783</v>
      </c>
      <c r="AA469" s="2163" t="s">
        <v>4779</v>
      </c>
      <c r="AB469" s="2164" t="s">
        <v>4780</v>
      </c>
    </row>
    <row r="470" spans="1:28" ht="51.75" customHeight="1" thickTop="1" thickBot="1">
      <c r="A470" s="2165" t="s">
        <v>4784</v>
      </c>
      <c r="B470" s="4349"/>
      <c r="C470" s="2166" t="s">
        <v>263</v>
      </c>
      <c r="D470" s="2166"/>
      <c r="E470" s="2167" t="s">
        <v>3579</v>
      </c>
      <c r="F470" s="2168" t="s">
        <v>7</v>
      </c>
      <c r="G470" s="2169" t="s">
        <v>3580</v>
      </c>
      <c r="H470" s="4361"/>
      <c r="I470" s="1997" t="s">
        <v>79</v>
      </c>
      <c r="J470" s="1997" t="s">
        <v>80</v>
      </c>
      <c r="K470" s="1997" t="s">
        <v>81</v>
      </c>
      <c r="L470" s="3984" t="s">
        <v>1759</v>
      </c>
      <c r="M470" s="2170" t="s">
        <v>27</v>
      </c>
      <c r="N470" s="2171" t="s">
        <v>4693</v>
      </c>
      <c r="O470" s="2171" t="s">
        <v>3581</v>
      </c>
      <c r="P470" s="2171" t="s">
        <v>4785</v>
      </c>
      <c r="Q470" s="2171" t="s">
        <v>4786</v>
      </c>
      <c r="R470" s="2172" t="s">
        <v>4787</v>
      </c>
      <c r="S470" s="2172" t="s">
        <v>4788</v>
      </c>
      <c r="T470" s="2172" t="s">
        <v>4789</v>
      </c>
      <c r="U470" s="2172" t="s">
        <v>4790</v>
      </c>
      <c r="V470" s="2172"/>
      <c r="W470" s="2172"/>
      <c r="X470" s="2172"/>
      <c r="Y470" s="2172" t="s">
        <v>406</v>
      </c>
      <c r="Z470" s="2172" t="s">
        <v>4791</v>
      </c>
      <c r="AA470" s="2173" t="s">
        <v>4792</v>
      </c>
      <c r="AB470" s="2174" t="s">
        <v>4793</v>
      </c>
    </row>
    <row r="471" spans="1:28" ht="15.75" customHeight="1" thickTop="1" thickBot="1">
      <c r="A471" s="2175"/>
      <c r="B471" s="1288">
        <v>1</v>
      </c>
      <c r="C471" s="1285">
        <v>44750</v>
      </c>
      <c r="D471" s="236"/>
      <c r="E471" s="2176"/>
      <c r="F471" s="2177"/>
      <c r="G471" s="2176" t="s">
        <v>3143</v>
      </c>
      <c r="H471" s="236" t="s">
        <v>432</v>
      </c>
      <c r="I471" s="1286">
        <v>1966</v>
      </c>
      <c r="J471" s="1286">
        <v>10</v>
      </c>
      <c r="K471" s="1286">
        <v>4</v>
      </c>
      <c r="L471" s="3985" t="s">
        <v>1773</v>
      </c>
      <c r="M471" s="2178" t="s">
        <v>4784</v>
      </c>
      <c r="N471" s="1286">
        <v>9.6</v>
      </c>
      <c r="O471" s="1286">
        <v>10</v>
      </c>
      <c r="P471" s="1286">
        <v>9.6999999999999993</v>
      </c>
      <c r="Q471" s="1286">
        <v>10</v>
      </c>
      <c r="R471" s="2179">
        <v>9.6999999999999993</v>
      </c>
      <c r="S471" s="2179">
        <v>9.3000000000000007</v>
      </c>
      <c r="T471" s="2177"/>
      <c r="U471" s="2177"/>
      <c r="V471" s="2177"/>
      <c r="W471" s="2177"/>
      <c r="X471" s="2177"/>
      <c r="Y471" s="2177"/>
      <c r="Z471" s="2177"/>
      <c r="AA471" s="2177"/>
      <c r="AB471" s="2177"/>
    </row>
    <row r="472" spans="1:28" ht="15.75" customHeight="1" thickBot="1">
      <c r="A472" s="2180" t="s">
        <v>4794</v>
      </c>
      <c r="B472" s="1288">
        <v>2</v>
      </c>
      <c r="C472" s="1285">
        <v>44827</v>
      </c>
      <c r="D472" s="236">
        <v>433</v>
      </c>
      <c r="E472" s="1230" t="str">
        <f>_xlfn.XLOOKUP($D472,  Tabla3[No.],  Tabla3[CURP], " ")</f>
        <v>ARLK800101MGT</v>
      </c>
      <c r="F472" s="1380" t="str">
        <f>_xlfn.XLOOKUP($E472, Tabla3[CURP], Tabla3[Matrícula Of. SEQ])</f>
        <v>64MDP03-02</v>
      </c>
      <c r="G472" s="2048" t="str">
        <f>IFERROR(VLOOKUP(D472,Tabla3[],5,FALSE),"")</f>
        <v>ARRIOLA LOPEZ KEHILY ELVIRA</v>
      </c>
      <c r="H472" s="1605" t="str">
        <f t="shared" ref="H472:H474" si="74">MID($E472,11,1)</f>
        <v>M</v>
      </c>
      <c r="I472" s="1605" t="str">
        <f t="shared" ref="I472:I474" si="75">MID($E472,5,2)</f>
        <v>80</v>
      </c>
      <c r="J472" s="1605" t="str">
        <f t="shared" ref="J472:J474" si="76">MID($E472,7,2)</f>
        <v>01</v>
      </c>
      <c r="K472" s="1605" t="str">
        <f t="shared" ref="K472:K474" si="77">MID($E472,9,2)</f>
        <v>01</v>
      </c>
      <c r="L472" s="3818" t="str">
        <f>_xlfn.XLOOKUP($D472,  Tabla3[No.],  Tabla3[ESTATUS ACADÉMICO], " ")</f>
        <v>EGRESADO</v>
      </c>
      <c r="M472" s="1824" t="str">
        <f>_xlfn.XLOOKUP($D472,  Tabla3[No.],  Tabla3[Grupo de clase], " ")</f>
        <v>MDPG01</v>
      </c>
      <c r="N472" s="2177"/>
      <c r="O472" s="2177"/>
      <c r="P472" s="2177"/>
      <c r="Q472" s="2177"/>
      <c r="R472" s="2177"/>
      <c r="S472" s="2177"/>
      <c r="T472" s="1286">
        <v>9.9</v>
      </c>
      <c r="U472" s="2179">
        <v>9.6999999999999993</v>
      </c>
      <c r="V472" s="2179"/>
      <c r="W472" s="2179"/>
      <c r="X472" s="2179"/>
      <c r="Y472" s="2179">
        <v>9.6999999999999993</v>
      </c>
      <c r="Z472" s="2179">
        <v>9.6</v>
      </c>
      <c r="AA472" s="2179">
        <v>9.6</v>
      </c>
      <c r="AB472" s="2179">
        <v>9.4</v>
      </c>
    </row>
    <row r="473" spans="1:28" ht="15.75" customHeight="1" thickBot="1">
      <c r="A473" s="2180" t="s">
        <v>4794</v>
      </c>
      <c r="B473" s="1288">
        <v>3</v>
      </c>
      <c r="C473" s="1285">
        <v>44827</v>
      </c>
      <c r="D473" s="236">
        <v>434</v>
      </c>
      <c r="E473" s="1230" t="str">
        <f>_xlfn.XLOOKUP($D473,  Tabla3[No.],  Tabla3[CURP], " ")</f>
        <v>ARLR921007MCG</v>
      </c>
      <c r="F473" s="1380" t="str">
        <f>_xlfn.XLOOKUP($E473, Tabla3[CURP], Tabla3[Matrícula Of. SEQ])</f>
        <v>64MDP03-03</v>
      </c>
      <c r="G473" s="2048" t="str">
        <f>IFERROR(VLOOKUP(D473,Tabla3[],5,FALSE),"")</f>
        <v>ARRIOLA LOPEZ ROCKSSY GABRIELA</v>
      </c>
      <c r="H473" s="1605" t="str">
        <f t="shared" si="74"/>
        <v>M</v>
      </c>
      <c r="I473" s="1605" t="str">
        <f t="shared" si="75"/>
        <v>92</v>
      </c>
      <c r="J473" s="1605" t="str">
        <f t="shared" si="76"/>
        <v>10</v>
      </c>
      <c r="K473" s="1605" t="str">
        <f t="shared" si="77"/>
        <v>07</v>
      </c>
      <c r="L473" s="3818" t="str">
        <f>_xlfn.XLOOKUP($D473,  Tabla3[No.],  Tabla3[ESTATUS ACADÉMICO], " ")</f>
        <v>EGRESADO</v>
      </c>
      <c r="M473" s="1824" t="str">
        <f>_xlfn.XLOOKUP($D473,  Tabla3[No.],  Tabla3[Grupo de clase], " ")</f>
        <v>MDPG01</v>
      </c>
      <c r="N473" s="2177"/>
      <c r="O473" s="2177"/>
      <c r="P473" s="2177"/>
      <c r="Q473" s="2177"/>
      <c r="R473" s="2177"/>
      <c r="S473" s="2177"/>
      <c r="T473" s="1286">
        <v>9.8000000000000007</v>
      </c>
      <c r="U473" s="2179">
        <v>9.8000000000000007</v>
      </c>
      <c r="V473" s="2179"/>
      <c r="W473" s="2179"/>
      <c r="X473" s="2179"/>
      <c r="Y473" s="2179">
        <v>9.9</v>
      </c>
      <c r="Z473" s="2179">
        <v>9.9</v>
      </c>
      <c r="AA473" s="2179">
        <v>9.6999999999999993</v>
      </c>
      <c r="AB473" s="2179">
        <v>9.1999999999999993</v>
      </c>
    </row>
    <row r="474" spans="1:28" ht="15.75" customHeight="1" thickBot="1">
      <c r="A474" s="2181" t="s">
        <v>4794</v>
      </c>
      <c r="B474" s="1288">
        <v>4</v>
      </c>
      <c r="C474" s="1285">
        <v>44827</v>
      </c>
      <c r="D474" s="236">
        <v>457</v>
      </c>
      <c r="E474" s="1230" t="str">
        <f>_xlfn.XLOOKUP($D474,  Tabla3[No.],  Tabla3[CURP], " ")</f>
        <v>LOHM800101MGT</v>
      </c>
      <c r="F474" s="1380" t="str">
        <f>_xlfn.XLOOKUP($E474, Tabla3[CURP], Tabla3[Matrícula Of. SEQ])</f>
        <v>64MDP03A-07</v>
      </c>
      <c r="G474" s="2048" t="str">
        <f>IFERROR(VLOOKUP(D474,Tabla3[],5,FALSE),"")</f>
        <v>LOPEZ HERNANDEZ MILDRED AZUCENA</v>
      </c>
      <c r="H474" s="1605" t="str">
        <f t="shared" si="74"/>
        <v>M</v>
      </c>
      <c r="I474" s="1605" t="str">
        <f t="shared" si="75"/>
        <v>80</v>
      </c>
      <c r="J474" s="1605" t="str">
        <f t="shared" si="76"/>
        <v>01</v>
      </c>
      <c r="K474" s="1605" t="str">
        <f t="shared" si="77"/>
        <v>01</v>
      </c>
      <c r="L474" s="3818" t="str">
        <f>_xlfn.XLOOKUP($D474,  Tabla3[No.],  Tabla3[ESTATUS ACADÉMICO], " ")</f>
        <v>EGRESADO</v>
      </c>
      <c r="M474" s="1824" t="str">
        <f>_xlfn.XLOOKUP($D474,  Tabla3[No.],  Tabla3[Grupo de clase], " ")</f>
        <v>MDPG01</v>
      </c>
      <c r="N474" s="2177"/>
      <c r="O474" s="2177"/>
      <c r="P474" s="2177"/>
      <c r="Q474" s="2177"/>
      <c r="R474" s="2177"/>
      <c r="S474" s="2177"/>
      <c r="T474" s="1286">
        <v>9.5</v>
      </c>
      <c r="U474" s="2179">
        <v>9.6999999999999993</v>
      </c>
      <c r="V474" s="2179"/>
      <c r="W474" s="2179"/>
      <c r="X474" s="2179"/>
      <c r="Y474" s="2179">
        <v>9.6</v>
      </c>
      <c r="Z474" s="2179">
        <v>9.6</v>
      </c>
      <c r="AA474" s="2179">
        <v>9.8000000000000007</v>
      </c>
      <c r="AB474" s="2179">
        <v>9.1999999999999993</v>
      </c>
    </row>
    <row r="475" spans="1:28" ht="15.75" customHeight="1" thickBot="1">
      <c r="A475" s="2180" t="s">
        <v>4794</v>
      </c>
      <c r="B475" s="2177"/>
      <c r="C475" s="2177"/>
      <c r="D475" s="2177"/>
      <c r="E475" s="2176"/>
      <c r="F475" s="2177"/>
      <c r="G475" s="2176"/>
      <c r="H475" s="2177"/>
      <c r="I475" s="2177"/>
      <c r="J475" s="2177"/>
      <c r="K475" s="2177"/>
      <c r="L475" s="3985"/>
      <c r="M475" s="2178" t="s">
        <v>4784</v>
      </c>
      <c r="N475" s="2177"/>
      <c r="O475" s="2177"/>
      <c r="P475" s="2177"/>
      <c r="Q475" s="2177"/>
      <c r="R475" s="2177"/>
      <c r="S475" s="2177"/>
      <c r="T475" s="2177"/>
      <c r="U475" s="2177"/>
      <c r="V475" s="2177"/>
      <c r="W475" s="2177"/>
      <c r="X475" s="2177"/>
      <c r="Y475" s="2177"/>
      <c r="Z475" s="2177"/>
      <c r="AA475" s="2177"/>
      <c r="AB475" s="2177"/>
    </row>
    <row r="476" spans="1:28" ht="15.75" customHeight="1" thickBot="1">
      <c r="A476" s="2175"/>
      <c r="B476" s="2177"/>
      <c r="C476" s="2177"/>
      <c r="D476" s="2177"/>
      <c r="E476" s="2176"/>
      <c r="F476" s="2177"/>
      <c r="G476" s="2176"/>
      <c r="H476" s="2177"/>
      <c r="I476" s="2177"/>
      <c r="J476" s="2177"/>
      <c r="K476" s="2177"/>
      <c r="L476" s="3985"/>
      <c r="M476" s="2178" t="s">
        <v>4784</v>
      </c>
      <c r="N476" s="2177"/>
      <c r="O476" s="2177"/>
      <c r="P476" s="2177"/>
      <c r="Q476" s="2177"/>
      <c r="R476" s="2177"/>
      <c r="S476" s="2177"/>
      <c r="T476" s="2177"/>
      <c r="U476" s="2177"/>
      <c r="V476" s="2177"/>
      <c r="W476" s="2177"/>
      <c r="X476" s="2177"/>
      <c r="Y476" s="2177"/>
      <c r="Z476" s="2177"/>
      <c r="AA476" s="2177"/>
      <c r="AB476" s="2177"/>
    </row>
    <row r="477" spans="1:28" ht="15.75" customHeight="1" thickBot="1">
      <c r="A477" s="2175"/>
      <c r="B477" s="2177"/>
      <c r="C477" s="2177"/>
      <c r="D477" s="2177"/>
      <c r="E477" s="2177"/>
      <c r="F477" s="2177"/>
      <c r="G477" s="2177"/>
      <c r="H477" s="2177"/>
      <c r="I477" s="2177"/>
      <c r="J477" s="2177"/>
      <c r="K477" s="2177"/>
      <c r="L477" s="3985"/>
      <c r="M477" s="2178" t="s">
        <v>4784</v>
      </c>
      <c r="N477" s="2177"/>
      <c r="O477" s="2177"/>
      <c r="P477" s="2177"/>
      <c r="Q477" s="2177"/>
      <c r="R477" s="2177"/>
      <c r="S477" s="2177"/>
      <c r="T477" s="2177"/>
      <c r="U477" s="2177"/>
      <c r="V477" s="2177"/>
      <c r="W477" s="2177"/>
      <c r="X477" s="2177"/>
      <c r="Y477" s="2177"/>
      <c r="Z477" s="2177"/>
      <c r="AA477" s="2177"/>
      <c r="AB477" s="2177"/>
    </row>
    <row r="478" spans="1:28" ht="15.75" customHeight="1" thickBot="1">
      <c r="A478" s="2175"/>
      <c r="B478" s="2177"/>
      <c r="C478" s="2177"/>
      <c r="D478" s="2177"/>
      <c r="E478" s="2176"/>
      <c r="F478" s="2177"/>
      <c r="G478" s="2176"/>
      <c r="H478" s="2177"/>
      <c r="I478" s="2177"/>
      <c r="J478" s="2177"/>
      <c r="K478" s="2177"/>
      <c r="L478" s="3985"/>
      <c r="M478" s="2178" t="s">
        <v>4784</v>
      </c>
      <c r="N478" s="2177"/>
      <c r="O478" s="2177"/>
      <c r="P478" s="2177"/>
      <c r="Q478" s="2177"/>
      <c r="R478" s="2177"/>
      <c r="S478" s="2177"/>
      <c r="T478" s="2177"/>
      <c r="U478" s="2177"/>
      <c r="V478" s="2177"/>
      <c r="W478" s="2177"/>
      <c r="X478" s="2177"/>
      <c r="Y478" s="2177"/>
      <c r="Z478" s="2177"/>
      <c r="AA478" s="2177"/>
      <c r="AB478" s="2177"/>
    </row>
    <row r="479" spans="1:28" ht="15.75" customHeight="1" thickBot="1">
      <c r="A479" s="2175"/>
      <c r="B479" s="2177"/>
      <c r="C479" s="2177"/>
      <c r="D479" s="2177"/>
      <c r="E479" s="2177"/>
      <c r="F479" s="2177"/>
      <c r="G479" s="2177"/>
      <c r="H479" s="2177"/>
      <c r="I479" s="2177"/>
      <c r="J479" s="2177"/>
      <c r="K479" s="2177"/>
      <c r="L479" s="3986"/>
      <c r="M479" s="2177"/>
      <c r="N479" s="2177"/>
      <c r="O479" s="2177"/>
      <c r="P479" s="2177"/>
      <c r="Q479" s="2177"/>
      <c r="R479" s="2177"/>
      <c r="S479" s="2177"/>
      <c r="T479" s="2177"/>
      <c r="U479" s="2177"/>
      <c r="V479" s="2177"/>
      <c r="W479" s="2177"/>
      <c r="X479" s="2177"/>
      <c r="Y479" s="2177"/>
      <c r="Z479" s="2177"/>
      <c r="AA479" s="2177"/>
      <c r="AB479" s="2177"/>
    </row>
    <row r="480" spans="1:28" ht="15.75" customHeight="1" thickBot="1">
      <c r="A480" s="2175"/>
      <c r="B480" s="2177"/>
      <c r="C480" s="2177"/>
      <c r="D480" s="2177"/>
      <c r="E480" s="2177"/>
      <c r="F480" s="2177"/>
      <c r="G480" s="2177"/>
      <c r="H480" s="2177"/>
      <c r="I480" s="2177"/>
      <c r="J480" s="2177"/>
      <c r="K480" s="2177"/>
      <c r="L480" s="3986"/>
      <c r="M480" s="2177"/>
      <c r="N480" s="2177"/>
      <c r="O480" s="2177"/>
      <c r="P480" s="2177"/>
      <c r="Q480" s="2177"/>
      <c r="R480" s="2177"/>
      <c r="S480" s="2177"/>
      <c r="T480" s="2177"/>
      <c r="U480" s="2177"/>
      <c r="V480" s="2177"/>
      <c r="W480" s="2177"/>
      <c r="X480" s="2177"/>
      <c r="Y480" s="2177"/>
      <c r="Z480" s="2177"/>
      <c r="AA480" s="2177"/>
      <c r="AB480" s="2177"/>
    </row>
    <row r="481" spans="1:39" ht="15.75" customHeight="1" thickBot="1">
      <c r="A481" s="2175"/>
      <c r="B481" s="2177"/>
      <c r="C481" s="2177"/>
      <c r="D481" s="2177"/>
      <c r="E481" s="2177"/>
      <c r="F481" s="2177"/>
      <c r="G481" s="2177"/>
      <c r="H481" s="2177"/>
      <c r="I481" s="2177"/>
      <c r="J481" s="2177"/>
      <c r="K481" s="2177"/>
      <c r="L481" s="3986"/>
      <c r="M481" s="2177"/>
      <c r="N481" s="2177"/>
      <c r="O481" s="2177"/>
      <c r="P481" s="2177"/>
      <c r="Q481" s="2177"/>
      <c r="R481" s="2177"/>
      <c r="S481" s="2177"/>
      <c r="T481" s="2177"/>
      <c r="U481" s="2177"/>
      <c r="V481" s="2177"/>
      <c r="W481" s="2177"/>
      <c r="X481" s="2177"/>
      <c r="Y481" s="2177"/>
      <c r="Z481" s="2177"/>
      <c r="AA481" s="2177"/>
      <c r="AB481" s="2177"/>
    </row>
    <row r="482" spans="1:39" ht="15.75" customHeight="1" thickBot="1">
      <c r="A482" s="2175"/>
      <c r="B482" s="2177"/>
      <c r="C482" s="2177"/>
      <c r="D482" s="2177"/>
      <c r="E482" s="2177"/>
      <c r="F482" s="2177"/>
      <c r="G482" s="2177"/>
      <c r="H482" s="2177"/>
      <c r="I482" s="2177"/>
      <c r="J482" s="2177"/>
      <c r="K482" s="2177"/>
      <c r="L482" s="3986"/>
      <c r="M482" s="2177"/>
      <c r="N482" s="2177"/>
      <c r="O482" s="2177"/>
      <c r="P482" s="2177"/>
      <c r="Q482" s="2177"/>
      <c r="R482" s="2177"/>
      <c r="S482" s="2177"/>
      <c r="T482" s="2177"/>
      <c r="U482" s="2177"/>
      <c r="V482" s="2177"/>
      <c r="W482" s="2177"/>
      <c r="X482" s="2177"/>
      <c r="Y482" s="2177"/>
      <c r="Z482" s="2177"/>
      <c r="AA482" s="2177"/>
      <c r="AB482" s="2177"/>
    </row>
    <row r="483" spans="1:39" ht="15.75" customHeight="1"/>
    <row r="484" spans="1:39" ht="15.75" customHeight="1">
      <c r="A484" s="4154" t="s">
        <v>4991</v>
      </c>
      <c r="B484" s="4154"/>
      <c r="C484" s="4154"/>
      <c r="D484" s="4154"/>
      <c r="E484" s="4154"/>
      <c r="F484" s="4154"/>
      <c r="G484" s="4154"/>
      <c r="H484" s="2259"/>
      <c r="I484" s="2259"/>
      <c r="J484" s="2259"/>
      <c r="K484" s="2259"/>
      <c r="L484" s="3987"/>
      <c r="M484" s="2259"/>
      <c r="N484" s="2259"/>
      <c r="O484" s="2259"/>
      <c r="P484" s="2259"/>
      <c r="Q484" s="2259"/>
      <c r="R484" s="2259"/>
      <c r="S484" s="2259"/>
      <c r="T484" s="2259"/>
      <c r="U484" s="2259"/>
      <c r="V484" s="2259"/>
      <c r="W484" s="2259"/>
      <c r="X484" s="2259"/>
      <c r="Y484" s="2259"/>
      <c r="Z484" s="2259"/>
      <c r="AA484" s="2259"/>
      <c r="AB484" s="2259"/>
      <c r="AC484" s="2259"/>
      <c r="AD484" s="2259"/>
      <c r="AE484" s="2259"/>
      <c r="AF484" s="2259"/>
      <c r="AG484" s="2259"/>
      <c r="AH484" s="2259"/>
      <c r="AI484" s="2259"/>
      <c r="AJ484" s="2259"/>
      <c r="AK484" s="2259"/>
      <c r="AL484" s="2259"/>
      <c r="AM484" s="2259"/>
    </row>
    <row r="485" spans="1:39" ht="15.75" customHeight="1" thickBot="1">
      <c r="A485" s="4154"/>
      <c r="B485" s="4154"/>
      <c r="C485" s="4154"/>
      <c r="D485" s="4154"/>
      <c r="E485" s="4154"/>
      <c r="F485" s="4154"/>
      <c r="G485" s="4154"/>
      <c r="H485" s="2259"/>
      <c r="I485" s="2259"/>
      <c r="J485" s="2259"/>
      <c r="K485" s="2259"/>
      <c r="L485" s="3987"/>
      <c r="M485" s="2259"/>
      <c r="N485" s="2259"/>
      <c r="O485" s="2259"/>
      <c r="P485" s="2259"/>
      <c r="Q485" s="2259"/>
      <c r="R485" s="2259"/>
      <c r="S485" s="2259"/>
      <c r="T485" s="2259"/>
      <c r="U485" s="2259"/>
      <c r="V485" s="2259"/>
      <c r="W485" s="2259"/>
      <c r="X485" s="2259"/>
      <c r="Y485" s="2259"/>
      <c r="Z485" s="2259"/>
      <c r="AA485" s="2259"/>
      <c r="AB485" s="2259"/>
      <c r="AC485" s="2259"/>
      <c r="AD485" s="2259"/>
      <c r="AE485" s="2259"/>
      <c r="AF485" s="2259"/>
      <c r="AG485" s="2259"/>
      <c r="AH485" s="2259"/>
      <c r="AI485" s="2259"/>
      <c r="AJ485" s="2259"/>
      <c r="AK485" s="2259"/>
      <c r="AL485" s="2259"/>
      <c r="AM485" s="2259"/>
    </row>
    <row r="486" spans="1:39" ht="16.5" customHeight="1" thickBot="1">
      <c r="A486" s="2002"/>
      <c r="B486" s="2014"/>
      <c r="C486" s="2015" t="s">
        <v>4380</v>
      </c>
      <c r="D486" s="2000"/>
      <c r="E486" s="2000"/>
      <c r="F486" s="2000"/>
      <c r="G486" s="2000"/>
      <c r="H486" s="2000"/>
      <c r="I486" s="2000"/>
      <c r="J486" s="2002"/>
      <c r="K486" s="4187" t="s">
        <v>1149</v>
      </c>
      <c r="L486" s="4188"/>
      <c r="M486" s="700"/>
      <c r="N486" s="2016" t="s">
        <v>4381</v>
      </c>
      <c r="O486" s="2017" t="s">
        <v>4382</v>
      </c>
      <c r="P486" s="2017" t="s">
        <v>4383</v>
      </c>
      <c r="Q486" s="2017" t="s">
        <v>4406</v>
      </c>
      <c r="R486" s="2000"/>
      <c r="S486" s="2000"/>
      <c r="T486" s="2000"/>
      <c r="U486" s="2000"/>
      <c r="V486" s="2000"/>
      <c r="W486" s="2000"/>
      <c r="X486" s="2000"/>
      <c r="Y486" s="2000"/>
      <c r="Z486" s="2000"/>
      <c r="AA486" s="2000"/>
      <c r="AB486" s="2000"/>
      <c r="AC486" s="2000"/>
      <c r="AD486" s="2000"/>
      <c r="AE486" s="2000"/>
    </row>
    <row r="487" spans="1:39" ht="21" customHeight="1" thickBot="1">
      <c r="A487" s="2022"/>
      <c r="B487" s="4145" t="s">
        <v>5</v>
      </c>
      <c r="C487" s="2023" t="s">
        <v>3463</v>
      </c>
      <c r="D487" s="4178" t="s">
        <v>3866</v>
      </c>
      <c r="E487" s="4156" t="s">
        <v>6</v>
      </c>
      <c r="F487" s="4156" t="s">
        <v>7</v>
      </c>
      <c r="G487" s="4174" t="s">
        <v>8</v>
      </c>
      <c r="H487" s="4148" t="s">
        <v>10</v>
      </c>
      <c r="I487" s="4149"/>
      <c r="J487" s="4150"/>
      <c r="K487" s="4189" t="s">
        <v>4019</v>
      </c>
      <c r="L487" s="4190"/>
      <c r="M487" s="1114"/>
      <c r="N487" s="2024" t="s">
        <v>4133</v>
      </c>
      <c r="O487" s="2025" t="s">
        <v>4390</v>
      </c>
      <c r="P487" s="2025" t="s">
        <v>4391</v>
      </c>
      <c r="Q487" s="2025" t="s">
        <v>4392</v>
      </c>
      <c r="R487" s="2026" t="s">
        <v>4393</v>
      </c>
      <c r="S487" s="2026" t="s">
        <v>4394</v>
      </c>
      <c r="T487" s="2027" t="s">
        <v>4395</v>
      </c>
      <c r="U487" s="2027" t="s">
        <v>4396</v>
      </c>
      <c r="V487" s="2027"/>
      <c r="W487" s="2027"/>
      <c r="X487" s="2027"/>
      <c r="Y487" s="2027" t="s">
        <v>4397</v>
      </c>
      <c r="Z487" s="2027" t="s">
        <v>4398</v>
      </c>
      <c r="AA487" s="2027" t="s">
        <v>4399</v>
      </c>
      <c r="AB487" s="2027" t="s">
        <v>4400</v>
      </c>
      <c r="AC487" s="2027" t="s">
        <v>4401</v>
      </c>
      <c r="AD487" s="2027" t="s">
        <v>4402</v>
      </c>
      <c r="AE487" s="2028" t="s">
        <v>4403</v>
      </c>
    </row>
    <row r="488" spans="1:39" ht="40.5" customHeight="1" thickTop="1" thickBot="1">
      <c r="A488" s="2029" t="s">
        <v>27</v>
      </c>
      <c r="B488" s="4146"/>
      <c r="C488" s="1999"/>
      <c r="D488" s="4179"/>
      <c r="E488" s="4157"/>
      <c r="F488" s="4157"/>
      <c r="G488" s="4175"/>
      <c r="H488" s="4151"/>
      <c r="I488" s="4152"/>
      <c r="J488" s="4153"/>
      <c r="K488" s="4183" t="s">
        <v>3568</v>
      </c>
      <c r="L488" s="4184"/>
      <c r="M488" s="700"/>
      <c r="N488" s="1753" t="s">
        <v>4384</v>
      </c>
      <c r="O488" s="1899" t="s">
        <v>4385</v>
      </c>
      <c r="P488" s="1899" t="s">
        <v>4386</v>
      </c>
      <c r="Q488" s="1900" t="s">
        <v>4386</v>
      </c>
      <c r="R488" s="1897"/>
      <c r="S488" s="1897"/>
      <c r="T488" s="1895"/>
      <c r="U488" s="1896"/>
      <c r="V488" s="3096"/>
      <c r="W488" s="3096"/>
      <c r="X488" s="3096"/>
      <c r="Y488" s="1898"/>
      <c r="Z488" s="1895"/>
      <c r="AA488" s="1896"/>
      <c r="AB488" s="1897"/>
      <c r="AC488" s="1901"/>
      <c r="AD488" s="1902"/>
      <c r="AE488" s="2030"/>
    </row>
    <row r="489" spans="1:39" ht="47.25" customHeight="1" thickTop="1" thickBot="1">
      <c r="A489" s="2031" t="s">
        <v>3463</v>
      </c>
      <c r="B489" s="4147"/>
      <c r="C489" s="2004" t="s">
        <v>263</v>
      </c>
      <c r="D489" s="4180"/>
      <c r="E489" s="4158"/>
      <c r="F489" s="4158"/>
      <c r="G489" s="2001" t="s">
        <v>3580</v>
      </c>
      <c r="H489" s="2003" t="s">
        <v>9</v>
      </c>
      <c r="I489" s="2032" t="s">
        <v>79</v>
      </c>
      <c r="J489" s="2033" t="s">
        <v>80</v>
      </c>
      <c r="K489" s="2034" t="s">
        <v>81</v>
      </c>
      <c r="L489" s="3988" t="s">
        <v>1759</v>
      </c>
      <c r="M489" s="2035" t="s">
        <v>27</v>
      </c>
      <c r="N489" s="2036" t="s">
        <v>4387</v>
      </c>
      <c r="O489" s="2036" t="s">
        <v>4388</v>
      </c>
      <c r="P489" s="2036" t="s">
        <v>4389</v>
      </c>
      <c r="Q489" s="2037" t="s">
        <v>3593</v>
      </c>
      <c r="R489" s="2038" t="s">
        <v>4404</v>
      </c>
      <c r="S489" s="2038" t="s">
        <v>4405</v>
      </c>
      <c r="T489" s="2255" t="s">
        <v>3607</v>
      </c>
      <c r="U489" s="2255" t="s">
        <v>4823</v>
      </c>
      <c r="V489" s="3097"/>
      <c r="W489" s="3097"/>
      <c r="X489" s="3097"/>
      <c r="Y489" s="2039"/>
      <c r="Z489" s="2039"/>
      <c r="AA489" s="2040"/>
      <c r="AB489" s="2040"/>
      <c r="AC489" s="2041"/>
      <c r="AD489" s="2042"/>
      <c r="AE489" s="2043"/>
    </row>
    <row r="490" spans="1:39" ht="16.5" customHeight="1">
      <c r="A490" s="2018"/>
      <c r="B490" s="2092">
        <v>1</v>
      </c>
      <c r="C490" s="1600">
        <f>_xlfn.XLOOKUP($D490, Tabla3[No.], Tabla3[FECHA DE INICIO (PRIMERA CLASE CALENDARIO)]," ")</f>
        <v>45632</v>
      </c>
      <c r="D490" s="2044">
        <v>806</v>
      </c>
      <c r="E490" s="1230" t="str">
        <f>_xlfn.XLOOKUP($D490,  Tabla3[No.],  Tabla3[CURP], " ")</f>
        <v>HEEP821213HGT</v>
      </c>
      <c r="F490" s="1380" t="str">
        <f>_xlfn.XLOOKUP($E490, Tabla3[CURP], Tabla3[Matrícula Of. SEQ])</f>
        <v>64DD08A-04</v>
      </c>
      <c r="G490" s="2048" t="str">
        <f>IFERROR(VLOOKUP(D490,Tabla3[],5,FALSE),"")</f>
        <v>HERNANDEZ ESCOBAR PABLO MANUEL</v>
      </c>
      <c r="H490" s="1605" t="str">
        <f t="shared" ref="H490:H506" si="78">MID($E490,11,1)</f>
        <v>H</v>
      </c>
      <c r="I490" s="1605" t="str">
        <f t="shared" ref="I490:I506" si="79">MID($E490,5,2)</f>
        <v>82</v>
      </c>
      <c r="J490" s="1605" t="str">
        <f t="shared" ref="J490:J506" si="80">MID($E490,7,2)</f>
        <v>12</v>
      </c>
      <c r="K490" s="1605" t="str">
        <f t="shared" ref="K490:K506" si="81">MID($E490,9,2)</f>
        <v>13</v>
      </c>
      <c r="L490" s="3948" t="str">
        <f>_xlfn.XLOOKUP($D490,  Tabla3[No.],  Tabla3[ESTATUS ACADÉMICO], " ")</f>
        <v>VIGENTE</v>
      </c>
      <c r="M490" s="2060" t="str">
        <f>_xlfn.XLOOKUP($D490,  Tabla3[No.],  Tabla3[Grupo de clase], " ")</f>
        <v>DD08BGT</v>
      </c>
      <c r="N490" s="2019">
        <v>9.1999999999999993</v>
      </c>
      <c r="O490" s="2019">
        <v>9.4</v>
      </c>
      <c r="P490" s="2019">
        <v>9.3000000000000007</v>
      </c>
      <c r="Q490" s="2020">
        <v>9.4</v>
      </c>
      <c r="R490" s="2021"/>
      <c r="S490" s="2021"/>
      <c r="T490" s="2021"/>
      <c r="U490" s="2021"/>
      <c r="V490" s="2021"/>
      <c r="W490" s="2021"/>
      <c r="X490" s="2021"/>
      <c r="Y490" s="2021"/>
      <c r="Z490" s="2021"/>
      <c r="AA490" s="2021"/>
      <c r="AB490" s="2021"/>
      <c r="AC490" s="2021"/>
      <c r="AD490" s="2021"/>
      <c r="AE490" s="2021"/>
    </row>
    <row r="491" spans="1:39" ht="16.5" customHeight="1">
      <c r="A491" s="1904"/>
      <c r="B491" s="2093">
        <v>2</v>
      </c>
      <c r="C491" s="1600">
        <f>_xlfn.XLOOKUP($D491, Tabla3[No.], Tabla3[FECHA DE INICIO (PRIMERA CLASE CALENDARIO)]," ")</f>
        <v>45017</v>
      </c>
      <c r="D491" s="2045">
        <v>528</v>
      </c>
      <c r="E491" s="1230" t="str">
        <f>_xlfn.XLOOKUP($D491,  Tabla3[No.],  Tabla3[CURP], " ")</f>
        <v>ESHM780728MGGTEA00</v>
      </c>
      <c r="F491" s="1380" t="str">
        <f>_xlfn.XLOOKUP($E491, Tabla3[CURP], Tabla3[Matrícula Of. SEQ])</f>
        <v>64MDP03B-01</v>
      </c>
      <c r="G491" s="2048" t="str">
        <f>IFERROR(VLOOKUP(D491,Tabla3[],5,FALSE),"")</f>
        <v>ESTRADA HERNANDEZ MARIA BEATRIZ</v>
      </c>
      <c r="H491" s="1605" t="str">
        <f t="shared" si="78"/>
        <v>M</v>
      </c>
      <c r="I491" s="1605" t="str">
        <f t="shared" si="79"/>
        <v>78</v>
      </c>
      <c r="J491" s="1605" t="str">
        <f t="shared" si="80"/>
        <v>07</v>
      </c>
      <c r="K491" s="1605" t="str">
        <f t="shared" si="81"/>
        <v>28</v>
      </c>
      <c r="L491" s="3948" t="str">
        <f>_xlfn.XLOOKUP($D491,  Tabla3[No.],  Tabla3[ESTATUS ACADÉMICO], " ")</f>
        <v>EGRESADO</v>
      </c>
      <c r="M491" s="2060" t="str">
        <f>_xlfn.XLOOKUP($D491,  Tabla3[No.],  Tabla3[Grupo de clase], " ")</f>
        <v>MDPG02</v>
      </c>
      <c r="N491" s="1132">
        <v>9.1999999999999993</v>
      </c>
      <c r="O491" s="1132">
        <v>9.4</v>
      </c>
      <c r="P491" s="1132">
        <v>9.3000000000000007</v>
      </c>
      <c r="Q491" s="2005">
        <v>9.4</v>
      </c>
      <c r="R491" s="1957"/>
      <c r="S491" s="1957"/>
      <c r="T491" s="1957"/>
      <c r="U491" s="1957"/>
      <c r="V491" s="1957"/>
      <c r="W491" s="1957"/>
      <c r="X491" s="1957"/>
      <c r="Y491" s="1957"/>
      <c r="Z491" s="1957"/>
      <c r="AA491" s="1957"/>
      <c r="AB491" s="1957"/>
      <c r="AC491" s="1957"/>
      <c r="AD491" s="1957"/>
      <c r="AE491" s="1957"/>
    </row>
    <row r="492" spans="1:39" ht="16.5" customHeight="1">
      <c r="A492" s="1904"/>
      <c r="B492" s="2093">
        <v>3</v>
      </c>
      <c r="C492" s="1600">
        <f>_xlfn.XLOOKUP($D492, Tabla3[No.], Tabla3[FECHA DE INICIO (PRIMERA CLASE CALENDARIO)]," ")</f>
        <v>45065</v>
      </c>
      <c r="D492" s="2045">
        <v>537</v>
      </c>
      <c r="E492" s="1230" t="str">
        <f>_xlfn.XLOOKUP($D492,  Tabla3[No.],  Tabla3[CURP], " ")</f>
        <v>AALL820829MCG00</v>
      </c>
      <c r="F492" s="1380" t="str">
        <f>_xlfn.XLOOKUP($E492, Tabla3[CURP], Tabla3[Matrícula Of. SEQ])</f>
        <v>64MDP03B2-01</v>
      </c>
      <c r="G492" s="2048" t="str">
        <f>IFERROR(VLOOKUP(D492,Tabla3[],5,FALSE),"")</f>
        <v>AVILA LARA LUISA MARIA</v>
      </c>
      <c r="H492" s="1605" t="str">
        <f t="shared" si="78"/>
        <v>M</v>
      </c>
      <c r="I492" s="1605" t="str">
        <f t="shared" si="79"/>
        <v>82</v>
      </c>
      <c r="J492" s="1605" t="str">
        <f t="shared" si="80"/>
        <v>08</v>
      </c>
      <c r="K492" s="1605" t="str">
        <f t="shared" si="81"/>
        <v>29</v>
      </c>
      <c r="L492" s="3948" t="str">
        <f>_xlfn.XLOOKUP($D492,  Tabla3[No.],  Tabla3[ESTATUS ACADÉMICO], " ")</f>
        <v>EGRESADO</v>
      </c>
      <c r="M492" s="2060" t="str">
        <f>_xlfn.XLOOKUP($D492,  Tabla3[No.],  Tabla3[Grupo de clase], " ")</f>
        <v>MDPG03</v>
      </c>
      <c r="N492" s="1132">
        <v>9.1999999999999993</v>
      </c>
      <c r="O492" s="1132">
        <v>9.4</v>
      </c>
      <c r="P492" s="1132">
        <v>9.3000000000000007</v>
      </c>
      <c r="Q492" s="2005">
        <v>9.4</v>
      </c>
      <c r="R492" s="1957"/>
      <c r="S492" s="1957"/>
      <c r="T492" s="1957"/>
      <c r="U492" s="1957"/>
      <c r="V492" s="1957"/>
      <c r="W492" s="1957"/>
      <c r="X492" s="1957"/>
      <c r="Y492" s="1957"/>
      <c r="Z492" s="1957"/>
      <c r="AA492" s="1957"/>
      <c r="AB492" s="1957"/>
      <c r="AC492" s="1957"/>
      <c r="AD492" s="1957"/>
      <c r="AE492" s="1957"/>
    </row>
    <row r="493" spans="1:39" ht="16.5" customHeight="1">
      <c r="A493" s="1904"/>
      <c r="B493" s="2093">
        <v>4</v>
      </c>
      <c r="C493" s="1600">
        <f>_xlfn.XLOOKUP($D493, Tabla3[No.], Tabla3[FECHA DE INICIO (PRIMERA CLASE CALENDARIO)]," ")</f>
        <v>45632</v>
      </c>
      <c r="D493" s="2045">
        <v>804</v>
      </c>
      <c r="E493" s="1230" t="str">
        <f>_xlfn.XLOOKUP($D493,  Tabla3[No.],  Tabla3[CURP], " ")</f>
        <v>HELJ841106HGT</v>
      </c>
      <c r="F493" s="1380" t="str">
        <f>_xlfn.XLOOKUP($E493, Tabla3[CURP], Tabla3[Matrícula Of. SEQ])</f>
        <v>64DD08A-03</v>
      </c>
      <c r="G493" s="2048" t="str">
        <f>IFERROR(VLOOKUP(D493,Tabla3[],5,FALSE),"")</f>
        <v>HERNANDEZ DE LEON JOSUE DAVID</v>
      </c>
      <c r="H493" s="1605" t="str">
        <f t="shared" si="78"/>
        <v>H</v>
      </c>
      <c r="I493" s="1605" t="str">
        <f t="shared" si="79"/>
        <v>84</v>
      </c>
      <c r="J493" s="1605" t="str">
        <f t="shared" si="80"/>
        <v>11</v>
      </c>
      <c r="K493" s="1605" t="str">
        <f t="shared" si="81"/>
        <v>06</v>
      </c>
      <c r="L493" s="3948" t="str">
        <f>_xlfn.XLOOKUP($D493,  Tabla3[No.],  Tabla3[ESTATUS ACADÉMICO], " ")</f>
        <v>VIGENTE</v>
      </c>
      <c r="M493" s="2060" t="str">
        <f>_xlfn.XLOOKUP($D493,  Tabla3[No.],  Tabla3[Grupo de clase], " ")</f>
        <v>DD08BGT</v>
      </c>
      <c r="N493" s="1132">
        <v>9.1999999999999993</v>
      </c>
      <c r="O493" s="1132">
        <v>9.4</v>
      </c>
      <c r="P493" s="1132">
        <v>9.3000000000000007</v>
      </c>
      <c r="Q493" s="2005">
        <v>9.4</v>
      </c>
      <c r="R493" s="1957"/>
      <c r="S493" s="1957"/>
      <c r="T493" s="1957"/>
      <c r="U493" s="1957"/>
      <c r="V493" s="1957"/>
      <c r="W493" s="1957"/>
      <c r="X493" s="1957"/>
      <c r="Y493" s="1957"/>
      <c r="Z493" s="1957"/>
      <c r="AA493" s="1957"/>
      <c r="AB493" s="1957"/>
      <c r="AC493" s="1957"/>
      <c r="AD493" s="1957"/>
      <c r="AE493" s="1957"/>
    </row>
    <row r="494" spans="1:39" ht="16.5" customHeight="1">
      <c r="A494" s="1904"/>
      <c r="B494" s="2093">
        <v>5</v>
      </c>
      <c r="C494" s="1600">
        <f>_xlfn.XLOOKUP($D494, Tabla3[No.], Tabla3[FECHA DE INICIO (PRIMERA CLASE CALENDARIO)]," ")</f>
        <v>45632</v>
      </c>
      <c r="D494" s="2045">
        <v>810</v>
      </c>
      <c r="E494" s="1230" t="str">
        <f>_xlfn.XLOOKUP($D494,  Tabla3[No.],  Tabla3[CURP], " ")</f>
        <v>KIAE700414HGT</v>
      </c>
      <c r="F494" s="1380" t="str">
        <f>_xlfn.XLOOKUP($E494, Tabla3[CURP], Tabla3[Matrícula Of. SEQ])</f>
        <v>64MDP03B3-03</v>
      </c>
      <c r="G494" s="2048" t="str">
        <f>IFERROR(VLOOKUP(D494,Tabla3[],5,FALSE),"")</f>
        <v>KIESLING ALVARADO ERVIN HERMAN</v>
      </c>
      <c r="H494" s="1605" t="str">
        <f t="shared" si="78"/>
        <v>H</v>
      </c>
      <c r="I494" s="1605" t="str">
        <f t="shared" si="79"/>
        <v>70</v>
      </c>
      <c r="J494" s="1605" t="str">
        <f t="shared" si="80"/>
        <v>04</v>
      </c>
      <c r="K494" s="1605" t="str">
        <f t="shared" si="81"/>
        <v>14</v>
      </c>
      <c r="L494" s="3948" t="str">
        <f>_xlfn.XLOOKUP($D494,  Tabla3[No.],  Tabla3[ESTATUS ACADÉMICO], " ")</f>
        <v>VIGENTE</v>
      </c>
      <c r="M494" s="2060" t="str">
        <f>_xlfn.XLOOKUP($D494,  Tabla3[No.],  Tabla3[Grupo de clase], " ")</f>
        <v>DD08BGT</v>
      </c>
      <c r="N494" s="1132">
        <v>9.1999999999999993</v>
      </c>
      <c r="O494" s="1132">
        <v>9.4</v>
      </c>
      <c r="P494" s="1132">
        <v>9.3000000000000007</v>
      </c>
      <c r="Q494" s="2005">
        <v>9.4</v>
      </c>
      <c r="R494" s="1957"/>
      <c r="S494" s="1957"/>
      <c r="T494" s="1957"/>
      <c r="U494" s="1957"/>
      <c r="V494" s="1957"/>
      <c r="W494" s="1957"/>
      <c r="X494" s="1957"/>
      <c r="Y494" s="1957"/>
      <c r="Z494" s="1957"/>
      <c r="AA494" s="1957"/>
      <c r="AB494" s="1957"/>
      <c r="AC494" s="1957"/>
      <c r="AD494" s="1957"/>
      <c r="AE494" s="1957"/>
    </row>
    <row r="495" spans="1:39" ht="16.5" customHeight="1">
      <c r="A495" s="1904"/>
      <c r="B495" s="2093">
        <v>6</v>
      </c>
      <c r="C495" s="1600">
        <f>_xlfn.XLOOKUP($D495, Tabla3[No.], Tabla3[FECHA DE INICIO (PRIMERA CLASE CALENDARIO)]," ")</f>
        <v>45065</v>
      </c>
      <c r="D495" s="2045">
        <v>538</v>
      </c>
      <c r="E495" s="1230" t="str">
        <f>_xlfn.XLOOKUP($D495,  Tabla3[No.],  Tabla3[CURP], " ")</f>
        <v>LASE850329MGT</v>
      </c>
      <c r="F495" s="1380" t="str">
        <f>_xlfn.XLOOKUP($E495, Tabla3[CURP], Tabla3[Matrícula Of. SEQ])</f>
        <v>64MDP03B2-08</v>
      </c>
      <c r="G495" s="2048" t="str">
        <f>IFERROR(VLOOKUP(D495,Tabla3[],5,FALSE),"")</f>
        <v>LARA STEPHANIE</v>
      </c>
      <c r="H495" s="1605" t="str">
        <f t="shared" si="78"/>
        <v>M</v>
      </c>
      <c r="I495" s="1605" t="str">
        <f t="shared" si="79"/>
        <v>85</v>
      </c>
      <c r="J495" s="1605" t="str">
        <f t="shared" si="80"/>
        <v>03</v>
      </c>
      <c r="K495" s="1605" t="str">
        <f t="shared" si="81"/>
        <v>29</v>
      </c>
      <c r="L495" s="3948" t="str">
        <f>_xlfn.XLOOKUP($D495,  Tabla3[No.],  Tabla3[ESTATUS ACADÉMICO], " ")</f>
        <v>VIGENTE</v>
      </c>
      <c r="M495" s="2060" t="str">
        <f>_xlfn.XLOOKUP($D495,  Tabla3[No.],  Tabla3[Grupo de clase], " ")</f>
        <v>MDPG03</v>
      </c>
      <c r="N495" s="1132">
        <v>9.1999999999999993</v>
      </c>
      <c r="O495" s="1132">
        <v>9.4</v>
      </c>
      <c r="P495" s="1132">
        <v>9.3000000000000007</v>
      </c>
      <c r="Q495" s="2005">
        <v>9.4</v>
      </c>
      <c r="R495" s="1957"/>
      <c r="S495" s="1957"/>
      <c r="T495" s="1957"/>
      <c r="U495" s="1957"/>
      <c r="V495" s="1957"/>
      <c r="W495" s="1957"/>
      <c r="X495" s="1957"/>
      <c r="Y495" s="1957"/>
      <c r="Z495" s="1957"/>
      <c r="AA495" s="1957"/>
      <c r="AB495" s="1957"/>
      <c r="AC495" s="1957"/>
      <c r="AD495" s="1957"/>
      <c r="AE495" s="1957"/>
    </row>
    <row r="496" spans="1:39" ht="16.5" customHeight="1">
      <c r="A496" s="1904"/>
      <c r="B496" s="2093">
        <v>7</v>
      </c>
      <c r="C496" s="1600">
        <f>_xlfn.XLOOKUP($D496, Tabla3[No.], Tabla3[FECHA DE INICIO (PRIMERA CLASE CALENDARIO)]," ")</f>
        <v>45065</v>
      </c>
      <c r="D496" s="2045">
        <v>532</v>
      </c>
      <c r="E496" s="1230" t="str">
        <f>_xlfn.XLOOKUP($D496,  Tabla3[No.],  Tabla3[CURP], " ")</f>
        <v>MAPJ780503HGGRRAU00</v>
      </c>
      <c r="F496" s="1380" t="str">
        <f>_xlfn.XLOOKUP($E496, Tabla3[CURP], Tabla3[Matrícula Of. SEQ])</f>
        <v>64MDP03B2-10</v>
      </c>
      <c r="G496" s="2048" t="str">
        <f>IFERROR(VLOOKUP(D496,Tabla3[],5,FALSE),"")</f>
        <v>MARTINEZ PAREDES JUAN ALBERTO</v>
      </c>
      <c r="H496" s="1605" t="str">
        <f t="shared" si="78"/>
        <v>H</v>
      </c>
      <c r="I496" s="1605" t="str">
        <f t="shared" si="79"/>
        <v>78</v>
      </c>
      <c r="J496" s="1605" t="str">
        <f t="shared" si="80"/>
        <v>05</v>
      </c>
      <c r="K496" s="1605" t="str">
        <f t="shared" si="81"/>
        <v>03</v>
      </c>
      <c r="L496" s="3948" t="str">
        <f>_xlfn.XLOOKUP($D496,  Tabla3[No.],  Tabla3[ESTATUS ACADÉMICO], " ")</f>
        <v>EGRESADO</v>
      </c>
      <c r="M496" s="2060" t="str">
        <f>_xlfn.XLOOKUP($D496,  Tabla3[No.],  Tabla3[Grupo de clase], " ")</f>
        <v>MDPG03</v>
      </c>
      <c r="N496" s="1132">
        <v>9.1999999999999993</v>
      </c>
      <c r="O496" s="1132">
        <v>9.4</v>
      </c>
      <c r="P496" s="1132">
        <v>9.3000000000000007</v>
      </c>
      <c r="Q496" s="2005">
        <v>9.4</v>
      </c>
      <c r="R496" s="1957"/>
      <c r="S496" s="1957"/>
      <c r="T496" s="1957"/>
      <c r="U496" s="1957"/>
      <c r="V496" s="1957"/>
      <c r="W496" s="1957"/>
      <c r="X496" s="1957"/>
      <c r="Y496" s="1957"/>
      <c r="Z496" s="1957"/>
      <c r="AA496" s="1957"/>
      <c r="AB496" s="1957"/>
      <c r="AC496" s="1957"/>
      <c r="AD496" s="1957"/>
      <c r="AE496" s="1957"/>
    </row>
    <row r="497" spans="1:31" ht="16.5" customHeight="1">
      <c r="A497" s="1904"/>
      <c r="B497" s="2093">
        <v>8</v>
      </c>
      <c r="C497" s="1600">
        <f>_xlfn.XLOOKUP($D497, Tabla3[No.], Tabla3[FECHA DE INICIO (PRIMERA CLASE CALENDARIO)]," ")</f>
        <v>45065</v>
      </c>
      <c r="D497" s="2045">
        <v>542</v>
      </c>
      <c r="E497" s="1602" t="str">
        <f>_xlfn.XLOOKUP($D497,  Tabla3[No.],  Tabla3[CURP], " ")</f>
        <v>MEAJ800101HGT</v>
      </c>
      <c r="F497" s="1603" t="str">
        <f>_xlfn.XLOOKUP($D497,  Tabla3[No.],  Tabla3[Matrícula Of. SEQ], " ")</f>
        <v>64MDP03B3-04</v>
      </c>
      <c r="G497" s="1604" t="str">
        <f>IFERROR(VLOOKUP(D497,Tabla3[],5,FALSE),"")</f>
        <v>MENDEZ AGUILAR JHONNATAN ESAU</v>
      </c>
      <c r="H497" s="1660" t="str">
        <f>MID($E497,11,1)</f>
        <v>H</v>
      </c>
      <c r="I497" s="1660" t="str">
        <f>MID($E497,5,2)</f>
        <v>80</v>
      </c>
      <c r="J497" s="1660" t="str">
        <f>MID($E497,7,2)</f>
        <v>01</v>
      </c>
      <c r="K497" s="1660" t="str">
        <f>MID($E497,9,2)</f>
        <v>01</v>
      </c>
      <c r="L497" s="3818" t="str">
        <f>_xlfn.XLOOKUP($D497,  Tabla3[No.],  Tabla3[ESTATUS ACADÉMICO], " ")</f>
        <v>EGRESADO</v>
      </c>
      <c r="M497" s="1824" t="str">
        <f>_xlfn.XLOOKUP($D497,  Tabla3[No.],  Tabla3[Grupo de clase], " ")</f>
        <v>MDPG03</v>
      </c>
      <c r="N497" s="1132">
        <v>9.1999999999999993</v>
      </c>
      <c r="O497" s="1132">
        <v>9.4</v>
      </c>
      <c r="P497" s="1132">
        <v>9.3000000000000007</v>
      </c>
      <c r="Q497" s="2005">
        <v>9.4</v>
      </c>
      <c r="R497" s="1957"/>
      <c r="S497" s="1957"/>
      <c r="T497" s="1957"/>
      <c r="U497" s="1957"/>
      <c r="V497" s="1957"/>
      <c r="W497" s="1957"/>
      <c r="X497" s="1957"/>
      <c r="Y497" s="1957"/>
      <c r="Z497" s="1957"/>
      <c r="AA497" s="1957"/>
      <c r="AB497" s="1957"/>
      <c r="AC497" s="1957"/>
      <c r="AD497" s="1957"/>
      <c r="AE497" s="1957"/>
    </row>
    <row r="498" spans="1:31" ht="16.5" customHeight="1">
      <c r="A498" s="1904"/>
      <c r="B498" s="2093">
        <v>9</v>
      </c>
      <c r="C498" s="1600">
        <f>_xlfn.XLOOKUP($D498, Tabla3[No.], Tabla3[FECHA DE INICIO (PRIMERA CLASE CALENDARIO)]," ")</f>
        <v>45065</v>
      </c>
      <c r="D498" s="2045">
        <v>533</v>
      </c>
      <c r="E498" s="1230" t="str">
        <f>_xlfn.XLOOKUP($D498,  Tabla3[No.],  Tabla3[CURP], " ")</f>
        <v>MERD871008HCGG00</v>
      </c>
      <c r="F498" s="1380" t="str">
        <f>_xlfn.XLOOKUP($E498, Tabla3[CURP], Tabla3[Matrícula Of. SEQ])</f>
        <v>64MDP03B2-11</v>
      </c>
      <c r="G498" s="2048" t="str">
        <f>IFERROR(VLOOKUP(D498,Tabla3[],5,FALSE),"")</f>
        <v>MENDOZA RACANCOJ DANY JONATAN</v>
      </c>
      <c r="H498" s="1605" t="str">
        <f t="shared" si="78"/>
        <v>H</v>
      </c>
      <c r="I498" s="1605" t="str">
        <f t="shared" si="79"/>
        <v>87</v>
      </c>
      <c r="J498" s="1605" t="str">
        <f t="shared" si="80"/>
        <v>10</v>
      </c>
      <c r="K498" s="1605" t="str">
        <f t="shared" si="81"/>
        <v>08</v>
      </c>
      <c r="L498" s="3948" t="str">
        <f>_xlfn.XLOOKUP($D498,  Tabla3[No.],  Tabla3[ESTATUS ACADÉMICO], " ")</f>
        <v>EGRESADO</v>
      </c>
      <c r="M498" s="2060" t="str">
        <f>_xlfn.XLOOKUP($D498,  Tabla3[No.],  Tabla3[Grupo de clase], " ")</f>
        <v>MDPG03</v>
      </c>
      <c r="N498" s="1132">
        <v>9.1999999999999993</v>
      </c>
      <c r="O498" s="1132">
        <v>9.4</v>
      </c>
      <c r="P498" s="1132">
        <v>9.3000000000000007</v>
      </c>
      <c r="Q498" s="2005">
        <v>9.4</v>
      </c>
      <c r="R498" s="1957"/>
      <c r="S498" s="1957"/>
      <c r="T498" s="1957"/>
      <c r="U498" s="1957"/>
      <c r="V498" s="1957"/>
      <c r="W498" s="1957"/>
      <c r="X498" s="1957"/>
      <c r="Y498" s="1957"/>
      <c r="Z498" s="1957"/>
      <c r="AA498" s="1957"/>
      <c r="AB498" s="1957"/>
      <c r="AC498" s="1957"/>
      <c r="AD498" s="1957"/>
      <c r="AE498" s="1957"/>
    </row>
    <row r="499" spans="1:31" ht="16.5" customHeight="1">
      <c r="A499" s="1904"/>
      <c r="B499" s="2093">
        <v>10</v>
      </c>
      <c r="C499" s="1600">
        <f>_xlfn.XLOOKUP($D499, Tabla3[No.], Tabla3[FECHA DE INICIO (PRIMERA CLASE CALENDARIO)]," ")</f>
        <v>45632</v>
      </c>
      <c r="D499" s="2045">
        <v>808</v>
      </c>
      <c r="E499" s="1230" t="str">
        <f>_xlfn.XLOOKUP($D499,  Tabla3[No.],  Tabla3[CURP], " ")</f>
        <v>RIMH840407HGT</v>
      </c>
      <c r="F499" s="1380" t="str">
        <f>_xlfn.XLOOKUP($E499, Tabla3[CURP], Tabla3[Matrícula Of. SEQ])</f>
        <v>64DD08A-10</v>
      </c>
      <c r="G499" s="2048" t="str">
        <f>IFERROR(VLOOKUP(D499,Tabla3[],5,FALSE),"")</f>
        <v>RIVERA MEDINA HECTOR EDGARDO</v>
      </c>
      <c r="H499" s="1605" t="str">
        <f t="shared" si="78"/>
        <v>H</v>
      </c>
      <c r="I499" s="1605" t="str">
        <f t="shared" si="79"/>
        <v>84</v>
      </c>
      <c r="J499" s="1605" t="str">
        <f t="shared" si="80"/>
        <v>04</v>
      </c>
      <c r="K499" s="1605" t="str">
        <f t="shared" si="81"/>
        <v>07</v>
      </c>
      <c r="L499" s="3948" t="str">
        <f>_xlfn.XLOOKUP($D499,  Tabla3[No.],  Tabla3[ESTATUS ACADÉMICO], " ")</f>
        <v>VIGENTE</v>
      </c>
      <c r="M499" s="2060" t="str">
        <f>_xlfn.XLOOKUP($D499,  Tabla3[No.],  Tabla3[Grupo de clase], " ")</f>
        <v>DD08BGT</v>
      </c>
      <c r="N499" s="1132">
        <v>9.1999999999999993</v>
      </c>
      <c r="O499" s="1132">
        <v>9.4</v>
      </c>
      <c r="P499" s="1132">
        <v>9.3000000000000007</v>
      </c>
      <c r="Q499" s="2005">
        <v>9.4</v>
      </c>
      <c r="R499" s="1957"/>
      <c r="S499" s="1957"/>
      <c r="T499" s="1957"/>
      <c r="U499" s="1957"/>
      <c r="V499" s="1957"/>
      <c r="W499" s="1957"/>
      <c r="X499" s="1957"/>
      <c r="Y499" s="1957"/>
      <c r="Z499" s="1957"/>
      <c r="AA499" s="1957"/>
      <c r="AB499" s="1957"/>
      <c r="AC499" s="1957"/>
      <c r="AD499" s="1957"/>
      <c r="AE499" s="1957"/>
    </row>
    <row r="500" spans="1:31" ht="16.5" customHeight="1">
      <c r="A500" s="1904"/>
      <c r="B500" s="2093">
        <v>11</v>
      </c>
      <c r="C500" s="1600">
        <f>_xlfn.XLOOKUP($D500, Tabla3[No.], Tabla3[FECHA DE INICIO (PRIMERA CLASE CALENDARIO)]," ")</f>
        <v>45065</v>
      </c>
      <c r="D500" s="2045">
        <v>534</v>
      </c>
      <c r="E500" s="1230" t="str">
        <f>_xlfn.XLOOKUP($D500,  Tabla3[No.],  Tabla3[CURP], " ")</f>
        <v>ROGJ871008HCGCU00</v>
      </c>
      <c r="F500" s="1380" t="str">
        <f>_xlfn.XLOOKUP($E500, Tabla3[CURP], Tabla3[Matrícula Of. SEQ])</f>
        <v>64MDP03B2-14</v>
      </c>
      <c r="G500" s="2048" t="str">
        <f>IFERROR(VLOOKUP(D500,Tabla3[],5,FALSE),"")</f>
        <v>ROCA GUINEA JOSE FERNANDO</v>
      </c>
      <c r="H500" s="1605" t="str">
        <f t="shared" si="78"/>
        <v>H</v>
      </c>
      <c r="I500" s="1605" t="str">
        <f t="shared" si="79"/>
        <v>87</v>
      </c>
      <c r="J500" s="1605" t="str">
        <f t="shared" si="80"/>
        <v>10</v>
      </c>
      <c r="K500" s="1605" t="str">
        <f t="shared" si="81"/>
        <v>08</v>
      </c>
      <c r="L500" s="3948" t="str">
        <f>_xlfn.XLOOKUP($D500,  Tabla3[No.],  Tabla3[ESTATUS ACADÉMICO], " ")</f>
        <v>EGRESADO</v>
      </c>
      <c r="M500" s="2060" t="str">
        <f>_xlfn.XLOOKUP($D500,  Tabla3[No.],  Tabla3[Grupo de clase], " ")</f>
        <v>MDPG03</v>
      </c>
      <c r="N500" s="1132">
        <v>9.1999999999999993</v>
      </c>
      <c r="O500" s="1132">
        <v>9.4</v>
      </c>
      <c r="P500" s="1132">
        <v>9.3000000000000007</v>
      </c>
      <c r="Q500" s="2005">
        <v>9.4</v>
      </c>
      <c r="R500" s="1957"/>
      <c r="S500" s="1957"/>
      <c r="T500" s="1957"/>
      <c r="U500" s="1957"/>
      <c r="V500" s="1957"/>
      <c r="W500" s="1957"/>
      <c r="X500" s="1957"/>
      <c r="Y500" s="1957"/>
      <c r="Z500" s="1957"/>
      <c r="AA500" s="1957"/>
      <c r="AB500" s="1957"/>
      <c r="AC500" s="1957"/>
      <c r="AD500" s="1957"/>
      <c r="AE500" s="1957"/>
    </row>
    <row r="501" spans="1:31" ht="16.5" customHeight="1">
      <c r="A501" s="1904"/>
      <c r="B501" s="2093">
        <v>12</v>
      </c>
      <c r="C501" s="1600">
        <f>_xlfn.XLOOKUP($D501, Tabla3[No.], Tabla3[FECHA DE INICIO (PRIMERA CLASE CALENDARIO)]," ")</f>
        <v>45065</v>
      </c>
      <c r="D501" s="2045">
        <v>535</v>
      </c>
      <c r="E501" s="1230" t="str">
        <f>_xlfn.XLOOKUP($D501,  Tabla3[No.],  Tabla3[CURP], " ")</f>
        <v>VIGJ770412HGGLOO00</v>
      </c>
      <c r="F501" s="1380" t="str">
        <f>_xlfn.XLOOKUP($E501, Tabla3[CURP], Tabla3[Matrícula Of. SEQ])</f>
        <v>64MDP03B2-17</v>
      </c>
      <c r="G501" s="2048" t="str">
        <f>IFERROR(VLOOKUP(D501,Tabla3[],5,FALSE),"")</f>
        <v>VILLATORO GONZALEZ JONATHAN STEVE</v>
      </c>
      <c r="H501" s="1605" t="str">
        <f t="shared" si="78"/>
        <v>H</v>
      </c>
      <c r="I501" s="1605" t="str">
        <f t="shared" si="79"/>
        <v>77</v>
      </c>
      <c r="J501" s="1605" t="str">
        <f t="shared" si="80"/>
        <v>04</v>
      </c>
      <c r="K501" s="1605" t="str">
        <f t="shared" si="81"/>
        <v>12</v>
      </c>
      <c r="L501" s="3948" t="str">
        <f>_xlfn.XLOOKUP($D501,  Tabla3[No.],  Tabla3[ESTATUS ACADÉMICO], " ")</f>
        <v>EGRESADO</v>
      </c>
      <c r="M501" s="2060" t="str">
        <f>_xlfn.XLOOKUP($D501,  Tabla3[No.],  Tabla3[Grupo de clase], " ")</f>
        <v>MDPG03</v>
      </c>
      <c r="N501" s="1132">
        <v>9.1999999999999993</v>
      </c>
      <c r="O501" s="1132">
        <v>9.4</v>
      </c>
      <c r="P501" s="1132">
        <v>9.3000000000000007</v>
      </c>
      <c r="Q501" s="2005">
        <v>9.4</v>
      </c>
      <c r="R501" s="1957"/>
      <c r="S501" s="1957"/>
      <c r="T501" s="1957"/>
      <c r="U501" s="1957"/>
      <c r="V501" s="1957"/>
      <c r="W501" s="1957"/>
      <c r="X501" s="1957"/>
      <c r="Y501" s="1957"/>
      <c r="Z501" s="1957"/>
      <c r="AA501" s="1957"/>
      <c r="AB501" s="1957"/>
      <c r="AC501" s="1957"/>
      <c r="AD501" s="1957"/>
      <c r="AE501" s="1957"/>
    </row>
    <row r="502" spans="1:31" ht="16.5" customHeight="1">
      <c r="A502" s="1904"/>
      <c r="B502" s="2093">
        <v>13</v>
      </c>
      <c r="C502" s="1600">
        <f>_xlfn.XLOOKUP($D502, Tabla3[No.], Tabla3[FECHA DE INICIO (PRIMERA CLASE CALENDARIO)]," ")</f>
        <v>45065</v>
      </c>
      <c r="D502" s="2045">
        <v>559</v>
      </c>
      <c r="E502" s="1602" t="str">
        <f>_xlfn.XLOOKUP($D502,  Tabla3[No.],  Tabla3[CURP], " ")</f>
        <v>ZEGI800101HGT</v>
      </c>
      <c r="F502" s="1603" t="str">
        <f>_xlfn.XLOOKUP($D502,  Tabla3[No.],  Tabla3[Matrícula Of. SEQ], " ")</f>
        <v>64MDP03B3-05</v>
      </c>
      <c r="G502" s="1604" t="str">
        <f>IFERROR(VLOOKUP(D502,Tabla3[],5,FALSE),"")</f>
        <v>ZELADA GALINDO ISRAEL GUGLIELMO</v>
      </c>
      <c r="H502" s="1660" t="str">
        <f>MID($E502,11,1)</f>
        <v>H</v>
      </c>
      <c r="I502" s="1660" t="str">
        <f>MID($E502,5,2)</f>
        <v>80</v>
      </c>
      <c r="J502" s="1660" t="str">
        <f>MID($E502,7,2)</f>
        <v>01</v>
      </c>
      <c r="K502" s="1660" t="str">
        <f>MID($E502,9,2)</f>
        <v>01</v>
      </c>
      <c r="L502" s="3818" t="str">
        <f>_xlfn.XLOOKUP($D502,  Tabla3[No.],  Tabla3[ESTATUS ACADÉMICO], " ")</f>
        <v>EGRESADO</v>
      </c>
      <c r="M502" s="1824" t="str">
        <f>_xlfn.XLOOKUP($D502,  Tabla3[No.],  Tabla3[Grupo de clase], " ")</f>
        <v>MDPG03</v>
      </c>
      <c r="N502" s="1132">
        <v>9.1999999999999993</v>
      </c>
      <c r="O502" s="1132">
        <v>9.4</v>
      </c>
      <c r="P502" s="1132">
        <v>9.3000000000000007</v>
      </c>
      <c r="Q502" s="2005">
        <v>9.4</v>
      </c>
      <c r="R502" s="1957"/>
      <c r="S502" s="1957"/>
      <c r="T502" s="1957"/>
      <c r="U502" s="1957"/>
      <c r="V502" s="1957"/>
      <c r="W502" s="1957"/>
      <c r="X502" s="1957"/>
      <c r="Y502" s="1957"/>
      <c r="Z502" s="1957"/>
      <c r="AA502" s="1957"/>
      <c r="AB502" s="1957"/>
      <c r="AC502" s="1957"/>
      <c r="AD502" s="1957"/>
      <c r="AE502" s="1957"/>
    </row>
    <row r="503" spans="1:31" ht="16.5" customHeight="1">
      <c r="A503" s="1904"/>
      <c r="B503" s="2093">
        <v>14</v>
      </c>
      <c r="C503" s="1600">
        <f>_xlfn.XLOOKUP($D503, Tabla3[No.], Tabla3[FECHA DE INICIO (PRIMERA CLASE CALENDARIO)]," ")</f>
        <v>45065</v>
      </c>
      <c r="D503" s="2045">
        <v>527</v>
      </c>
      <c r="E503" s="1230" t="str">
        <f>_xlfn.XLOOKUP($D503,  Tabla3[No.],  Tabla3[CURP], " ")</f>
        <v>CHMB890930MGGIAR00</v>
      </c>
      <c r="F503" s="1380" t="str">
        <f>_xlfn.XLOOKUP($E503, Tabla3[CURP], Tabla3[Matrícula Of. SEQ])</f>
        <v>64MDP03B2-03</v>
      </c>
      <c r="G503" s="2048" t="str">
        <f>IFERROR(VLOOKUP(D503,Tabla3[],5,FALSE),"")</f>
        <v>CHINCHILLA MAYEN BRENDA SOFIA</v>
      </c>
      <c r="H503" s="1605" t="str">
        <f t="shared" si="78"/>
        <v>M</v>
      </c>
      <c r="I503" s="1605" t="str">
        <f t="shared" si="79"/>
        <v>89</v>
      </c>
      <c r="J503" s="1605" t="str">
        <f t="shared" si="80"/>
        <v>09</v>
      </c>
      <c r="K503" s="1605" t="str">
        <f t="shared" si="81"/>
        <v>30</v>
      </c>
      <c r="L503" s="3948" t="str">
        <f>_xlfn.XLOOKUP($D503,  Tabla3[No.],  Tabla3[ESTATUS ACADÉMICO], " ")</f>
        <v>EGRESADO</v>
      </c>
      <c r="M503" s="2060" t="str">
        <f>_xlfn.XLOOKUP($D503,  Tabla3[No.],  Tabla3[Grupo de clase], " ")</f>
        <v>MDPG03</v>
      </c>
      <c r="N503" s="1132">
        <v>9.1999999999999993</v>
      </c>
      <c r="O503" s="1132">
        <v>9.4</v>
      </c>
      <c r="P503" s="1132">
        <v>9.3000000000000007</v>
      </c>
      <c r="Q503" s="2005">
        <v>9.4</v>
      </c>
      <c r="R503" s="1957"/>
      <c r="S503" s="1957"/>
      <c r="T503" s="1957"/>
      <c r="U503" s="1957"/>
      <c r="V503" s="1957"/>
      <c r="W503" s="1957"/>
      <c r="X503" s="1957"/>
      <c r="Y503" s="1957"/>
      <c r="Z503" s="1957"/>
      <c r="AA503" s="1957"/>
      <c r="AB503" s="1957"/>
      <c r="AC503" s="1957"/>
      <c r="AD503" s="1957"/>
      <c r="AE503" s="1957"/>
    </row>
    <row r="504" spans="1:31" ht="16.5" customHeight="1">
      <c r="A504" s="1904"/>
      <c r="B504" s="2093">
        <v>15</v>
      </c>
      <c r="C504" s="1600">
        <f>_xlfn.XLOOKUP($D504, Tabla3[No.], Tabla3[FECHA DE INICIO (PRIMERA CLASE CALENDARIO)]," ")</f>
        <v>45065</v>
      </c>
      <c r="D504" s="2045">
        <v>531</v>
      </c>
      <c r="E504" s="1230" t="str">
        <f>_xlfn.XLOOKUP($D504,  Tabla3[No.],  Tabla3[CURP], " ")</f>
        <v>MOPW821021MCG</v>
      </c>
      <c r="F504" s="1380" t="str">
        <f>_xlfn.XLOOKUP($E504, Tabla3[CURP], Tabla3[Matrícula Of. SEQ])</f>
        <v>64MDP03B2-12</v>
      </c>
      <c r="G504" s="2048" t="str">
        <f>IFERROR(VLOOKUP(D504,Tabla3[],5,FALSE),"")</f>
        <v>MORALES PEREZ WENDY VANESSA</v>
      </c>
      <c r="H504" s="1605" t="str">
        <f t="shared" si="78"/>
        <v>M</v>
      </c>
      <c r="I504" s="1605" t="str">
        <f t="shared" si="79"/>
        <v>82</v>
      </c>
      <c r="J504" s="1605" t="str">
        <f t="shared" si="80"/>
        <v>10</v>
      </c>
      <c r="K504" s="1605" t="str">
        <f t="shared" si="81"/>
        <v>21</v>
      </c>
      <c r="L504" s="3948" t="str">
        <f>_xlfn.XLOOKUP($D504,  Tabla3[No.],  Tabla3[ESTATUS ACADÉMICO], " ")</f>
        <v>EGRESADO</v>
      </c>
      <c r="M504" s="2060" t="str">
        <f>_xlfn.XLOOKUP($D504,  Tabla3[No.],  Tabla3[Grupo de clase], " ")</f>
        <v>MDPG03</v>
      </c>
      <c r="N504" s="1132">
        <v>9.1999999999999993</v>
      </c>
      <c r="O504" s="1132">
        <v>9.4</v>
      </c>
      <c r="P504" s="1132">
        <v>9.3000000000000007</v>
      </c>
      <c r="Q504" s="2005">
        <v>9.4</v>
      </c>
      <c r="R504" s="1957"/>
      <c r="S504" s="1957"/>
      <c r="T504" s="1957"/>
      <c r="U504" s="1957"/>
      <c r="V504" s="1957"/>
      <c r="W504" s="1957"/>
      <c r="X504" s="1957"/>
      <c r="Y504" s="1957"/>
      <c r="Z504" s="1957"/>
      <c r="AA504" s="1957"/>
      <c r="AB504" s="1957"/>
      <c r="AC504" s="1957"/>
      <c r="AD504" s="1957"/>
      <c r="AE504" s="1957"/>
    </row>
    <row r="505" spans="1:31" ht="16.5" customHeight="1">
      <c r="A505" s="1904"/>
      <c r="B505" s="2093">
        <v>16</v>
      </c>
      <c r="C505" s="1600">
        <f>_xlfn.XLOOKUP($D505, Tabla3[No.], Tabla3[FECHA DE INICIO (PRIMERA CLASE CALENDARIO)]," ")</f>
        <v>45083</v>
      </c>
      <c r="D505" s="2045">
        <v>564</v>
      </c>
      <c r="E505" s="1602" t="str">
        <f>_xlfn.XLOOKUP($D505,  Tabla3[No.],  Tabla3[CURP], " ")</f>
        <v>DICW800101HGT</v>
      </c>
      <c r="F505" s="1603" t="str">
        <f>_xlfn.XLOOKUP($D505,  Tabla3[No.],  Tabla3[Matrícula Of. SEQ], " ")</f>
        <v>64MDP03D-01</v>
      </c>
      <c r="G505" s="1604" t="str">
        <f>IFERROR(VLOOKUP(D505,Tabla3[],5,FALSE),"")</f>
        <v>DIVAS CANUZ WALTER ALFONSO</v>
      </c>
      <c r="H505" s="1660" t="str">
        <f t="shared" si="78"/>
        <v>H</v>
      </c>
      <c r="I505" s="1660" t="str">
        <f t="shared" si="79"/>
        <v>80</v>
      </c>
      <c r="J505" s="1660" t="str">
        <f t="shared" si="80"/>
        <v>01</v>
      </c>
      <c r="K505" s="1660" t="str">
        <f t="shared" si="81"/>
        <v>01</v>
      </c>
      <c r="L505" s="3818" t="str">
        <f>_xlfn.XLOOKUP($D505,  Tabla3[No.],  Tabla3[ESTATUS ACADÉMICO], " ")</f>
        <v>EGRESADO</v>
      </c>
      <c r="M505" s="1824" t="str">
        <f>_xlfn.XLOOKUP($D505,  Tabla3[No.],  Tabla3[Grupo de clase], " ")</f>
        <v>MDPG03</v>
      </c>
      <c r="N505" s="1132">
        <v>9.1999999999999993</v>
      </c>
      <c r="O505" s="1132">
        <v>9.4</v>
      </c>
      <c r="P505" s="1132">
        <v>9.3000000000000007</v>
      </c>
      <c r="Q505" s="2005">
        <v>9.4</v>
      </c>
      <c r="R505" s="1957"/>
      <c r="S505" s="1957"/>
      <c r="T505" s="1957"/>
      <c r="U505" s="1957"/>
      <c r="V505" s="1957"/>
      <c r="W505" s="1957"/>
      <c r="X505" s="1957"/>
      <c r="Y505" s="1957"/>
      <c r="Z505" s="1957"/>
      <c r="AA505" s="1957"/>
      <c r="AB505" s="1957"/>
      <c r="AC505" s="1957"/>
      <c r="AD505" s="1957"/>
      <c r="AE505" s="1957"/>
    </row>
    <row r="506" spans="1:31" ht="16.5" customHeight="1">
      <c r="A506" s="1904"/>
      <c r="B506" s="2093">
        <v>17</v>
      </c>
      <c r="C506" s="1600">
        <f>_xlfn.XLOOKUP($D506, Tabla3[No.], Tabla3[FECHA DE INICIO (PRIMERA CLASE CALENDARIO)]," ")</f>
        <v>45093</v>
      </c>
      <c r="D506" s="2045">
        <v>567</v>
      </c>
      <c r="E506" s="1602" t="str">
        <f>_xlfn.XLOOKUP($D506,  Tabla3[No.],  Tabla3[CURP], " ")</f>
        <v>CAMN</v>
      </c>
      <c r="F506" s="1603" t="str">
        <f>_xlfn.XLOOKUP($D506,  Tabla3[No.],  Tabla3[Matrícula Of. SEQ], " ")</f>
        <v>64MDP03-11</v>
      </c>
      <c r="G506" s="1604" t="str">
        <f>IFERROR(VLOOKUP(D506,Tabla3[],5,FALSE),"")</f>
        <v>CASTILLO MORALES NELSON JOSUE</v>
      </c>
      <c r="H506" s="1660" t="str">
        <f t="shared" si="78"/>
        <v/>
      </c>
      <c r="I506" s="1660" t="str">
        <f t="shared" si="79"/>
        <v/>
      </c>
      <c r="J506" s="1660" t="str">
        <f t="shared" si="80"/>
        <v/>
      </c>
      <c r="K506" s="1660" t="str">
        <f t="shared" si="81"/>
        <v/>
      </c>
      <c r="L506" s="3818" t="str">
        <f>_xlfn.XLOOKUP($D506,  Tabla3[No.],  Tabla3[ESTATUS ACADÉMICO], " ")</f>
        <v>EGRESADO</v>
      </c>
      <c r="M506" s="1824" t="str">
        <f>_xlfn.XLOOKUP($D506,  Tabla3[No.],  Tabla3[Grupo de clase], " ")</f>
        <v>MDPG03</v>
      </c>
      <c r="N506" s="1132">
        <v>9.1999999999999993</v>
      </c>
      <c r="O506" s="1132">
        <v>9.4</v>
      </c>
      <c r="P506" s="1132">
        <v>9.3000000000000007</v>
      </c>
      <c r="Q506" s="2005">
        <v>9.4</v>
      </c>
      <c r="R506" s="1957"/>
      <c r="S506" s="1957"/>
      <c r="T506" s="1957"/>
      <c r="U506" s="1957"/>
      <c r="V506" s="1957"/>
      <c r="W506" s="1957"/>
      <c r="X506" s="1957"/>
      <c r="Y506" s="1957"/>
      <c r="Z506" s="1957"/>
      <c r="AA506" s="1957"/>
      <c r="AB506" s="1957"/>
      <c r="AC506" s="1957"/>
      <c r="AD506" s="1957"/>
      <c r="AE506" s="1957"/>
    </row>
    <row r="507" spans="1:31" ht="16.5" customHeight="1">
      <c r="A507" s="2006"/>
      <c r="B507" s="2049">
        <v>18</v>
      </c>
      <c r="C507" s="2095" t="str">
        <f>_xlfn.XLOOKUP($D507, Tabla3[No.], Tabla3[FECHA DE INICIO (PRIMERA CLASE CALENDARIO)]," ")</f>
        <v xml:space="preserve"> </v>
      </c>
      <c r="D507" s="2046"/>
      <c r="E507" s="2051" t="str">
        <f>_xlfn.XLOOKUP($D507,  Tabla3[No.],  Tabla3[CURP], " ")</f>
        <v xml:space="preserve"> </v>
      </c>
      <c r="F507" s="2052" t="e">
        <f>_xlfn.XLOOKUP($E507, Tabla3[CURP], Tabla3[Matrícula Of. SEQ])</f>
        <v>#N/A</v>
      </c>
      <c r="G507" s="2049" t="s">
        <v>3727</v>
      </c>
      <c r="H507" s="2006"/>
      <c r="I507" s="2006"/>
      <c r="J507" s="2006"/>
      <c r="K507" s="2006"/>
      <c r="L507" s="3989" t="s">
        <v>1773</v>
      </c>
      <c r="M507" s="2007" t="s">
        <v>3463</v>
      </c>
      <c r="N507" s="2008">
        <v>9.1999999999999993</v>
      </c>
      <c r="O507" s="2008">
        <v>9.4</v>
      </c>
      <c r="P507" s="2008">
        <v>9.3000000000000007</v>
      </c>
      <c r="Q507" s="2009">
        <v>9.4</v>
      </c>
      <c r="R507" s="1957"/>
      <c r="S507" s="1957"/>
      <c r="T507" s="1957"/>
      <c r="U507" s="1957"/>
      <c r="V507" s="1957"/>
      <c r="W507" s="1957"/>
      <c r="X507" s="1957"/>
      <c r="Y507" s="1957"/>
      <c r="Z507" s="1957"/>
      <c r="AA507" s="1957"/>
      <c r="AB507" s="1957"/>
      <c r="AC507" s="1957"/>
      <c r="AD507" s="1957"/>
      <c r="AE507" s="1957"/>
    </row>
    <row r="508" spans="1:31" s="1956" customFormat="1" ht="16.5" customHeight="1">
      <c r="A508" s="2010" t="s">
        <v>4434</v>
      </c>
      <c r="B508" s="2050">
        <v>19</v>
      </c>
      <c r="C508" s="2096">
        <f>_xlfn.XLOOKUP($D508, Tabla3[No.], Tabla3[FECHA DE INICIO (PRIMERA CLASE CALENDARIO)]," ")</f>
        <v>45163</v>
      </c>
      <c r="D508" s="2047">
        <v>584</v>
      </c>
      <c r="E508" s="1602">
        <f>_xlfn.XLOOKUP($D508,  Tabla3[No.],  Tabla3[CURP], " ")</f>
        <v>0</v>
      </c>
      <c r="F508" s="1603">
        <f>_xlfn.XLOOKUP($D508,  Tabla3[No.],  Tabla3[Matrícula Of. SEQ], " ")</f>
        <v>0</v>
      </c>
      <c r="G508" s="1604" t="str">
        <f>IFERROR(VLOOKUP(D508,Tabla3[],5,FALSE),"")</f>
        <v>ELIMINADO POR DUPLICIDAD</v>
      </c>
      <c r="H508" s="1660" t="str">
        <f>MID($E508,11,1)</f>
        <v/>
      </c>
      <c r="I508" s="1660" t="str">
        <f>MID($E508,5,2)</f>
        <v/>
      </c>
      <c r="J508" s="1660" t="str">
        <f>MID($E508,7,2)</f>
        <v/>
      </c>
      <c r="K508" s="1660" t="str">
        <f>MID($E508,9,2)</f>
        <v/>
      </c>
      <c r="L508" s="3818" t="str">
        <f>_xlfn.XLOOKUP($D508,  Tabla3[No.],  Tabla3[ESTATUS ACADÉMICO], " ")</f>
        <v>BAJA DEFINITIVA</v>
      </c>
      <c r="M508" s="1824" t="str">
        <f>_xlfn.XLOOKUP($D508,  Tabla3[No.],  Tabla3[Grupo de clase], " ")</f>
        <v>MDP0G03</v>
      </c>
      <c r="N508" s="2011">
        <v>9.1999999999999993</v>
      </c>
      <c r="O508" s="2011">
        <v>9.4</v>
      </c>
      <c r="P508" s="2011">
        <v>9.3000000000000007</v>
      </c>
      <c r="Q508" s="2011">
        <v>9.4</v>
      </c>
      <c r="R508" s="1955"/>
      <c r="S508" s="1955"/>
      <c r="T508" s="1955"/>
      <c r="U508" s="1955"/>
      <c r="V508" s="1955"/>
      <c r="W508" s="1955"/>
      <c r="X508" s="1955"/>
      <c r="Y508" s="1955"/>
      <c r="Z508" s="1955"/>
      <c r="AA508" s="1955"/>
      <c r="AB508" s="1955"/>
      <c r="AC508" s="1955"/>
      <c r="AD508" s="1955"/>
      <c r="AE508" s="1955"/>
    </row>
    <row r="509" spans="1:31" ht="16.5" customHeight="1">
      <c r="A509" s="1904"/>
      <c r="B509" s="2093">
        <v>20</v>
      </c>
      <c r="C509" s="1600">
        <f>_xlfn.XLOOKUP($D509, Tabla3[No.], Tabla3[FECHA DE INICIO (PRIMERA CLASE CALENDARIO)]," ")</f>
        <v>45306</v>
      </c>
      <c r="D509" s="2045">
        <v>669</v>
      </c>
      <c r="E509" s="1230" t="str">
        <f>_xlfn.XLOOKUP($D509,  Tabla3[No.],  Tabla3[CURP], " ")</f>
        <v>LOGW830705HGTPO00</v>
      </c>
      <c r="F509" s="1380" t="str">
        <f>_xlfn.XLOOKUP($E509, Tabla3[CURP], Tabla3[Matrícula Of. SEQ])</f>
        <v>64MDP04A-04</v>
      </c>
      <c r="G509" s="2048" t="str">
        <f>IFERROR(VLOOKUP(D509,Tabla3[],5,FALSE),"")</f>
        <v>LOPEZ GONZALEZ WILSON JOEL</v>
      </c>
      <c r="H509" s="1605" t="str">
        <f t="shared" ref="H509:H526" si="82">MID($E509,11,1)</f>
        <v>H</v>
      </c>
      <c r="I509" s="1605" t="str">
        <f t="shared" ref="I509:I526" si="83">MID($E509,5,2)</f>
        <v>83</v>
      </c>
      <c r="J509" s="1605" t="str">
        <f t="shared" ref="J509:J526" si="84">MID($E509,7,2)</f>
        <v>07</v>
      </c>
      <c r="K509" s="1605" t="str">
        <f t="shared" ref="K509:K526" si="85">MID($E509,9,2)</f>
        <v>05</v>
      </c>
      <c r="L509" s="3948" t="str">
        <f>_xlfn.XLOOKUP($D509,  Tabla3[No.],  Tabla3[ESTATUS ACADÉMICO], " ")</f>
        <v>EGRESADO</v>
      </c>
      <c r="M509" s="2060" t="str">
        <f>_xlfn.XLOOKUP($D509,  Tabla3[No.],  Tabla3[Grupo de clase], " ")</f>
        <v>MDPG04</v>
      </c>
      <c r="N509" s="1132">
        <v>9.1999999999999993</v>
      </c>
      <c r="O509" s="1132">
        <v>9.4</v>
      </c>
      <c r="P509" s="1132">
        <v>9.3000000000000007</v>
      </c>
      <c r="Q509" s="1132">
        <v>9.4</v>
      </c>
      <c r="R509" s="1132">
        <v>9.5</v>
      </c>
      <c r="S509" s="2012">
        <v>9.4</v>
      </c>
      <c r="T509" s="1904"/>
      <c r="U509" s="1904"/>
      <c r="V509" s="1904"/>
      <c r="W509" s="1904"/>
      <c r="X509" s="1904"/>
      <c r="Y509" s="1904"/>
      <c r="Z509" s="1904"/>
      <c r="AA509" s="1904"/>
      <c r="AB509" s="1904"/>
      <c r="AC509" s="1904"/>
      <c r="AD509" s="1904"/>
      <c r="AE509" s="1904"/>
    </row>
    <row r="510" spans="1:31" ht="16.5" customHeight="1">
      <c r="A510" s="1904"/>
      <c r="B510" s="2093">
        <v>21</v>
      </c>
      <c r="C510" s="1600">
        <f>_xlfn.XLOOKUP($D510, Tabla3[No.], Tabla3[FECHA DE INICIO (PRIMERA CLASE CALENDARIO)]," ")</f>
        <v>45306</v>
      </c>
      <c r="D510" s="2045">
        <v>666</v>
      </c>
      <c r="E510" s="1230" t="str">
        <f>_xlfn.XLOOKUP($D510,  Tabla3[No.],  Tabla3[CURP], " ")</f>
        <v>FLSC870815MGTOA00</v>
      </c>
      <c r="F510" s="1380" t="str">
        <f>_xlfn.XLOOKUP($E510, Tabla3[CURP], Tabla3[Matrícula Of. SEQ])</f>
        <v>64MDP04A-03</v>
      </c>
      <c r="G510" s="2048" t="str">
        <f>IFERROR(VLOOKUP(D510,Tabla3[],5,FALSE),"")</f>
        <v>FLORES SANCHEZ CINDY AZALEA FABIOLA</v>
      </c>
      <c r="H510" s="1605" t="str">
        <f t="shared" si="82"/>
        <v>M</v>
      </c>
      <c r="I510" s="1605" t="str">
        <f t="shared" si="83"/>
        <v>87</v>
      </c>
      <c r="J510" s="1605" t="str">
        <f t="shared" si="84"/>
        <v>08</v>
      </c>
      <c r="K510" s="1605" t="str">
        <f t="shared" si="85"/>
        <v>15</v>
      </c>
      <c r="L510" s="3948" t="str">
        <f>_xlfn.XLOOKUP($D510,  Tabla3[No.],  Tabla3[ESTATUS ACADÉMICO], " ")</f>
        <v>VIGENTE</v>
      </c>
      <c r="M510" s="2060" t="str">
        <f>_xlfn.XLOOKUP($D510,  Tabla3[No.],  Tabla3[Grupo de clase], " ")</f>
        <v>MDPG04</v>
      </c>
      <c r="N510" s="1132">
        <v>10</v>
      </c>
      <c r="O510" s="1132">
        <v>9.4</v>
      </c>
      <c r="P510" s="1132">
        <v>9.3000000000000007</v>
      </c>
      <c r="Q510" s="1132">
        <v>9.4</v>
      </c>
      <c r="R510" s="1132">
        <v>9.5</v>
      </c>
      <c r="S510" s="2012">
        <v>9.4</v>
      </c>
      <c r="T510" s="1904"/>
      <c r="U510" s="1904"/>
      <c r="V510" s="1904"/>
      <c r="W510" s="1904"/>
      <c r="X510" s="1904"/>
      <c r="Y510" s="1904"/>
      <c r="Z510" s="1904"/>
      <c r="AA510" s="1904"/>
      <c r="AB510" s="1904"/>
      <c r="AC510" s="1904"/>
      <c r="AD510" s="1904"/>
      <c r="AE510" s="1904"/>
    </row>
    <row r="511" spans="1:31" ht="16.5" customHeight="1">
      <c r="A511" s="1904"/>
      <c r="B511" s="2093">
        <v>22</v>
      </c>
      <c r="C511" s="1600">
        <f>_xlfn.XLOOKUP($D511, Tabla3[No.], Tabla3[FECHA DE INICIO (PRIMERA CLASE CALENDARIO)]," ")</f>
        <v>45306</v>
      </c>
      <c r="D511" s="2045">
        <v>668</v>
      </c>
      <c r="E511" s="1230" t="str">
        <f>_xlfn.XLOOKUP($D511,  Tabla3[No.],  Tabla3[CURP], " ")</f>
        <v>RESK900915MGTYL00</v>
      </c>
      <c r="F511" s="1380" t="str">
        <f>_xlfn.XLOOKUP($E511, Tabla3[CURP], Tabla3[Matrícula Of. SEQ])</f>
        <v>64MDP04A-05</v>
      </c>
      <c r="G511" s="2048" t="str">
        <f>IFERROR(VLOOKUP(D511,Tabla3[],5,FALSE),"")</f>
        <v>REYES SOLIS KAREN NOHEMI</v>
      </c>
      <c r="H511" s="1605" t="str">
        <f t="shared" si="82"/>
        <v>M</v>
      </c>
      <c r="I511" s="1605" t="str">
        <f t="shared" si="83"/>
        <v>90</v>
      </c>
      <c r="J511" s="1605" t="str">
        <f t="shared" si="84"/>
        <v>09</v>
      </c>
      <c r="K511" s="1605" t="str">
        <f t="shared" si="85"/>
        <v>15</v>
      </c>
      <c r="L511" s="3948" t="str">
        <f>_xlfn.XLOOKUP($D511,  Tabla3[No.],  Tabla3[ESTATUS ACADÉMICO], " ")</f>
        <v>EGRESADO</v>
      </c>
      <c r="M511" s="2060" t="str">
        <f>_xlfn.XLOOKUP($D511,  Tabla3[No.],  Tabla3[Grupo de clase], " ")</f>
        <v>MDPG04</v>
      </c>
      <c r="N511" s="1132">
        <v>9.1999999999999993</v>
      </c>
      <c r="O511" s="1132">
        <v>9.4</v>
      </c>
      <c r="P511" s="1132">
        <v>9.3000000000000007</v>
      </c>
      <c r="Q511" s="1132">
        <v>9.4</v>
      </c>
      <c r="R511" s="1132">
        <v>9.5</v>
      </c>
      <c r="S511" s="2012">
        <v>9.4</v>
      </c>
      <c r="T511" s="1904"/>
      <c r="U511" s="1904"/>
      <c r="V511" s="1904"/>
      <c r="W511" s="1904"/>
      <c r="X511" s="1904"/>
      <c r="Y511" s="1904"/>
      <c r="Z511" s="1904"/>
      <c r="AA511" s="1904"/>
      <c r="AB511" s="1904"/>
      <c r="AC511" s="1904"/>
      <c r="AD511" s="1904"/>
      <c r="AE511" s="1904"/>
    </row>
    <row r="512" spans="1:31" ht="16.5" customHeight="1">
      <c r="A512" s="1904"/>
      <c r="B512" s="2093">
        <v>23</v>
      </c>
      <c r="C512" s="1600">
        <f>_xlfn.XLOOKUP($D512, Tabla3[No.], Tabla3[FECHA DE INICIO (PRIMERA CLASE CALENDARIO)]," ")</f>
        <v>45306</v>
      </c>
      <c r="D512" s="2045">
        <v>665</v>
      </c>
      <c r="E512" s="1230" t="str">
        <f>_xlfn.XLOOKUP($D512,  Tabla3[No.],  Tabla3[CURP], " ")</f>
        <v>CEAA831210HGGRC00</v>
      </c>
      <c r="F512" s="1380" t="str">
        <f>_xlfn.XLOOKUP($E512, Tabla3[CURP], Tabla3[Matrícula Of. SEQ])</f>
        <v>64MDP04A-02</v>
      </c>
      <c r="G512" s="2048" t="str">
        <f>IFERROR(VLOOKUP(D512,Tabla3[],5,FALSE),"")</f>
        <v>CERNA ACEVEDO AXEL EDILBERTO</v>
      </c>
      <c r="H512" s="1605" t="str">
        <f t="shared" si="82"/>
        <v>H</v>
      </c>
      <c r="I512" s="1605" t="str">
        <f t="shared" si="83"/>
        <v>83</v>
      </c>
      <c r="J512" s="1605" t="str">
        <f t="shared" si="84"/>
        <v>12</v>
      </c>
      <c r="K512" s="1605" t="str">
        <f t="shared" si="85"/>
        <v>10</v>
      </c>
      <c r="L512" s="3948" t="str">
        <f>_xlfn.XLOOKUP($D512,  Tabla3[No.],  Tabla3[ESTATUS ACADÉMICO], " ")</f>
        <v>VIGENTE</v>
      </c>
      <c r="M512" s="2060" t="str">
        <f>_xlfn.XLOOKUP($D512,  Tabla3[No.],  Tabla3[Grupo de clase], " ")</f>
        <v>MDPG04</v>
      </c>
      <c r="N512" s="1132">
        <v>9.1999999999999993</v>
      </c>
      <c r="O512" s="1132">
        <v>9.4</v>
      </c>
      <c r="P512" s="1132">
        <v>9.3000000000000007</v>
      </c>
      <c r="Q512" s="1132">
        <v>9.4</v>
      </c>
      <c r="R512" s="1132">
        <v>9.5</v>
      </c>
      <c r="S512" s="2012">
        <v>9.4</v>
      </c>
      <c r="T512" s="1904"/>
      <c r="U512" s="1904"/>
      <c r="V512" s="1904"/>
      <c r="W512" s="1904"/>
      <c r="X512" s="1904"/>
      <c r="Y512" s="1904"/>
      <c r="Z512" s="1904"/>
      <c r="AA512" s="1904"/>
      <c r="AB512" s="1904"/>
      <c r="AC512" s="1904"/>
      <c r="AD512" s="1904"/>
      <c r="AE512" s="1904"/>
    </row>
    <row r="513" spans="1:49" ht="16.5" customHeight="1">
      <c r="A513" s="1904"/>
      <c r="B513" s="2093">
        <v>24</v>
      </c>
      <c r="C513" s="1600">
        <f>_xlfn.XLOOKUP($D513, Tabla3[No.], Tabla3[FECHA DE INICIO (PRIMERA CLASE CALENDARIO)]," ")</f>
        <v>45417</v>
      </c>
      <c r="D513" s="2045">
        <v>717</v>
      </c>
      <c r="E513" s="1230" t="str">
        <f>_xlfn.XLOOKUP($D513,  Tabla3[No.],  Tabla3[CURP], " ")</f>
        <v>VANE730901HGGLA00</v>
      </c>
      <c r="F513" s="1380" t="str">
        <f>_xlfn.XLOOKUP($E513, Tabla3[CURP], Tabla3[Matrícula Of. SEQ])</f>
        <v>64MDP04C-06</v>
      </c>
      <c r="G513" s="2048" t="str">
        <f>IFERROR(VLOOKUP(D513,Tabla3[],5,FALSE),"")</f>
        <v>VALVERT NAJERA EDGAR AMILCAR</v>
      </c>
      <c r="H513" s="1605" t="str">
        <f t="shared" si="82"/>
        <v>H</v>
      </c>
      <c r="I513" s="1605" t="str">
        <f t="shared" si="83"/>
        <v>73</v>
      </c>
      <c r="J513" s="1605" t="str">
        <f t="shared" si="84"/>
        <v>09</v>
      </c>
      <c r="K513" s="1605" t="str">
        <f t="shared" si="85"/>
        <v>01</v>
      </c>
      <c r="L513" s="3948" t="str">
        <f>_xlfn.XLOOKUP($D513,  Tabla3[No.],  Tabla3[ESTATUS ACADÉMICO], " ")</f>
        <v>EGRESADO</v>
      </c>
      <c r="M513" s="2060" t="str">
        <f>_xlfn.XLOOKUP($D513,  Tabla3[No.],  Tabla3[Grupo de clase], " ")</f>
        <v>MDP04G</v>
      </c>
      <c r="N513" s="1132">
        <v>9.1999999999999993</v>
      </c>
      <c r="O513" s="1132">
        <v>9.4</v>
      </c>
      <c r="P513" s="1132">
        <v>9.3000000000000007</v>
      </c>
      <c r="Q513" s="1132">
        <v>9.4</v>
      </c>
      <c r="R513" s="1132">
        <v>9.5</v>
      </c>
      <c r="S513" s="2012">
        <v>9.4</v>
      </c>
      <c r="T513" s="1904"/>
      <c r="U513" s="1904"/>
      <c r="V513" s="1904"/>
      <c r="W513" s="1904"/>
      <c r="X513" s="1904"/>
      <c r="Y513" s="1904"/>
      <c r="Z513" s="1904"/>
      <c r="AA513" s="1904"/>
      <c r="AB513" s="1904"/>
      <c r="AC513" s="1904"/>
      <c r="AD513" s="1904"/>
      <c r="AE513" s="1904"/>
    </row>
    <row r="514" spans="1:49" ht="16.5" customHeight="1">
      <c r="A514" s="1904"/>
      <c r="B514" s="2093">
        <v>25</v>
      </c>
      <c r="C514" s="1600">
        <f>_xlfn.XLOOKUP($D514, Tabla3[No.], Tabla3[FECHA DE INICIO (PRIMERA CLASE CALENDARIO)]," ")</f>
        <v>45417</v>
      </c>
      <c r="D514" s="2045">
        <v>716</v>
      </c>
      <c r="E514" s="1230" t="str">
        <f>_xlfn.XLOOKUP($D514,  Tabla3[No.],  Tabla3[CURP], " ")</f>
        <v>VABM730720MGGLBM00</v>
      </c>
      <c r="F514" s="1380" t="str">
        <f>_xlfn.XLOOKUP($E514, Tabla3[CURP], Tabla3[Matrícula Of. SEQ])</f>
        <v>64MDP04C-05</v>
      </c>
      <c r="G514" s="2048" t="str">
        <f>IFERROR(VLOOKUP(D514,Tabla3[],5,FALSE),"")</f>
        <v>VALVERT BAILON MERALY ROXANA</v>
      </c>
      <c r="H514" s="1605" t="str">
        <f t="shared" si="82"/>
        <v>M</v>
      </c>
      <c r="I514" s="1605" t="str">
        <f t="shared" si="83"/>
        <v>73</v>
      </c>
      <c r="J514" s="1605" t="str">
        <f t="shared" si="84"/>
        <v>07</v>
      </c>
      <c r="K514" s="1605" t="str">
        <f t="shared" si="85"/>
        <v>20</v>
      </c>
      <c r="L514" s="3948" t="str">
        <f>_xlfn.XLOOKUP($D514,  Tabla3[No.],  Tabla3[ESTATUS ACADÉMICO], " ")</f>
        <v>EGRESADO</v>
      </c>
      <c r="M514" s="2060" t="str">
        <f>_xlfn.XLOOKUP($D514,  Tabla3[No.],  Tabla3[Grupo de clase], " ")</f>
        <v>MDP04G</v>
      </c>
      <c r="N514" s="1132">
        <v>9.1999999999999993</v>
      </c>
      <c r="O514" s="1132">
        <v>9.4</v>
      </c>
      <c r="P514" s="1132">
        <v>9.3000000000000007</v>
      </c>
      <c r="Q514" s="1132">
        <v>9.4</v>
      </c>
      <c r="R514" s="1132">
        <v>9.5</v>
      </c>
      <c r="S514" s="2012">
        <v>9.4</v>
      </c>
      <c r="T514" s="1904"/>
      <c r="U514" s="1904"/>
      <c r="V514" s="1904"/>
      <c r="W514" s="1904"/>
      <c r="X514" s="1904"/>
      <c r="Y514" s="1904"/>
      <c r="Z514" s="1904"/>
      <c r="AA514" s="1904"/>
      <c r="AB514" s="1904"/>
      <c r="AC514" s="1904"/>
      <c r="AD514" s="1904"/>
      <c r="AE514" s="1904"/>
    </row>
    <row r="515" spans="1:49" ht="16.5" customHeight="1">
      <c r="A515" s="1904"/>
      <c r="B515" s="2093">
        <v>26</v>
      </c>
      <c r="C515" s="1600">
        <f>_xlfn.XLOOKUP($D515, Tabla3[No.], Tabla3[FECHA DE INICIO (PRIMERA CLASE CALENDARIO)]," ")</f>
        <v>45308</v>
      </c>
      <c r="D515" s="2045">
        <v>681</v>
      </c>
      <c r="E515" s="1230" t="str">
        <f>_xlfn.XLOOKUP($D515,  Tabla3[No.],  Tabla3[CURP], " ")</f>
        <v>TEVE810322HGT</v>
      </c>
      <c r="F515" s="1380" t="str">
        <f>_xlfn.XLOOKUP($E515, Tabla3[CURP], Tabla3[Matrícula Of. SEQ])</f>
        <v>64MDP04B-01</v>
      </c>
      <c r="G515" s="2048" t="str">
        <f>IFERROR(VLOOKUP(D515,Tabla3[],5,FALSE),"")</f>
        <v>TEPAZ VAQUIAX ERIK ELEAZAR</v>
      </c>
      <c r="H515" s="1605" t="str">
        <f t="shared" si="82"/>
        <v>H</v>
      </c>
      <c r="I515" s="1605" t="str">
        <f t="shared" si="83"/>
        <v>81</v>
      </c>
      <c r="J515" s="1605" t="str">
        <f t="shared" si="84"/>
        <v>03</v>
      </c>
      <c r="K515" s="1605" t="str">
        <f t="shared" si="85"/>
        <v>22</v>
      </c>
      <c r="L515" s="3948" t="str">
        <f>_xlfn.XLOOKUP($D515,  Tabla3[No.],  Tabla3[ESTATUS ACADÉMICO], " ")</f>
        <v>EGRESADO</v>
      </c>
      <c r="M515" s="2060" t="str">
        <f>_xlfn.XLOOKUP($D515,  Tabla3[No.],  Tabla3[Grupo de clase], " ")</f>
        <v>MDP04B</v>
      </c>
      <c r="N515" s="1132">
        <v>9.1999999999999993</v>
      </c>
      <c r="O515" s="1132">
        <v>9.4</v>
      </c>
      <c r="P515" s="1132">
        <v>9.3000000000000007</v>
      </c>
      <c r="Q515" s="1132">
        <v>9.4</v>
      </c>
      <c r="R515" s="1132">
        <v>9.5</v>
      </c>
      <c r="S515" s="2012">
        <v>9.4</v>
      </c>
      <c r="T515" s="1904"/>
      <c r="U515" s="1904"/>
      <c r="V515" s="1904"/>
      <c r="W515" s="1904"/>
      <c r="X515" s="1904"/>
      <c r="Y515" s="1904"/>
      <c r="Z515" s="1904"/>
      <c r="AA515" s="1904"/>
      <c r="AB515" s="1904"/>
      <c r="AC515" s="1904"/>
      <c r="AD515" s="1904"/>
      <c r="AE515" s="1904"/>
    </row>
    <row r="516" spans="1:49" s="1747" customFormat="1" ht="16.5" customHeight="1">
      <c r="A516" s="1954"/>
      <c r="B516" s="2094">
        <v>27</v>
      </c>
      <c r="C516" s="1600">
        <f>_xlfn.XLOOKUP($D516, Tabla3[No.], Tabla3[FECHA DE INICIO (PRIMERA CLASE CALENDARIO)]," ")</f>
        <v>45417</v>
      </c>
      <c r="D516" s="2045">
        <v>714</v>
      </c>
      <c r="E516" s="1230" t="str">
        <f>_xlfn.XLOOKUP($D516,  Tabla3[No.],  Tabla3[CURP], " ")</f>
        <v>ALVL950927MGGRL00</v>
      </c>
      <c r="F516" s="1380" t="str">
        <f>_xlfn.XLOOKUP($E516, Tabla3[CURP], Tabla3[Matrícula Of. SEQ])</f>
        <v>64MDP04C-01</v>
      </c>
      <c r="G516" s="2048" t="str">
        <f>IFERROR(VLOOKUP(D516,Tabla3[],5,FALSE),"")</f>
        <v>ALARCON VITZIL LIZANI YAMILEX</v>
      </c>
      <c r="H516" s="1605" t="str">
        <f t="shared" si="82"/>
        <v>M</v>
      </c>
      <c r="I516" s="1605" t="str">
        <f t="shared" si="83"/>
        <v>95</v>
      </c>
      <c r="J516" s="1605" t="str">
        <f t="shared" si="84"/>
        <v>09</v>
      </c>
      <c r="K516" s="1605" t="str">
        <f t="shared" si="85"/>
        <v>27</v>
      </c>
      <c r="L516" s="3948" t="str">
        <f>_xlfn.XLOOKUP($D516,  Tabla3[No.],  Tabla3[ESTATUS ACADÉMICO], " ")</f>
        <v>EGRESADO</v>
      </c>
      <c r="M516" s="2060" t="str">
        <f>_xlfn.XLOOKUP($D516,  Tabla3[No.],  Tabla3[Grupo de clase], " ")</f>
        <v>MDP04G</v>
      </c>
      <c r="N516" s="1132">
        <v>10</v>
      </c>
      <c r="O516" s="1132">
        <v>9.4</v>
      </c>
      <c r="P516" s="1132">
        <v>9.3000000000000007</v>
      </c>
      <c r="Q516" s="1132">
        <v>9.4</v>
      </c>
      <c r="R516" s="1132">
        <v>9.5</v>
      </c>
      <c r="S516" s="2012">
        <v>9.4</v>
      </c>
      <c r="T516" s="1954"/>
      <c r="U516" s="1954"/>
      <c r="V516" s="1954"/>
      <c r="W516" s="1954"/>
      <c r="X516" s="1954"/>
      <c r="Y516" s="1954"/>
      <c r="Z516" s="1954"/>
      <c r="AA516" s="1954"/>
      <c r="AB516" s="1954"/>
      <c r="AC516" s="1954"/>
      <c r="AD516" s="1954"/>
      <c r="AE516" s="1954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</row>
    <row r="517" spans="1:49" s="1747" customFormat="1" ht="16.5" customHeight="1">
      <c r="A517" s="1954"/>
      <c r="B517" s="2094">
        <v>28</v>
      </c>
      <c r="C517" s="1600">
        <f>_xlfn.XLOOKUP($D517, Tabla3[No.], Tabla3[FECHA DE INICIO (PRIMERA CLASE CALENDARIO)]," ")</f>
        <v>45417</v>
      </c>
      <c r="D517" s="2045">
        <v>713</v>
      </c>
      <c r="E517" s="1230" t="str">
        <f>_xlfn.XLOOKUP($D517,  Tabla3[No.],  Tabla3[CURP], " ")</f>
        <v>MOME980513HGGRO00</v>
      </c>
      <c r="F517" s="1380" t="str">
        <f>_xlfn.XLOOKUP($E517, Tabla3[CURP], Tabla3[Matrícula Of. SEQ])</f>
        <v>64MDP04C-03</v>
      </c>
      <c r="G517" s="2048" t="str">
        <f>IFERROR(VLOOKUP(D517,Tabla3[],5,FALSE),"")</f>
        <v>MORALES MORALES ERICK VINICIO</v>
      </c>
      <c r="H517" s="1605" t="str">
        <f t="shared" si="82"/>
        <v>H</v>
      </c>
      <c r="I517" s="1605" t="str">
        <f t="shared" si="83"/>
        <v>98</v>
      </c>
      <c r="J517" s="1605" t="str">
        <f t="shared" si="84"/>
        <v>05</v>
      </c>
      <c r="K517" s="1605" t="str">
        <f t="shared" si="85"/>
        <v>13</v>
      </c>
      <c r="L517" s="3948" t="str">
        <f>_xlfn.XLOOKUP($D517,  Tabla3[No.],  Tabla3[ESTATUS ACADÉMICO], " ")</f>
        <v>EGRESADO</v>
      </c>
      <c r="M517" s="2060" t="str">
        <f>_xlfn.XLOOKUP($D517,  Tabla3[No.],  Tabla3[Grupo de clase], " ")</f>
        <v>MDP04G</v>
      </c>
      <c r="N517" s="1132">
        <v>9.1999999999999993</v>
      </c>
      <c r="O517" s="1132">
        <v>9.4</v>
      </c>
      <c r="P517" s="1132">
        <v>9.3000000000000007</v>
      </c>
      <c r="Q517" s="1132">
        <v>9.4</v>
      </c>
      <c r="R517" s="1132">
        <v>9.5</v>
      </c>
      <c r="S517" s="2012">
        <v>9.4</v>
      </c>
      <c r="T517" s="1954"/>
      <c r="U517" s="1954"/>
      <c r="V517" s="1954"/>
      <c r="W517" s="1954"/>
      <c r="X517" s="1954"/>
      <c r="Y517" s="1954"/>
      <c r="Z517" s="1954"/>
      <c r="AA517" s="1954"/>
      <c r="AB517" s="1954"/>
      <c r="AC517" s="1954"/>
      <c r="AD517" s="1954"/>
      <c r="AE517" s="1954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</row>
    <row r="518" spans="1:49" s="1747" customFormat="1" ht="16.5" customHeight="1">
      <c r="A518" s="1954"/>
      <c r="B518" s="2094">
        <v>29</v>
      </c>
      <c r="C518" s="1600">
        <f>_xlfn.XLOOKUP($D518, Tabla3[No.], Tabla3[FECHA DE INICIO (PRIMERA CLASE CALENDARIO)]," ")</f>
        <v>45474</v>
      </c>
      <c r="D518" s="2045">
        <v>760</v>
      </c>
      <c r="E518" s="1230" t="str">
        <f>_xlfn.XLOOKUP($D518,  Tabla3[No.],  Tabla3[CURP], " ")</f>
        <v>RARB680805MGT</v>
      </c>
      <c r="F518" s="1380" t="str">
        <f>_xlfn.XLOOKUP($E518, Tabla3[CURP], Tabla3[Matrícula Of. SEQ])</f>
        <v>64MDP04E-01</v>
      </c>
      <c r="G518" s="2048" t="str">
        <f>IFERROR(VLOOKUP(D518,Tabla3[],5,FALSE),"")</f>
        <v>RAMIREZ ROMAN BRENDA LISSETH</v>
      </c>
      <c r="H518" s="1605" t="str">
        <f t="shared" si="82"/>
        <v>M</v>
      </c>
      <c r="I518" s="1605" t="str">
        <f t="shared" si="83"/>
        <v>68</v>
      </c>
      <c r="J518" s="1605" t="str">
        <f t="shared" si="84"/>
        <v>08</v>
      </c>
      <c r="K518" s="1605" t="str">
        <f t="shared" si="85"/>
        <v>05</v>
      </c>
      <c r="L518" s="3948" t="str">
        <f>_xlfn.XLOOKUP($D518,  Tabla3[No.],  Tabla3[ESTATUS ACADÉMICO], " ")</f>
        <v>EGRESADO</v>
      </c>
      <c r="M518" s="2060" t="str">
        <f>_xlfn.XLOOKUP($D518,  Tabla3[No.],  Tabla3[Grupo de clase], " ")</f>
        <v>MDPG04D</v>
      </c>
      <c r="N518" s="1132">
        <v>9.1999999999999993</v>
      </c>
      <c r="O518" s="1132">
        <v>9.4</v>
      </c>
      <c r="P518" s="1132">
        <v>9.3000000000000007</v>
      </c>
      <c r="Q518" s="1132">
        <v>9.4</v>
      </c>
      <c r="R518" s="1132">
        <v>9.5</v>
      </c>
      <c r="S518" s="2012">
        <v>9.4</v>
      </c>
      <c r="T518" s="1954"/>
      <c r="U518" s="1954"/>
      <c r="V518" s="1954"/>
      <c r="W518" s="1954"/>
      <c r="X518" s="1954"/>
      <c r="Y518" s="1954"/>
      <c r="Z518" s="1954"/>
      <c r="AA518" s="1954"/>
      <c r="AB518" s="1954"/>
      <c r="AC518" s="1954"/>
      <c r="AD518" s="1954"/>
      <c r="AE518" s="1954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</row>
    <row r="519" spans="1:49" s="1747" customFormat="1" ht="16.5" customHeight="1">
      <c r="A519" s="1954"/>
      <c r="B519" s="2094">
        <v>30</v>
      </c>
      <c r="C519" s="1600">
        <f>_xlfn.XLOOKUP($D519, Tabla3[No.], Tabla3[FECHA DE INICIO (PRIMERA CLASE CALENDARIO)]," ")</f>
        <v>45507</v>
      </c>
      <c r="D519" s="2045">
        <v>779</v>
      </c>
      <c r="E519" s="1230" t="str">
        <f>_xlfn.XLOOKUP($D519,  Tabla3[No.],  Tabla3[CURP], " ")</f>
        <v>PIHF891225HGT</v>
      </c>
      <c r="F519" s="1380" t="str">
        <f>_xlfn.XLOOKUP($E519, Tabla3[CURP], Tabla3[Matrícula Of. SEQ])</f>
        <v>64MDP04D-02</v>
      </c>
      <c r="G519" s="2048" t="str">
        <f>IFERROR(VLOOKUP(D519,Tabla3[],5,FALSE),"")</f>
        <v>PINEDA HERNANDEZ FREDDY ORLANDO</v>
      </c>
      <c r="H519" s="1605" t="str">
        <f t="shared" si="82"/>
        <v>H</v>
      </c>
      <c r="I519" s="1605" t="str">
        <f t="shared" si="83"/>
        <v>89</v>
      </c>
      <c r="J519" s="1605" t="str">
        <f t="shared" si="84"/>
        <v>12</v>
      </c>
      <c r="K519" s="1605" t="str">
        <f t="shared" si="85"/>
        <v>25</v>
      </c>
      <c r="L519" s="3948" t="str">
        <f>_xlfn.XLOOKUP($D519,  Tabla3[No.],  Tabla3[ESTATUS ACADÉMICO], " ")</f>
        <v>VIGENTE</v>
      </c>
      <c r="M519" s="2060" t="str">
        <f>_xlfn.XLOOKUP($D519,  Tabla3[No.],  Tabla3[Grupo de clase], " ")</f>
        <v>MDPG04D</v>
      </c>
      <c r="N519" s="1132">
        <v>10</v>
      </c>
      <c r="O519" s="1132">
        <v>9.4</v>
      </c>
      <c r="P519" s="1132">
        <v>9.3000000000000007</v>
      </c>
      <c r="Q519" s="1132">
        <v>9.4</v>
      </c>
      <c r="R519" s="1132">
        <v>9.5</v>
      </c>
      <c r="S519" s="2012">
        <v>9.4</v>
      </c>
      <c r="T519" s="1954"/>
      <c r="U519" s="1954"/>
      <c r="V519" s="1954"/>
      <c r="W519" s="1954"/>
      <c r="X519" s="1954"/>
      <c r="Y519" s="1954"/>
      <c r="Z519" s="1954"/>
      <c r="AA519" s="1954"/>
      <c r="AB519" s="1954"/>
      <c r="AC519" s="1954"/>
      <c r="AD519" s="1954"/>
      <c r="AE519" s="1954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</row>
    <row r="520" spans="1:49" s="1747" customFormat="1" ht="16.5" customHeight="1">
      <c r="A520" s="1954"/>
      <c r="B520" s="2094">
        <v>31</v>
      </c>
      <c r="C520" s="1600">
        <f>_xlfn.XLOOKUP($D520, Tabla3[No.], Tabla3[FECHA DE INICIO (PRIMERA CLASE CALENDARIO)]," ")</f>
        <v>45474</v>
      </c>
      <c r="D520" s="2045">
        <v>740</v>
      </c>
      <c r="E520" s="1230" t="str">
        <f>_xlfn.XLOOKUP($D520,  Tabla3[No.],  Tabla3[CURP], " ")</f>
        <v>PEDG820904HGT</v>
      </c>
      <c r="F520" s="1380" t="str">
        <f>_xlfn.XLOOKUP($E520, Tabla3[CURP], Tabla3[Matrícula Of. SEQ])</f>
        <v>64MD04E-01</v>
      </c>
      <c r="G520" s="2048" t="str">
        <f>IFERROR(VLOOKUP(D520,Tabla3[],5,FALSE),"")</f>
        <v>PEREZ DOMINGUEZ GEISLER SMAILLE</v>
      </c>
      <c r="H520" s="1605" t="str">
        <f t="shared" si="82"/>
        <v>H</v>
      </c>
      <c r="I520" s="1605" t="str">
        <f t="shared" si="83"/>
        <v>82</v>
      </c>
      <c r="J520" s="1605" t="str">
        <f t="shared" si="84"/>
        <v>09</v>
      </c>
      <c r="K520" s="1605" t="str">
        <f t="shared" si="85"/>
        <v>04</v>
      </c>
      <c r="L520" s="3948" t="str">
        <f>_xlfn.XLOOKUP($D520,  Tabla3[No.],  Tabla3[ESTATUS ACADÉMICO], " ")</f>
        <v>EGRESADO</v>
      </c>
      <c r="M520" s="2060" t="str">
        <f>_xlfn.XLOOKUP($D520,  Tabla3[No.],  Tabla3[Grupo de clase], " ")</f>
        <v>MDPG04B</v>
      </c>
      <c r="N520" s="1132">
        <v>9.1999999999999993</v>
      </c>
      <c r="O520" s="1132">
        <v>9.4</v>
      </c>
      <c r="P520" s="1132">
        <v>9.3000000000000007</v>
      </c>
      <c r="Q520" s="1132">
        <v>9.4</v>
      </c>
      <c r="R520" s="1132">
        <v>9.5</v>
      </c>
      <c r="S520" s="2012">
        <v>9.4</v>
      </c>
      <c r="T520" s="1954"/>
      <c r="U520" s="1954"/>
      <c r="V520" s="1954"/>
      <c r="W520" s="1954"/>
      <c r="X520" s="1954"/>
      <c r="Y520" s="1954"/>
      <c r="Z520" s="1954"/>
      <c r="AA520" s="1954"/>
      <c r="AB520" s="1954"/>
      <c r="AC520" s="1954"/>
      <c r="AD520" s="1954"/>
      <c r="AE520" s="1954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</row>
    <row r="521" spans="1:49" s="1747" customFormat="1" ht="16.5" customHeight="1">
      <c r="A521" s="1954"/>
      <c r="B521" s="2094">
        <v>32</v>
      </c>
      <c r="C521" s="1600" t="str">
        <f>_xlfn.XLOOKUP($D521, Tabla3[No.], Tabla3[FECHA DE INICIO (PRIMERA CLASE CALENDARIO)]," ")</f>
        <v xml:space="preserve"> </v>
      </c>
      <c r="D521" s="2045"/>
      <c r="E521" s="1230" t="str">
        <f>_xlfn.XLOOKUP($D521,  Tabla3[No.],  Tabla3[CURP], " ")</f>
        <v xml:space="preserve"> </v>
      </c>
      <c r="F521" s="1380" t="e">
        <f>_xlfn.XLOOKUP($E521, Tabla3[CURP], Tabla3[Matrícula Of. SEQ])</f>
        <v>#N/A</v>
      </c>
      <c r="G521" s="3" t="s">
        <v>4707</v>
      </c>
      <c r="H521" s="1605" t="str">
        <f t="shared" si="82"/>
        <v/>
      </c>
      <c r="I521" s="1605" t="str">
        <f t="shared" si="83"/>
        <v/>
      </c>
      <c r="J521" s="1605" t="str">
        <f t="shared" si="84"/>
        <v/>
      </c>
      <c r="K521" s="1605" t="str">
        <f t="shared" si="85"/>
        <v/>
      </c>
      <c r="L521" s="3948" t="str">
        <f>_xlfn.XLOOKUP($D521,  Tabla3[No.],  Tabla3[ESTATUS ACADÉMICO], " ")</f>
        <v xml:space="preserve"> </v>
      </c>
      <c r="M521" s="2060" t="str">
        <f>_xlfn.XLOOKUP($D521,  Tabla3[No.],  Tabla3[Grupo de clase], " ")</f>
        <v xml:space="preserve"> </v>
      </c>
      <c r="N521" s="1132">
        <v>9.1999999999999993</v>
      </c>
      <c r="O521" s="1132">
        <v>9.4</v>
      </c>
      <c r="P521" s="1132">
        <v>9.3000000000000007</v>
      </c>
      <c r="Q521" s="1132">
        <v>9.4</v>
      </c>
      <c r="R521" s="1132">
        <v>9.5</v>
      </c>
      <c r="S521" s="2012">
        <v>9.4</v>
      </c>
      <c r="T521" s="1954"/>
      <c r="U521" s="1954"/>
      <c r="V521" s="1954"/>
      <c r="W521" s="1954"/>
      <c r="X521" s="1954"/>
      <c r="Y521" s="1954"/>
      <c r="Z521" s="1954"/>
      <c r="AA521" s="1954"/>
      <c r="AB521" s="1954"/>
      <c r="AC521" s="1954"/>
      <c r="AD521" s="1954"/>
      <c r="AE521" s="1954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</row>
    <row r="522" spans="1:49" s="1747" customFormat="1" ht="16.5" customHeight="1">
      <c r="A522" s="1954"/>
      <c r="B522" s="2094">
        <v>33</v>
      </c>
      <c r="C522" s="1600">
        <f>_xlfn.XLOOKUP($D522, Tabla3[No.], Tabla3[FECHA DE INICIO (PRIMERA CLASE CALENDARIO)]," ")</f>
        <v>0</v>
      </c>
      <c r="D522" s="2045">
        <v>787</v>
      </c>
      <c r="E522" s="1230">
        <f>_xlfn.XLOOKUP($D522,  Tabla3[No.],  Tabla3[CURP], " ")</f>
        <v>0</v>
      </c>
      <c r="F522" s="1380" t="e">
        <f>_xlfn.XLOOKUP($E522, Tabla3[CURP], Tabla3[Matrícula Of. SEQ])</f>
        <v>#N/A</v>
      </c>
      <c r="G522" s="2048" t="str">
        <f>IFERROR(VLOOKUP(D522,Tabla3[],5,FALSE),"")</f>
        <v>eliminadO por duplicidad</v>
      </c>
      <c r="H522" s="1605" t="str">
        <f t="shared" si="82"/>
        <v/>
      </c>
      <c r="I522" s="1605" t="str">
        <f t="shared" si="83"/>
        <v/>
      </c>
      <c r="J522" s="1605" t="str">
        <f t="shared" si="84"/>
        <v/>
      </c>
      <c r="K522" s="1605" t="str">
        <f t="shared" si="85"/>
        <v/>
      </c>
      <c r="L522" s="3948">
        <f>_xlfn.XLOOKUP($D522,  Tabla3[No.],  Tabla3[ESTATUS ACADÉMICO], " ")</f>
        <v>0</v>
      </c>
      <c r="M522" s="2060">
        <f>_xlfn.XLOOKUP($D522,  Tabla3[No.],  Tabla3[Grupo de clase], " ")</f>
        <v>0</v>
      </c>
      <c r="N522" s="1132">
        <v>9.1999999999999993</v>
      </c>
      <c r="O522" s="1132">
        <v>9.4</v>
      </c>
      <c r="P522" s="1132">
        <v>9.3000000000000007</v>
      </c>
      <c r="Q522" s="1132">
        <v>9.4</v>
      </c>
      <c r="R522" s="1132">
        <v>9.5</v>
      </c>
      <c r="S522" s="2012">
        <v>9.4</v>
      </c>
      <c r="T522" s="1954"/>
      <c r="U522" s="1954"/>
      <c r="V522" s="1954"/>
      <c r="W522" s="1954"/>
      <c r="X522" s="1954"/>
      <c r="Y522" s="1954"/>
      <c r="Z522" s="1954"/>
      <c r="AA522" s="1954"/>
      <c r="AB522" s="1954"/>
      <c r="AC522" s="1954"/>
      <c r="AD522" s="1954"/>
      <c r="AE522" s="1954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</row>
    <row r="523" spans="1:49" ht="16.5" customHeight="1">
      <c r="A523" s="1904"/>
      <c r="B523" s="2093">
        <v>34</v>
      </c>
      <c r="C523" s="1600">
        <f>_xlfn.XLOOKUP($D523, Tabla3[No.], Tabla3[FECHA DE INICIO (PRIMERA CLASE CALENDARIO)]," ")</f>
        <v>45417</v>
      </c>
      <c r="D523" s="2045">
        <v>715</v>
      </c>
      <c r="E523" s="1230" t="str">
        <f>_xlfn.XLOOKUP($D523,  Tabla3[No.],  Tabla3[CURP], " ")</f>
        <v>OEMJ881028HGGBMN00</v>
      </c>
      <c r="F523" s="1380" t="str">
        <f>_xlfn.XLOOKUP($E523, Tabla3[CURP], Tabla3[Matrícula Of. SEQ])</f>
        <v>64MDP04C-04</v>
      </c>
      <c r="G523" s="2048" t="str">
        <f>IFERROR(VLOOKUP(D523,Tabla3[],5,FALSE),"")</f>
        <v>OBREGON MARTINEZ JUAN FERNANDO</v>
      </c>
      <c r="H523" s="1605" t="str">
        <f t="shared" si="82"/>
        <v>H</v>
      </c>
      <c r="I523" s="1605" t="str">
        <f t="shared" si="83"/>
        <v>88</v>
      </c>
      <c r="J523" s="1605" t="str">
        <f t="shared" si="84"/>
        <v>10</v>
      </c>
      <c r="K523" s="1605" t="str">
        <f t="shared" si="85"/>
        <v>28</v>
      </c>
      <c r="L523" s="3948" t="str">
        <f>_xlfn.XLOOKUP($D523,  Tabla3[No.],  Tabla3[ESTATUS ACADÉMICO], " ")</f>
        <v>EGRESADO</v>
      </c>
      <c r="M523" s="2060" t="str">
        <f>_xlfn.XLOOKUP($D523,  Tabla3[No.],  Tabla3[Grupo de clase], " ")</f>
        <v>MDP04G</v>
      </c>
      <c r="N523" s="1132">
        <v>9.1999999999999993</v>
      </c>
      <c r="O523" s="1132">
        <v>9.4</v>
      </c>
      <c r="P523" s="1132">
        <v>9.3000000000000007</v>
      </c>
      <c r="Q523" s="1132">
        <v>9.4</v>
      </c>
      <c r="R523" s="1132">
        <v>9.5</v>
      </c>
      <c r="S523" s="2012">
        <v>9.4</v>
      </c>
      <c r="T523" s="1904"/>
      <c r="U523" s="1904"/>
      <c r="V523" s="1904"/>
      <c r="W523" s="1904"/>
      <c r="X523" s="1904"/>
      <c r="Y523" s="1904"/>
      <c r="Z523" s="1904"/>
      <c r="AA523" s="1904"/>
      <c r="AB523" s="1904"/>
      <c r="AC523" s="1904"/>
      <c r="AD523" s="1904"/>
      <c r="AE523" s="1904"/>
    </row>
    <row r="524" spans="1:49" ht="16.5" customHeight="1">
      <c r="A524" s="1904"/>
      <c r="B524" s="2093">
        <v>35</v>
      </c>
      <c r="C524" s="1600">
        <f>_xlfn.XLOOKUP($D524, Tabla3[No.], Tabla3[FECHA DE INICIO (PRIMERA CLASE CALENDARIO)]," ")</f>
        <v>45507</v>
      </c>
      <c r="D524" s="2045">
        <v>777</v>
      </c>
      <c r="E524" s="1230" t="str">
        <f>_xlfn.XLOOKUP($D524,  Tabla3[No.],  Tabla3[CURP], " ")</f>
        <v>HIEJ870410HGT</v>
      </c>
      <c r="F524" s="1380" t="str">
        <f>_xlfn.XLOOKUP($E524, Tabla3[CURP], Tabla3[Matrícula Of. SEQ])</f>
        <v>64MDP04D-01</v>
      </c>
      <c r="G524" s="2048" t="str">
        <f>IFERROR(VLOOKUP(D524,Tabla3[],5,FALSE),"")</f>
        <v>HIDALGO ECHEVERRIA JUAN MIGUEL</v>
      </c>
      <c r="H524" s="1605" t="str">
        <f t="shared" si="82"/>
        <v>H</v>
      </c>
      <c r="I524" s="1605" t="str">
        <f t="shared" si="83"/>
        <v>87</v>
      </c>
      <c r="J524" s="1605" t="str">
        <f t="shared" si="84"/>
        <v>04</v>
      </c>
      <c r="K524" s="1605" t="str">
        <f t="shared" si="85"/>
        <v>10</v>
      </c>
      <c r="L524" s="3948" t="str">
        <f>_xlfn.XLOOKUP($D524,  Tabla3[No.],  Tabla3[ESTATUS ACADÉMICO], " ")</f>
        <v>EGRESADO</v>
      </c>
      <c r="M524" s="2060" t="str">
        <f>_xlfn.XLOOKUP($D524,  Tabla3[No.],  Tabla3[Grupo de clase], " ")</f>
        <v>MDPG04D</v>
      </c>
      <c r="N524" s="2013">
        <v>9.1999999999999993</v>
      </c>
      <c r="O524" s="2013">
        <v>9.4</v>
      </c>
      <c r="P524" s="2013">
        <v>9.3000000000000007</v>
      </c>
      <c r="Q524" s="2005">
        <v>9.4</v>
      </c>
      <c r="R524" s="1904"/>
      <c r="S524" s="1904"/>
      <c r="T524" s="1904"/>
      <c r="U524" s="1904"/>
      <c r="V524" s="1904"/>
      <c r="W524" s="1904"/>
      <c r="X524" s="1904"/>
      <c r="Y524" s="1904"/>
      <c r="Z524" s="1904"/>
      <c r="AA524" s="1904"/>
      <c r="AB524" s="1904"/>
      <c r="AC524" s="1904"/>
      <c r="AD524" s="1904"/>
      <c r="AE524" s="1904"/>
    </row>
    <row r="525" spans="1:49" ht="15.75" customHeight="1">
      <c r="A525" s="1904"/>
      <c r="B525" s="2093">
        <v>36</v>
      </c>
      <c r="C525" s="1600">
        <f>_xlfn.XLOOKUP($D525, Tabla3[No.], Tabla3[FECHA DE INICIO (PRIMERA CLASE CALENDARIO)]," ")</f>
        <v>45632</v>
      </c>
      <c r="D525" s="2045">
        <v>801</v>
      </c>
      <c r="E525" s="1230" t="str">
        <f>_xlfn.XLOOKUP($D525,  Tabla3[No.],  Tabla3[CURP], " ")</f>
        <v>SOQJ910821HGT</v>
      </c>
      <c r="F525" s="1380" t="str">
        <f>_xlfn.XLOOKUP($E525, Tabla3[CURP], Tabla3[Matrícula Of. SEQ])</f>
        <v>64MDP05A-05</v>
      </c>
      <c r="G525" s="2048" t="str">
        <f>IFERROR(VLOOKUP(D525,Tabla3[],5,FALSE),"")</f>
        <v>SOLORZANO QUEVEDO JULIO ENRIQUE</v>
      </c>
      <c r="H525" s="1605" t="str">
        <f t="shared" si="82"/>
        <v>H</v>
      </c>
      <c r="I525" s="1605" t="str">
        <f t="shared" si="83"/>
        <v>91</v>
      </c>
      <c r="J525" s="1605" t="str">
        <f t="shared" si="84"/>
        <v>08</v>
      </c>
      <c r="K525" s="1605" t="str">
        <f t="shared" si="85"/>
        <v>21</v>
      </c>
      <c r="L525" s="3948" t="str">
        <f>_xlfn.XLOOKUP($D525,  Tabla3[No.],  Tabla3[ESTATUS ACADÉMICO], " ")</f>
        <v>VIGENTE</v>
      </c>
      <c r="M525" s="2060" t="str">
        <f>_xlfn.XLOOKUP($D525,  Tabla3[No.],  Tabla3[Grupo de clase], " ")</f>
        <v>MDP05G</v>
      </c>
      <c r="N525" s="1132">
        <v>9.1999999999999993</v>
      </c>
      <c r="O525" s="1132">
        <v>9.4</v>
      </c>
      <c r="P525" s="1132">
        <v>9.3000000000000007</v>
      </c>
      <c r="Q525" s="1132">
        <v>9.4</v>
      </c>
      <c r="R525" s="1132">
        <v>9.5</v>
      </c>
      <c r="S525" s="2012">
        <v>9.4</v>
      </c>
      <c r="T525" s="744"/>
      <c r="U525" s="744"/>
      <c r="V525" s="744"/>
      <c r="W525" s="744"/>
      <c r="X525" s="744"/>
      <c r="Y525" s="744"/>
      <c r="Z525" s="744"/>
      <c r="AA525" s="744"/>
      <c r="AB525" s="744"/>
      <c r="AC525" s="744"/>
      <c r="AD525" s="744"/>
      <c r="AE525" s="744"/>
    </row>
    <row r="526" spans="1:49" ht="15.75" customHeight="1">
      <c r="A526" s="1904"/>
      <c r="B526" s="2093">
        <v>37</v>
      </c>
      <c r="C526" s="1600">
        <f>_xlfn.XLOOKUP($D526, Tabla3[No.], Tabla3[FECHA DE INICIO (PRIMERA CLASE CALENDARIO)]," ")</f>
        <v>45607</v>
      </c>
      <c r="D526" s="2045">
        <v>813</v>
      </c>
      <c r="E526" s="1230" t="str">
        <f>_xlfn.XLOOKUP($D526,  Tabla3[No.],  Tabla3[CURP], " ")</f>
        <v>RELE771130HGTTNR01</v>
      </c>
      <c r="F526" s="1380" t="str">
        <f>_xlfn.XLOOKUP($E526, Tabla3[CURP], Tabla3[Matrícula Of. SEQ])</f>
        <v>64MDP05A-04</v>
      </c>
      <c r="G526" s="2048" t="str">
        <f>IFERROR(VLOOKUP(D526,Tabla3[],5,FALSE),"")</f>
        <v>RETANA DE LEON ERICK ALEXI</v>
      </c>
      <c r="H526" s="1605" t="str">
        <f t="shared" si="82"/>
        <v>H</v>
      </c>
      <c r="I526" s="1605" t="str">
        <f t="shared" si="83"/>
        <v>77</v>
      </c>
      <c r="J526" s="1605" t="str">
        <f t="shared" si="84"/>
        <v>11</v>
      </c>
      <c r="K526" s="1605" t="str">
        <f t="shared" si="85"/>
        <v>30</v>
      </c>
      <c r="L526" s="3948" t="str">
        <f>_xlfn.XLOOKUP($D526,  Tabla3[No.],  Tabla3[ESTATUS ACADÉMICO], " ")</f>
        <v>VIGENTE</v>
      </c>
      <c r="M526" s="2060" t="str">
        <f>_xlfn.XLOOKUP($D526,  Tabla3[No.],  Tabla3[Grupo de clase], " ")</f>
        <v>MDP05G</v>
      </c>
      <c r="N526" s="1132">
        <v>9.1999999999999993</v>
      </c>
      <c r="O526" s="1132">
        <v>9.4</v>
      </c>
      <c r="P526" s="1132">
        <v>9.3000000000000007</v>
      </c>
      <c r="Q526" s="1132">
        <v>9.4</v>
      </c>
      <c r="R526" s="1132">
        <v>9.5</v>
      </c>
      <c r="S526" s="2012">
        <v>9.4</v>
      </c>
      <c r="T526" s="744"/>
      <c r="U526" s="744"/>
      <c r="V526" s="744"/>
      <c r="W526" s="744"/>
      <c r="X526" s="744"/>
      <c r="Y526" s="744"/>
      <c r="Z526" s="744"/>
      <c r="AA526" s="744"/>
      <c r="AB526" s="744"/>
      <c r="AC526" s="744"/>
      <c r="AD526" s="744"/>
      <c r="AE526" s="744"/>
    </row>
    <row r="527" spans="1:49" ht="15.75" customHeight="1">
      <c r="A527" s="2323"/>
      <c r="B527" s="2324"/>
      <c r="C527" s="2253"/>
      <c r="D527" s="2325"/>
      <c r="E527" s="2326"/>
      <c r="F527" s="1265"/>
      <c r="G527" s="949"/>
      <c r="H527" s="2327"/>
      <c r="I527" s="2327"/>
      <c r="J527" s="2327"/>
      <c r="K527" s="2327"/>
      <c r="L527" s="3950"/>
      <c r="M527" s="2320"/>
      <c r="N527" s="2321"/>
      <c r="O527" s="2321"/>
      <c r="P527" s="2321"/>
      <c r="Q527" s="2321"/>
      <c r="R527" s="2321"/>
      <c r="S527" s="2328"/>
      <c r="T527" s="700"/>
      <c r="U527" s="700"/>
      <c r="V527" s="700"/>
      <c r="W527" s="700"/>
      <c r="X527" s="700"/>
      <c r="Y527" s="700"/>
      <c r="Z527" s="700"/>
      <c r="AA527" s="700"/>
      <c r="AB527" s="700"/>
      <c r="AC527" s="700"/>
      <c r="AD527" s="700"/>
      <c r="AE527" s="700"/>
    </row>
    <row r="528" spans="1:49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  <row r="1056" ht="15.75" customHeight="1"/>
    <row r="1057" ht="15.75" customHeight="1"/>
    <row r="1058" ht="15.75" customHeight="1"/>
    <row r="1059" ht="15.75" customHeight="1"/>
    <row r="1060" ht="15.75" customHeight="1"/>
    <row r="1061" ht="15.75" customHeight="1"/>
    <row r="1062" ht="15.75" customHeight="1"/>
    <row r="1063" ht="15.75" customHeight="1"/>
    <row r="1064" ht="15.75" customHeight="1"/>
    <row r="1065" ht="15.75" customHeight="1"/>
    <row r="1066" ht="15.75" customHeight="1"/>
    <row r="1067" ht="15.75" customHeight="1"/>
    <row r="1068" ht="15.75" customHeight="1"/>
    <row r="1069" ht="15.75" customHeight="1"/>
    <row r="1070" ht="15.75" customHeight="1"/>
    <row r="1071" ht="15.75" customHeight="1"/>
    <row r="1072" ht="15.75" customHeight="1"/>
    <row r="1073" ht="15.75" customHeight="1"/>
    <row r="1074" ht="15.75" customHeight="1"/>
    <row r="1075" ht="15.75" customHeight="1"/>
    <row r="1076" ht="15.75" customHeight="1"/>
    <row r="1077" ht="15.75" customHeight="1"/>
    <row r="1078" ht="15.75" customHeight="1"/>
    <row r="1079" ht="15.75" customHeight="1"/>
    <row r="1080" ht="15.75" customHeight="1"/>
    <row r="1081" ht="15.75" customHeight="1"/>
    <row r="1082" ht="15.75" customHeight="1"/>
    <row r="1083" ht="15.75" customHeight="1"/>
    <row r="1084" ht="15.75" customHeight="1"/>
    <row r="1085" ht="15.75" customHeight="1"/>
    <row r="1086" ht="15.75" customHeight="1"/>
  </sheetData>
  <mergeCells count="208">
    <mergeCell ref="A11:F12"/>
    <mergeCell ref="A28:F29"/>
    <mergeCell ref="B13:B16"/>
    <mergeCell ref="D13:D16"/>
    <mergeCell ref="E13:E16"/>
    <mergeCell ref="F13:F16"/>
    <mergeCell ref="G13:G15"/>
    <mergeCell ref="H13:H16"/>
    <mergeCell ref="I13:K15"/>
    <mergeCell ref="L13:L14"/>
    <mergeCell ref="N13:Q13"/>
    <mergeCell ref="R13:U13"/>
    <mergeCell ref="V13:Y13"/>
    <mergeCell ref="Z13:AC13"/>
    <mergeCell ref="AD13:AG13"/>
    <mergeCell ref="AH13:AK13"/>
    <mergeCell ref="B30:B33"/>
    <mergeCell ref="D30:D33"/>
    <mergeCell ref="E30:E33"/>
    <mergeCell ref="F30:F33"/>
    <mergeCell ref="G30:G32"/>
    <mergeCell ref="H30:H33"/>
    <mergeCell ref="I30:K32"/>
    <mergeCell ref="L30:L31"/>
    <mergeCell ref="C30:C31"/>
    <mergeCell ref="C32:C33"/>
    <mergeCell ref="F44:F46"/>
    <mergeCell ref="B44:B46"/>
    <mergeCell ref="D44:D46"/>
    <mergeCell ref="E44:E46"/>
    <mergeCell ref="G44:G45"/>
    <mergeCell ref="H44:H46"/>
    <mergeCell ref="I44:K45"/>
    <mergeCell ref="H382:H385"/>
    <mergeCell ref="I382:K384"/>
    <mergeCell ref="B58:B60"/>
    <mergeCell ref="B265:B268"/>
    <mergeCell ref="E265:E268"/>
    <mergeCell ref="E90:E93"/>
    <mergeCell ref="F58:F60"/>
    <mergeCell ref="G58:G59"/>
    <mergeCell ref="H58:H60"/>
    <mergeCell ref="I58:K59"/>
    <mergeCell ref="E58:E60"/>
    <mergeCell ref="B80:B83"/>
    <mergeCell ref="E80:E83"/>
    <mergeCell ref="F80:F83"/>
    <mergeCell ref="G80:G82"/>
    <mergeCell ref="A55:F56"/>
    <mergeCell ref="C161:C162"/>
    <mergeCell ref="S466:Y466"/>
    <mergeCell ref="B464:E465"/>
    <mergeCell ref="K466:L466"/>
    <mergeCell ref="B467:B470"/>
    <mergeCell ref="E467:E469"/>
    <mergeCell ref="F467:F469"/>
    <mergeCell ref="G467:G469"/>
    <mergeCell ref="H467:H470"/>
    <mergeCell ref="I467:K469"/>
    <mergeCell ref="L467:M467"/>
    <mergeCell ref="L468:M468"/>
    <mergeCell ref="L469:M469"/>
    <mergeCell ref="AD441:AG441"/>
    <mergeCell ref="B442:B445"/>
    <mergeCell ref="F442:F444"/>
    <mergeCell ref="G442:G444"/>
    <mergeCell ref="H442:H445"/>
    <mergeCell ref="I442:K444"/>
    <mergeCell ref="L442:M442"/>
    <mergeCell ref="L443:M443"/>
    <mergeCell ref="L444:M444"/>
    <mergeCell ref="D442:D445"/>
    <mergeCell ref="C444:C445"/>
    <mergeCell ref="E442:E445"/>
    <mergeCell ref="L441:M441"/>
    <mergeCell ref="N441:O441"/>
    <mergeCell ref="P441:S441"/>
    <mergeCell ref="T441:Y441"/>
    <mergeCell ref="Z441:AC441"/>
    <mergeCell ref="Z221:AC221"/>
    <mergeCell ref="B221:B224"/>
    <mergeCell ref="D221:D224"/>
    <mergeCell ref="E221:E224"/>
    <mergeCell ref="F221:F224"/>
    <mergeCell ref="G221:G223"/>
    <mergeCell ref="H221:H224"/>
    <mergeCell ref="I221:K223"/>
    <mergeCell ref="L221:L222"/>
    <mergeCell ref="N221:Q221"/>
    <mergeCell ref="V221:Y221"/>
    <mergeCell ref="R221:U221"/>
    <mergeCell ref="AC393:AF393"/>
    <mergeCell ref="B394:B397"/>
    <mergeCell ref="F394:F396"/>
    <mergeCell ref="G394:G396"/>
    <mergeCell ref="H394:H397"/>
    <mergeCell ref="I394:K396"/>
    <mergeCell ref="L394:M394"/>
    <mergeCell ref="L395:M395"/>
    <mergeCell ref="E394:E397"/>
    <mergeCell ref="L396:M396"/>
    <mergeCell ref="R393:U393"/>
    <mergeCell ref="Y393:AB393"/>
    <mergeCell ref="N393:Q393"/>
    <mergeCell ref="AC426:AF426"/>
    <mergeCell ref="F427:F429"/>
    <mergeCell ref="G427:G429"/>
    <mergeCell ref="H427:H430"/>
    <mergeCell ref="I427:K429"/>
    <mergeCell ref="L427:M427"/>
    <mergeCell ref="L428:M428"/>
    <mergeCell ref="L429:M429"/>
    <mergeCell ref="E427:E430"/>
    <mergeCell ref="R426:U426"/>
    <mergeCell ref="Y426:AB426"/>
    <mergeCell ref="N426:Q426"/>
    <mergeCell ref="I80:K82"/>
    <mergeCell ref="B138:B141"/>
    <mergeCell ref="M320:M321"/>
    <mergeCell ref="H161:H164"/>
    <mergeCell ref="B90:B93"/>
    <mergeCell ref="B109:B112"/>
    <mergeCell ref="E109:E112"/>
    <mergeCell ref="F109:F112"/>
    <mergeCell ref="E320:E323"/>
    <mergeCell ref="F320:F323"/>
    <mergeCell ref="B320:B323"/>
    <mergeCell ref="E288:E291"/>
    <mergeCell ref="F231:F232"/>
    <mergeCell ref="E231:E232"/>
    <mergeCell ref="D231:D232"/>
    <mergeCell ref="H109:H112"/>
    <mergeCell ref="G123:G125"/>
    <mergeCell ref="F265:F268"/>
    <mergeCell ref="B284:F285"/>
    <mergeCell ref="B123:B126"/>
    <mergeCell ref="E138:E141"/>
    <mergeCell ref="T91:T105"/>
    <mergeCell ref="G288:G290"/>
    <mergeCell ref="M288:M289"/>
    <mergeCell ref="M265:M266"/>
    <mergeCell ref="F180:F182"/>
    <mergeCell ref="F123:F126"/>
    <mergeCell ref="G265:G267"/>
    <mergeCell ref="M90:M91"/>
    <mergeCell ref="F288:F291"/>
    <mergeCell ref="G161:G163"/>
    <mergeCell ref="G138:G140"/>
    <mergeCell ref="I161:K163"/>
    <mergeCell ref="F138:F141"/>
    <mergeCell ref="B357:B360"/>
    <mergeCell ref="B382:B385"/>
    <mergeCell ref="D382:D385"/>
    <mergeCell ref="E382:E385"/>
    <mergeCell ref="F382:F385"/>
    <mergeCell ref="G382:G384"/>
    <mergeCell ref="L382:L383"/>
    <mergeCell ref="B427:B430"/>
    <mergeCell ref="B180:B182"/>
    <mergeCell ref="I320:K322"/>
    <mergeCell ref="G180:G181"/>
    <mergeCell ref="G320:G322"/>
    <mergeCell ref="D180:D182"/>
    <mergeCell ref="G487:G488"/>
    <mergeCell ref="E123:E126"/>
    <mergeCell ref="G90:G92"/>
    <mergeCell ref="I265:K267"/>
    <mergeCell ref="H90:H93"/>
    <mergeCell ref="I90:K92"/>
    <mergeCell ref="I109:K111"/>
    <mergeCell ref="G109:G111"/>
    <mergeCell ref="D487:D489"/>
    <mergeCell ref="E180:E182"/>
    <mergeCell ref="K488:L488"/>
    <mergeCell ref="L357:L358"/>
    <mergeCell ref="K486:L486"/>
    <mergeCell ref="K487:L487"/>
    <mergeCell ref="H138:H141"/>
    <mergeCell ref="I138:K140"/>
    <mergeCell ref="H320:H323"/>
    <mergeCell ref="H288:H291"/>
    <mergeCell ref="I288:K290"/>
    <mergeCell ref="H265:H268"/>
    <mergeCell ref="H180:H182"/>
    <mergeCell ref="A44:A45"/>
    <mergeCell ref="A42:F43"/>
    <mergeCell ref="L58:L59"/>
    <mergeCell ref="B487:B489"/>
    <mergeCell ref="H487:J488"/>
    <mergeCell ref="A484:G485"/>
    <mergeCell ref="D357:D360"/>
    <mergeCell ref="E357:E360"/>
    <mergeCell ref="F357:F360"/>
    <mergeCell ref="G357:G359"/>
    <mergeCell ref="H357:H360"/>
    <mergeCell ref="I357:K359"/>
    <mergeCell ref="D58:D60"/>
    <mergeCell ref="F487:F489"/>
    <mergeCell ref="E487:E489"/>
    <mergeCell ref="I180:K181"/>
    <mergeCell ref="E161:E164"/>
    <mergeCell ref="F161:F164"/>
    <mergeCell ref="L80:L81"/>
    <mergeCell ref="B161:B164"/>
    <mergeCell ref="I123:K125"/>
    <mergeCell ref="H123:H126"/>
    <mergeCell ref="H80:H83"/>
    <mergeCell ref="F90:F93"/>
  </mergeCells>
  <phoneticPr fontId="275" type="noConversion"/>
  <conditionalFormatting sqref="V184">
    <cfRule type="notContainsBlanks" dxfId="300" priority="354">
      <formula>LEN(TRIM(V184))&gt;0</formula>
    </cfRule>
  </conditionalFormatting>
  <conditionalFormatting sqref="V143">
    <cfRule type="notContainsBlanks" dxfId="299" priority="355">
      <formula>LEN(TRIM(V143))&gt;0</formula>
    </cfRule>
  </conditionalFormatting>
  <conditionalFormatting sqref="N270:R270 T270:AG270 N271:AG272 N279:AG279 N273:R278 T273:AG278 V73 N94:S105 U94:U105 W94:AH105 N84:Z84 Q71:Q73 N61:O61 N62:P63 Q61:Q67 R67:U67 V66:V67 W67:Y67 N67:P70 Q83:AK83 M133:AK133 P86:P218 AA60 N85:AK85 O48:Q48 N70:U70 N68:U68 R68:Y70 Q69:Y69 U61:W61 R62:W63 N225:AC225 N165:AM172 N143:AI157 N128:AI132 N114:AI118 P34:V35 P37:V40 V36 N17:U26 S48:U48 W48:Y48 AA48:AC48 N45:AC47 N49:AC49 N219:T228">
    <cfRule type="cellIs" dxfId="298" priority="349" operator="lessThan">
      <formula>8</formula>
    </cfRule>
    <cfRule type="cellIs" dxfId="297" priority="350" operator="lessThan">
      <formula>10</formula>
    </cfRule>
  </conditionalFormatting>
  <conditionalFormatting sqref="N324:N347">
    <cfRule type="cellIs" dxfId="296" priority="345" operator="lessThan">
      <formula>8</formula>
    </cfRule>
    <cfRule type="cellIs" dxfId="295" priority="346" operator="lessThan">
      <formula>10</formula>
    </cfRule>
  </conditionalFormatting>
  <conditionalFormatting sqref="AE324:AF347 AI324:AM347">
    <cfRule type="cellIs" dxfId="294" priority="335" operator="lessThan">
      <formula>8</formula>
    </cfRule>
    <cfRule type="cellIs" dxfId="293" priority="336" operator="lessThan">
      <formula>10</formula>
    </cfRule>
  </conditionalFormatting>
  <conditionalFormatting sqref="O324:Q347 S324:S347 U324:X347">
    <cfRule type="cellIs" dxfId="292" priority="333" operator="lessThan">
      <formula>8</formula>
    </cfRule>
    <cfRule type="cellIs" dxfId="291" priority="334" operator="lessThan">
      <formula>10</formula>
    </cfRule>
  </conditionalFormatting>
  <conditionalFormatting sqref="N233:O233 N230:O230 R230 V230">
    <cfRule type="cellIs" dxfId="290" priority="325" operator="lessThan">
      <formula>8</formula>
    </cfRule>
    <cfRule type="cellIs" dxfId="289" priority="326" operator="lessThan">
      <formula>10</formula>
    </cfRule>
  </conditionalFormatting>
  <conditionalFormatting sqref="N64:P64 W64:Y64 R64:U64">
    <cfRule type="cellIs" dxfId="288" priority="289" operator="lessThan">
      <formula>8</formula>
    </cfRule>
    <cfRule type="cellIs" dxfId="287" priority="290" operator="lessThan">
      <formula>10</formula>
    </cfRule>
  </conditionalFormatting>
  <conditionalFormatting sqref="N65:P65 R65 V65:Y65">
    <cfRule type="cellIs" dxfId="286" priority="287" operator="lessThan">
      <formula>8</formula>
    </cfRule>
    <cfRule type="cellIs" dxfId="285" priority="288" operator="lessThan">
      <formula>10</formula>
    </cfRule>
  </conditionalFormatting>
  <conditionalFormatting sqref="N69:P69">
    <cfRule type="cellIs" dxfId="284" priority="279" operator="lessThan">
      <formula>8</formula>
    </cfRule>
    <cfRule type="cellIs" dxfId="283" priority="280" operator="lessThan">
      <formula>10</formula>
    </cfRule>
  </conditionalFormatting>
  <conditionalFormatting sqref="O66:P66">
    <cfRule type="cellIs" dxfId="282" priority="277" operator="lessThan">
      <formula>8</formula>
    </cfRule>
    <cfRule type="cellIs" dxfId="281" priority="278" operator="lessThan">
      <formula>10</formula>
    </cfRule>
  </conditionalFormatting>
  <conditionalFormatting sqref="N66">
    <cfRule type="cellIs" dxfId="280" priority="273" operator="lessThan">
      <formula>8</formula>
    </cfRule>
    <cfRule type="cellIs" dxfId="279" priority="274" operator="lessThan">
      <formula>10</formula>
    </cfRule>
  </conditionalFormatting>
  <conditionalFormatting sqref="R61:S61 Y61:Y63">
    <cfRule type="cellIs" dxfId="278" priority="271" operator="lessThan">
      <formula>8</formula>
    </cfRule>
    <cfRule type="cellIs" dxfId="277" priority="272" operator="lessThan">
      <formula>10</formula>
    </cfRule>
  </conditionalFormatting>
  <conditionalFormatting sqref="R66:U66">
    <cfRule type="cellIs" dxfId="276" priority="267" operator="lessThan">
      <formula>8</formula>
    </cfRule>
    <cfRule type="cellIs" dxfId="275" priority="268" operator="lessThan">
      <formula>10</formula>
    </cfRule>
  </conditionalFormatting>
  <conditionalFormatting sqref="R71:R73">
    <cfRule type="cellIs" dxfId="274" priority="263" operator="lessThan">
      <formula>8</formula>
    </cfRule>
    <cfRule type="cellIs" dxfId="273" priority="264" operator="lessThan">
      <formula>10</formula>
    </cfRule>
  </conditionalFormatting>
  <conditionalFormatting sqref="W66:Y66">
    <cfRule type="cellIs" dxfId="272" priority="239" operator="lessThan">
      <formula>8</formula>
    </cfRule>
    <cfRule type="cellIs" dxfId="271" priority="240" operator="lessThan">
      <formula>10</formula>
    </cfRule>
  </conditionalFormatting>
  <conditionalFormatting sqref="U73">
    <cfRule type="cellIs" dxfId="270" priority="231" operator="lessThan">
      <formula>8</formula>
    </cfRule>
    <cfRule type="cellIs" dxfId="269" priority="232" operator="lessThan">
      <formula>10</formula>
    </cfRule>
  </conditionalFormatting>
  <conditionalFormatting sqref="V94:V105">
    <cfRule type="cellIs" dxfId="268" priority="221" operator="lessThan">
      <formula>8</formula>
    </cfRule>
    <cfRule type="cellIs" dxfId="267" priority="222" operator="lessThan">
      <formula>10</formula>
    </cfRule>
  </conditionalFormatting>
  <conditionalFormatting sqref="AI94:AI105">
    <cfRule type="cellIs" dxfId="266" priority="219" operator="lessThan">
      <formula>8</formula>
    </cfRule>
    <cfRule type="cellIs" dxfId="265" priority="220" operator="lessThan">
      <formula>10</formula>
    </cfRule>
  </conditionalFormatting>
  <conditionalFormatting sqref="V64">
    <cfRule type="cellIs" dxfId="264" priority="217" operator="lessThan">
      <formula>8</formula>
    </cfRule>
    <cfRule type="cellIs" dxfId="263" priority="218" operator="lessThan">
      <formula>10</formula>
    </cfRule>
  </conditionalFormatting>
  <conditionalFormatting sqref="U65">
    <cfRule type="cellIs" dxfId="262" priority="215" operator="lessThan">
      <formula>8</formula>
    </cfRule>
    <cfRule type="cellIs" dxfId="261" priority="216" operator="lessThan">
      <formula>10</formula>
    </cfRule>
  </conditionalFormatting>
  <conditionalFormatting sqref="T65">
    <cfRule type="cellIs" dxfId="260" priority="213" operator="lessThan">
      <formula>8</formula>
    </cfRule>
    <cfRule type="cellIs" dxfId="259" priority="214" operator="lessThan">
      <formula>10</formula>
    </cfRule>
  </conditionalFormatting>
  <conditionalFormatting sqref="S65">
    <cfRule type="cellIs" dxfId="258" priority="211" operator="lessThan">
      <formula>8</formula>
    </cfRule>
    <cfRule type="cellIs" dxfId="257" priority="212" operator="lessThan">
      <formula>10</formula>
    </cfRule>
  </conditionalFormatting>
  <conditionalFormatting sqref="X63">
    <cfRule type="cellIs" dxfId="256" priority="205" operator="lessThan">
      <formula>8</formula>
    </cfRule>
    <cfRule type="cellIs" dxfId="255" priority="206" operator="lessThan">
      <formula>10</formula>
    </cfRule>
  </conditionalFormatting>
  <conditionalFormatting sqref="X62">
    <cfRule type="cellIs" dxfId="254" priority="203" operator="lessThan">
      <formula>8</formula>
    </cfRule>
    <cfRule type="cellIs" dxfId="253" priority="204" operator="lessThan">
      <formula>10</formula>
    </cfRule>
  </conditionalFormatting>
  <conditionalFormatting sqref="AF84">
    <cfRule type="cellIs" dxfId="252" priority="155" operator="lessThan">
      <formula>8</formula>
    </cfRule>
    <cfRule type="cellIs" dxfId="251" priority="156" operator="lessThan">
      <formula>10</formula>
    </cfRule>
  </conditionalFormatting>
  <conditionalFormatting sqref="D446">
    <cfRule type="duplicateValues" dxfId="250" priority="126"/>
  </conditionalFormatting>
  <conditionalFormatting sqref="D447">
    <cfRule type="duplicateValues" dxfId="249" priority="125"/>
  </conditionalFormatting>
  <conditionalFormatting sqref="D448">
    <cfRule type="duplicateValues" dxfId="248" priority="124"/>
  </conditionalFormatting>
  <conditionalFormatting sqref="D449">
    <cfRule type="duplicateValues" dxfId="247" priority="123"/>
  </conditionalFormatting>
  <conditionalFormatting sqref="D450">
    <cfRule type="duplicateValues" dxfId="246" priority="122"/>
  </conditionalFormatting>
  <conditionalFormatting sqref="D451">
    <cfRule type="duplicateValues" dxfId="245" priority="121"/>
  </conditionalFormatting>
  <conditionalFormatting sqref="D452">
    <cfRule type="duplicateValues" dxfId="244" priority="120"/>
  </conditionalFormatting>
  <conditionalFormatting sqref="D453">
    <cfRule type="duplicateValues" dxfId="243" priority="119"/>
  </conditionalFormatting>
  <conditionalFormatting sqref="D454">
    <cfRule type="duplicateValues" dxfId="242" priority="118"/>
  </conditionalFormatting>
  <conditionalFormatting sqref="D455">
    <cfRule type="duplicateValues" dxfId="241" priority="117"/>
  </conditionalFormatting>
  <conditionalFormatting sqref="D456">
    <cfRule type="duplicateValues" dxfId="240" priority="116"/>
  </conditionalFormatting>
  <conditionalFormatting sqref="D457">
    <cfRule type="duplicateValues" dxfId="239" priority="115"/>
  </conditionalFormatting>
  <conditionalFormatting sqref="D458">
    <cfRule type="duplicateValues" dxfId="238" priority="114"/>
  </conditionalFormatting>
  <conditionalFormatting sqref="D459">
    <cfRule type="duplicateValues" dxfId="237" priority="113"/>
  </conditionalFormatting>
  <conditionalFormatting sqref="D460">
    <cfRule type="duplicateValues" dxfId="236" priority="112"/>
  </conditionalFormatting>
  <conditionalFormatting sqref="D270">
    <cfRule type="duplicateValues" dxfId="235" priority="98"/>
  </conditionalFormatting>
  <conditionalFormatting sqref="D271">
    <cfRule type="duplicateValues" dxfId="234" priority="97"/>
  </conditionalFormatting>
  <conditionalFormatting sqref="D272">
    <cfRule type="duplicateValues" dxfId="233" priority="96"/>
  </conditionalFormatting>
  <conditionalFormatting sqref="D273">
    <cfRule type="duplicateValues" dxfId="232" priority="95"/>
  </conditionalFormatting>
  <conditionalFormatting sqref="D274">
    <cfRule type="duplicateValues" dxfId="231" priority="94"/>
  </conditionalFormatting>
  <conditionalFormatting sqref="D275">
    <cfRule type="duplicateValues" dxfId="230" priority="93"/>
  </conditionalFormatting>
  <conditionalFormatting sqref="D276">
    <cfRule type="duplicateValues" dxfId="229" priority="92"/>
  </conditionalFormatting>
  <conditionalFormatting sqref="D277">
    <cfRule type="duplicateValues" dxfId="228" priority="91"/>
  </conditionalFormatting>
  <conditionalFormatting sqref="D361">
    <cfRule type="duplicateValues" dxfId="227" priority="89"/>
  </conditionalFormatting>
  <conditionalFormatting sqref="D369">
    <cfRule type="duplicateValues" dxfId="226" priority="88"/>
  </conditionalFormatting>
  <conditionalFormatting sqref="AC60">
    <cfRule type="cellIs" dxfId="225" priority="86" operator="lessThan">
      <formula>8</formula>
    </cfRule>
    <cfRule type="cellIs" dxfId="224" priority="87" operator="lessThan">
      <formula>10</formula>
    </cfRule>
  </conditionalFormatting>
  <conditionalFormatting sqref="D143">
    <cfRule type="duplicateValues" dxfId="223" priority="85"/>
  </conditionalFormatting>
  <conditionalFormatting sqref="D144">
    <cfRule type="duplicateValues" dxfId="222" priority="84"/>
  </conditionalFormatting>
  <conditionalFormatting sqref="D145">
    <cfRule type="duplicateValues" dxfId="221" priority="83"/>
  </conditionalFormatting>
  <conditionalFormatting sqref="D146">
    <cfRule type="duplicateValues" dxfId="220" priority="82"/>
  </conditionalFormatting>
  <conditionalFormatting sqref="D147">
    <cfRule type="duplicateValues" dxfId="219" priority="81"/>
  </conditionalFormatting>
  <conditionalFormatting sqref="D148:D149">
    <cfRule type="duplicateValues" dxfId="218" priority="80"/>
  </conditionalFormatting>
  <conditionalFormatting sqref="D150">
    <cfRule type="duplicateValues" dxfId="217" priority="78"/>
  </conditionalFormatting>
  <conditionalFormatting sqref="D151">
    <cfRule type="duplicateValues" dxfId="216" priority="77"/>
  </conditionalFormatting>
  <conditionalFormatting sqref="D152">
    <cfRule type="duplicateValues" dxfId="215" priority="76"/>
  </conditionalFormatting>
  <conditionalFormatting sqref="D153">
    <cfRule type="duplicateValues" dxfId="214" priority="75"/>
  </conditionalFormatting>
  <conditionalFormatting sqref="D154">
    <cfRule type="duplicateValues" dxfId="213" priority="74"/>
  </conditionalFormatting>
  <conditionalFormatting sqref="D155">
    <cfRule type="duplicateValues" dxfId="212" priority="73"/>
  </conditionalFormatting>
  <conditionalFormatting sqref="D156">
    <cfRule type="duplicateValues" dxfId="211" priority="72"/>
  </conditionalFormatting>
  <conditionalFormatting sqref="D157">
    <cfRule type="duplicateValues" dxfId="210" priority="71"/>
  </conditionalFormatting>
  <conditionalFormatting sqref="D128">
    <cfRule type="duplicateValues" dxfId="209" priority="70"/>
  </conditionalFormatting>
  <conditionalFormatting sqref="D129">
    <cfRule type="duplicateValues" dxfId="208" priority="69"/>
  </conditionalFormatting>
  <conditionalFormatting sqref="D130">
    <cfRule type="duplicateValues" dxfId="207" priority="68"/>
  </conditionalFormatting>
  <conditionalFormatting sqref="D131">
    <cfRule type="duplicateValues" dxfId="206" priority="67"/>
  </conditionalFormatting>
  <conditionalFormatting sqref="D132">
    <cfRule type="duplicateValues" dxfId="205" priority="66"/>
  </conditionalFormatting>
  <conditionalFormatting sqref="D166">
    <cfRule type="duplicateValues" dxfId="204" priority="65"/>
  </conditionalFormatting>
  <conditionalFormatting sqref="D167">
    <cfRule type="duplicateValues" dxfId="203" priority="64"/>
  </conditionalFormatting>
  <conditionalFormatting sqref="D168">
    <cfRule type="duplicateValues" dxfId="202" priority="63"/>
  </conditionalFormatting>
  <conditionalFormatting sqref="D169">
    <cfRule type="duplicateValues" dxfId="201" priority="62"/>
  </conditionalFormatting>
  <conditionalFormatting sqref="D171">
    <cfRule type="duplicateValues" dxfId="200" priority="61"/>
  </conditionalFormatting>
  <conditionalFormatting sqref="D172">
    <cfRule type="duplicateValues" dxfId="199" priority="60"/>
  </conditionalFormatting>
  <conditionalFormatting sqref="D184">
    <cfRule type="duplicateValues" dxfId="198" priority="59"/>
  </conditionalFormatting>
  <conditionalFormatting sqref="D185">
    <cfRule type="duplicateValues" dxfId="197" priority="58"/>
  </conditionalFormatting>
  <conditionalFormatting sqref="D186">
    <cfRule type="duplicateValues" dxfId="196" priority="57"/>
  </conditionalFormatting>
  <conditionalFormatting sqref="D187">
    <cfRule type="duplicateValues" dxfId="195" priority="56"/>
  </conditionalFormatting>
  <conditionalFormatting sqref="D188">
    <cfRule type="duplicateValues" dxfId="194" priority="54"/>
  </conditionalFormatting>
  <conditionalFormatting sqref="D191">
    <cfRule type="duplicateValues" dxfId="193" priority="50"/>
  </conditionalFormatting>
  <conditionalFormatting sqref="D190">
    <cfRule type="duplicateValues" dxfId="192" priority="49"/>
  </conditionalFormatting>
  <conditionalFormatting sqref="D192">
    <cfRule type="duplicateValues" dxfId="191" priority="47"/>
  </conditionalFormatting>
  <conditionalFormatting sqref="D193">
    <cfRule type="duplicateValues" dxfId="190" priority="46"/>
  </conditionalFormatting>
  <conditionalFormatting sqref="D194:D195">
    <cfRule type="duplicateValues" dxfId="189" priority="45"/>
  </conditionalFormatting>
  <conditionalFormatting sqref="D196">
    <cfRule type="duplicateValues" dxfId="188" priority="44"/>
  </conditionalFormatting>
  <conditionalFormatting sqref="D197">
    <cfRule type="duplicateValues" dxfId="187" priority="43"/>
  </conditionalFormatting>
  <conditionalFormatting sqref="D198">
    <cfRule type="duplicateValues" dxfId="186" priority="42"/>
  </conditionalFormatting>
  <conditionalFormatting sqref="D199">
    <cfRule type="duplicateValues" dxfId="185" priority="41"/>
  </conditionalFormatting>
  <conditionalFormatting sqref="D200">
    <cfRule type="duplicateValues" dxfId="184" priority="40"/>
  </conditionalFormatting>
  <conditionalFormatting sqref="D201">
    <cfRule type="duplicateValues" dxfId="183" priority="39"/>
  </conditionalFormatting>
  <conditionalFormatting sqref="D202">
    <cfRule type="duplicateValues" dxfId="182" priority="38"/>
  </conditionalFormatting>
  <conditionalFormatting sqref="D203">
    <cfRule type="duplicateValues" dxfId="181" priority="37"/>
  </conditionalFormatting>
  <conditionalFormatting sqref="D205">
    <cfRule type="duplicateValues" dxfId="180" priority="36"/>
  </conditionalFormatting>
  <conditionalFormatting sqref="D206">
    <cfRule type="duplicateValues" dxfId="179" priority="35"/>
  </conditionalFormatting>
  <conditionalFormatting sqref="D207">
    <cfRule type="duplicateValues" dxfId="178" priority="34"/>
  </conditionalFormatting>
  <conditionalFormatting sqref="D208">
    <cfRule type="duplicateValues" dxfId="177" priority="33"/>
  </conditionalFormatting>
  <conditionalFormatting sqref="D209">
    <cfRule type="duplicateValues" dxfId="176" priority="32"/>
  </conditionalFormatting>
  <conditionalFormatting sqref="D210">
    <cfRule type="duplicateValues" dxfId="175" priority="31"/>
  </conditionalFormatting>
  <conditionalFormatting sqref="D211">
    <cfRule type="duplicateValues" dxfId="174" priority="30"/>
  </conditionalFormatting>
  <conditionalFormatting sqref="D212">
    <cfRule type="duplicateValues" dxfId="173" priority="29"/>
  </conditionalFormatting>
  <conditionalFormatting sqref="D213">
    <cfRule type="duplicateValues" dxfId="172" priority="28"/>
  </conditionalFormatting>
  <conditionalFormatting sqref="D214">
    <cfRule type="duplicateValues" dxfId="171" priority="27"/>
  </conditionalFormatting>
  <conditionalFormatting sqref="D215">
    <cfRule type="duplicateValues" dxfId="170" priority="26"/>
  </conditionalFormatting>
  <conditionalFormatting sqref="D249">
    <cfRule type="duplicateValues" dxfId="169" priority="25"/>
  </conditionalFormatting>
  <conditionalFormatting sqref="D250">
    <cfRule type="duplicateValues" dxfId="168" priority="24"/>
  </conditionalFormatting>
  <conditionalFormatting sqref="D253">
    <cfRule type="duplicateValues" dxfId="167" priority="22"/>
  </conditionalFormatting>
  <conditionalFormatting sqref="V17:Y26">
    <cfRule type="cellIs" dxfId="166" priority="7" operator="lessThan">
      <formula>8</formula>
    </cfRule>
    <cfRule type="cellIs" dxfId="165" priority="8" operator="lessThan">
      <formula>10</formula>
    </cfRule>
  </conditionalFormatting>
  <conditionalFormatting sqref="Z17:AC26">
    <cfRule type="cellIs" dxfId="164" priority="5" operator="lessThan">
      <formula>8</formula>
    </cfRule>
    <cfRule type="cellIs" dxfId="163" priority="6" operator="lessThan">
      <formula>10</formula>
    </cfRule>
  </conditionalFormatting>
  <conditionalFormatting sqref="AD17:AG26">
    <cfRule type="cellIs" dxfId="162" priority="3" operator="lessThan">
      <formula>8</formula>
    </cfRule>
    <cfRule type="cellIs" dxfId="161" priority="4" operator="lessThan">
      <formula>10</formula>
    </cfRule>
  </conditionalFormatting>
  <conditionalFormatting sqref="AH17:AK26">
    <cfRule type="cellIs" dxfId="160" priority="1" operator="lessThan">
      <formula>8</formula>
    </cfRule>
    <cfRule type="cellIs" dxfId="159" priority="2" operator="lessThan">
      <formula>10</formula>
    </cfRule>
  </conditionalFormatting>
  <dataValidations count="1">
    <dataValidation type="textLength" operator="equal" allowBlank="1" showInputMessage="1" showErrorMessage="1" sqref="E61:E62 E84:E85 E225 E398:E415 E417:E423 E431:E437 E472:E474 E70 E68 E446:E460 E375:E376 E382:E390 E490:E527 E47:E51" xr:uid="{84E3348C-A8A2-4DC0-ABDE-B0754148347C}">
      <formula1>18</formula1>
    </dataValidation>
  </dataValidations>
  <hyperlinks>
    <hyperlink ref="N91" r:id="rId1" xr:uid="{00000000-0004-0000-0100-000000000000}"/>
    <hyperlink ref="O91" r:id="rId2" xr:uid="{00000000-0004-0000-0100-000001000000}"/>
    <hyperlink ref="P91" r:id="rId3" xr:uid="{00000000-0004-0000-0100-000002000000}"/>
    <hyperlink ref="T139" r:id="rId4" xr:uid="{00000000-0004-0000-0100-000003000000}"/>
    <hyperlink ref="U139" r:id="rId5" xr:uid="{00000000-0004-0000-0100-000004000000}"/>
    <hyperlink ref="W139" r:id="rId6" xr:uid="{00000000-0004-0000-0100-000006000000}"/>
    <hyperlink ref="Z139" r:id="rId7" xr:uid="{00000000-0004-0000-0100-000007000000}"/>
    <hyperlink ref="AA139" r:id="rId8" xr:uid="{00000000-0004-0000-0100-000008000000}"/>
    <hyperlink ref="AC139" r:id="rId9" xr:uid="{00000000-0004-0000-0100-000009000000}"/>
    <hyperlink ref="P162" r:id="rId10" xr:uid="{00000000-0004-0000-0100-00000A000000}"/>
    <hyperlink ref="W162" r:id="rId11" xr:uid="{00000000-0004-0000-0100-00000B000000}"/>
    <hyperlink ref="X162" r:id="rId12" xr:uid="{00000000-0004-0000-0100-00000C000000}"/>
    <hyperlink ref="V139" r:id="rId13" xr:uid="{00000000-0004-0000-0100-000005000000}"/>
    <hyperlink ref="P266" r:id="rId14" xr:uid="{017F6DE5-7A33-475A-A0FE-17AB7A77DEE6}"/>
    <hyperlink ref="Q266" r:id="rId15" xr:uid="{93034A21-7BEC-421B-ADCC-5E6132D10CE0}"/>
    <hyperlink ref="R266" r:id="rId16" xr:uid="{E7637514-3946-4EDC-B897-C4B6188DA63C}"/>
    <hyperlink ref="O266" r:id="rId17" xr:uid="{75706958-7589-4DC2-8EB8-D4E2A4737569}"/>
    <hyperlink ref="O321" r:id="rId18" xr:uid="{615E0C90-4DFF-46F7-946C-C53827998E91}"/>
    <hyperlink ref="S266" r:id="rId19" xr:uid="{0EA39470-0FE6-4494-8C4C-DF1520DEADDA}"/>
    <hyperlink ref="N288" r:id="rId20" xr:uid="{B094A441-9C69-40D6-82EC-198BE0527255}"/>
    <hyperlink ref="V246" r:id="rId21" xr:uid="{670A502F-43BF-4B12-AC6F-529C86ED3D67}"/>
    <hyperlink ref="N81" r:id="rId22" xr:uid="{AAD887FF-D22C-4AB4-AA19-ED36E927644E}"/>
    <hyperlink ref="Y288" r:id="rId23" xr:uid="{FAF1BFE6-FE64-4DDA-B935-05D4B9CC8779}"/>
    <hyperlink ref="N58" r:id="rId24" xr:uid="{77463FD2-3860-4BC5-9A97-AF99C726702B}"/>
    <hyperlink ref="O58" r:id="rId25" xr:uid="{EF0029EE-2778-448F-AF50-7ADED9112091}"/>
    <hyperlink ref="P58" r:id="rId26" xr:uid="{E4472C37-93DE-4870-95B0-16F19AE23A6F}"/>
    <hyperlink ref="Q58" r:id="rId27" xr:uid="{4748234A-B855-44A3-B0CD-115E8918EAB1}"/>
    <hyperlink ref="N395" r:id="rId28" xr:uid="{CFB8C6D4-8ECE-412A-BA93-E8B31197B1BB}"/>
    <hyperlink ref="O395" r:id="rId29" xr:uid="{A049CC9D-8586-44D8-AD06-7E75B3019D4D}"/>
    <hyperlink ref="P395" r:id="rId30" location="gid=1600186071" display="https://docs.google.com/spreadsheets/d/1ZOtV9VGU4co-H2EQw6_U61opmVLqsbxq/edit - gid=1600186071" xr:uid="{A0F8E3AC-4175-47C1-AE95-608D86C84DCD}"/>
    <hyperlink ref="Q395" r:id="rId31" location="gid=1600186071" display="https://docs.google.com/spreadsheets/d/1Q7AcGkYY7D0y6Zr0MAgtP8mobe6mG17L/edit - gid=1600186071" xr:uid="{DCD8924B-3127-464B-AB6D-81B99920D2C5}"/>
    <hyperlink ref="R395" r:id="rId32" location="gid=1600186071" display="https://docs.google.com/spreadsheets/d/1Q7AcGkYY7D0y6Zr0MAgtP8mobe6mG17L/edit - gid=1600186071" xr:uid="{91F77CD6-16DC-4BAA-8FFC-C2B6C80D91AF}"/>
    <hyperlink ref="S395" r:id="rId33" xr:uid="{62841F1F-4C0A-4DF1-8672-D9FE35D94BAE}"/>
    <hyperlink ref="T395" r:id="rId34" xr:uid="{7FCE0E18-318F-447F-83F7-B89F6408D93D}"/>
    <hyperlink ref="U395" r:id="rId35" xr:uid="{ADA31EBA-658A-4EB0-AA93-9624FDCE0E91}"/>
    <hyperlink ref="Y395" r:id="rId36" xr:uid="{03CACDD3-9823-418A-9BB0-0D7B6EC7F75F}"/>
    <hyperlink ref="N428" r:id="rId37" xr:uid="{684D4E9C-BBC0-47B6-BE99-B44B250D60BE}"/>
    <hyperlink ref="O428" r:id="rId38" xr:uid="{070726BF-DA66-419D-9455-BAB2224488EE}"/>
    <hyperlink ref="P428" r:id="rId39" xr:uid="{1CA8EE94-C02D-4C21-948A-015205286B76}"/>
    <hyperlink ref="Q428" r:id="rId40" xr:uid="{A2EA5B08-4AF8-4FB1-A93B-1B353645D1E5}"/>
    <hyperlink ref="R428" r:id="rId41" xr:uid="{EA20022C-AED2-4B7E-86B3-CB22DB11E5FB}"/>
    <hyperlink ref="S428" r:id="rId42" location="gid=1600186071" display="https://docs.google.com/spreadsheets/d/15HXO8bGQASahnRtH7hnH3zAw7xijeR8w/edit - gid=1600186071" xr:uid="{8439567F-7D46-4D4E-A93F-5DAFD5D76808}"/>
    <hyperlink ref="T428" r:id="rId43" location="gid=1600186071" xr:uid="{34A1534E-79DF-45AF-8106-EFF6A2CA9BBD}"/>
    <hyperlink ref="U428" r:id="rId44" location="gid=1600186071" xr:uid="{D89336AF-C315-4C8A-A527-4C923190F6EF}"/>
    <hyperlink ref="AB428" r:id="rId45" xr:uid="{152BCFB6-8B15-43AC-9F48-38DEB4AA9B6C}"/>
    <hyperlink ref="AC428" r:id="rId46" xr:uid="{B675ECE2-4B11-4771-A209-057F6725CDBD}"/>
    <hyperlink ref="AC246" r:id="rId47" xr:uid="{6CDB7F88-D1CA-46F4-B927-D45246EEB183}"/>
    <hyperlink ref="S58" r:id="rId48" xr:uid="{878ADC87-9004-4F9A-BEEB-B7AF80B462FB}"/>
    <hyperlink ref="V58" r:id="rId49" xr:uid="{630260AB-A1F6-40EA-9ADB-439F68FF7C93}"/>
    <hyperlink ref="W58" r:id="rId50" xr:uid="{56AF4E5F-CA20-496A-B517-6D1EBA636E88}"/>
    <hyperlink ref="X58" r:id="rId51" xr:uid="{178907A5-FB28-4A62-BAFE-6CCE90A84A1D}"/>
    <hyperlink ref="Y58" r:id="rId52" xr:uid="{C38EB528-4C35-4A45-BA7C-E0815E097B8A}"/>
    <hyperlink ref="AG288" r:id="rId53" xr:uid="{59FC5C8F-1A4F-4F7F-9A15-FFF8EE52EB96}"/>
    <hyperlink ref="R288" r:id="rId54" xr:uid="{3EF14708-4A47-4FA3-90C5-D8F1E8F428E1}"/>
    <hyperlink ref="N486" r:id="rId55" display="https://docs.google.com/spreadsheets/d/1IMS69G1kdUGAPwGET47jRkGW9HXFzaLI/edit?usp=sharing&amp;ouid=107074606600533491419&amp;rtpof=true&amp;sd=true" xr:uid="{0044B531-AB25-46F1-A8F2-2E1F471B0415}"/>
    <hyperlink ref="O486" r:id="rId56" display="https://docs.google.com/spreadsheets/d/1yIdhWgSeuHSCsLUU_ErG2gYTR8pArl45/edit?usp=sharing&amp;ouid=107074606600533491419&amp;rtpof=true&amp;sd=true" xr:uid="{2F46AEA3-69A3-4CA7-8FEA-8C1738532BA6}"/>
    <hyperlink ref="P486" r:id="rId57" xr:uid="{E8C2C2BB-FF37-407D-B8CC-2E760726568F}"/>
    <hyperlink ref="N443" r:id="rId58" xr:uid="{C7ECBA9B-95FE-4327-89D8-12849D06AF5F}"/>
    <hyperlink ref="O443" r:id="rId59" xr:uid="{5FCC40F0-6749-4A81-8DE7-92FD3276A480}"/>
    <hyperlink ref="P443" r:id="rId60" xr:uid="{DD38F102-B3C8-4EC5-8B94-1ABBFF74E7B1}"/>
    <hyperlink ref="Q443" r:id="rId61" xr:uid="{EE55C380-AE4A-4ABB-81E3-A2608E516E0F}"/>
    <hyperlink ref="R443" r:id="rId62" xr:uid="{FAF79621-531B-4126-842C-974C49084798}"/>
    <hyperlink ref="S443" r:id="rId63" xr:uid="{25D19CC0-FDFD-48F5-A789-ECE456576CB9}"/>
    <hyperlink ref="T443" r:id="rId64" xr:uid="{5B5BF2FF-8722-471A-AB9D-43E2B9479DFB}"/>
    <hyperlink ref="U443" r:id="rId65" xr:uid="{EA412FF8-12AD-4A37-90B1-2084C162A436}"/>
    <hyperlink ref="V443" r:id="rId66" xr:uid="{6A016531-4B35-4D73-B51D-C7BDF8B08013}"/>
    <hyperlink ref="W443" r:id="rId67" xr:uid="{E3FED8EE-2DDF-49E2-9CE3-47EE788A7434}"/>
    <hyperlink ref="X443" r:id="rId68" xr:uid="{D2EBC3E7-4FCF-4106-ABEC-FFC04A64B9E3}"/>
    <hyperlink ref="Y443" r:id="rId69" xr:uid="{CA06E006-C47E-4F30-A9BB-24805830C6BE}"/>
    <hyperlink ref="Z443" r:id="rId70" xr:uid="{6E751E39-6EBC-453F-A67E-5E44ABD72241}"/>
    <hyperlink ref="AA443" r:id="rId71" xr:uid="{8FB57105-F7B2-4C5A-B200-27BC0A7A8574}"/>
    <hyperlink ref="AB443" r:id="rId72" xr:uid="{FFCEB804-E2AF-460A-A7C4-93F3A16CAC05}"/>
    <hyperlink ref="AC443" r:id="rId73" xr:uid="{7B4EAE23-4F3C-4E67-A423-E7910879107A}"/>
    <hyperlink ref="N468" r:id="rId74" xr:uid="{DFC2BBD9-7A12-44E7-A9E9-AF9343C40CE3}"/>
    <hyperlink ref="O468" r:id="rId75" xr:uid="{5B954C87-D052-47AD-A385-95D02B6B417B}"/>
    <hyperlink ref="P468" r:id="rId76" xr:uid="{BBE4DEB1-1A0F-4B63-8CCB-E233F0A3B8F2}"/>
    <hyperlink ref="Q468" r:id="rId77" xr:uid="{EDCA193D-B664-4032-AB7D-5311682B42DD}"/>
    <hyperlink ref="R468" r:id="rId78" xr:uid="{1D243248-172E-4C73-8495-5E6F2E647351}"/>
    <hyperlink ref="S468" r:id="rId79" xr:uid="{A1E21C99-26EB-4D23-A3BF-F088234C473C}"/>
    <hyperlink ref="T468" r:id="rId80" xr:uid="{462E0F64-0960-4F33-8803-CBDC0CF4259A}"/>
    <hyperlink ref="U468" r:id="rId81" xr:uid="{B9E2997E-F979-4769-895A-978C5362AA78}"/>
    <hyperlink ref="Y468" r:id="rId82" xr:uid="{DBA336EC-F127-4A02-93BF-2B655EEA4568}"/>
    <hyperlink ref="Z468" r:id="rId83" xr:uid="{EBDEA2E0-F294-4481-9612-36F85E04430F}"/>
    <hyperlink ref="AA468" r:id="rId84" xr:uid="{B8361035-6B21-4E91-A952-D748C31F60CC}"/>
    <hyperlink ref="AB468" r:id="rId85" xr:uid="{D1F4FB6A-70E6-4FE9-8218-4D5991430A18}"/>
    <hyperlink ref="Z58" r:id="rId86" location="gid=97323316" xr:uid="{1487FD3C-183E-4667-88DA-E97AB2C62EA9}"/>
    <hyperlink ref="R230" r:id="rId87" xr:uid="{1F74CEB4-9C15-48E6-A0E5-D0D087B90109}"/>
    <hyperlink ref="T230" r:id="rId88" xr:uid="{6A90EA14-7DAB-4206-A9BC-7CA1C3DF9EB4}"/>
    <hyperlink ref="U230:AC230" r:id="rId89" display="https://classroom.google.com/c/NTYzMDkyMDE2MTg5" xr:uid="{8521EF39-77EB-437A-B252-47E48C571326}"/>
    <hyperlink ref="S230" r:id="rId90" xr:uid="{BEA618E3-13CC-40BE-B04F-067DCC9F88CF}"/>
    <hyperlink ref="N230" r:id="rId91" xr:uid="{313BCB17-DB2C-4F90-BDF0-9450009659B0}"/>
    <hyperlink ref="N358" r:id="rId92" display="https://docs.google.com/spreadsheets/d/1IMS69G1kdUGAPwGET47jRkGW9HXFzaLI/edit?usp=sharing&amp;ouid=107074606600533491419&amp;rtpof=true&amp;sd=true" xr:uid="{E6AAAB68-E089-4C67-9E98-B5CEC7FF4488}"/>
    <hyperlink ref="O358" r:id="rId93" display="https://docs.google.com/spreadsheets/d/1yIdhWgSeuHSCsLUU_ErG2gYTR8pArl45/edit?usp=sharing&amp;ouid=107074606600533491419&amp;rtpof=true&amp;sd=true" xr:uid="{2075429C-5DDB-416F-8E95-B8F198E0CE39}"/>
    <hyperlink ref="P358" r:id="rId94" display="https://docs.google.com/spreadsheets/d/1ycp8KeYRa1LQLCwhTB8q0aEkTLqwxFuS/edit?usp=drive_link&amp;ouid=107074606600533491419&amp;rtpof=true&amp;sd=true" xr:uid="{C96C8D07-C875-47AD-84E9-B201B60EBEC2}"/>
    <hyperlink ref="Q358" r:id="rId95" xr:uid="{63078143-7A41-4A4E-94A5-CDDD61C11B84}"/>
    <hyperlink ref="R358" r:id="rId96" xr:uid="{1249840A-8738-4B1F-BF9E-845BD990EE58}"/>
    <hyperlink ref="S358" r:id="rId97" xr:uid="{A7E19D98-02D1-4BFE-9F64-E18E19647FA2}"/>
    <hyperlink ref="O81" r:id="rId98" xr:uid="{6AECB62F-2B59-4637-A8BF-132289EB676F}"/>
    <hyperlink ref="P81" r:id="rId99" xr:uid="{1CC65D04-4082-4A92-B4A8-7BD3E04F2EAF}"/>
    <hyperlink ref="N102" r:id="rId100" location="gid=97323316" display="https://docs.google.com/spreadsheets/d/1FLJfM7IYuNG325jHKXrRA2X71AQSQ9mT/edit?gid=97323316#gid=97323316" xr:uid="{CAD409F8-7C74-4A16-839D-8853D026E3F1}"/>
    <hyperlink ref="Q230" r:id="rId101" xr:uid="{AC1DB409-AB02-48DA-AA4B-790F0B4EC764}"/>
    <hyperlink ref="S81" r:id="rId102" xr:uid="{3BC8B113-1A76-4F9B-9958-3621A8D217CC}"/>
    <hyperlink ref="AB58" r:id="rId103" location="gid=97323316" xr:uid="{448C1933-097B-489F-A968-4709A1231795}"/>
    <hyperlink ref="N383" r:id="rId104" xr:uid="{6B38F36E-7CA0-4AFF-B3E8-F1D250CCE3A1}"/>
    <hyperlink ref="O383" r:id="rId105" display="https://docs.google.com/spreadsheets/d/1yIdhWgSeuHSCsLUU_ErG2gYTR8pArl45/edit?usp=sharing&amp;ouid=107074606600533491419&amp;rtpof=true&amp;sd=true" xr:uid="{668ECDFF-3C00-4F81-AC27-CBE63EC4EE20}"/>
    <hyperlink ref="P383" r:id="rId106" display="https://docs.google.com/spreadsheets/d/1ycp8KeYRa1LQLCwhTB8q0aEkTLqwxFuS/edit?usp=drive_link&amp;ouid=107074606600533491419&amp;rtpof=true&amp;sd=true" xr:uid="{67FD151A-B36C-4E46-BB9C-999EBBC6BD01}"/>
    <hyperlink ref="Q383" r:id="rId107" xr:uid="{7D6A180B-9374-41E8-9C44-371B70B93D57}"/>
    <hyperlink ref="R383" r:id="rId108" xr:uid="{FFA19EA8-6671-4008-BF71-034FA989B1D9}"/>
    <hyperlink ref="S383" r:id="rId109" xr:uid="{3F40744C-1F3D-4F88-A874-9DC224CCBB4D}"/>
    <hyperlink ref="T383" r:id="rId110" xr:uid="{89D35AC7-E24C-4D4B-A802-83D5BA3289A8}"/>
    <hyperlink ref="U383" r:id="rId111" xr:uid="{24082901-5792-4C61-A433-BD19D78D6EEF}"/>
    <hyperlink ref="T358" r:id="rId112" xr:uid="{A04C8F4A-05BD-44D3-AD90-4475D4773BBA}"/>
    <hyperlink ref="AC58" r:id="rId113" location="gid=97323316" xr:uid="{568238E0-9C12-453D-9499-A53EAFDB4140}"/>
    <hyperlink ref="U358" r:id="rId114" xr:uid="{7C3246C8-AA6F-4A28-BE6A-972D288B016B}"/>
    <hyperlink ref="V358" r:id="rId115" xr:uid="{104C6B24-4CF5-4A36-B249-B27893CBD999}"/>
    <hyperlink ref="W358" r:id="rId116" xr:uid="{DD304D2F-AA9A-486A-838A-784E6BF2BEDC}"/>
    <hyperlink ref="V383" r:id="rId117" xr:uid="{DA7201D8-BA7C-4761-8BF7-8EE31A43CFFC}"/>
    <hyperlink ref="W383" r:id="rId118" xr:uid="{2908D826-61F3-4673-99FF-570AB30ED6EC}"/>
    <hyperlink ref="N44" r:id="rId119" xr:uid="{52FB6E1F-8A93-4111-86A7-D15016FBF39D}"/>
    <hyperlink ref="O44" r:id="rId120" xr:uid="{ADD0786C-1F8C-4156-A21D-C27DA60059D9}"/>
    <hyperlink ref="P44:U44" r:id="rId121" display="https://classroom.google.com/w/NzQ1NTYxOTA0NjUw/t/all" xr:uid="{6AC4EBF9-C3AF-4403-875A-5121E1E70797}"/>
    <hyperlink ref="AA58" r:id="rId122" xr:uid="{6B8ECFD9-03B5-4701-B23B-8A7F033868EA}"/>
    <hyperlink ref="U44" r:id="rId123" xr:uid="{31ECE8A4-1CB8-4310-A59D-92B4993C7459}"/>
  </hyperlinks>
  <pageMargins left="0.7" right="0.7" top="0.75" bottom="0.75" header="0" footer="0"/>
  <pageSetup scale="90" orientation="portrait" r:id="rId124"/>
  <legacyDrawing r:id="rId12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7030A0"/>
  </sheetPr>
  <dimension ref="A1:BP1357"/>
  <sheetViews>
    <sheetView zoomScale="90" zoomScaleNormal="90" zoomScalePageLayoutView="55" workbookViewId="0">
      <selection activeCell="D19" sqref="D19"/>
    </sheetView>
  </sheetViews>
  <sheetFormatPr baseColWidth="10" defaultColWidth="14.42578125" defaultRowHeight="15" customHeight="1"/>
  <cols>
    <col min="1" max="1" width="9.28515625" customWidth="1"/>
    <col min="2" max="2" width="7.28515625" customWidth="1"/>
    <col min="3" max="3" width="13.140625" customWidth="1"/>
    <col min="4" max="4" width="9.140625" customWidth="1"/>
    <col min="5" max="5" width="25.7109375" customWidth="1"/>
    <col min="6" max="6" width="13.140625" customWidth="1"/>
    <col min="7" max="7" width="43.42578125" customWidth="1"/>
    <col min="8" max="8" width="6.7109375" customWidth="1"/>
    <col min="9" max="9" width="5.140625" bestFit="1" customWidth="1"/>
    <col min="10" max="10" width="6.5703125" customWidth="1"/>
    <col min="11" max="11" width="4.5703125" customWidth="1"/>
    <col min="12" max="12" width="16.5703125" customWidth="1"/>
    <col min="13" max="13" width="11.5703125" customWidth="1"/>
    <col min="14" max="14" width="13.7109375" customWidth="1"/>
    <col min="15" max="15" width="13.85546875" customWidth="1"/>
    <col min="16" max="16" width="12.28515625" customWidth="1"/>
    <col min="17" max="17" width="13" customWidth="1"/>
    <col min="18" max="18" width="15.28515625" customWidth="1"/>
    <col min="19" max="19" width="13.28515625" customWidth="1"/>
    <col min="20" max="20" width="15.140625" customWidth="1"/>
    <col min="21" max="21" width="12.28515625" customWidth="1"/>
    <col min="22" max="22" width="14.85546875" customWidth="1"/>
    <col min="23" max="23" width="15.85546875" customWidth="1"/>
    <col min="24" max="24" width="13.7109375" customWidth="1"/>
    <col min="25" max="25" width="14.5703125" customWidth="1"/>
    <col min="26" max="26" width="11.7109375" customWidth="1"/>
    <col min="27" max="27" width="12.42578125" customWidth="1"/>
    <col min="28" max="28" width="11.7109375" customWidth="1"/>
    <col min="29" max="29" width="14" customWidth="1"/>
    <col min="30" max="30" width="16.7109375" customWidth="1"/>
    <col min="31" max="31" width="14.140625" customWidth="1"/>
    <col min="32" max="32" width="14.42578125" customWidth="1"/>
    <col min="33" max="33" width="15.140625" customWidth="1"/>
    <col min="34" max="34" width="16.7109375" customWidth="1"/>
    <col min="35" max="35" width="16" customWidth="1"/>
    <col min="36" max="36" width="16.85546875" customWidth="1"/>
    <col min="37" max="37" width="15" customWidth="1"/>
    <col min="38" max="38" width="15.5703125" customWidth="1"/>
    <col min="39" max="39" width="15.7109375" customWidth="1"/>
    <col min="40" max="40" width="15.5703125" customWidth="1"/>
    <col min="41" max="41" width="15.7109375" customWidth="1"/>
    <col min="42" max="42" width="16.28515625" customWidth="1"/>
    <col min="43" max="43" width="16" customWidth="1"/>
    <col min="44" max="47" width="16.5703125" customWidth="1"/>
  </cols>
  <sheetData>
    <row r="1" spans="1:31" ht="15" customHeight="1">
      <c r="A1" s="3"/>
      <c r="B1" s="3"/>
      <c r="C1" s="3"/>
      <c r="D1" s="3"/>
      <c r="E1" s="4" t="s">
        <v>0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385" t="s">
        <v>4942</v>
      </c>
      <c r="V1" s="4385"/>
      <c r="W1" s="3"/>
      <c r="X1" s="3"/>
      <c r="Y1" s="3"/>
      <c r="Z1" s="3"/>
      <c r="AA1" s="3"/>
      <c r="AB1" s="3"/>
      <c r="AC1" s="3"/>
    </row>
    <row r="2" spans="1:31" ht="15" customHeight="1">
      <c r="A2" s="3"/>
      <c r="B2" s="3"/>
      <c r="C2" s="3"/>
      <c r="D2" s="3"/>
      <c r="E2" s="5" t="s">
        <v>2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4385"/>
      <c r="V2" s="4385"/>
      <c r="W2" s="3"/>
      <c r="X2" s="3"/>
      <c r="Y2" s="3"/>
      <c r="Z2" s="3"/>
      <c r="AA2" s="3"/>
      <c r="AB2" s="3"/>
      <c r="AC2" s="3"/>
    </row>
    <row r="3" spans="1:31" ht="15" customHeight="1">
      <c r="A3" s="3"/>
      <c r="B3" s="3"/>
      <c r="C3" s="3"/>
      <c r="D3" s="3"/>
      <c r="E3" s="7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4385"/>
      <c r="V3" s="4385"/>
      <c r="W3" s="3"/>
      <c r="X3" s="3"/>
      <c r="Y3" s="3"/>
      <c r="Z3" s="3"/>
      <c r="AA3" s="3"/>
      <c r="AB3" s="3"/>
      <c r="AC3" s="3"/>
    </row>
    <row r="4" spans="1:31" ht="15" customHeight="1">
      <c r="A4" s="3"/>
      <c r="B4" s="3"/>
      <c r="C4" s="3"/>
      <c r="D4" s="3"/>
      <c r="E4" s="7"/>
      <c r="F4" s="3"/>
      <c r="G4" s="3" t="s">
        <v>888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4385"/>
      <c r="V4" s="4385"/>
      <c r="W4" s="3"/>
      <c r="X4" s="3"/>
      <c r="Y4" s="3"/>
      <c r="Z4" s="3"/>
      <c r="AA4" s="3"/>
      <c r="AB4" s="3"/>
      <c r="AC4" s="3"/>
    </row>
    <row r="5" spans="1:31" ht="15" customHeight="1">
      <c r="A5" s="3"/>
      <c r="B5" s="3"/>
      <c r="C5" s="3"/>
      <c r="D5" s="3"/>
      <c r="E5" s="225"/>
      <c r="F5" s="3"/>
      <c r="G5" s="3" t="s">
        <v>889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4385"/>
      <c r="V5" s="4385"/>
      <c r="W5" s="3"/>
      <c r="X5" s="3"/>
      <c r="Y5" s="3"/>
      <c r="Z5" s="3"/>
      <c r="AA5" s="3"/>
      <c r="AB5" s="3"/>
      <c r="AC5" s="3"/>
    </row>
    <row r="6" spans="1:31" ht="15" customHeight="1">
      <c r="A6" s="3"/>
      <c r="B6" s="3"/>
      <c r="C6" s="3"/>
      <c r="D6" s="3"/>
      <c r="E6" s="1530"/>
      <c r="F6" s="3"/>
      <c r="G6" s="1820" t="s">
        <v>4269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4385"/>
      <c r="V6" s="4385"/>
      <c r="W6" s="3"/>
      <c r="X6" s="3"/>
      <c r="Y6" s="3"/>
      <c r="Z6" s="3"/>
      <c r="AA6" s="3"/>
      <c r="AB6" s="3"/>
      <c r="AC6" s="3"/>
    </row>
    <row r="7" spans="1:31" ht="15" customHeight="1">
      <c r="A7" s="3"/>
      <c r="B7" s="3"/>
      <c r="C7" s="3"/>
      <c r="D7" s="3"/>
      <c r="E7" s="701"/>
      <c r="F7" s="3"/>
      <c r="G7" s="1821" t="s">
        <v>4300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2975"/>
      <c r="V7" s="3"/>
      <c r="W7" s="3"/>
      <c r="X7" s="3"/>
      <c r="Y7" s="3"/>
      <c r="Z7" s="3"/>
      <c r="AA7" s="3"/>
      <c r="AB7" s="3"/>
      <c r="AC7" s="3"/>
    </row>
    <row r="8" spans="1:31" ht="15" customHeight="1">
      <c r="A8" s="3"/>
      <c r="B8" s="3"/>
      <c r="C8" s="3"/>
      <c r="D8" s="3"/>
      <c r="E8" s="3040" t="s">
        <v>5015</v>
      </c>
      <c r="F8" s="3"/>
      <c r="G8" s="1820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2975"/>
      <c r="V8" s="3"/>
      <c r="W8" s="3"/>
      <c r="X8" s="3"/>
      <c r="Y8" s="3"/>
      <c r="Z8" s="3"/>
      <c r="AA8" s="3"/>
      <c r="AB8" s="3"/>
      <c r="AC8" s="3"/>
    </row>
    <row r="9" spans="1:31" ht="15" customHeight="1">
      <c r="A9" s="3"/>
      <c r="B9" s="3"/>
      <c r="C9" s="3"/>
      <c r="D9" s="3"/>
      <c r="E9" s="701"/>
      <c r="F9" s="3"/>
      <c r="G9" s="1820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2975"/>
      <c r="V9" s="3"/>
      <c r="W9" s="3"/>
      <c r="X9" s="3"/>
      <c r="Y9" s="3"/>
      <c r="Z9" s="3"/>
      <c r="AA9" s="3"/>
      <c r="AB9" s="3"/>
      <c r="AC9" s="3"/>
    </row>
    <row r="10" spans="1:31" ht="15" customHeight="1" thickBot="1">
      <c r="A10" s="1544"/>
      <c r="B10" s="1544"/>
      <c r="C10" s="1544"/>
      <c r="D10" s="1544"/>
      <c r="E10" s="1544" t="s">
        <v>3867</v>
      </c>
      <c r="F10" s="1544"/>
      <c r="G10" s="1544"/>
      <c r="H10" s="1544"/>
      <c r="I10" s="1544"/>
      <c r="J10" s="1544"/>
      <c r="K10" s="1544"/>
      <c r="L10" s="1544"/>
      <c r="M10" s="1544"/>
      <c r="V10" s="3"/>
      <c r="W10" s="3"/>
      <c r="X10" s="3"/>
      <c r="Y10" s="3"/>
      <c r="Z10" s="3"/>
      <c r="AA10" s="3"/>
      <c r="AB10" s="3"/>
      <c r="AC10" s="3"/>
    </row>
    <row r="11" spans="1:31" ht="15" customHeight="1" thickBot="1">
      <c r="A11" s="1546"/>
      <c r="B11" s="4089" t="s">
        <v>5</v>
      </c>
      <c r="C11" s="1548"/>
      <c r="D11" s="4509" t="s">
        <v>4299</v>
      </c>
      <c r="E11" s="4091" t="s">
        <v>6</v>
      </c>
      <c r="F11" s="4091" t="s">
        <v>7</v>
      </c>
      <c r="G11" s="4093" t="s">
        <v>8</v>
      </c>
      <c r="H11" s="4511" t="s">
        <v>9</v>
      </c>
      <c r="I11" s="4513" t="s">
        <v>10</v>
      </c>
      <c r="J11" s="4514"/>
      <c r="K11" s="4514"/>
      <c r="L11" s="4069"/>
      <c r="M11" s="3756"/>
      <c r="N11" s="3764">
        <v>45809</v>
      </c>
      <c r="O11" s="3765">
        <v>45839</v>
      </c>
      <c r="P11" s="3765">
        <v>45870</v>
      </c>
      <c r="Q11" s="3765">
        <v>45901</v>
      </c>
      <c r="R11" s="3765">
        <v>45931</v>
      </c>
      <c r="S11" s="3765">
        <v>45962</v>
      </c>
      <c r="T11" s="3765">
        <v>45992</v>
      </c>
      <c r="U11" s="3765">
        <v>46023</v>
      </c>
      <c r="V11" s="3765">
        <v>46054</v>
      </c>
      <c r="W11" s="3765">
        <v>46082</v>
      </c>
      <c r="X11" s="3765">
        <v>46113</v>
      </c>
      <c r="Y11" s="3765">
        <v>46143</v>
      </c>
      <c r="Z11" s="3765">
        <v>46174</v>
      </c>
      <c r="AA11" s="3765">
        <v>46204</v>
      </c>
      <c r="AB11" s="3765">
        <v>46235</v>
      </c>
      <c r="AC11" s="3203"/>
      <c r="AD11" s="3620"/>
    </row>
    <row r="12" spans="1:31" ht="25.5" customHeight="1" thickBot="1">
      <c r="A12" s="1546"/>
      <c r="B12" s="4090"/>
      <c r="C12" s="1548" t="s">
        <v>1843</v>
      </c>
      <c r="D12" s="4510"/>
      <c r="E12" s="4092"/>
      <c r="F12" s="4092"/>
      <c r="G12" s="4094"/>
      <c r="H12" s="4512"/>
      <c r="I12" s="4514"/>
      <c r="J12" s="4515"/>
      <c r="K12" s="4514"/>
      <c r="L12" s="4516"/>
      <c r="M12" s="3757" t="s">
        <v>1149</v>
      </c>
      <c r="N12" s="3766" t="s">
        <v>5377</v>
      </c>
      <c r="O12" s="2968" t="s">
        <v>5378</v>
      </c>
      <c r="P12" s="1428" t="s">
        <v>5473</v>
      </c>
      <c r="Q12" s="2968" t="s">
        <v>5472</v>
      </c>
      <c r="R12" s="1442"/>
      <c r="S12" s="1442"/>
      <c r="T12" s="1442"/>
      <c r="U12" s="1442"/>
      <c r="V12" s="1442"/>
      <c r="W12" s="1442"/>
      <c r="X12" s="1442"/>
      <c r="Y12" s="1442"/>
      <c r="Z12" s="1442"/>
      <c r="AA12" s="1442"/>
      <c r="AB12" s="1442"/>
      <c r="AC12" s="1442"/>
      <c r="AD12" s="3767"/>
    </row>
    <row r="13" spans="1:31" ht="24" customHeight="1" thickBot="1">
      <c r="A13" s="1562" t="s">
        <v>27</v>
      </c>
      <c r="B13" s="4090"/>
      <c r="C13" s="1547" t="s">
        <v>1620</v>
      </c>
      <c r="D13" s="4510"/>
      <c r="E13" s="4092"/>
      <c r="F13" s="4092"/>
      <c r="G13" s="4095"/>
      <c r="H13" s="4512"/>
      <c r="I13" s="4514"/>
      <c r="J13" s="4514"/>
      <c r="K13" s="4514"/>
      <c r="L13" s="4070"/>
      <c r="M13" s="3734" t="s">
        <v>1728</v>
      </c>
      <c r="N13" s="3768" t="s">
        <v>4931</v>
      </c>
      <c r="O13" s="3769" t="s">
        <v>954</v>
      </c>
      <c r="P13" s="3769" t="s">
        <v>954</v>
      </c>
      <c r="Q13" s="3769" t="s">
        <v>4934</v>
      </c>
      <c r="R13" s="3769" t="s">
        <v>955</v>
      </c>
      <c r="S13" s="3769" t="s">
        <v>4936</v>
      </c>
      <c r="T13" s="3769" t="s">
        <v>1073</v>
      </c>
      <c r="U13" s="3769" t="s">
        <v>955</v>
      </c>
      <c r="V13" s="3769" t="s">
        <v>4940</v>
      </c>
      <c r="W13" s="3769" t="s">
        <v>4940</v>
      </c>
      <c r="X13" s="3769" t="s">
        <v>957</v>
      </c>
      <c r="Y13" s="3769" t="s">
        <v>951</v>
      </c>
      <c r="Z13" s="3769" t="s">
        <v>964</v>
      </c>
      <c r="AA13" s="3769" t="s">
        <v>964</v>
      </c>
      <c r="AB13" s="3769" t="s">
        <v>1074</v>
      </c>
      <c r="AC13" s="3769" t="s">
        <v>952</v>
      </c>
      <c r="AD13" s="3770" t="s">
        <v>4919</v>
      </c>
    </row>
    <row r="14" spans="1:31" ht="61.5" customHeight="1" thickBot="1">
      <c r="A14" s="2258" t="s">
        <v>5380</v>
      </c>
      <c r="B14" s="4090"/>
      <c r="C14" s="1564" t="s">
        <v>3882</v>
      </c>
      <c r="D14" s="4510"/>
      <c r="E14" s="4092"/>
      <c r="F14" s="4092"/>
      <c r="G14" s="1565" t="s">
        <v>78</v>
      </c>
      <c r="H14" s="4512"/>
      <c r="I14" s="1567" t="s">
        <v>79</v>
      </c>
      <c r="J14" s="1567" t="s">
        <v>80</v>
      </c>
      <c r="K14" s="1567" t="s">
        <v>81</v>
      </c>
      <c r="L14" s="1567" t="s">
        <v>1759</v>
      </c>
      <c r="M14" s="1822" t="s">
        <v>27</v>
      </c>
      <c r="N14" s="3758" t="s">
        <v>4930</v>
      </c>
      <c r="O14" s="3758" t="s">
        <v>4932</v>
      </c>
      <c r="P14" s="3759" t="s">
        <v>4933</v>
      </c>
      <c r="Q14" s="3759" t="s">
        <v>966</v>
      </c>
      <c r="R14" s="3759" t="s">
        <v>4935</v>
      </c>
      <c r="S14" s="3759" t="s">
        <v>610</v>
      </c>
      <c r="T14" s="3760" t="s">
        <v>4937</v>
      </c>
      <c r="U14" s="3760" t="s">
        <v>4938</v>
      </c>
      <c r="V14" s="3760" t="s">
        <v>4939</v>
      </c>
      <c r="W14" s="3760" t="s">
        <v>4941</v>
      </c>
      <c r="X14" s="3761" t="s">
        <v>4922</v>
      </c>
      <c r="Y14" s="3761" t="s">
        <v>4925</v>
      </c>
      <c r="Z14" s="3761" t="s">
        <v>4926</v>
      </c>
      <c r="AA14" s="3761" t="s">
        <v>4927</v>
      </c>
      <c r="AB14" s="3762" t="s">
        <v>4878</v>
      </c>
      <c r="AC14" s="3763" t="s">
        <v>4854</v>
      </c>
      <c r="AD14" s="3763" t="s">
        <v>4918</v>
      </c>
    </row>
    <row r="15" spans="1:31" ht="15" customHeight="1">
      <c r="A15" s="3741"/>
      <c r="B15" s="3737"/>
      <c r="C15" s="3202">
        <f>_xlfn.XLOOKUP($E15,Tabla3[CURP],Tabla3[FECHA DE INICIO (PRIMERA CLASE CALENDARIO)]," ")</f>
        <v>45849</v>
      </c>
      <c r="D15" s="1576">
        <v>868</v>
      </c>
      <c r="E15" s="3742" t="str">
        <f>_xlfn.XLOOKUP($D15,  Tabla3[No.],  Tabla3[CURP], " ")</f>
        <v>AAMF890418HCC</v>
      </c>
      <c r="F15" s="3743" t="str">
        <f>_xlfn.XLOOKUP($D15,  Tabla3[No.],  Tabla3[Matrícula Of. SEQ], " ")</f>
        <v>64DD08H-01</v>
      </c>
      <c r="G15" s="1588" t="str">
        <f>IFERROR(VLOOKUP(D15,Tabla3[],5,FALSE),"")</f>
        <v>ARAUJO MORELOS FRANCISCO JAVIER</v>
      </c>
      <c r="H15" s="3744" t="str">
        <f>MID($E15,11,1)</f>
        <v>H</v>
      </c>
      <c r="I15" s="3745" t="str">
        <f>MID($E15,5,2)</f>
        <v>89</v>
      </c>
      <c r="J15" s="3745" t="str">
        <f>MID($E15,7,2)</f>
        <v>04</v>
      </c>
      <c r="K15" s="3745" t="str">
        <f>MID($E15,9,2)</f>
        <v>18</v>
      </c>
      <c r="L15" s="3735" t="str">
        <f>_xlfn.XLOOKUP($D15,  Tabla3[No.],  Tabla3[ESTATUS ACADÉMICO], " ")</f>
        <v>VIGENTE</v>
      </c>
      <c r="M15" s="3736" t="str">
        <f>_xlfn.XLOOKUP($D15,  Tabla3[No.],  Tabla3[Grupo de clase], " ")</f>
        <v>DD08B</v>
      </c>
      <c r="N15" s="3679" t="s">
        <v>135</v>
      </c>
      <c r="O15" s="3679">
        <v>10</v>
      </c>
      <c r="P15" s="3679">
        <v>10</v>
      </c>
      <c r="Q15" s="3679">
        <v>10</v>
      </c>
      <c r="R15" s="3679">
        <v>10</v>
      </c>
      <c r="S15" s="3679"/>
      <c r="T15" s="3679"/>
      <c r="U15" s="3679"/>
      <c r="V15" s="3679"/>
      <c r="W15" s="3679"/>
      <c r="X15" s="3679"/>
      <c r="Y15" s="3679"/>
      <c r="Z15" s="3679"/>
      <c r="AA15" s="3679"/>
      <c r="AB15" s="3679"/>
      <c r="AC15" s="3679"/>
      <c r="AD15" s="3752"/>
      <c r="AE15" s="700"/>
    </row>
    <row r="16" spans="1:31" ht="15" customHeight="1">
      <c r="A16" s="1644"/>
      <c r="B16" s="3738"/>
      <c r="C16" s="3201">
        <f>_xlfn.XLOOKUP($E16,Tabla3[CURP],Tabla3[FECHA DE INICIO (PRIMERA CLASE CALENDARIO)]," ")</f>
        <v>45829</v>
      </c>
      <c r="D16" s="1601">
        <v>860</v>
      </c>
      <c r="E16" s="3371" t="str">
        <f>_xlfn.XLOOKUP($D16,  Tabla3[No.],  Tabla3[CURP], " ")</f>
        <v>PERL850723MCLRMR02</v>
      </c>
      <c r="F16" s="1300" t="str">
        <f>_xlfn.XLOOKUP($D16,  Tabla3[No.],  Tabla3[Matrícula Of. SEQ], " ")</f>
        <v>64DD08E-02</v>
      </c>
      <c r="G16" s="1613" t="str">
        <f>IFERROR(VLOOKUP(D16,Tabla3[],5,FALSE),"")</f>
        <v>PEREZ RAMOS LAURA LETICIA</v>
      </c>
      <c r="H16" s="3746" t="str">
        <f>MID($E16,11,1)</f>
        <v>M</v>
      </c>
      <c r="I16" s="1845" t="str">
        <f>MID($E16,5,2)</f>
        <v>85</v>
      </c>
      <c r="J16" s="1845" t="str">
        <f>MID($E16,7,2)</f>
        <v>07</v>
      </c>
      <c r="K16" s="1845" t="str">
        <f>MID($E16,9,2)</f>
        <v>23</v>
      </c>
      <c r="L16" s="1342" t="str">
        <f>_xlfn.XLOOKUP($D16,  Tabla3[No.],  Tabla3[ESTATUS ACADÉMICO], " ")</f>
        <v>VIGENTE</v>
      </c>
      <c r="M16" s="2956" t="str">
        <f>_xlfn.XLOOKUP($D16,  Tabla3[No.],  Tabla3[Grupo de clase], " ")</f>
        <v>DD07D</v>
      </c>
      <c r="N16" s="3551">
        <v>10</v>
      </c>
      <c r="O16" s="3551">
        <v>10</v>
      </c>
      <c r="P16" s="3551">
        <v>10</v>
      </c>
      <c r="Q16" s="3551">
        <v>9.3000000000000007</v>
      </c>
      <c r="R16" s="3551">
        <v>10</v>
      </c>
      <c r="S16" s="3551"/>
      <c r="T16" s="3551"/>
      <c r="U16" s="3551"/>
      <c r="V16" s="3551"/>
      <c r="W16" s="3551"/>
      <c r="X16" s="3551"/>
      <c r="Y16" s="3551"/>
      <c r="Z16" s="3551"/>
      <c r="AA16" s="3551"/>
      <c r="AB16" s="3551"/>
      <c r="AC16" s="3551"/>
      <c r="AD16" s="3753">
        <v>10</v>
      </c>
      <c r="AE16" s="700"/>
    </row>
    <row r="17" spans="1:31" ht="15" customHeight="1">
      <c r="A17" s="1644"/>
      <c r="B17" s="3738"/>
      <c r="C17" s="3201">
        <f>_xlfn.XLOOKUP($E17,Tabla3[CURP],Tabla3[FECHA DE INICIO (PRIMERA CLASE CALENDARIO)]," ")</f>
        <v>45829</v>
      </c>
      <c r="D17" s="1601">
        <v>861</v>
      </c>
      <c r="E17" s="3371" t="str">
        <f>_xlfn.XLOOKUP($D17,  Tabla3[No.],  Tabla3[CURP], " ")</f>
        <v>GUVB690521MCLJLL05</v>
      </c>
      <c r="F17" s="1300" t="str">
        <f>_xlfn.XLOOKUP($D17,  Tabla3[No.],  Tabla3[Matrícula Of. SEQ], " ")</f>
        <v>64DD08E-01</v>
      </c>
      <c r="G17" s="1613" t="str">
        <f>IFERROR(VLOOKUP(D17,Tabla3[],5,FALSE),"")</f>
        <v>GUAJARDO VILLARREAL BLANCA NELLY</v>
      </c>
      <c r="H17" s="3746" t="str">
        <f>MID($E17,11,1)</f>
        <v>M</v>
      </c>
      <c r="I17" s="1845" t="str">
        <f>MID($E17,5,2)</f>
        <v>69</v>
      </c>
      <c r="J17" s="1845" t="str">
        <f>MID($E17,7,2)</f>
        <v>05</v>
      </c>
      <c r="K17" s="1845" t="str">
        <f>MID($E17,9,2)</f>
        <v>21</v>
      </c>
      <c r="L17" s="1342" t="str">
        <f>_xlfn.XLOOKUP($D17,  Tabla3[No.],  Tabla3[ESTATUS ACADÉMICO], " ")</f>
        <v>VIGENTE</v>
      </c>
      <c r="M17" s="2956" t="str">
        <f>_xlfn.XLOOKUP($D17,  Tabla3[No.],  Tabla3[Grupo de clase], " ")</f>
        <v>DD07D</v>
      </c>
      <c r="N17" s="3551">
        <v>9.5</v>
      </c>
      <c r="O17" s="3551">
        <v>9</v>
      </c>
      <c r="P17" s="3551">
        <v>10</v>
      </c>
      <c r="Q17" s="3551">
        <v>10</v>
      </c>
      <c r="R17" s="3551">
        <v>10</v>
      </c>
      <c r="S17" s="3551"/>
      <c r="T17" s="3551"/>
      <c r="U17" s="3551"/>
      <c r="V17" s="3551"/>
      <c r="W17" s="3551"/>
      <c r="X17" s="3551"/>
      <c r="Y17" s="3551"/>
      <c r="Z17" s="3551"/>
      <c r="AA17" s="3551"/>
      <c r="AB17" s="3551"/>
      <c r="AC17" s="3551"/>
      <c r="AD17" s="3753">
        <v>9.5</v>
      </c>
      <c r="AE17" s="700"/>
    </row>
    <row r="18" spans="1:31" ht="15" customHeight="1">
      <c r="A18" s="1644"/>
      <c r="B18" s="3739"/>
      <c r="C18" s="3201">
        <f>_xlfn.XLOOKUP($E18,Tabla3[CURP],Tabla3[FECHA DE INICIO (PRIMERA CLASE CALENDARIO)]," ")</f>
        <v>45920</v>
      </c>
      <c r="D18" s="1601">
        <v>880</v>
      </c>
      <c r="E18" s="3371" t="str">
        <f>_xlfn.XLOOKUP($D18,  Tabla3[No.],  Tabla3[CURP], " ")</f>
        <v>MEZF120923HGT00</v>
      </c>
      <c r="F18" s="1300">
        <f>_xlfn.XLOOKUP($D18,  Tabla3[No.],  Tabla3[Matrícula Of. SEQ], " ")</f>
        <v>0</v>
      </c>
      <c r="G18" s="1613" t="str">
        <f>IFERROR(VLOOKUP(D18,Tabla3[],5,FALSE),"")</f>
        <v>MEDRANO ZAPETA FRANCISCO</v>
      </c>
      <c r="H18" s="3746" t="str">
        <f t="shared" ref="H18:H20" si="0">MID($E18,11,1)</f>
        <v>H</v>
      </c>
      <c r="I18" s="1845" t="str">
        <f t="shared" ref="I18:I20" si="1">MID($E18,5,2)</f>
        <v>12</v>
      </c>
      <c r="J18" s="1845" t="str">
        <f t="shared" ref="J18:J20" si="2">MID($E18,7,2)</f>
        <v>09</v>
      </c>
      <c r="K18" s="1845" t="str">
        <f t="shared" ref="K18:K20" si="3">MID($E18,9,2)</f>
        <v>23</v>
      </c>
      <c r="L18" s="1342" t="str">
        <f>_xlfn.XLOOKUP($D18,  Tabla3[No.],  Tabla3[ESTATUS ACADÉMICO], " ")</f>
        <v>VIGENTE</v>
      </c>
      <c r="M18" s="2956" t="str">
        <f>_xlfn.XLOOKUP($D18,  Tabla3[No.],  Tabla3[Grupo de clase], " ")</f>
        <v>DD07A</v>
      </c>
      <c r="N18" s="3551" t="s">
        <v>135</v>
      </c>
      <c r="O18" s="3551" t="s">
        <v>135</v>
      </c>
      <c r="P18" s="3551" t="s">
        <v>135</v>
      </c>
      <c r="Q18" s="3551">
        <v>10</v>
      </c>
      <c r="R18" s="3551">
        <v>10</v>
      </c>
      <c r="S18" s="3551"/>
      <c r="T18" s="3551"/>
      <c r="U18" s="3551"/>
      <c r="V18" s="3551"/>
      <c r="W18" s="3551"/>
      <c r="X18" s="3551"/>
      <c r="Y18" s="3551"/>
      <c r="Z18" s="3551"/>
      <c r="AA18" s="3551"/>
      <c r="AB18" s="3551"/>
      <c r="AC18" s="3551"/>
      <c r="AD18" s="3753"/>
    </row>
    <row r="19" spans="1:31" ht="15" customHeight="1">
      <c r="A19" s="1644"/>
      <c r="B19" s="3739"/>
      <c r="C19" s="3201" t="str">
        <f>_xlfn.XLOOKUP($E19,Tabla3[CURP],Tabla3[FECHA DE INICIO (PRIMERA CLASE CALENDARIO)]," ")</f>
        <v xml:space="preserve"> </v>
      </c>
      <c r="D19" s="1601"/>
      <c r="E19" s="3371" t="str">
        <f>_xlfn.XLOOKUP($D19,  Tabla3[No.],  Tabla3[CURP], " ")</f>
        <v xml:space="preserve"> </v>
      </c>
      <c r="F19" s="1300" t="str">
        <f>_xlfn.XLOOKUP($D19,  Tabla3[No.],  Tabla3[Matrícula Of. SEQ], " ")</f>
        <v xml:space="preserve"> </v>
      </c>
      <c r="G19" s="1613" t="str">
        <f>IFERROR(VLOOKUP(D19,Tabla3[],5,FALSE),"")</f>
        <v/>
      </c>
      <c r="H19" s="3746" t="str">
        <f t="shared" si="0"/>
        <v/>
      </c>
      <c r="I19" s="1845" t="str">
        <f t="shared" si="1"/>
        <v/>
      </c>
      <c r="J19" s="1845" t="str">
        <f t="shared" si="2"/>
        <v/>
      </c>
      <c r="K19" s="1845" t="str">
        <f t="shared" si="3"/>
        <v/>
      </c>
      <c r="L19" s="1641" t="str">
        <f>_xlfn.XLOOKUP($D19,  Tabla3[No.],  Tabla3[ESTATUS ACADÉMICO], " ")</f>
        <v xml:space="preserve"> </v>
      </c>
      <c r="M19" s="1641" t="str">
        <f>_xlfn.XLOOKUP($D19,  Tabla3[No.],  Tabla3[Grupo de clase], " ")</f>
        <v xml:space="preserve"> </v>
      </c>
      <c r="N19" s="3551"/>
      <c r="O19" s="3551"/>
      <c r="P19" s="3551"/>
      <c r="Q19" s="3551"/>
      <c r="R19" s="3551"/>
      <c r="S19" s="3551"/>
      <c r="T19" s="3551"/>
      <c r="U19" s="3551"/>
      <c r="V19" s="3551"/>
      <c r="W19" s="3551"/>
      <c r="X19" s="3551"/>
      <c r="Y19" s="3551"/>
      <c r="Z19" s="3551"/>
      <c r="AA19" s="3551"/>
      <c r="AB19" s="3551"/>
      <c r="AC19" s="3551"/>
      <c r="AD19" s="3753"/>
    </row>
    <row r="20" spans="1:31" ht="15" customHeight="1" thickBot="1">
      <c r="A20" s="1655"/>
      <c r="B20" s="3740"/>
      <c r="C20" s="3571" t="str">
        <f>_xlfn.XLOOKUP($E20,Tabla3[CURP],Tabla3[FECHA DE INICIO (PRIMERA CLASE CALENDARIO)]," ")</f>
        <v xml:space="preserve"> </v>
      </c>
      <c r="D20" s="1647"/>
      <c r="E20" s="3747" t="str">
        <f>_xlfn.XLOOKUP($D20,  Tabla3[No.],  Tabla3[CURP], " ")</f>
        <v xml:space="preserve"> </v>
      </c>
      <c r="F20" s="3748" t="str">
        <f>_xlfn.XLOOKUP($D20,  Tabla3[No.],  Tabla3[Matrícula Of. SEQ], " ")</f>
        <v xml:space="preserve"> </v>
      </c>
      <c r="G20" s="3749" t="str">
        <f>IFERROR(VLOOKUP(D20,Tabla3[],5,FALSE),"")</f>
        <v/>
      </c>
      <c r="H20" s="3750" t="str">
        <f t="shared" si="0"/>
        <v/>
      </c>
      <c r="I20" s="3751" t="str">
        <f t="shared" si="1"/>
        <v/>
      </c>
      <c r="J20" s="3751" t="str">
        <f t="shared" si="2"/>
        <v/>
      </c>
      <c r="K20" s="3751" t="str">
        <f t="shared" si="3"/>
        <v/>
      </c>
      <c r="L20" s="1651" t="str">
        <f>_xlfn.XLOOKUP($D20,  Tabla3[No.],  Tabla3[ESTATUS ACADÉMICO], " ")</f>
        <v xml:space="preserve"> </v>
      </c>
      <c r="M20" s="1651" t="str">
        <f>_xlfn.XLOOKUP($D20,  Tabla3[No.],  Tabla3[Grupo de clase], " ")</f>
        <v xml:space="preserve"> </v>
      </c>
      <c r="N20" s="3754"/>
      <c r="O20" s="3754"/>
      <c r="P20" s="3754"/>
      <c r="Q20" s="3754"/>
      <c r="R20" s="3754"/>
      <c r="S20" s="3754"/>
      <c r="T20" s="3754"/>
      <c r="U20" s="3754"/>
      <c r="V20" s="3754"/>
      <c r="W20" s="3754"/>
      <c r="X20" s="3754"/>
      <c r="Y20" s="3754"/>
      <c r="Z20" s="3754"/>
      <c r="AA20" s="3754"/>
      <c r="AB20" s="3754"/>
      <c r="AC20" s="3754"/>
      <c r="AD20" s="3755"/>
    </row>
    <row r="22" spans="1:31" ht="15" customHeight="1" thickBot="1">
      <c r="A22" s="1544"/>
      <c r="B22" s="1544"/>
      <c r="C22" s="1544"/>
      <c r="D22" s="1544"/>
      <c r="E22" s="1544"/>
      <c r="F22" s="1544"/>
      <c r="G22" s="1544"/>
      <c r="H22" s="1544"/>
      <c r="I22" s="1544"/>
      <c r="J22" s="1544"/>
      <c r="K22" s="1544"/>
      <c r="L22" s="1544"/>
      <c r="M22" s="1544"/>
      <c r="V22" s="3"/>
      <c r="W22" s="3"/>
      <c r="X22" s="3"/>
      <c r="Y22" s="3"/>
      <c r="Z22" s="3"/>
      <c r="AA22" s="3"/>
      <c r="AB22" s="3"/>
      <c r="AC22" s="3"/>
    </row>
    <row r="23" spans="1:31" ht="15" customHeight="1" thickBot="1">
      <c r="A23" s="1546"/>
      <c r="B23" s="4089" t="s">
        <v>5</v>
      </c>
      <c r="C23" s="1548"/>
      <c r="D23" s="4509" t="s">
        <v>4299</v>
      </c>
      <c r="E23" s="4091" t="s">
        <v>6</v>
      </c>
      <c r="F23" s="4091" t="s">
        <v>7</v>
      </c>
      <c r="G23" s="4093" t="s">
        <v>8</v>
      </c>
      <c r="H23" s="4423" t="s">
        <v>9</v>
      </c>
      <c r="I23" s="4518" t="s">
        <v>10</v>
      </c>
      <c r="J23" s="4519"/>
      <c r="K23" s="4519"/>
      <c r="L23" s="4069"/>
      <c r="M23" s="3732"/>
      <c r="N23" s="1866">
        <v>45505</v>
      </c>
      <c r="O23" s="1866">
        <v>45536</v>
      </c>
      <c r="P23" s="1866">
        <v>45566</v>
      </c>
      <c r="Q23" s="1866">
        <v>45597</v>
      </c>
      <c r="R23" s="193">
        <v>45627</v>
      </c>
      <c r="S23" s="193">
        <v>45627</v>
      </c>
      <c r="T23" s="1067">
        <v>45658</v>
      </c>
      <c r="U23" s="193">
        <v>45689</v>
      </c>
      <c r="V23" s="193">
        <v>45717</v>
      </c>
      <c r="W23" s="193">
        <v>45748</v>
      </c>
      <c r="X23" s="193">
        <v>45566</v>
      </c>
      <c r="Y23" s="1067">
        <v>45778</v>
      </c>
      <c r="Z23" s="193">
        <v>45809</v>
      </c>
      <c r="AA23" s="193">
        <v>45839</v>
      </c>
      <c r="AB23" s="193">
        <v>45870</v>
      </c>
      <c r="AC23" s="3"/>
    </row>
    <row r="24" spans="1:31" ht="32.25" customHeight="1" thickBot="1">
      <c r="A24" s="1546"/>
      <c r="B24" s="4090"/>
      <c r="C24" s="1548" t="s">
        <v>4255</v>
      </c>
      <c r="D24" s="4510"/>
      <c r="E24" s="4092"/>
      <c r="F24" s="4092"/>
      <c r="G24" s="4094"/>
      <c r="H24" s="4424"/>
      <c r="I24" s="4519"/>
      <c r="J24" s="4520"/>
      <c r="K24" s="4519"/>
      <c r="L24" s="4516"/>
      <c r="M24" s="3733" t="s">
        <v>1149</v>
      </c>
      <c r="N24" s="638" t="s">
        <v>4487</v>
      </c>
      <c r="O24" s="638" t="s">
        <v>4487</v>
      </c>
      <c r="P24" s="638" t="s">
        <v>4487</v>
      </c>
      <c r="Q24" s="638" t="s">
        <v>4487</v>
      </c>
      <c r="R24" s="638" t="s">
        <v>4487</v>
      </c>
      <c r="S24" s="638" t="s">
        <v>4487</v>
      </c>
      <c r="T24" s="638" t="s">
        <v>4858</v>
      </c>
      <c r="U24" s="638" t="s">
        <v>4857</v>
      </c>
      <c r="V24" s="638" t="s">
        <v>5009</v>
      </c>
      <c r="W24" s="638" t="s">
        <v>5010</v>
      </c>
      <c r="X24" s="638" t="s">
        <v>4892</v>
      </c>
      <c r="Y24" s="638"/>
      <c r="Z24" s="637"/>
      <c r="AA24" s="637"/>
      <c r="AB24" s="637"/>
      <c r="AC24" s="3"/>
    </row>
    <row r="25" spans="1:31" ht="33" customHeight="1" thickBot="1">
      <c r="A25" s="1562" t="s">
        <v>27</v>
      </c>
      <c r="B25" s="4090"/>
      <c r="C25" s="1547" t="s">
        <v>1584</v>
      </c>
      <c r="D25" s="4510"/>
      <c r="E25" s="4092"/>
      <c r="F25" s="4092"/>
      <c r="G25" s="4095"/>
      <c r="H25" s="4424"/>
      <c r="I25" s="4519"/>
      <c r="J25" s="4519"/>
      <c r="K25" s="4519"/>
      <c r="L25" s="4070"/>
      <c r="M25" s="3734" t="s">
        <v>1728</v>
      </c>
      <c r="N25" s="1826" t="s">
        <v>960</v>
      </c>
      <c r="O25" s="1826" t="s">
        <v>960</v>
      </c>
      <c r="P25" s="1826" t="s">
        <v>4303</v>
      </c>
      <c r="Q25" s="1826" t="s">
        <v>964</v>
      </c>
      <c r="R25" s="1141"/>
      <c r="S25" s="1826" t="s">
        <v>954</v>
      </c>
      <c r="T25" s="1826" t="s">
        <v>954</v>
      </c>
      <c r="U25" s="1826" t="s">
        <v>955</v>
      </c>
      <c r="V25" s="1826" t="s">
        <v>1075</v>
      </c>
      <c r="W25" s="1826" t="s">
        <v>1074</v>
      </c>
      <c r="X25" s="1826" t="s">
        <v>964</v>
      </c>
      <c r="Y25" s="1826" t="s">
        <v>960</v>
      </c>
      <c r="Z25" s="637" t="s">
        <v>952</v>
      </c>
      <c r="AA25" s="637"/>
      <c r="AB25" s="637" t="s">
        <v>954</v>
      </c>
      <c r="AC25" s="3"/>
    </row>
    <row r="26" spans="1:31" ht="64.5" customHeight="1" thickBot="1">
      <c r="A26" s="1548" t="s">
        <v>4298</v>
      </c>
      <c r="B26" s="4090"/>
      <c r="C26" s="1564" t="s">
        <v>3882</v>
      </c>
      <c r="D26" s="4510"/>
      <c r="E26" s="4092"/>
      <c r="F26" s="4092"/>
      <c r="G26" s="1565" t="s">
        <v>78</v>
      </c>
      <c r="H26" s="4424"/>
      <c r="I26" s="3359" t="s">
        <v>79</v>
      </c>
      <c r="J26" s="3359" t="s">
        <v>80</v>
      </c>
      <c r="K26" s="3359" t="s">
        <v>81</v>
      </c>
      <c r="L26" s="1567" t="s">
        <v>1759</v>
      </c>
      <c r="M26" s="1822" t="s">
        <v>27</v>
      </c>
      <c r="N26" s="1825" t="s">
        <v>2588</v>
      </c>
      <c r="O26" s="1825" t="s">
        <v>4302</v>
      </c>
      <c r="P26" s="1825" t="s">
        <v>973</v>
      </c>
      <c r="Q26" s="1825" t="s">
        <v>983</v>
      </c>
      <c r="R26" s="1825" t="s">
        <v>4301</v>
      </c>
      <c r="S26" s="1825" t="s">
        <v>4747</v>
      </c>
      <c r="T26" s="2274" t="s">
        <v>5091</v>
      </c>
      <c r="U26" s="2274" t="s">
        <v>969</v>
      </c>
      <c r="V26" s="2274" t="s">
        <v>981</v>
      </c>
      <c r="W26" s="2274" t="s">
        <v>4856</v>
      </c>
      <c r="X26" s="1894" t="s">
        <v>1090</v>
      </c>
      <c r="Y26" s="3119" t="s">
        <v>5183</v>
      </c>
      <c r="Z26" s="3797" t="s">
        <v>2589</v>
      </c>
      <c r="AA26" s="3797" t="s">
        <v>5441</v>
      </c>
      <c r="AB26" s="3797" t="s">
        <v>5442</v>
      </c>
      <c r="AC26" s="3"/>
    </row>
    <row r="27" spans="1:31" ht="15" customHeight="1">
      <c r="A27" s="1546"/>
      <c r="B27" s="1656">
        <v>1</v>
      </c>
      <c r="C27" s="1575">
        <f>_xlfn.XLOOKUP($D27, Tabla3[No.], Tabla3[FECHA DE INICIO (PRIMERA CLASE CALENDARIO)]," ")</f>
        <v>45507</v>
      </c>
      <c r="D27" s="1577">
        <v>762</v>
      </c>
      <c r="E27" s="1980" t="str">
        <f>_xlfn.XLOOKUP($D27,  Tabla3[No.],  Tabla3[CURP], " ")</f>
        <v>AODM631030MNLRZR01</v>
      </c>
      <c r="F27" s="1578" t="str">
        <f>_xlfn.XLOOKUP($D27,  Tabla3[No.],  Tabla3[Matrícula Of. SEQ], " ")</f>
        <v>64DD07K-01</v>
      </c>
      <c r="G27" s="1579" t="str">
        <f>IFERROR(VLOOKUP(D27,Tabla3[],5,FALSE),"")</f>
        <v>ARROYO DIAZ MARTINA</v>
      </c>
      <c r="H27" s="1657" t="str">
        <f t="shared" ref="H27:H46" si="4">MID($E27,11,1)</f>
        <v>M</v>
      </c>
      <c r="I27" s="1657" t="str">
        <f t="shared" ref="I27:I46" si="5">MID($E27,5,2)</f>
        <v>63</v>
      </c>
      <c r="J27" s="1657" t="str">
        <f t="shared" ref="J27:J46" si="6">MID($E27,7,2)</f>
        <v>10</v>
      </c>
      <c r="K27" s="1657" t="str">
        <f t="shared" ref="K27:K46" si="7">MID($E27,9,2)</f>
        <v>30</v>
      </c>
      <c r="L27" s="1657" t="str">
        <f>_xlfn.XLOOKUP($D27,  Tabla3[No.],  Tabla3[ESTATUS ACADÉMICO], " ")</f>
        <v>EGRESADO</v>
      </c>
      <c r="M27" s="1823" t="str">
        <f>_xlfn.XLOOKUP($D27,  Tabla3[No.],  Tabla3[Grupo de clase], " ")</f>
        <v>DD07J</v>
      </c>
      <c r="N27" s="1583">
        <v>10</v>
      </c>
      <c r="O27" s="1583">
        <v>10</v>
      </c>
      <c r="P27" s="3715">
        <v>9.6999999999999993</v>
      </c>
      <c r="Q27" s="3715">
        <v>10</v>
      </c>
      <c r="R27" s="3715">
        <v>10</v>
      </c>
      <c r="S27" s="3715">
        <v>10</v>
      </c>
      <c r="T27" s="3715">
        <v>10</v>
      </c>
      <c r="U27" s="3717">
        <v>9</v>
      </c>
      <c r="V27" s="3718">
        <v>10</v>
      </c>
      <c r="W27" s="3718">
        <v>10</v>
      </c>
      <c r="X27" s="3719">
        <f>AVERAGE(N27:W27)</f>
        <v>9.870000000000001</v>
      </c>
      <c r="Y27" s="3720">
        <v>10</v>
      </c>
      <c r="Z27" s="3718">
        <v>9.3000000000000007</v>
      </c>
      <c r="AA27" s="3718"/>
      <c r="AB27" s="3721">
        <v>10</v>
      </c>
      <c r="AC27" s="3"/>
    </row>
    <row r="28" spans="1:31" ht="15" customHeight="1">
      <c r="A28" s="1546"/>
      <c r="B28" s="1659">
        <v>2</v>
      </c>
      <c r="C28" s="1600">
        <f>_xlfn.XLOOKUP($D28, Tabla3[No.], Tabla3[FECHA DE INICIO (PRIMERA CLASE CALENDARIO)]," ")</f>
        <v>45507</v>
      </c>
      <c r="D28" s="1602">
        <v>763</v>
      </c>
      <c r="E28" s="1602" t="str">
        <f>_xlfn.XLOOKUP($D28,  Tabla3[No.],  Tabla3[CURP], " ")</f>
        <v>BOMC710403HNLSRS06</v>
      </c>
      <c r="F28" s="1603" t="str">
        <f>_xlfn.XLOOKUP($D28,  Tabla3[No.],  Tabla3[Matrícula Of. SEQ], " ")</f>
        <v>64DD07K-02</v>
      </c>
      <c r="G28" s="1604" t="str">
        <f>IFERROR(VLOOKUP(D28,Tabla3[],5,FALSE),"")</f>
        <v>DEL BOSQUE MARTINEZ CESAR ALEJANDRO</v>
      </c>
      <c r="H28" s="1660" t="str">
        <f t="shared" si="4"/>
        <v>H</v>
      </c>
      <c r="I28" s="1660" t="str">
        <f t="shared" si="5"/>
        <v>71</v>
      </c>
      <c r="J28" s="1660" t="str">
        <f t="shared" si="6"/>
        <v>04</v>
      </c>
      <c r="K28" s="1660" t="str">
        <f t="shared" si="7"/>
        <v>03</v>
      </c>
      <c r="L28" s="1660" t="str">
        <f>_xlfn.XLOOKUP($D28,  Tabla3[No.],  Tabla3[ESTATUS ACADÉMICO], " ")</f>
        <v>EGRESADO</v>
      </c>
      <c r="M28" s="1824" t="str">
        <f>_xlfn.XLOOKUP($D28,  Tabla3[No.],  Tabla3[Grupo de clase], " ")</f>
        <v>DD07J</v>
      </c>
      <c r="N28" s="1608">
        <v>10</v>
      </c>
      <c r="O28" s="1608">
        <v>10</v>
      </c>
      <c r="P28" s="3716">
        <v>9</v>
      </c>
      <c r="Q28" s="3716">
        <v>10</v>
      </c>
      <c r="R28" s="3716">
        <v>10</v>
      </c>
      <c r="S28" s="3716">
        <v>10</v>
      </c>
      <c r="T28" s="3716">
        <v>10</v>
      </c>
      <c r="U28" s="3722">
        <v>10</v>
      </c>
      <c r="V28" s="909">
        <v>9</v>
      </c>
      <c r="W28" s="909">
        <v>10</v>
      </c>
      <c r="X28" s="3723">
        <f>AVERAGE(N28:W28)</f>
        <v>9.8000000000000007</v>
      </c>
      <c r="Y28" s="743">
        <v>10</v>
      </c>
      <c r="Z28" s="909">
        <v>9</v>
      </c>
      <c r="AA28" s="909"/>
      <c r="AB28" s="3724">
        <v>10</v>
      </c>
      <c r="AC28" s="3"/>
    </row>
    <row r="29" spans="1:31" ht="15" customHeight="1">
      <c r="A29" s="1546"/>
      <c r="B29" s="1659">
        <v>3</v>
      </c>
      <c r="C29" s="1600">
        <f>_xlfn.XLOOKUP($D29, Tabla3[No.], Tabla3[FECHA DE INICIO (PRIMERA CLASE CALENDARIO)]," ")</f>
        <v>45507</v>
      </c>
      <c r="D29" s="1602">
        <v>764</v>
      </c>
      <c r="E29" s="1602" t="str">
        <f>_xlfn.XLOOKUP($D29,  Tabla3[No.],  Tabla3[CURP], " ")</f>
        <v>BOMD801122HCLRRV03</v>
      </c>
      <c r="F29" s="1603" t="str">
        <f>_xlfn.XLOOKUP($D29,  Tabla3[No.],  Tabla3[Matrícula Of. SEQ], " ")</f>
        <v>64DD07K-03</v>
      </c>
      <c r="G29" s="1604" t="str">
        <f>IFERROR(VLOOKUP(D29,Tabla3[],5,FALSE),"")</f>
        <v>BORREGO MURILLO DAVID FERNANDO</v>
      </c>
      <c r="H29" s="1660" t="str">
        <f t="shared" si="4"/>
        <v>H</v>
      </c>
      <c r="I29" s="1660" t="str">
        <f t="shared" si="5"/>
        <v>80</v>
      </c>
      <c r="J29" s="1660" t="str">
        <f t="shared" si="6"/>
        <v>11</v>
      </c>
      <c r="K29" s="1660" t="str">
        <f t="shared" si="7"/>
        <v>22</v>
      </c>
      <c r="L29" s="1660" t="str">
        <f>_xlfn.XLOOKUP($D29,  Tabla3[No.],  Tabla3[ESTATUS ACADÉMICO], " ")</f>
        <v>EGRESADO</v>
      </c>
      <c r="M29" s="1824" t="str">
        <f>_xlfn.XLOOKUP($D29,  Tabla3[No.],  Tabla3[Grupo de clase], " ")</f>
        <v>DD07J</v>
      </c>
      <c r="N29" s="1608">
        <v>10</v>
      </c>
      <c r="O29" s="1608">
        <v>10</v>
      </c>
      <c r="P29" s="3716">
        <v>9.6999999999999993</v>
      </c>
      <c r="Q29" s="3716">
        <v>10</v>
      </c>
      <c r="R29" s="3716">
        <v>10</v>
      </c>
      <c r="S29" s="3716">
        <v>10</v>
      </c>
      <c r="T29" s="3716">
        <v>10</v>
      </c>
      <c r="U29" s="3722">
        <v>10</v>
      </c>
      <c r="V29" s="909">
        <v>10</v>
      </c>
      <c r="W29" s="909">
        <v>10</v>
      </c>
      <c r="X29" s="3723">
        <f>AVERAGE(N29:W29)</f>
        <v>9.9700000000000006</v>
      </c>
      <c r="Y29" s="743">
        <v>10</v>
      </c>
      <c r="Z29" s="909">
        <v>9</v>
      </c>
      <c r="AA29" s="909"/>
      <c r="AB29" s="3724">
        <v>10</v>
      </c>
      <c r="AC29" s="3"/>
    </row>
    <row r="30" spans="1:31" ht="15" customHeight="1">
      <c r="A30" s="1546"/>
      <c r="B30" s="1659">
        <v>4</v>
      </c>
      <c r="C30" s="1600">
        <f>_xlfn.XLOOKUP($D30, Tabla3[No.], Tabla3[FECHA DE INICIO (PRIMERA CLASE CALENDARIO)]," ")</f>
        <v>45507</v>
      </c>
      <c r="D30" s="3123">
        <v>765</v>
      </c>
      <c r="E30" s="1602" t="str">
        <f>_xlfn.XLOOKUP($D30,  Tabla3[No.],  Tabla3[CURP], " ")</f>
        <v>CAOA720601HCLMLL02</v>
      </c>
      <c r="F30" s="1603" t="str">
        <f>_xlfn.XLOOKUP($D30,  Tabla3[No.],  Tabla3[Matrícula Of. SEQ], " ")</f>
        <v>64DD07K-04</v>
      </c>
      <c r="G30" s="1604" t="str">
        <f>IFERROR(VLOOKUP(D30,Tabla3[],5,FALSE),"")</f>
        <v>CAMPOS OLIVO ALBERTO</v>
      </c>
      <c r="H30" s="1660" t="str">
        <f t="shared" si="4"/>
        <v>H</v>
      </c>
      <c r="I30" s="1660" t="str">
        <f t="shared" si="5"/>
        <v>72</v>
      </c>
      <c r="J30" s="1660" t="str">
        <f t="shared" si="6"/>
        <v>06</v>
      </c>
      <c r="K30" s="1660" t="str">
        <f t="shared" si="7"/>
        <v>01</v>
      </c>
      <c r="L30" s="1660" t="str">
        <f>_xlfn.XLOOKUP($D30,  Tabla3[No.],  Tabla3[ESTATUS ACADÉMICO], " ")</f>
        <v>EGRESADO</v>
      </c>
      <c r="M30" s="1824" t="str">
        <f>_xlfn.XLOOKUP($D30,  Tabla3[No.],  Tabla3[Grupo de clase], " ")</f>
        <v>DD07J</v>
      </c>
      <c r="N30" s="1608">
        <v>10</v>
      </c>
      <c r="O30" s="1608">
        <v>10</v>
      </c>
      <c r="P30" s="3716">
        <v>10</v>
      </c>
      <c r="Q30" s="3716">
        <v>10</v>
      </c>
      <c r="R30" s="3716">
        <v>10</v>
      </c>
      <c r="S30" s="3716">
        <v>10</v>
      </c>
      <c r="T30" s="3716">
        <v>10</v>
      </c>
      <c r="U30" s="3725">
        <f>AVERAGE(N30:T30)</f>
        <v>10</v>
      </c>
      <c r="V30" s="3726">
        <v>9</v>
      </c>
      <c r="W30" s="3726">
        <v>9</v>
      </c>
      <c r="X30" s="3726">
        <v>9</v>
      </c>
      <c r="Y30" s="743">
        <v>10</v>
      </c>
      <c r="Z30" s="909">
        <v>9</v>
      </c>
      <c r="AA30" s="909"/>
      <c r="AB30" s="3724">
        <v>10</v>
      </c>
      <c r="AC30" s="3"/>
    </row>
    <row r="31" spans="1:31" ht="15" customHeight="1">
      <c r="A31" s="1546"/>
      <c r="B31" s="1659">
        <v>5</v>
      </c>
      <c r="C31" s="1600">
        <f>_xlfn.XLOOKUP($D31, Tabla3[No.], Tabla3[FECHA DE INICIO (PRIMERA CLASE CALENDARIO)]," ")</f>
        <v>45507</v>
      </c>
      <c r="D31" s="3123">
        <v>766</v>
      </c>
      <c r="E31" s="1602" t="str">
        <f>_xlfn.XLOOKUP($D31,  Tabla3[No.],  Tabla3[CURP], " ")</f>
        <v>DIVF800518HDFZLR09</v>
      </c>
      <c r="F31" s="1603" t="str">
        <f>_xlfn.XLOOKUP($D31,  Tabla3[No.],  Tabla3[Matrícula Of. SEQ], " ")</f>
        <v>64DD07K-05</v>
      </c>
      <c r="G31" s="1604" t="str">
        <f>IFERROR(VLOOKUP(D31,Tabla3[],5,FALSE),"")</f>
        <v>DIEZ DE URDANIVIA DEL VALLE FRANCISCO JAVIER</v>
      </c>
      <c r="H31" s="1660" t="str">
        <f t="shared" si="4"/>
        <v>H</v>
      </c>
      <c r="I31" s="1660" t="str">
        <f t="shared" si="5"/>
        <v>80</v>
      </c>
      <c r="J31" s="1660" t="str">
        <f t="shared" si="6"/>
        <v>05</v>
      </c>
      <c r="K31" s="1660" t="str">
        <f t="shared" si="7"/>
        <v>18</v>
      </c>
      <c r="L31" s="1660" t="str">
        <f>_xlfn.XLOOKUP($D31,  Tabla3[No.],  Tabla3[ESTATUS ACADÉMICO], " ")</f>
        <v>EGRESADO</v>
      </c>
      <c r="M31" s="1824" t="str">
        <f>_xlfn.XLOOKUP($D31,  Tabla3[No.],  Tabla3[Grupo de clase], " ")</f>
        <v>DD07J</v>
      </c>
      <c r="N31" s="1608">
        <v>10</v>
      </c>
      <c r="O31" s="1608">
        <v>10</v>
      </c>
      <c r="P31" s="3716">
        <v>10</v>
      </c>
      <c r="Q31" s="3716">
        <v>10</v>
      </c>
      <c r="R31" s="3716">
        <v>10</v>
      </c>
      <c r="S31" s="3716">
        <v>10</v>
      </c>
      <c r="T31" s="3716">
        <v>10</v>
      </c>
      <c r="U31" s="3725">
        <f>AVERAGE(N31:T31)</f>
        <v>10</v>
      </c>
      <c r="V31" s="3726">
        <v>9.5</v>
      </c>
      <c r="W31" s="3726">
        <v>9.5</v>
      </c>
      <c r="X31" s="3726">
        <v>9.5</v>
      </c>
      <c r="Y31" s="743">
        <v>10</v>
      </c>
      <c r="Z31" s="909">
        <v>9.5</v>
      </c>
      <c r="AA31" s="909"/>
      <c r="AB31" s="3724">
        <v>10</v>
      </c>
      <c r="AC31" s="3"/>
    </row>
    <row r="32" spans="1:31" ht="15" customHeight="1">
      <c r="A32" s="1546"/>
      <c r="B32" s="1659">
        <v>6</v>
      </c>
      <c r="C32" s="1600">
        <f>_xlfn.XLOOKUP($D32, Tabla3[No.], Tabla3[FECHA DE INICIO (PRIMERA CLASE CALENDARIO)]," ")</f>
        <v>45507</v>
      </c>
      <c r="D32" s="1602">
        <v>767</v>
      </c>
      <c r="E32" s="1602" t="str">
        <f>_xlfn.XLOOKUP($D32,  Tabla3[No.],  Tabla3[CURP], " ")</f>
        <v>DIVL740104MDFZLZ06</v>
      </c>
      <c r="F32" s="1603" t="str">
        <f>_xlfn.XLOOKUP($D32,  Tabla3[No.],  Tabla3[Matrícula Of. SEQ], " ")</f>
        <v>64DD07K-06</v>
      </c>
      <c r="G32" s="1604" t="str">
        <f>IFERROR(VLOOKUP(D32,Tabla3[],5,FALSE),"")</f>
        <v>DIEZ DE URDANIVIA DEL VALLE LUZ MARIA</v>
      </c>
      <c r="H32" s="1660" t="str">
        <f t="shared" si="4"/>
        <v>M</v>
      </c>
      <c r="I32" s="1660" t="str">
        <f t="shared" si="5"/>
        <v>74</v>
      </c>
      <c r="J32" s="1660" t="str">
        <f t="shared" si="6"/>
        <v>01</v>
      </c>
      <c r="K32" s="1660" t="str">
        <f t="shared" si="7"/>
        <v>04</v>
      </c>
      <c r="L32" s="1660" t="str">
        <f>_xlfn.XLOOKUP($D32,  Tabla3[No.],  Tabla3[ESTATUS ACADÉMICO], " ")</f>
        <v>EGRESADO</v>
      </c>
      <c r="M32" s="1824" t="str">
        <f>_xlfn.XLOOKUP($D32,  Tabla3[No.],  Tabla3[Grupo de clase], " ")</f>
        <v>DD07J</v>
      </c>
      <c r="N32" s="1608">
        <v>10</v>
      </c>
      <c r="O32" s="1608">
        <v>10</v>
      </c>
      <c r="P32" s="3716">
        <v>10</v>
      </c>
      <c r="Q32" s="3716">
        <v>10</v>
      </c>
      <c r="R32" s="3716">
        <v>10</v>
      </c>
      <c r="S32" s="3716">
        <v>10</v>
      </c>
      <c r="T32" s="3716">
        <v>10</v>
      </c>
      <c r="U32" s="3725">
        <f>AVERAGE(N32:T32)</f>
        <v>10</v>
      </c>
      <c r="V32" s="3726">
        <v>9</v>
      </c>
      <c r="W32" s="3726">
        <v>9</v>
      </c>
      <c r="X32" s="3726">
        <v>9</v>
      </c>
      <c r="Y32" s="743">
        <v>10</v>
      </c>
      <c r="Z32" s="909">
        <v>9</v>
      </c>
      <c r="AA32" s="909"/>
      <c r="AB32" s="3724">
        <v>10</v>
      </c>
      <c r="AC32" s="3"/>
    </row>
    <row r="33" spans="1:29" ht="15" customHeight="1">
      <c r="A33" s="1546"/>
      <c r="B33" s="1659">
        <v>7</v>
      </c>
      <c r="C33" s="1600">
        <f>_xlfn.XLOOKUP($D33, Tabla3[No.], Tabla3[FECHA DE INICIO (PRIMERA CLASE CALENDARIO)]," ")</f>
        <v>45507</v>
      </c>
      <c r="D33" s="1602">
        <v>768</v>
      </c>
      <c r="E33" s="1602" t="str">
        <f>_xlfn.XLOOKUP($D33,  Tabla3[No.],  Tabla3[CURP], " ")</f>
        <v>DIVS740403MNLZLY00</v>
      </c>
      <c r="F33" s="1603" t="str">
        <f>_xlfn.XLOOKUP($D33,  Tabla3[No.],  Tabla3[Matrícula Of. SEQ], " ")</f>
        <v>64DD07K-07</v>
      </c>
      <c r="G33" s="1604" t="str">
        <f>IFERROR(VLOOKUP(D33,Tabla3[],5,FALSE),"")</f>
        <v>DIAZ VALENCIA SYLVIA MARISOL</v>
      </c>
      <c r="H33" s="1660" t="str">
        <f t="shared" si="4"/>
        <v>M</v>
      </c>
      <c r="I33" s="1660" t="str">
        <f t="shared" si="5"/>
        <v>74</v>
      </c>
      <c r="J33" s="1660" t="str">
        <f t="shared" si="6"/>
        <v>04</v>
      </c>
      <c r="K33" s="1660" t="str">
        <f t="shared" si="7"/>
        <v>03</v>
      </c>
      <c r="L33" s="1660" t="str">
        <f>_xlfn.XLOOKUP($D33,  Tabla3[No.],  Tabla3[ESTATUS ACADÉMICO], " ")</f>
        <v>EGRESADO</v>
      </c>
      <c r="M33" s="1824" t="str">
        <f>_xlfn.XLOOKUP($D33,  Tabla3[No.],  Tabla3[Grupo de clase], " ")</f>
        <v>DD07J</v>
      </c>
      <c r="N33" s="1608">
        <v>10</v>
      </c>
      <c r="O33" s="1608">
        <v>10</v>
      </c>
      <c r="P33" s="3716">
        <v>10</v>
      </c>
      <c r="Q33" s="3716">
        <v>10</v>
      </c>
      <c r="R33" s="3716">
        <v>10</v>
      </c>
      <c r="S33" s="3716">
        <v>10</v>
      </c>
      <c r="T33" s="3716">
        <v>10</v>
      </c>
      <c r="U33" s="3725">
        <f>AVERAGE(N33:T33)</f>
        <v>10</v>
      </c>
      <c r="V33" s="3726">
        <v>9.3000000000000007</v>
      </c>
      <c r="W33" s="3726">
        <v>9.3000000000000007</v>
      </c>
      <c r="X33" s="3726">
        <v>9.3000000000000007</v>
      </c>
      <c r="Y33" s="743">
        <v>10</v>
      </c>
      <c r="Z33" s="909">
        <v>9</v>
      </c>
      <c r="AA33" s="909"/>
      <c r="AB33" s="3724">
        <v>10</v>
      </c>
      <c r="AC33" s="3"/>
    </row>
    <row r="34" spans="1:29" ht="15" customHeight="1">
      <c r="A34" s="1546"/>
      <c r="B34" s="1659">
        <v>8</v>
      </c>
      <c r="C34" s="1600">
        <f>_xlfn.XLOOKUP($D34, Tabla3[No.], Tabla3[FECHA DE INICIO (PRIMERA CLASE CALENDARIO)]," ")</f>
        <v>45507</v>
      </c>
      <c r="D34" s="3123">
        <v>769</v>
      </c>
      <c r="E34" s="1602" t="str">
        <f>_xlfn.XLOOKUP($D34,  Tabla3[No.],  Tabla3[CURP], " ")</f>
        <v>EAFL870810MDFSNR04</v>
      </c>
      <c r="F34" s="1603" t="str">
        <f>_xlfn.XLOOKUP($D34,  Tabla3[No.],  Tabla3[Matrícula Of. SEQ], " ")</f>
        <v>64DD07K-08</v>
      </c>
      <c r="G34" s="1604" t="str">
        <f>IFERROR(VLOOKUP(D34,Tabla3[],5,FALSE),"")</f>
        <v>ESPARZA FUENTES LARISSA ESTEFANIA</v>
      </c>
      <c r="H34" s="1660" t="str">
        <f t="shared" si="4"/>
        <v>M</v>
      </c>
      <c r="I34" s="1660" t="str">
        <f t="shared" si="5"/>
        <v>87</v>
      </c>
      <c r="J34" s="1660" t="str">
        <f t="shared" si="6"/>
        <v>08</v>
      </c>
      <c r="K34" s="1660" t="str">
        <f t="shared" si="7"/>
        <v>10</v>
      </c>
      <c r="L34" s="1660" t="str">
        <f>_xlfn.XLOOKUP($D34,  Tabla3[No.],  Tabla3[ESTATUS ACADÉMICO], " ")</f>
        <v>EGRESADO</v>
      </c>
      <c r="M34" s="1824" t="str">
        <f>_xlfn.XLOOKUP($D34,  Tabla3[No.],  Tabla3[Grupo de clase], " ")</f>
        <v>DD07J</v>
      </c>
      <c r="N34" s="1608">
        <v>10</v>
      </c>
      <c r="O34" s="1608">
        <v>10</v>
      </c>
      <c r="P34" s="3716">
        <v>9.6999999999999993</v>
      </c>
      <c r="Q34" s="3716">
        <v>10</v>
      </c>
      <c r="R34" s="3716">
        <v>10</v>
      </c>
      <c r="S34" s="3716">
        <v>10</v>
      </c>
      <c r="T34" s="3716">
        <v>10</v>
      </c>
      <c r="U34" s="3725">
        <f>AVERAGE(N34:T34)</f>
        <v>9.9571428571428573</v>
      </c>
      <c r="V34" s="3726">
        <v>9.5</v>
      </c>
      <c r="W34" s="3726">
        <v>9.5</v>
      </c>
      <c r="X34" s="3726">
        <v>9.5</v>
      </c>
      <c r="Y34" s="743">
        <v>10</v>
      </c>
      <c r="Z34" s="909">
        <v>9.4</v>
      </c>
      <c r="AA34" s="909"/>
      <c r="AB34" s="3724">
        <v>10</v>
      </c>
      <c r="AC34" s="3"/>
    </row>
    <row r="35" spans="1:29" ht="15" customHeight="1">
      <c r="A35" s="1546"/>
      <c r="B35" s="1659">
        <v>9</v>
      </c>
      <c r="C35" s="1600">
        <f>_xlfn.XLOOKUP($D35, Tabla3[No.], Tabla3[FECHA DE INICIO (PRIMERA CLASE CALENDARIO)]," ")</f>
        <v>45507</v>
      </c>
      <c r="D35" s="1602">
        <v>770</v>
      </c>
      <c r="E35" s="1602" t="str">
        <f>_xlfn.XLOOKUP($D35,  Tabla3[No.],  Tabla3[CURP], " ")</f>
        <v>FOVE750929MCLLLL02</v>
      </c>
      <c r="F35" s="1603" t="str">
        <f>_xlfn.XLOOKUP($D35,  Tabla3[No.],  Tabla3[Matrícula Of. SEQ], " ")</f>
        <v>64DD07K-09</v>
      </c>
      <c r="G35" s="1604" t="str">
        <f>IFERROR(VLOOKUP(D35,Tabla3[],5,FALSE),"")</f>
        <v>FLORES VELAZQUEZ ELSA MARIA DEL PILAR</v>
      </c>
      <c r="H35" s="1660" t="str">
        <f t="shared" si="4"/>
        <v>M</v>
      </c>
      <c r="I35" s="1660" t="str">
        <f t="shared" si="5"/>
        <v>75</v>
      </c>
      <c r="J35" s="1660" t="str">
        <f t="shared" si="6"/>
        <v>09</v>
      </c>
      <c r="K35" s="1660" t="str">
        <f t="shared" si="7"/>
        <v>29</v>
      </c>
      <c r="L35" s="1660" t="str">
        <f>_xlfn.XLOOKUP($D35,  Tabla3[No.],  Tabla3[ESTATUS ACADÉMICO], " ")</f>
        <v>EGRESADO</v>
      </c>
      <c r="M35" s="1824" t="str">
        <f>_xlfn.XLOOKUP($D35,  Tabla3[No.],  Tabla3[Grupo de clase], " ")</f>
        <v>DD07J</v>
      </c>
      <c r="N35" s="1608">
        <v>10</v>
      </c>
      <c r="O35" s="1608">
        <v>10</v>
      </c>
      <c r="P35" s="3716">
        <v>10</v>
      </c>
      <c r="Q35" s="3716">
        <v>10</v>
      </c>
      <c r="R35" s="3716">
        <v>10</v>
      </c>
      <c r="S35" s="3716">
        <v>10</v>
      </c>
      <c r="T35" s="3716">
        <v>10</v>
      </c>
      <c r="U35" s="3722">
        <v>10</v>
      </c>
      <c r="V35" s="3726">
        <v>10</v>
      </c>
      <c r="W35" s="3726">
        <v>10</v>
      </c>
      <c r="X35" s="3726">
        <f>AVERAGE(N35:W35)</f>
        <v>10</v>
      </c>
      <c r="Y35" s="743">
        <v>10</v>
      </c>
      <c r="Z35" s="909">
        <v>10</v>
      </c>
      <c r="AA35" s="909"/>
      <c r="AB35" s="3724">
        <v>10</v>
      </c>
      <c r="AC35" s="3"/>
    </row>
    <row r="36" spans="1:29" ht="15" customHeight="1">
      <c r="A36" s="1546"/>
      <c r="B36" s="1659">
        <v>10</v>
      </c>
      <c r="C36" s="1600">
        <f>_xlfn.XLOOKUP($D36, Tabla3[No.], Tabla3[FECHA DE INICIO (PRIMERA CLASE CALENDARIO)]," ")</f>
        <v>45507</v>
      </c>
      <c r="D36" s="1602">
        <v>771</v>
      </c>
      <c r="E36" s="1602" t="str">
        <f>_xlfn.XLOOKUP($D36,  Tabla3[No.],  Tabla3[CURP], " ")</f>
        <v>GUGB681012HCLRRL05</v>
      </c>
      <c r="F36" s="1603" t="str">
        <f>_xlfn.XLOOKUP($D36,  Tabla3[No.],  Tabla3[Matrícula Of. SEQ], " ")</f>
        <v>64DD07K-10</v>
      </c>
      <c r="G36" s="1604" t="str">
        <f>IFERROR(VLOOKUP(D36,Tabla3[],5,FALSE),"")</f>
        <v>GUERRERO GARCIA BALTAZAR</v>
      </c>
      <c r="H36" s="1660" t="str">
        <f t="shared" si="4"/>
        <v>H</v>
      </c>
      <c r="I36" s="1660" t="str">
        <f t="shared" si="5"/>
        <v>68</v>
      </c>
      <c r="J36" s="1660" t="str">
        <f t="shared" si="6"/>
        <v>10</v>
      </c>
      <c r="K36" s="1660" t="str">
        <f t="shared" si="7"/>
        <v>12</v>
      </c>
      <c r="L36" s="1660" t="str">
        <f>_xlfn.XLOOKUP($D36,  Tabla3[No.],  Tabla3[ESTATUS ACADÉMICO], " ")</f>
        <v>EGRESADO</v>
      </c>
      <c r="M36" s="1824" t="str">
        <f>_xlfn.XLOOKUP($D36,  Tabla3[No.],  Tabla3[Grupo de clase], " ")</f>
        <v>DD07J</v>
      </c>
      <c r="N36" s="1608">
        <v>10</v>
      </c>
      <c r="O36" s="1608">
        <v>10</v>
      </c>
      <c r="P36" s="3716">
        <v>9.6999999999999993</v>
      </c>
      <c r="Q36" s="3716">
        <v>10</v>
      </c>
      <c r="R36" s="3716">
        <v>10</v>
      </c>
      <c r="S36" s="3716">
        <v>10</v>
      </c>
      <c r="T36" s="3716">
        <v>10</v>
      </c>
      <c r="U36" s="3722">
        <v>10</v>
      </c>
      <c r="V36" s="3726">
        <v>10</v>
      </c>
      <c r="W36" s="3726">
        <v>10</v>
      </c>
      <c r="X36" s="3726">
        <f>AVERAGE(N36:W36)</f>
        <v>9.9700000000000006</v>
      </c>
      <c r="Y36" s="743">
        <v>10</v>
      </c>
      <c r="Z36" s="909">
        <v>9</v>
      </c>
      <c r="AA36" s="909"/>
      <c r="AB36" s="3724">
        <v>10</v>
      </c>
      <c r="AC36" s="3"/>
    </row>
    <row r="37" spans="1:29" ht="15" customHeight="1">
      <c r="A37" s="1544"/>
      <c r="B37" s="1659">
        <v>11</v>
      </c>
      <c r="C37" s="1600">
        <f>_xlfn.XLOOKUP($D37, Tabla3[No.], Tabla3[FECHA DE INICIO (PRIMERA CLASE CALENDARIO)]," ")</f>
        <v>45507</v>
      </c>
      <c r="D37" s="1602">
        <v>772</v>
      </c>
      <c r="E37" s="1602" t="str">
        <f>_xlfn.XLOOKUP($D37,  Tabla3[No.],  Tabla3[CURP], " ")</f>
        <v>MAHJ860808HCLTRS02</v>
      </c>
      <c r="F37" s="1603" t="str">
        <f>_xlfn.XLOOKUP($D37,  Tabla3[No.],  Tabla3[Matrícula Of. SEQ], " ")</f>
        <v>64DD07K-11</v>
      </c>
      <c r="G37" s="1604" t="str">
        <f>IFERROR(VLOOKUP(D37,Tabla3[],5,FALSE),"")</f>
        <v>MATA HERRERA JESUS</v>
      </c>
      <c r="H37" s="1660" t="str">
        <f t="shared" si="4"/>
        <v>H</v>
      </c>
      <c r="I37" s="1660" t="str">
        <f t="shared" si="5"/>
        <v>86</v>
      </c>
      <c r="J37" s="1660" t="str">
        <f t="shared" si="6"/>
        <v>08</v>
      </c>
      <c r="K37" s="1660" t="str">
        <f t="shared" si="7"/>
        <v>08</v>
      </c>
      <c r="L37" s="1660" t="str">
        <f>_xlfn.XLOOKUP($D37,  Tabla3[No.],  Tabla3[ESTATUS ACADÉMICO], " ")</f>
        <v>EGRESADO</v>
      </c>
      <c r="M37" s="1824" t="str">
        <f>_xlfn.XLOOKUP($D37,  Tabla3[No.],  Tabla3[Grupo de clase], " ")</f>
        <v>DD07J</v>
      </c>
      <c r="N37" s="1608">
        <v>10</v>
      </c>
      <c r="O37" s="1608">
        <v>10</v>
      </c>
      <c r="P37" s="3716">
        <v>9.6999999999999993</v>
      </c>
      <c r="Q37" s="3716">
        <v>10</v>
      </c>
      <c r="R37" s="3716">
        <v>10</v>
      </c>
      <c r="S37" s="3716">
        <v>10</v>
      </c>
      <c r="T37" s="3716">
        <v>10</v>
      </c>
      <c r="U37" s="3722">
        <v>10</v>
      </c>
      <c r="V37" s="3726">
        <v>10</v>
      </c>
      <c r="W37" s="3726">
        <v>10</v>
      </c>
      <c r="X37" s="3726">
        <f>AVERAGE(N37:W37)</f>
        <v>9.9700000000000006</v>
      </c>
      <c r="Y37" s="743">
        <v>10</v>
      </c>
      <c r="Z37" s="909">
        <v>9</v>
      </c>
      <c r="AA37" s="909"/>
      <c r="AB37" s="3724">
        <v>10</v>
      </c>
      <c r="AC37" s="3"/>
    </row>
    <row r="38" spans="1:29" ht="15" customHeight="1">
      <c r="A38" s="1544"/>
      <c r="B38" s="1659">
        <v>12</v>
      </c>
      <c r="C38" s="1600">
        <f>_xlfn.XLOOKUP($D38, Tabla3[No.], Tabla3[FECHA DE INICIO (PRIMERA CLASE CALENDARIO)]," ")</f>
        <v>45507</v>
      </c>
      <c r="D38" s="1602">
        <v>773</v>
      </c>
      <c r="E38" s="1602" t="str">
        <f>_xlfn.XLOOKUP($D38,  Tabla3[No.],  Tabla3[CURP], " ")</f>
        <v>MOVD570209HNLNLV00</v>
      </c>
      <c r="F38" s="1603" t="str">
        <f>_xlfn.XLOOKUP($D38,  Tabla3[No.],  Tabla3[Matrícula Of. SEQ], " ")</f>
        <v>64DD07K-12</v>
      </c>
      <c r="G38" s="1604" t="str">
        <f>IFERROR(VLOOKUP(D38,Tabla3[],5,FALSE),"")</f>
        <v>MONTEMAYOR VILLELA DAVID</v>
      </c>
      <c r="H38" s="1660" t="str">
        <f t="shared" si="4"/>
        <v>H</v>
      </c>
      <c r="I38" s="1660" t="str">
        <f t="shared" si="5"/>
        <v>57</v>
      </c>
      <c r="J38" s="1660" t="str">
        <f t="shared" si="6"/>
        <v>02</v>
      </c>
      <c r="K38" s="1660" t="str">
        <f t="shared" si="7"/>
        <v>09</v>
      </c>
      <c r="L38" s="1660" t="str">
        <f>_xlfn.XLOOKUP($D38,  Tabla3[No.],  Tabla3[ESTATUS ACADÉMICO], " ")</f>
        <v>EGRESADO</v>
      </c>
      <c r="M38" s="1824" t="str">
        <f>_xlfn.XLOOKUP($D38,  Tabla3[No.],  Tabla3[Grupo de clase], " ")</f>
        <v>DD07J</v>
      </c>
      <c r="N38" s="1608">
        <v>10</v>
      </c>
      <c r="O38" s="1608">
        <v>10</v>
      </c>
      <c r="P38" s="3716">
        <v>9.6999999999999993</v>
      </c>
      <c r="Q38" s="3716">
        <v>10</v>
      </c>
      <c r="R38" s="3716">
        <v>10</v>
      </c>
      <c r="S38" s="3716">
        <v>10</v>
      </c>
      <c r="T38" s="3716">
        <v>10</v>
      </c>
      <c r="U38" s="3722">
        <v>10</v>
      </c>
      <c r="V38" s="3726">
        <v>10</v>
      </c>
      <c r="W38" s="3726">
        <v>10</v>
      </c>
      <c r="X38" s="3726">
        <f>AVERAGE(N38:W38)</f>
        <v>9.9700000000000006</v>
      </c>
      <c r="Y38" s="743">
        <v>10</v>
      </c>
      <c r="Z38" s="909">
        <v>9.3000000000000007</v>
      </c>
      <c r="AA38" s="909"/>
      <c r="AB38" s="3724">
        <v>10</v>
      </c>
      <c r="AC38" s="3"/>
    </row>
    <row r="39" spans="1:29" ht="15" customHeight="1">
      <c r="A39" s="1544"/>
      <c r="B39" s="1659">
        <v>13</v>
      </c>
      <c r="C39" s="1600">
        <f>_xlfn.XLOOKUP($D39, Tabla3[No.], Tabla3[FECHA DE INICIO (PRIMERA CLASE CALENDARIO)]," ")</f>
        <v>45507</v>
      </c>
      <c r="D39" s="3123">
        <v>774</v>
      </c>
      <c r="E39" s="1602" t="str">
        <f>_xlfn.XLOOKUP($D39,  Tabla3[No.],  Tabla3[CURP], " ")</f>
        <v>NEHR931006HCLRRL04</v>
      </c>
      <c r="F39" s="1603" t="str">
        <f>_xlfn.XLOOKUP($D39,  Tabla3[No.],  Tabla3[Matrícula Of. SEQ], " ")</f>
        <v>64DD07K-13</v>
      </c>
      <c r="G39" s="1604" t="str">
        <f>IFERROR(VLOOKUP(D39,Tabla3[],5,FALSE),"")</f>
        <v>NEIRA HERNANDEZ RAUL DANIEL</v>
      </c>
      <c r="H39" s="1660" t="str">
        <f t="shared" si="4"/>
        <v>H</v>
      </c>
      <c r="I39" s="1660" t="str">
        <f t="shared" si="5"/>
        <v>93</v>
      </c>
      <c r="J39" s="1660" t="str">
        <f t="shared" si="6"/>
        <v>10</v>
      </c>
      <c r="K39" s="1660" t="str">
        <f t="shared" si="7"/>
        <v>06</v>
      </c>
      <c r="L39" s="1660" t="str">
        <f>_xlfn.XLOOKUP($D39,  Tabla3[No.],  Tabla3[ESTATUS ACADÉMICO], " ")</f>
        <v>EGRESADO</v>
      </c>
      <c r="M39" s="1824" t="str">
        <f>_xlfn.XLOOKUP($D39,  Tabla3[No.],  Tabla3[Grupo de clase], " ")</f>
        <v>DD07J</v>
      </c>
      <c r="N39" s="1608">
        <v>10</v>
      </c>
      <c r="O39" s="1608">
        <v>10</v>
      </c>
      <c r="P39" s="3716">
        <v>9.6999999999999993</v>
      </c>
      <c r="Q39" s="3716">
        <v>10</v>
      </c>
      <c r="R39" s="3716">
        <v>10</v>
      </c>
      <c r="S39" s="3716">
        <v>10</v>
      </c>
      <c r="T39" s="3716">
        <v>10</v>
      </c>
      <c r="U39" s="3725">
        <f>AVERAGE(N39:T39)</f>
        <v>9.9571428571428573</v>
      </c>
      <c r="V39" s="3726">
        <v>9</v>
      </c>
      <c r="W39" s="3726">
        <v>9</v>
      </c>
      <c r="X39" s="3726">
        <v>9</v>
      </c>
      <c r="Y39" s="743">
        <v>10</v>
      </c>
      <c r="Z39" s="909">
        <v>9.5</v>
      </c>
      <c r="AA39" s="909"/>
      <c r="AB39" s="3724">
        <v>10</v>
      </c>
      <c r="AC39" s="3"/>
    </row>
    <row r="40" spans="1:29" ht="15" customHeight="1">
      <c r="A40" s="1544"/>
      <c r="B40" s="1659">
        <v>14</v>
      </c>
      <c r="C40" s="1600">
        <f>_xlfn.XLOOKUP($D40, Tabla3[No.], Tabla3[FECHA DE INICIO (PRIMERA CLASE CALENDARIO)]," ")</f>
        <v>45507</v>
      </c>
      <c r="D40" s="1602">
        <v>775</v>
      </c>
      <c r="E40" s="1602" t="str">
        <f>_xlfn.XLOOKUP($D40,  Tabla3[No.],  Tabla3[CURP], " ")</f>
        <v>PARK680108MDFLMT03</v>
      </c>
      <c r="F40" s="1603" t="str">
        <f>_xlfn.XLOOKUP($D40,  Tabla3[No.],  Tabla3[Matrícula Of. SEQ], " ")</f>
        <v>64DD07K-14</v>
      </c>
      <c r="G40" s="1604" t="str">
        <f>IFERROR(VLOOKUP(D40,Tabla3[],5,FALSE),"")</f>
        <v>PALACIO RAMIREZ KATIA ELENA</v>
      </c>
      <c r="H40" s="1660" t="str">
        <f t="shared" si="4"/>
        <v>M</v>
      </c>
      <c r="I40" s="1660" t="str">
        <f t="shared" si="5"/>
        <v>68</v>
      </c>
      <c r="J40" s="1660" t="str">
        <f t="shared" si="6"/>
        <v>01</v>
      </c>
      <c r="K40" s="1660" t="str">
        <f t="shared" si="7"/>
        <v>08</v>
      </c>
      <c r="L40" s="1660" t="str">
        <f>_xlfn.XLOOKUP($D40,  Tabla3[No.],  Tabla3[ESTATUS ACADÉMICO], " ")</f>
        <v>EGRESADO</v>
      </c>
      <c r="M40" s="1824" t="str">
        <f>_xlfn.XLOOKUP($D40,  Tabla3[No.],  Tabla3[Grupo de clase], " ")</f>
        <v>DD07J</v>
      </c>
      <c r="N40" s="1608">
        <v>10</v>
      </c>
      <c r="O40" s="1608">
        <v>10</v>
      </c>
      <c r="P40" s="3716">
        <v>9.6999999999999993</v>
      </c>
      <c r="Q40" s="3716">
        <v>10</v>
      </c>
      <c r="R40" s="3716">
        <v>10</v>
      </c>
      <c r="S40" s="3716">
        <v>10</v>
      </c>
      <c r="T40" s="3716">
        <v>10</v>
      </c>
      <c r="U40" s="3722">
        <v>10</v>
      </c>
      <c r="V40" s="3726">
        <v>10</v>
      </c>
      <c r="W40" s="3726">
        <v>10</v>
      </c>
      <c r="X40" s="3726">
        <f>AVERAGE(N40:W40)</f>
        <v>9.9700000000000006</v>
      </c>
      <c r="Y40" s="743">
        <v>10</v>
      </c>
      <c r="Z40" s="909">
        <v>9</v>
      </c>
      <c r="AA40" s="909"/>
      <c r="AB40" s="3724">
        <v>10</v>
      </c>
      <c r="AC40" s="3"/>
    </row>
    <row r="41" spans="1:29" ht="15" customHeight="1">
      <c r="A41" s="1544"/>
      <c r="B41" s="1659">
        <v>15</v>
      </c>
      <c r="C41" s="1600">
        <f>_xlfn.XLOOKUP($D41, Tabla3[No.], Tabla3[FECHA DE INICIO (PRIMERA CLASE CALENDARIO)]," ")</f>
        <v>45507</v>
      </c>
      <c r="D41" s="1602">
        <v>780</v>
      </c>
      <c r="E41" s="1602" t="str">
        <f>_xlfn.XLOOKUP($D41,  Tabla3[No.],  Tabla3[CURP], " ")</f>
        <v>RIHJ800719MCLSRS03</v>
      </c>
      <c r="F41" s="1603" t="str">
        <f>_xlfn.XLOOKUP($D41,  Tabla3[No.],  Tabla3[Matrícula Of. SEQ], " ")</f>
        <v>64DD07K-16</v>
      </c>
      <c r="G41" s="1604" t="str">
        <f>IFERROR(VLOOKUP(D41,Tabla3[],5,FALSE),"")</f>
        <v>RIOS HURTADO MARIA JOSE</v>
      </c>
      <c r="H41" s="1660" t="str">
        <f t="shared" si="4"/>
        <v>M</v>
      </c>
      <c r="I41" s="1660" t="str">
        <f t="shared" si="5"/>
        <v>80</v>
      </c>
      <c r="J41" s="1660" t="str">
        <f t="shared" si="6"/>
        <v>07</v>
      </c>
      <c r="K41" s="1660" t="str">
        <f t="shared" si="7"/>
        <v>19</v>
      </c>
      <c r="L41" s="1660" t="str">
        <f>_xlfn.XLOOKUP($D41,  Tabla3[No.],  Tabla3[ESTATUS ACADÉMICO], " ")</f>
        <v>EGRESADO</v>
      </c>
      <c r="M41" s="1824" t="str">
        <f>_xlfn.XLOOKUP($D41,  Tabla3[No.],  Tabla3[Grupo de clase], " ")</f>
        <v>DD07J</v>
      </c>
      <c r="N41" s="1608">
        <v>10</v>
      </c>
      <c r="O41" s="1608">
        <v>10</v>
      </c>
      <c r="P41" s="3716">
        <v>9.6999999999999993</v>
      </c>
      <c r="Q41" s="3716">
        <v>10</v>
      </c>
      <c r="R41" s="3716">
        <v>10</v>
      </c>
      <c r="S41" s="3716">
        <v>10</v>
      </c>
      <c r="T41" s="3716">
        <v>10</v>
      </c>
      <c r="U41" s="3722">
        <v>10</v>
      </c>
      <c r="V41" s="3726">
        <v>10</v>
      </c>
      <c r="W41" s="3726">
        <v>10</v>
      </c>
      <c r="X41" s="3726">
        <f>AVERAGE(N41:W41)</f>
        <v>9.9700000000000006</v>
      </c>
      <c r="Y41" s="743">
        <v>10</v>
      </c>
      <c r="Z41" s="909">
        <v>9.3000000000000007</v>
      </c>
      <c r="AA41" s="909"/>
      <c r="AB41" s="3724">
        <v>10</v>
      </c>
      <c r="AC41" s="3"/>
    </row>
    <row r="42" spans="1:29" ht="15" customHeight="1">
      <c r="A42" s="1544"/>
      <c r="B42" s="1659">
        <v>16</v>
      </c>
      <c r="C42" s="1600">
        <f>_xlfn.XLOOKUP($D42, Tabla3[No.], Tabla3[FECHA DE INICIO (PRIMERA CLASE CALENDARIO)]," ")</f>
        <v>45507</v>
      </c>
      <c r="D42" s="1602">
        <v>781</v>
      </c>
      <c r="E42" s="1602" t="str">
        <f>_xlfn.XLOOKUP($D42,  Tabla3[No.],  Tabla3[CURP], " ")</f>
        <v>RINH670127HCLVVC08</v>
      </c>
      <c r="F42" s="1603" t="str">
        <f>_xlfn.XLOOKUP($D42,  Tabla3[No.],  Tabla3[Matrícula Of. SEQ], " ")</f>
        <v>64DD07K-17</v>
      </c>
      <c r="G42" s="1604" t="str">
        <f>IFERROR(VLOOKUP(D42,Tabla3[],5,FALSE),"")</f>
        <v>RIVERA NAVA HECTOR</v>
      </c>
      <c r="H42" s="1660" t="str">
        <f t="shared" si="4"/>
        <v>H</v>
      </c>
      <c r="I42" s="1660" t="str">
        <f t="shared" si="5"/>
        <v>67</v>
      </c>
      <c r="J42" s="1660" t="str">
        <f t="shared" si="6"/>
        <v>01</v>
      </c>
      <c r="K42" s="1660" t="str">
        <f t="shared" si="7"/>
        <v>27</v>
      </c>
      <c r="L42" s="1660" t="str">
        <f>_xlfn.XLOOKUP($D42,  Tabla3[No.],  Tabla3[ESTATUS ACADÉMICO], " ")</f>
        <v>EGRESADO</v>
      </c>
      <c r="M42" s="1824" t="str">
        <f>_xlfn.XLOOKUP($D42,  Tabla3[No.],  Tabla3[Grupo de clase], " ")</f>
        <v>DD07J</v>
      </c>
      <c r="N42" s="1608">
        <v>10</v>
      </c>
      <c r="O42" s="1608">
        <v>10</v>
      </c>
      <c r="P42" s="3716">
        <v>9.6999999999999993</v>
      </c>
      <c r="Q42" s="3716">
        <v>10</v>
      </c>
      <c r="R42" s="3716">
        <v>10</v>
      </c>
      <c r="S42" s="3716">
        <v>10</v>
      </c>
      <c r="T42" s="3716">
        <v>10</v>
      </c>
      <c r="U42" s="3722">
        <v>10</v>
      </c>
      <c r="V42" s="3726">
        <v>10</v>
      </c>
      <c r="W42" s="3726">
        <v>10</v>
      </c>
      <c r="X42" s="3726">
        <f>AVERAGE(N42:W42)</f>
        <v>9.9700000000000006</v>
      </c>
      <c r="Y42" s="743">
        <v>10</v>
      </c>
      <c r="Z42" s="909">
        <v>9</v>
      </c>
      <c r="AA42" s="909"/>
      <c r="AB42" s="3724">
        <v>10</v>
      </c>
      <c r="AC42" s="3"/>
    </row>
    <row r="43" spans="1:29" ht="15" customHeight="1">
      <c r="A43" s="1544"/>
      <c r="B43" s="1659">
        <v>17</v>
      </c>
      <c r="C43" s="1600">
        <f>_xlfn.XLOOKUP($D43, Tabla3[No.], Tabla3[FECHA DE INICIO (PRIMERA CLASE CALENDARIO)]," ")</f>
        <v>45507</v>
      </c>
      <c r="D43" s="1602">
        <v>782</v>
      </c>
      <c r="E43" s="1602" t="str">
        <f>_xlfn.XLOOKUP($D43,  Tabla3[No.],  Tabla3[CURP], " ")</f>
        <v>ROWS691129MDFDNN00</v>
      </c>
      <c r="F43" s="1603" t="str">
        <f>_xlfn.XLOOKUP($D43,  Tabla3[No.],  Tabla3[Matrícula Of. SEQ], " ")</f>
        <v>64DD07K-18</v>
      </c>
      <c r="G43" s="1604" t="str">
        <f>IFERROR(VLOOKUP(D43,Tabla3[],5,FALSE),"")</f>
        <v>RODRIGUEZ WONG SANDRA LUZ</v>
      </c>
      <c r="H43" s="1660" t="str">
        <f t="shared" si="4"/>
        <v>M</v>
      </c>
      <c r="I43" s="1660" t="str">
        <f t="shared" si="5"/>
        <v>69</v>
      </c>
      <c r="J43" s="1660" t="str">
        <f t="shared" si="6"/>
        <v>11</v>
      </c>
      <c r="K43" s="1660" t="str">
        <f t="shared" si="7"/>
        <v>29</v>
      </c>
      <c r="L43" s="1660" t="str">
        <f>_xlfn.XLOOKUP($D43,  Tabla3[No.],  Tabla3[ESTATUS ACADÉMICO], " ")</f>
        <v>EGRESADO</v>
      </c>
      <c r="M43" s="1824" t="str">
        <f>_xlfn.XLOOKUP($D43,  Tabla3[No.],  Tabla3[Grupo de clase], " ")</f>
        <v>DD07J</v>
      </c>
      <c r="N43" s="1608">
        <v>10</v>
      </c>
      <c r="O43" s="1608">
        <v>10</v>
      </c>
      <c r="P43" s="3716">
        <v>10</v>
      </c>
      <c r="Q43" s="3716">
        <v>10</v>
      </c>
      <c r="R43" s="3716">
        <v>10</v>
      </c>
      <c r="S43" s="3716">
        <v>10</v>
      </c>
      <c r="T43" s="3716">
        <v>10</v>
      </c>
      <c r="U43" s="3725">
        <f>AVERAGE(N43:T43)</f>
        <v>10</v>
      </c>
      <c r="V43" s="3726">
        <v>9.6</v>
      </c>
      <c r="W43" s="3726">
        <v>9.6</v>
      </c>
      <c r="X43" s="3726">
        <v>9.6</v>
      </c>
      <c r="Y43" s="743">
        <v>10</v>
      </c>
      <c r="Z43" s="909">
        <v>9.5</v>
      </c>
      <c r="AA43" s="909"/>
      <c r="AB43" s="3724">
        <v>10</v>
      </c>
      <c r="AC43" s="3"/>
    </row>
    <row r="44" spans="1:29" ht="15" customHeight="1">
      <c r="A44" s="1544"/>
      <c r="B44" s="1659">
        <v>18</v>
      </c>
      <c r="C44" s="1600">
        <f>_xlfn.XLOOKUP($D44, Tabla3[No.], Tabla3[FECHA DE INICIO (PRIMERA CLASE CALENDARIO)]," ")</f>
        <v>45507</v>
      </c>
      <c r="D44" s="3123">
        <v>783</v>
      </c>
      <c r="E44" s="1602" t="str">
        <f>_xlfn.XLOOKUP($D44,  Tabla3[No.],  Tabla3[CURP], " ")</f>
        <v>RUFJ810407HMCZRS01</v>
      </c>
      <c r="F44" s="1603" t="str">
        <f>_xlfn.XLOOKUP($D44,  Tabla3[No.],  Tabla3[Matrícula Of. SEQ], " ")</f>
        <v>64DD07K-19</v>
      </c>
      <c r="G44" s="1604" t="str">
        <f>IFERROR(VLOOKUP(D44,Tabla3[],5,FALSE),"")</f>
        <v>RUIZ FERNANDEZ JOSE DE JESUS</v>
      </c>
      <c r="H44" s="1660" t="str">
        <f t="shared" si="4"/>
        <v>H</v>
      </c>
      <c r="I44" s="1660" t="str">
        <f t="shared" si="5"/>
        <v>81</v>
      </c>
      <c r="J44" s="1660" t="str">
        <f t="shared" si="6"/>
        <v>04</v>
      </c>
      <c r="K44" s="1660" t="str">
        <f t="shared" si="7"/>
        <v>07</v>
      </c>
      <c r="L44" s="1660" t="str">
        <f>_xlfn.XLOOKUP($D44,  Tabla3[No.],  Tabla3[ESTATUS ACADÉMICO], " ")</f>
        <v>EGRESADO</v>
      </c>
      <c r="M44" s="1824" t="str">
        <f>_xlfn.XLOOKUP($D44,  Tabla3[No.],  Tabla3[Grupo de clase], " ")</f>
        <v>DD07J</v>
      </c>
      <c r="N44" s="1608">
        <v>10</v>
      </c>
      <c r="O44" s="1608">
        <v>10</v>
      </c>
      <c r="P44" s="3716">
        <v>10</v>
      </c>
      <c r="Q44" s="3716">
        <v>10</v>
      </c>
      <c r="R44" s="3716">
        <v>10</v>
      </c>
      <c r="S44" s="3716">
        <v>10</v>
      </c>
      <c r="T44" s="3716">
        <v>10</v>
      </c>
      <c r="U44" s="3725">
        <f>AVERAGE(N44:T44)</f>
        <v>10</v>
      </c>
      <c r="V44" s="3726">
        <v>9</v>
      </c>
      <c r="W44" s="3726">
        <v>9</v>
      </c>
      <c r="X44" s="3726">
        <v>9</v>
      </c>
      <c r="Y44" s="743">
        <v>10</v>
      </c>
      <c r="Z44" s="909">
        <v>9</v>
      </c>
      <c r="AA44" s="909"/>
      <c r="AB44" s="3724">
        <v>10</v>
      </c>
      <c r="AC44" s="3"/>
    </row>
    <row r="45" spans="1:29" ht="15" customHeight="1">
      <c r="A45" s="1544"/>
      <c r="B45" s="1659">
        <v>19</v>
      </c>
      <c r="C45" s="1600">
        <f>_xlfn.XLOOKUP($D45, Tabla3[No.], Tabla3[FECHA DE INICIO (PRIMERA CLASE CALENDARIO)]," ")</f>
        <v>45570</v>
      </c>
      <c r="D45" s="1602">
        <v>791</v>
      </c>
      <c r="E45" s="1602" t="str">
        <f>_xlfn.XLOOKUP($D45,  Tabla3[No.],  Tabla3[CURP], " ")</f>
        <v>FAPE700915HGTRRF07</v>
      </c>
      <c r="F45" s="1603" t="str">
        <f>_xlfn.XLOOKUP($D45,  Tabla3[No.],  Tabla3[Matrícula Of. SEQ], " ")</f>
        <v>64DD07K-15</v>
      </c>
      <c r="G45" s="1604" t="str">
        <f>IFERROR(VLOOKUP(D45,Tabla3[],5,FALSE),"")</f>
        <v>FRAUSTO PEREZ EFRAIN</v>
      </c>
      <c r="H45" s="1660" t="str">
        <f t="shared" si="4"/>
        <v>H</v>
      </c>
      <c r="I45" s="1660" t="str">
        <f t="shared" si="5"/>
        <v>70</v>
      </c>
      <c r="J45" s="1660" t="str">
        <f t="shared" si="6"/>
        <v>09</v>
      </c>
      <c r="K45" s="1660" t="str">
        <f t="shared" si="7"/>
        <v>15</v>
      </c>
      <c r="L45" s="1660" t="str">
        <f>_xlfn.XLOOKUP($D45,  Tabla3[No.],  Tabla3[ESTATUS ACADÉMICO], " ")</f>
        <v>EGRESADO</v>
      </c>
      <c r="M45" s="1824" t="str">
        <f>_xlfn.XLOOKUP($D45,  Tabla3[No.],  Tabla3[Grupo de clase], " ")</f>
        <v>DD07J</v>
      </c>
      <c r="N45" s="1877">
        <v>9</v>
      </c>
      <c r="O45" s="1877">
        <v>9</v>
      </c>
      <c r="P45" s="3716">
        <v>9.6999999999999993</v>
      </c>
      <c r="Q45" s="3716">
        <v>10</v>
      </c>
      <c r="R45" s="3716">
        <v>10</v>
      </c>
      <c r="S45" s="3716">
        <v>10</v>
      </c>
      <c r="T45" s="3716">
        <v>9.4</v>
      </c>
      <c r="U45" s="3722">
        <v>10</v>
      </c>
      <c r="V45" s="909">
        <v>10</v>
      </c>
      <c r="W45" s="909">
        <v>10</v>
      </c>
      <c r="X45" s="909">
        <v>10</v>
      </c>
      <c r="Y45" s="743">
        <v>10</v>
      </c>
      <c r="Z45" s="909">
        <v>10</v>
      </c>
      <c r="AA45" s="909">
        <v>9</v>
      </c>
      <c r="AB45" s="3724">
        <v>10</v>
      </c>
      <c r="AC45" s="3"/>
    </row>
    <row r="46" spans="1:29" ht="15" customHeight="1" thickBot="1">
      <c r="A46" s="3714" t="s">
        <v>1123</v>
      </c>
      <c r="B46" s="1661">
        <v>20</v>
      </c>
      <c r="C46" s="1646">
        <f>_xlfn.XLOOKUP($D46, Tabla3[No.], Tabla3[FECHA DE INICIO (PRIMERA CLASE CALENDARIO)]," ")</f>
        <v>45632</v>
      </c>
      <c r="D46" s="1648">
        <v>828</v>
      </c>
      <c r="E46" s="1648" t="str">
        <f>_xlfn.XLOOKUP($D46,  Tabla3[No.],  Tabla3[CURP], " ")</f>
        <v>YAAJ700421HCLXRN07</v>
      </c>
      <c r="F46" s="1649" t="str">
        <f>_xlfn.XLOOKUP($D46,  Tabla3[No.],  Tabla3[Matrícula Of. SEQ], " ")</f>
        <v>64DD08D-05</v>
      </c>
      <c r="G46" s="3237" t="str">
        <f>IFERROR(VLOOKUP(D46,Tabla3[],5,FALSE),"")</f>
        <v>YAÑEZ ARREOLA JUAN JOSE</v>
      </c>
      <c r="H46" s="1662" t="str">
        <f t="shared" si="4"/>
        <v>H</v>
      </c>
      <c r="I46" s="1662" t="str">
        <f t="shared" si="5"/>
        <v>70</v>
      </c>
      <c r="J46" s="1662" t="str">
        <f t="shared" si="6"/>
        <v>04</v>
      </c>
      <c r="K46" s="1662" t="str">
        <f t="shared" si="7"/>
        <v>21</v>
      </c>
      <c r="L46" s="1662" t="str">
        <f>_xlfn.XLOOKUP($D46,  Tabla3[No.],  Tabla3[ESTATUS ACADÉMICO], " ")</f>
        <v>EGRESADO</v>
      </c>
      <c r="M46" s="3360" t="str">
        <f>_xlfn.XLOOKUP($D46,  Tabla3[No.],  Tabla3[Grupo de clase], " ")</f>
        <v>DD07S</v>
      </c>
      <c r="N46" s="3249"/>
      <c r="O46" s="3249"/>
      <c r="P46" s="3727"/>
      <c r="Q46" s="3727"/>
      <c r="R46" s="3728">
        <v>10</v>
      </c>
      <c r="S46" s="3728">
        <v>10</v>
      </c>
      <c r="T46" s="3728">
        <v>10</v>
      </c>
      <c r="U46" s="3729">
        <v>10</v>
      </c>
      <c r="V46" s="3728">
        <v>10</v>
      </c>
      <c r="W46" s="3728">
        <v>10</v>
      </c>
      <c r="X46" s="3728"/>
      <c r="Y46" s="3730">
        <v>10</v>
      </c>
      <c r="Z46" s="3728">
        <v>10</v>
      </c>
      <c r="AA46" s="3728"/>
      <c r="AB46" s="3731">
        <v>10</v>
      </c>
      <c r="AC46" s="3"/>
    </row>
    <row r="47" spans="1:29" ht="15" customHeight="1">
      <c r="A47" s="1544"/>
      <c r="B47" s="2292"/>
      <c r="C47" s="2253"/>
      <c r="D47" s="2292"/>
      <c r="E47" s="2318"/>
      <c r="F47" s="2319"/>
      <c r="G47" s="3358"/>
      <c r="H47" s="2292"/>
      <c r="I47" s="2292"/>
      <c r="J47" s="2292"/>
      <c r="K47" s="2292"/>
      <c r="L47" s="2292"/>
      <c r="M47" s="2320"/>
      <c r="N47" s="2294"/>
      <c r="O47" s="2294"/>
      <c r="P47" s="1544"/>
      <c r="Q47" s="1544"/>
      <c r="R47" s="643"/>
      <c r="S47" s="643"/>
      <c r="T47" s="643"/>
      <c r="U47" s="3357"/>
      <c r="V47" s="3357"/>
      <c r="W47" s="643"/>
      <c r="X47" s="643"/>
      <c r="Y47" s="643"/>
      <c r="Z47" s="643"/>
      <c r="AA47" s="643"/>
      <c r="AB47" s="643"/>
      <c r="AC47" s="3"/>
    </row>
    <row r="48" spans="1:29" ht="15" customHeight="1">
      <c r="A48" s="1544"/>
      <c r="B48" s="3" t="s">
        <v>5469</v>
      </c>
      <c r="C48" s="2253"/>
      <c r="D48" s="2292"/>
      <c r="E48" s="2318"/>
      <c r="F48" s="2319"/>
      <c r="G48" s="3358"/>
      <c r="H48" s="2292"/>
      <c r="I48" s="2292"/>
      <c r="J48" s="2292"/>
      <c r="K48" s="2292"/>
      <c r="L48" s="2292"/>
      <c r="M48" s="2320"/>
      <c r="N48" s="2294"/>
      <c r="O48" s="2294"/>
      <c r="P48" s="1544"/>
      <c r="Q48" s="1544"/>
      <c r="R48" s="3"/>
      <c r="S48" s="3"/>
      <c r="U48" s="3357"/>
      <c r="V48" s="3357"/>
      <c r="W48" s="3"/>
      <c r="X48" s="3"/>
      <c r="Y48" s="3"/>
      <c r="Z48" s="3" t="s">
        <v>173</v>
      </c>
      <c r="AA48" s="3"/>
      <c r="AB48" s="3"/>
      <c r="AC48" s="3"/>
    </row>
    <row r="49" spans="1:48" ht="15" customHeight="1">
      <c r="A49" s="1544"/>
      <c r="B49" s="2292"/>
      <c r="C49" s="1877" t="s">
        <v>4371</v>
      </c>
      <c r="D49" s="2292"/>
      <c r="E49" s="1893" t="s">
        <v>4372</v>
      </c>
      <c r="F49" s="2319"/>
      <c r="G49" s="3358"/>
      <c r="H49" s="2292"/>
      <c r="I49" s="2292"/>
      <c r="J49" s="2292"/>
      <c r="K49" s="2292"/>
      <c r="L49" s="2292"/>
      <c r="M49" s="2320"/>
      <c r="N49" s="1544"/>
      <c r="O49" s="1544"/>
      <c r="P49" s="1544"/>
      <c r="Q49" s="1544"/>
      <c r="R49" s="3"/>
      <c r="S49" s="3"/>
      <c r="U49" s="3357"/>
      <c r="V49" s="3357"/>
      <c r="W49" s="3"/>
      <c r="X49" s="3"/>
      <c r="Y49" s="3"/>
      <c r="Z49" s="3"/>
      <c r="AA49" s="3"/>
      <c r="AB49" s="3"/>
      <c r="AC49" s="3"/>
    </row>
    <row r="50" spans="1:48" ht="14.25" customHeight="1">
      <c r="A50" s="1544"/>
      <c r="B50" s="2292"/>
      <c r="C50" s="2253"/>
      <c r="D50" s="2292"/>
      <c r="E50" s="2318"/>
      <c r="F50" s="2319"/>
      <c r="G50" s="3358"/>
      <c r="H50" s="2292"/>
      <c r="I50" s="2292"/>
      <c r="J50" s="2292"/>
      <c r="K50" s="2292"/>
      <c r="L50" s="2292"/>
      <c r="M50" s="2320"/>
      <c r="N50" s="1544"/>
      <c r="O50" s="1544"/>
      <c r="P50" s="1544"/>
      <c r="Q50" s="1544"/>
      <c r="R50" s="3"/>
      <c r="S50" s="3"/>
      <c r="T50" s="3"/>
      <c r="U50" s="3357"/>
      <c r="V50" s="3357"/>
      <c r="W50" s="3"/>
      <c r="X50" s="3"/>
      <c r="Y50" s="3"/>
      <c r="Z50" s="3"/>
      <c r="AA50" s="3"/>
      <c r="AB50" s="3"/>
      <c r="AC50" s="3"/>
    </row>
    <row r="51" spans="1:48" ht="15" customHeight="1">
      <c r="A51" s="3"/>
      <c r="B51" s="3"/>
      <c r="C51" s="3"/>
      <c r="D51" s="3"/>
      <c r="E51" s="701"/>
      <c r="F51" s="3"/>
      <c r="G51" s="1820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48" ht="15" customHeight="1" thickBot="1">
      <c r="A52" s="3"/>
      <c r="B52" s="3"/>
      <c r="C52" s="3"/>
      <c r="D52" s="3"/>
      <c r="E52" s="701"/>
      <c r="F52" s="3"/>
      <c r="G52" s="1820"/>
      <c r="H52" s="3"/>
      <c r="I52" s="3"/>
      <c r="J52" s="3"/>
      <c r="K52" s="3"/>
      <c r="L52" s="3"/>
      <c r="M52" s="3"/>
      <c r="N52" s="3">
        <v>1</v>
      </c>
      <c r="O52" s="3">
        <v>2</v>
      </c>
      <c r="P52" s="3">
        <v>3</v>
      </c>
      <c r="Q52" s="3">
        <v>4</v>
      </c>
      <c r="R52" s="3">
        <v>5</v>
      </c>
      <c r="S52" s="3">
        <v>6</v>
      </c>
      <c r="T52" s="3">
        <v>7</v>
      </c>
      <c r="U52" s="3">
        <v>8</v>
      </c>
      <c r="V52" s="3"/>
      <c r="W52" s="3">
        <v>9</v>
      </c>
      <c r="X52" s="3">
        <v>10</v>
      </c>
      <c r="Y52" s="3"/>
      <c r="Z52" s="3"/>
      <c r="AA52" s="3"/>
      <c r="AB52" s="3"/>
      <c r="AC52" s="3"/>
      <c r="AD52" s="3"/>
    </row>
    <row r="53" spans="1:48" ht="15" customHeight="1" thickBot="1">
      <c r="A53" s="4495" t="s">
        <v>27</v>
      </c>
      <c r="B53" s="4430" t="s">
        <v>5</v>
      </c>
      <c r="C53" s="4498" t="s">
        <v>3821</v>
      </c>
      <c r="D53" s="4085" t="s">
        <v>3866</v>
      </c>
      <c r="E53" s="4501" t="s">
        <v>6</v>
      </c>
      <c r="F53" s="4364" t="s">
        <v>7</v>
      </c>
      <c r="G53" s="4367" t="s">
        <v>8</v>
      </c>
      <c r="H53" s="1511" t="s">
        <v>9</v>
      </c>
      <c r="I53" s="4434" t="s">
        <v>10</v>
      </c>
      <c r="J53" s="4435"/>
      <c r="K53" s="4436"/>
      <c r="L53" s="4432"/>
      <c r="M53" s="3787"/>
      <c r="N53" s="3793">
        <v>45292</v>
      </c>
      <c r="O53" s="3793">
        <v>45323</v>
      </c>
      <c r="P53" s="3793">
        <v>45352</v>
      </c>
      <c r="Q53" s="3793">
        <v>45383</v>
      </c>
      <c r="R53" s="3794">
        <v>45413</v>
      </c>
      <c r="S53" s="3793">
        <v>45444</v>
      </c>
      <c r="T53" s="3793">
        <v>45474</v>
      </c>
      <c r="U53" s="3794">
        <v>45505</v>
      </c>
      <c r="V53" s="3794">
        <v>45536</v>
      </c>
      <c r="W53" s="3765">
        <v>45566</v>
      </c>
      <c r="X53" s="3765">
        <v>45597</v>
      </c>
      <c r="Y53" s="3765">
        <v>45627</v>
      </c>
      <c r="Z53" s="3765">
        <v>45658</v>
      </c>
      <c r="AA53" s="3765">
        <v>45689</v>
      </c>
      <c r="AB53" s="3765">
        <v>45717</v>
      </c>
      <c r="AC53" s="3765">
        <v>45748</v>
      </c>
      <c r="AD53" s="3765">
        <v>45778</v>
      </c>
      <c r="AE53" s="3765">
        <v>45809</v>
      </c>
      <c r="AF53" s="3765">
        <v>45839</v>
      </c>
      <c r="AG53" s="3765">
        <v>45870</v>
      </c>
      <c r="AH53" s="3765">
        <v>45901</v>
      </c>
      <c r="AI53" s="3765">
        <v>45931</v>
      </c>
      <c r="AJ53" s="3765">
        <v>45962</v>
      </c>
      <c r="AK53" s="3765">
        <v>45992</v>
      </c>
      <c r="AL53" s="3765">
        <v>46023</v>
      </c>
      <c r="AM53" s="3765">
        <v>46054</v>
      </c>
      <c r="AN53" s="3765">
        <v>46082</v>
      </c>
      <c r="AO53" s="3765">
        <v>46113</v>
      </c>
      <c r="AP53" s="3765">
        <v>46143</v>
      </c>
      <c r="AQ53" s="3765">
        <v>46174</v>
      </c>
      <c r="AR53" s="3765">
        <v>46204</v>
      </c>
      <c r="AS53" s="3765">
        <v>46235</v>
      </c>
      <c r="AT53" s="3765">
        <v>46266</v>
      </c>
      <c r="AU53" s="3765">
        <v>46296</v>
      </c>
      <c r="AV53" s="3795">
        <v>46327</v>
      </c>
    </row>
    <row r="54" spans="1:48" s="3775" customFormat="1" ht="53.25" customHeight="1" thickBot="1">
      <c r="A54" s="4496"/>
      <c r="B54" s="4431"/>
      <c r="C54" s="4499"/>
      <c r="D54" s="4075"/>
      <c r="E54" s="4502"/>
      <c r="F54" s="4365"/>
      <c r="G54" s="4417"/>
      <c r="H54" s="2951"/>
      <c r="I54" s="4437"/>
      <c r="J54" s="4438"/>
      <c r="K54" s="4439"/>
      <c r="L54" s="4433"/>
      <c r="M54" s="3788" t="s">
        <v>1149</v>
      </c>
      <c r="N54" s="3773" t="s">
        <v>3845</v>
      </c>
      <c r="O54" s="3771"/>
      <c r="P54" s="3771"/>
      <c r="Q54" s="3772"/>
      <c r="R54" s="3771"/>
      <c r="S54" s="3772" t="s">
        <v>3845</v>
      </c>
      <c r="T54" s="3772" t="s">
        <v>3845</v>
      </c>
      <c r="U54" s="3773"/>
      <c r="V54" s="1322" t="s">
        <v>4890</v>
      </c>
      <c r="W54" s="3774" t="s">
        <v>4892</v>
      </c>
      <c r="X54" s="3772" t="s">
        <v>3845</v>
      </c>
      <c r="Y54" s="3772" t="s">
        <v>3845</v>
      </c>
      <c r="Z54" s="3773" t="s">
        <v>4798</v>
      </c>
      <c r="AA54" s="3773" t="s">
        <v>4923</v>
      </c>
      <c r="AB54" s="3773" t="s">
        <v>4924</v>
      </c>
      <c r="AC54" s="3774" t="s">
        <v>5013</v>
      </c>
      <c r="AD54" s="3774" t="s">
        <v>5376</v>
      </c>
      <c r="AE54" s="3771" t="s">
        <v>5377</v>
      </c>
      <c r="AF54" s="3774" t="s">
        <v>5378</v>
      </c>
      <c r="AG54" s="3771"/>
      <c r="AH54" s="3771"/>
      <c r="AI54" s="3771"/>
      <c r="AJ54" s="3771"/>
      <c r="AK54" s="3771"/>
      <c r="AL54" s="3771"/>
      <c r="AM54" s="3771"/>
      <c r="AN54" s="3771"/>
      <c r="AO54" s="3771"/>
      <c r="AP54" s="3771"/>
      <c r="AQ54" s="3771"/>
      <c r="AR54" s="3771"/>
      <c r="AS54" s="3771"/>
      <c r="AT54" s="3771"/>
      <c r="AU54" s="3771"/>
      <c r="AV54" s="3789"/>
    </row>
    <row r="55" spans="1:48" s="627" customFormat="1" ht="27" customHeight="1" thickBot="1">
      <c r="A55" s="4497"/>
      <c r="B55" s="4431"/>
      <c r="C55" s="4500"/>
      <c r="D55" s="4075"/>
      <c r="E55" s="4502"/>
      <c r="F55" s="4365"/>
      <c r="G55" s="4368"/>
      <c r="H55" s="2951"/>
      <c r="I55" s="4440"/>
      <c r="J55" s="4441"/>
      <c r="K55" s="4442"/>
      <c r="L55" s="3776"/>
      <c r="M55" s="3790" t="s">
        <v>1728</v>
      </c>
      <c r="N55" s="3791" t="s">
        <v>950</v>
      </c>
      <c r="O55" s="3791" t="s">
        <v>955</v>
      </c>
      <c r="P55" s="3791" t="s">
        <v>1072</v>
      </c>
      <c r="Q55" s="3791" t="s">
        <v>1073</v>
      </c>
      <c r="R55" s="3791" t="s">
        <v>955</v>
      </c>
      <c r="S55" s="3791" t="s">
        <v>958</v>
      </c>
      <c r="T55" s="3791" t="s">
        <v>958</v>
      </c>
      <c r="U55" s="3791" t="s">
        <v>957</v>
      </c>
      <c r="V55" s="3791" t="s">
        <v>951</v>
      </c>
      <c r="W55" s="3791" t="s">
        <v>4166</v>
      </c>
      <c r="X55" s="3791" t="s">
        <v>4167</v>
      </c>
      <c r="Y55" s="3791" t="s">
        <v>4168</v>
      </c>
      <c r="Z55" s="3791" t="s">
        <v>1075</v>
      </c>
      <c r="AA55" s="3791" t="s">
        <v>1075</v>
      </c>
      <c r="AB55" s="3791" t="s">
        <v>956</v>
      </c>
      <c r="AC55" s="3791" t="s">
        <v>960</v>
      </c>
      <c r="AD55" s="3791" t="s">
        <v>960</v>
      </c>
      <c r="AE55" s="3791" t="s">
        <v>4931</v>
      </c>
      <c r="AF55" s="3791" t="s">
        <v>954</v>
      </c>
      <c r="AG55" s="3791" t="s">
        <v>954</v>
      </c>
      <c r="AH55" s="3791" t="s">
        <v>4934</v>
      </c>
      <c r="AI55" s="3791" t="s">
        <v>955</v>
      </c>
      <c r="AJ55" s="3791" t="s">
        <v>4936</v>
      </c>
      <c r="AK55" s="3791" t="s">
        <v>1073</v>
      </c>
      <c r="AL55" s="3791" t="s">
        <v>955</v>
      </c>
      <c r="AM55" s="3791" t="s">
        <v>4940</v>
      </c>
      <c r="AN55" s="3791" t="s">
        <v>4940</v>
      </c>
      <c r="AO55" s="3791" t="s">
        <v>957</v>
      </c>
      <c r="AP55" s="3791" t="s">
        <v>951</v>
      </c>
      <c r="AQ55" s="3791" t="s">
        <v>964</v>
      </c>
      <c r="AR55" s="3791" t="s">
        <v>964</v>
      </c>
      <c r="AS55" s="3791" t="s">
        <v>1074</v>
      </c>
      <c r="AT55" s="3791" t="s">
        <v>962</v>
      </c>
      <c r="AU55" s="3791" t="s">
        <v>962</v>
      </c>
      <c r="AV55" s="3792" t="s">
        <v>956</v>
      </c>
    </row>
    <row r="56" spans="1:48" s="2402" customFormat="1" ht="76.5" customHeight="1">
      <c r="A56" s="3347" t="s">
        <v>3820</v>
      </c>
      <c r="B56" s="4310"/>
      <c r="C56" s="2952" t="s">
        <v>3606</v>
      </c>
      <c r="D56" s="4084"/>
      <c r="E56" s="4503"/>
      <c r="F56" s="4365"/>
      <c r="G56" s="2953" t="s">
        <v>78</v>
      </c>
      <c r="H56" s="2951"/>
      <c r="I56" s="2954" t="s">
        <v>79</v>
      </c>
      <c r="J56" s="2954" t="s">
        <v>80</v>
      </c>
      <c r="K56" s="2954" t="s">
        <v>81</v>
      </c>
      <c r="L56" s="2954" t="s">
        <v>1759</v>
      </c>
      <c r="M56" s="3777" t="s">
        <v>27</v>
      </c>
      <c r="N56" s="3778" t="s">
        <v>966</v>
      </c>
      <c r="O56" s="3778" t="s">
        <v>1278</v>
      </c>
      <c r="P56" s="3778" t="s">
        <v>1279</v>
      </c>
      <c r="Q56" s="3778" t="s">
        <v>2586</v>
      </c>
      <c r="R56" s="3779" t="s">
        <v>1091</v>
      </c>
      <c r="S56" s="3779" t="s">
        <v>2587</v>
      </c>
      <c r="T56" s="3779" t="s">
        <v>4120</v>
      </c>
      <c r="U56" s="3779" t="s">
        <v>4922</v>
      </c>
      <c r="V56" s="3779" t="s">
        <v>5478</v>
      </c>
      <c r="W56" s="3780" t="s">
        <v>5467</v>
      </c>
      <c r="X56" s="3780" t="s">
        <v>5468</v>
      </c>
      <c r="Y56" s="3780" t="s">
        <v>4165</v>
      </c>
      <c r="Z56" s="3780" t="s">
        <v>1088</v>
      </c>
      <c r="AA56" s="3781" t="s">
        <v>4802</v>
      </c>
      <c r="AB56" s="3781" t="s">
        <v>4880</v>
      </c>
      <c r="AC56" s="3779" t="s">
        <v>4928</v>
      </c>
      <c r="AD56" s="3779" t="s">
        <v>4929</v>
      </c>
      <c r="AE56" s="3779" t="s">
        <v>4930</v>
      </c>
      <c r="AF56" s="3779" t="s">
        <v>4932</v>
      </c>
      <c r="AG56" s="3782" t="s">
        <v>5450</v>
      </c>
      <c r="AH56" s="3782" t="s">
        <v>966</v>
      </c>
      <c r="AI56" s="3782" t="s">
        <v>5474</v>
      </c>
      <c r="AJ56" s="3782" t="s">
        <v>610</v>
      </c>
      <c r="AK56" s="3783" t="s">
        <v>5475</v>
      </c>
      <c r="AL56" s="3783" t="s">
        <v>5476</v>
      </c>
      <c r="AM56" s="3783" t="s">
        <v>4939</v>
      </c>
      <c r="AN56" s="3783" t="s">
        <v>4941</v>
      </c>
      <c r="AO56" s="3784" t="s">
        <v>5477</v>
      </c>
      <c r="AP56" s="3784" t="s">
        <v>5478</v>
      </c>
      <c r="AQ56" s="3784" t="s">
        <v>5467</v>
      </c>
      <c r="AR56" s="3784" t="s">
        <v>5468</v>
      </c>
      <c r="AS56" s="3785" t="s">
        <v>5479</v>
      </c>
      <c r="AT56" s="3786" t="s">
        <v>5480</v>
      </c>
      <c r="AU56" s="3786" t="s">
        <v>5481</v>
      </c>
      <c r="AV56" s="3796" t="s">
        <v>5482</v>
      </c>
    </row>
    <row r="57" spans="1:48" s="2290" customFormat="1" ht="15" customHeight="1">
      <c r="A57" s="3683" t="s">
        <v>1123</v>
      </c>
      <c r="B57" s="2362">
        <v>1</v>
      </c>
      <c r="C57" s="3338">
        <f>_xlfn.XLOOKUP($E57,Tabla3[CURP],Tabla3[FECHA DE INICIO (PRIMERA CLASE CALENDARIO)]," ")</f>
        <v>45304</v>
      </c>
      <c r="D57" s="3339">
        <v>654</v>
      </c>
      <c r="E57" s="3684" t="str">
        <f>_xlfn.XLOOKUP($D57,  Tabla3[No.],  Tabla3[CURP], " ")</f>
        <v>GURJ780305MMCTZN07</v>
      </c>
      <c r="F57" s="2362" t="str">
        <f>_xlfn.XLOOKUP($D57,  Tabla3[No.],  Tabla3[Matrícula Of. SEQ], " ")</f>
        <v>64DD07A-04</v>
      </c>
      <c r="G57" s="3685" t="str">
        <f>IFERROR(VLOOKUP(D57,Tabla3[],5,FALSE),"")</f>
        <v>GUTIERREZ RUIZ JANELLY</v>
      </c>
      <c r="H57" s="3686" t="str">
        <f>MID($E57,11,1)</f>
        <v>M</v>
      </c>
      <c r="I57" s="3686" t="str">
        <f>MID($E57,5,2)</f>
        <v>78</v>
      </c>
      <c r="J57" s="3686" t="str">
        <f>MID($E57,7,2)</f>
        <v>03</v>
      </c>
      <c r="K57" s="3686" t="str">
        <f>MID($E57,9,2)</f>
        <v>05</v>
      </c>
      <c r="L57" s="1276" t="str">
        <f>_xlfn.XLOOKUP($D57,  Tabla3[No.],  Tabla3[ESTATUS ACADÉMICO], " ")</f>
        <v>EGRESADO</v>
      </c>
      <c r="M57" s="3341" t="str">
        <f>_xlfn.XLOOKUP($D57,  Tabla3[No.],  Tabla3[Grupo de clase], " ")</f>
        <v>DD06A</v>
      </c>
      <c r="N57" s="3348">
        <v>10</v>
      </c>
      <c r="O57" s="3348">
        <v>10</v>
      </c>
      <c r="P57" s="3348">
        <v>10</v>
      </c>
      <c r="Q57" s="3348">
        <v>10</v>
      </c>
      <c r="R57" s="3348">
        <v>10</v>
      </c>
      <c r="S57" s="3348">
        <v>9.1999999999999993</v>
      </c>
      <c r="T57" s="3257"/>
      <c r="U57" s="3257"/>
      <c r="V57" s="3257"/>
      <c r="W57" s="3257"/>
      <c r="X57" s="3257"/>
      <c r="Y57" s="3257"/>
      <c r="Z57" s="3257"/>
      <c r="AA57" s="3257"/>
      <c r="AB57" s="3257"/>
      <c r="AC57" s="3257"/>
      <c r="AD57" s="3257"/>
      <c r="AE57" s="3257"/>
      <c r="AF57" s="2276"/>
      <c r="AG57" s="2276"/>
      <c r="AH57" s="2276"/>
      <c r="AI57" s="2276"/>
      <c r="AJ57" s="2276"/>
      <c r="AK57" s="2276"/>
      <c r="AL57" s="2276"/>
      <c r="AM57" s="2276"/>
      <c r="AN57" s="2276"/>
      <c r="AO57" s="2276"/>
      <c r="AP57" s="2276"/>
      <c r="AQ57" s="2276"/>
      <c r="AR57" s="2276"/>
      <c r="AS57" s="2276"/>
      <c r="AT57" s="2276"/>
      <c r="AU57" s="2276"/>
      <c r="AV57" s="2276"/>
    </row>
    <row r="58" spans="1:48" s="2290" customFormat="1" ht="15" customHeight="1">
      <c r="A58" s="3683" t="s">
        <v>1123</v>
      </c>
      <c r="B58" s="2362">
        <v>2</v>
      </c>
      <c r="C58" s="3338">
        <f>_xlfn.XLOOKUP($E58,Tabla3[CURP],Tabla3[FECHA DE INICIO (PRIMERA CLASE CALENDARIO)]," ")</f>
        <v>45304</v>
      </c>
      <c r="D58" s="3339">
        <v>651</v>
      </c>
      <c r="E58" s="3684" t="str">
        <f>_xlfn.XLOOKUP($D58,  Tabla3[No.],  Tabla3[CURP], " ")</f>
        <v>AARM820909MDFLDR06</v>
      </c>
      <c r="F58" s="2362" t="str">
        <f>_xlfn.XLOOKUP($D58,  Tabla3[No.],  Tabla3[Matrícula Of. SEQ], " ")</f>
        <v>64DD07A-01</v>
      </c>
      <c r="G58" s="3685" t="str">
        <f>IFERROR(VLOOKUP(D58,Tabla3[],5,FALSE),"")</f>
        <v>ALVAREZ RODRIGUEZ MIREY IVONNE</v>
      </c>
      <c r="H58" s="3686" t="str">
        <f t="shared" ref="H58:H79" si="8">MID($E58,11,1)</f>
        <v>M</v>
      </c>
      <c r="I58" s="3686" t="str">
        <f t="shared" ref="I58:I79" si="9">MID($E58,5,2)</f>
        <v>82</v>
      </c>
      <c r="J58" s="3686" t="str">
        <f t="shared" ref="J58:J79" si="10">MID($E58,7,2)</f>
        <v>09</v>
      </c>
      <c r="K58" s="3686" t="str">
        <f t="shared" ref="K58:K79" si="11">MID($E58,9,2)</f>
        <v>09</v>
      </c>
      <c r="L58" s="1276" t="str">
        <f>_xlfn.XLOOKUP($D58,  Tabla3[No.],  Tabla3[ESTATUS ACADÉMICO], " ")</f>
        <v>EGRESADO</v>
      </c>
      <c r="M58" s="3341" t="str">
        <f>_xlfn.XLOOKUP($D58,  Tabla3[No.],  Tabla3[Grupo de clase], " ")</f>
        <v>DD06A</v>
      </c>
      <c r="N58" s="3349">
        <v>10</v>
      </c>
      <c r="O58" s="3349">
        <v>10</v>
      </c>
      <c r="P58" s="3348">
        <v>10</v>
      </c>
      <c r="Q58" s="3348">
        <v>10</v>
      </c>
      <c r="R58" s="3348">
        <v>10</v>
      </c>
      <c r="S58" s="3348">
        <v>9</v>
      </c>
      <c r="T58" s="3257"/>
      <c r="U58" s="3257"/>
      <c r="V58" s="3257"/>
      <c r="W58" s="3257"/>
      <c r="X58" s="3257"/>
      <c r="Y58" s="3257"/>
      <c r="Z58" s="3257"/>
      <c r="AA58" s="3257"/>
      <c r="AB58" s="3257"/>
      <c r="AC58" s="3257"/>
      <c r="AD58" s="3257"/>
      <c r="AE58" s="3257"/>
      <c r="AF58" s="2276"/>
      <c r="AG58" s="2276"/>
      <c r="AH58" s="2276"/>
      <c r="AI58" s="2276"/>
      <c r="AJ58" s="2276"/>
      <c r="AK58" s="2276"/>
      <c r="AL58" s="2276"/>
      <c r="AM58" s="2276"/>
      <c r="AN58" s="2276"/>
      <c r="AO58" s="2276"/>
      <c r="AP58" s="2276"/>
      <c r="AQ58" s="2276"/>
      <c r="AR58" s="2276"/>
      <c r="AS58" s="2276"/>
      <c r="AT58" s="2276"/>
      <c r="AU58" s="2276"/>
      <c r="AV58" s="2276"/>
    </row>
    <row r="59" spans="1:48" s="2290" customFormat="1" ht="15" customHeight="1">
      <c r="A59" s="3683" t="s">
        <v>1123</v>
      </c>
      <c r="B59" s="2362">
        <v>3</v>
      </c>
      <c r="C59" s="3338">
        <f>_xlfn.XLOOKUP($E59,Tabla3[CURP],Tabla3[FECHA DE INICIO (PRIMERA CLASE CALENDARIO)]," ")</f>
        <v>45339</v>
      </c>
      <c r="D59" s="3339">
        <v>696</v>
      </c>
      <c r="E59" s="3684" t="str">
        <f>_xlfn.XLOOKUP($D59,  Tabla3[No.],  Tabla3[CURP], " ")</f>
        <v>RISJ761229HMCVNS09</v>
      </c>
      <c r="F59" s="2362" t="str">
        <f>_xlfn.XLOOKUP($D59,  Tabla3[No.],  Tabla3[Matrícula Of. SEQ], " ")</f>
        <v>64DD07H-04</v>
      </c>
      <c r="G59" s="3685" t="str">
        <f>IFERROR(VLOOKUP(D59,Tabla3[],5,FALSE),"")</f>
        <v>RIVERA SANCHEZ JESUS EDGAR</v>
      </c>
      <c r="H59" s="3686" t="str">
        <f t="shared" si="8"/>
        <v>H</v>
      </c>
      <c r="I59" s="3686" t="str">
        <f t="shared" si="9"/>
        <v>76</v>
      </c>
      <c r="J59" s="3686" t="str">
        <f t="shared" si="10"/>
        <v>12</v>
      </c>
      <c r="K59" s="3686" t="str">
        <f t="shared" si="11"/>
        <v>29</v>
      </c>
      <c r="L59" s="1276" t="str">
        <f>_xlfn.XLOOKUP($D59,  Tabla3[No.],  Tabla3[ESTATUS ACADÉMICO], " ")</f>
        <v>EGRESADO</v>
      </c>
      <c r="M59" s="3341" t="str">
        <f>_xlfn.XLOOKUP($D59,  Tabla3[No.],  Tabla3[Grupo de clase], " ")</f>
        <v>DD07A</v>
      </c>
      <c r="N59" s="3348">
        <v>10</v>
      </c>
      <c r="O59" s="3348">
        <v>10</v>
      </c>
      <c r="P59" s="3348">
        <v>10</v>
      </c>
      <c r="Q59" s="3348">
        <v>10</v>
      </c>
      <c r="R59" s="3348">
        <v>9.3000000000000007</v>
      </c>
      <c r="S59" s="3348">
        <v>9.3000000000000007</v>
      </c>
      <c r="T59" s="3257"/>
      <c r="U59" s="3257"/>
      <c r="V59" s="3257"/>
      <c r="W59" s="3257"/>
      <c r="X59" s="3257"/>
      <c r="Y59" s="3257"/>
      <c r="Z59" s="3257"/>
      <c r="AA59" s="3257"/>
      <c r="AB59" s="3257"/>
      <c r="AC59" s="3257"/>
      <c r="AD59" s="3257"/>
      <c r="AE59" s="3257"/>
      <c r="AF59" s="2276"/>
      <c r="AG59" s="2276"/>
      <c r="AH59" s="2276"/>
      <c r="AI59" s="2276"/>
      <c r="AJ59" s="2276"/>
      <c r="AK59" s="2276"/>
      <c r="AL59" s="2276"/>
      <c r="AM59" s="2276"/>
      <c r="AN59" s="2276"/>
      <c r="AO59" s="2276"/>
      <c r="AP59" s="2276"/>
      <c r="AQ59" s="2276"/>
      <c r="AR59" s="2276"/>
      <c r="AS59" s="2276"/>
      <c r="AT59" s="2276"/>
      <c r="AU59" s="2276"/>
      <c r="AV59" s="2276"/>
    </row>
    <row r="60" spans="1:48" s="2290" customFormat="1" ht="15" customHeight="1">
      <c r="A60" s="3683" t="s">
        <v>1123</v>
      </c>
      <c r="B60" s="2362">
        <v>4</v>
      </c>
      <c r="C60" s="3338">
        <f>_xlfn.XLOOKUP($E60,Tabla3[CURP],Tabla3[FECHA DE INICIO (PRIMERA CLASE CALENDARIO)]," ")</f>
        <v>45409</v>
      </c>
      <c r="D60" s="3339">
        <v>695</v>
      </c>
      <c r="E60" s="3684" t="str">
        <f>_xlfn.XLOOKUP($D60,  Tabla3[No.],  Tabla3[CURP], " ")</f>
        <v>VEMD860810MMCLDN03</v>
      </c>
      <c r="F60" s="2362" t="str">
        <f>_xlfn.XLOOKUP($D60,  Tabla3[No.],  Tabla3[Matrícula Of. SEQ], " ")</f>
        <v>64DD07H-05</v>
      </c>
      <c r="G60" s="3685" t="str">
        <f>IFERROR(VLOOKUP(D60,Tabla3[],5,FALSE),"")</f>
        <v>VELASQUEZ MEDINA DIANA</v>
      </c>
      <c r="H60" s="3686" t="str">
        <f t="shared" si="8"/>
        <v>M</v>
      </c>
      <c r="I60" s="3686" t="str">
        <f t="shared" si="9"/>
        <v>86</v>
      </c>
      <c r="J60" s="3686" t="str">
        <f t="shared" si="10"/>
        <v>08</v>
      </c>
      <c r="K60" s="3686" t="str">
        <f t="shared" si="11"/>
        <v>10</v>
      </c>
      <c r="L60" s="1276" t="str">
        <f>_xlfn.XLOOKUP($D60,  Tabla3[No.],  Tabla3[ESTATUS ACADÉMICO], " ")</f>
        <v>EGRESADO</v>
      </c>
      <c r="M60" s="3341" t="str">
        <f>_xlfn.XLOOKUP($D60,  Tabla3[No.],  Tabla3[Grupo de clase], " ")</f>
        <v>DD07A</v>
      </c>
      <c r="N60" s="3348">
        <v>10</v>
      </c>
      <c r="O60" s="3348">
        <v>10</v>
      </c>
      <c r="P60" s="3348">
        <v>9</v>
      </c>
      <c r="Q60" s="3348">
        <v>10</v>
      </c>
      <c r="R60" s="3348">
        <v>9.4</v>
      </c>
      <c r="S60" s="3348">
        <v>9.4</v>
      </c>
      <c r="T60" s="3348">
        <v>9.4</v>
      </c>
      <c r="U60" s="3348">
        <v>10</v>
      </c>
      <c r="V60" s="3257"/>
      <c r="W60" s="3257"/>
      <c r="X60" s="3257"/>
      <c r="Y60" s="3257"/>
      <c r="Z60" s="3257"/>
      <c r="AA60" s="3257"/>
      <c r="AB60" s="3257"/>
      <c r="AC60" s="3257"/>
      <c r="AD60" s="3257"/>
      <c r="AE60" s="3257"/>
      <c r="AF60" s="3257"/>
      <c r="AG60" s="3257"/>
      <c r="AH60" s="3257"/>
      <c r="AI60" s="3257"/>
      <c r="AJ60" s="3257"/>
      <c r="AK60" s="3257"/>
      <c r="AL60" s="3257"/>
      <c r="AM60" s="3257"/>
      <c r="AN60" s="3257"/>
      <c r="AO60" s="3257"/>
      <c r="AP60" s="3257"/>
      <c r="AQ60" s="3257"/>
      <c r="AR60" s="3257"/>
      <c r="AS60" s="3257"/>
      <c r="AT60" s="3257"/>
      <c r="AU60" s="3257"/>
      <c r="AV60" s="3687"/>
    </row>
    <row r="61" spans="1:48" s="2290" customFormat="1" ht="15" customHeight="1">
      <c r="A61" s="4045" t="s">
        <v>1625</v>
      </c>
      <c r="B61" s="4046">
        <v>5</v>
      </c>
      <c r="C61" s="4047">
        <f>_xlfn.XLOOKUP($E61,Tabla3[CURP],Tabla3[FECHA DE INICIO (PRIMERA CLASE CALENDARIO)]," ")</f>
        <v>45367</v>
      </c>
      <c r="D61" s="4048">
        <v>690</v>
      </c>
      <c r="E61" s="3684" t="str">
        <f>_xlfn.XLOOKUP($D61,  Tabla3[No.],  Tabla3[CURP], " ")</f>
        <v>CUGD710220HPCMNS00</v>
      </c>
      <c r="F61" s="4046" t="str">
        <f>_xlfn.XLOOKUP($D61,  Tabla3[No.],  Tabla3[Matrícula Of. SEQ], " ")</f>
        <v>64DD07G-01</v>
      </c>
      <c r="G61" s="4049" t="str">
        <f>IFERROR(VLOOKUP(D61,Tabla3[],5,FALSE),"")</f>
        <v>CUEVAS GONZALEZ DAVID ELIO</v>
      </c>
      <c r="H61" s="4045" t="str">
        <f t="shared" si="8"/>
        <v>H</v>
      </c>
      <c r="I61" s="4045" t="str">
        <f t="shared" si="9"/>
        <v>71</v>
      </c>
      <c r="J61" s="4045" t="str">
        <f t="shared" si="10"/>
        <v>02</v>
      </c>
      <c r="K61" s="4045" t="str">
        <f t="shared" si="11"/>
        <v>20</v>
      </c>
      <c r="L61" s="4050" t="str">
        <f>L60</f>
        <v>EGRESADO</v>
      </c>
      <c r="M61" s="4051" t="str">
        <f>_xlfn.XLOOKUP($D61,  Tabla3[No.],  Tabla3[Grupo de clase], " ")</f>
        <v>DD07A</v>
      </c>
      <c r="N61" s="4052" t="s">
        <v>135</v>
      </c>
      <c r="O61" s="4052" t="s">
        <v>135</v>
      </c>
      <c r="P61" s="4052">
        <v>10</v>
      </c>
      <c r="Q61" s="4052">
        <v>10</v>
      </c>
      <c r="R61" s="4052">
        <v>10</v>
      </c>
      <c r="S61" s="4052">
        <v>9.4</v>
      </c>
      <c r="T61" s="4052">
        <v>9.1999999999999993</v>
      </c>
      <c r="U61" s="4052">
        <v>10</v>
      </c>
      <c r="V61" s="4052">
        <v>10</v>
      </c>
      <c r="W61" s="4052">
        <v>10</v>
      </c>
      <c r="X61" s="4052">
        <v>9.6</v>
      </c>
      <c r="Y61" s="4052">
        <v>9</v>
      </c>
      <c r="Z61" s="4052">
        <v>9</v>
      </c>
      <c r="AA61" s="4052">
        <v>10</v>
      </c>
      <c r="AB61" s="4052">
        <v>10</v>
      </c>
      <c r="AC61" s="4052">
        <v>9.1999999999999993</v>
      </c>
      <c r="AD61" s="4052">
        <v>10</v>
      </c>
      <c r="AE61" s="4052">
        <v>10</v>
      </c>
      <c r="AF61" s="4052">
        <v>9</v>
      </c>
      <c r="AG61" s="4052">
        <v>10</v>
      </c>
      <c r="AH61" s="4052">
        <v>9.6999999999999993</v>
      </c>
      <c r="AI61" s="4052">
        <v>10</v>
      </c>
      <c r="AJ61" s="3257"/>
      <c r="AK61" s="3257"/>
      <c r="AL61" s="3257"/>
      <c r="AM61" s="3257"/>
      <c r="AN61" s="3257"/>
      <c r="AO61" s="3257"/>
      <c r="AP61" s="3257"/>
      <c r="AQ61" s="3257"/>
      <c r="AR61" s="3257"/>
      <c r="AS61" s="3257"/>
      <c r="AT61" s="3257"/>
      <c r="AU61" s="3257"/>
      <c r="AV61" s="3687"/>
    </row>
    <row r="62" spans="1:48" s="2290" customFormat="1" ht="15" customHeight="1">
      <c r="A62" s="3683" t="s">
        <v>1123</v>
      </c>
      <c r="B62" s="2362">
        <v>6</v>
      </c>
      <c r="C62" s="3338">
        <f>_xlfn.XLOOKUP($E62,Tabla3[CURP],Tabla3[FECHA DE INICIO (PRIMERA CLASE CALENDARIO)]," ")</f>
        <v>45367</v>
      </c>
      <c r="D62" s="3339">
        <v>684</v>
      </c>
      <c r="E62" s="3684" t="str">
        <f>_xlfn.XLOOKUP($D62,  Tabla3[No.],  Tabla3[CURP], " ")</f>
        <v>SACR591211HGTNXG09</v>
      </c>
      <c r="F62" s="2362" t="str">
        <f>_xlfn.XLOOKUP($D62,  Tabla3[No.],  Tabla3[Matrícula Of. SEQ], " ")</f>
        <v>64DD07I-01</v>
      </c>
      <c r="G62" s="3685" t="str">
        <f>IFERROR(VLOOKUP(D62,Tabla3[],5,FALSE),"")</f>
        <v>SANCHEZ CAÑEDO ROGELIO</v>
      </c>
      <c r="H62" s="3686" t="str">
        <f t="shared" si="8"/>
        <v>H</v>
      </c>
      <c r="I62" s="3686" t="str">
        <f t="shared" si="9"/>
        <v>59</v>
      </c>
      <c r="J62" s="3686" t="str">
        <f t="shared" si="10"/>
        <v>12</v>
      </c>
      <c r="K62" s="3686" t="str">
        <f t="shared" si="11"/>
        <v>11</v>
      </c>
      <c r="L62" s="1276" t="str">
        <f>_xlfn.XLOOKUP($D62,  Tabla3[No.],  Tabla3[ESTATUS ACADÉMICO], " ")</f>
        <v>EGRESADO</v>
      </c>
      <c r="M62" s="3341" t="str">
        <f>_xlfn.XLOOKUP($D62,  Tabla3[No.],  Tabla3[Grupo de clase], " ")</f>
        <v>DD06C</v>
      </c>
      <c r="N62" s="3348">
        <v>10</v>
      </c>
      <c r="O62" s="3348">
        <v>10</v>
      </c>
      <c r="P62" s="3348">
        <v>10</v>
      </c>
      <c r="Q62" s="3348">
        <v>10</v>
      </c>
      <c r="R62" s="3348">
        <v>8.1999999999999993</v>
      </c>
      <c r="S62" s="3348">
        <v>9.3000000000000007</v>
      </c>
      <c r="T62" s="3348">
        <v>9.3000000000000007</v>
      </c>
      <c r="U62" s="3348">
        <v>10</v>
      </c>
      <c r="V62" s="3257"/>
      <c r="W62" s="3257"/>
      <c r="X62" s="3257"/>
      <c r="Y62" s="3257"/>
      <c r="Z62" s="3257"/>
      <c r="AA62" s="3257"/>
      <c r="AB62" s="3257"/>
      <c r="AC62" s="3257"/>
      <c r="AD62" s="3257"/>
      <c r="AE62" s="3257"/>
      <c r="AF62" s="3257"/>
      <c r="AG62" s="3257"/>
      <c r="AH62" s="3257"/>
      <c r="AI62" s="3257"/>
      <c r="AJ62" s="3257"/>
      <c r="AK62" s="3257"/>
      <c r="AL62" s="3257"/>
      <c r="AM62" s="3257"/>
      <c r="AN62" s="3257"/>
      <c r="AO62" s="3257"/>
      <c r="AP62" s="3257"/>
      <c r="AQ62" s="3257"/>
      <c r="AR62" s="3257"/>
      <c r="AS62" s="3257"/>
      <c r="AT62" s="3257"/>
      <c r="AU62" s="3257"/>
      <c r="AV62" s="3687"/>
    </row>
    <row r="63" spans="1:48" s="2290" customFormat="1" ht="15" customHeight="1">
      <c r="A63" s="3683" t="s">
        <v>1625</v>
      </c>
      <c r="B63" s="2362">
        <v>7</v>
      </c>
      <c r="C63" s="3338">
        <f>_xlfn.XLOOKUP($E63,Tabla3[CURP],Tabla3[FECHA DE INICIO (PRIMERA CLASE CALENDARIO)]," ")</f>
        <v>45339</v>
      </c>
      <c r="D63" s="3339">
        <v>682</v>
      </c>
      <c r="E63" s="3684" t="str">
        <f>_xlfn.XLOOKUP($D63,  Tabla3[No.],  Tabla3[CURP], " ")</f>
        <v>TAQD811116MCCTQ22</v>
      </c>
      <c r="F63" s="2362" t="str">
        <f>_xlfn.XLOOKUP($D63,  Tabla3[No.],  Tabla3[Matrícula Of. SEQ], " ")</f>
        <v>64DD07G-06</v>
      </c>
      <c r="G63" s="3685" t="str">
        <f>IFERROR(VLOOKUP(D63,Tabla3[],5,FALSE),"")</f>
        <v>TAPIERO QUEVEDO DUPERLY</v>
      </c>
      <c r="H63" s="3686" t="str">
        <f t="shared" si="8"/>
        <v>M</v>
      </c>
      <c r="I63" s="3686" t="str">
        <f t="shared" si="9"/>
        <v>81</v>
      </c>
      <c r="J63" s="3686" t="str">
        <f t="shared" si="10"/>
        <v>11</v>
      </c>
      <c r="K63" s="3686" t="str">
        <f t="shared" si="11"/>
        <v>16</v>
      </c>
      <c r="L63" s="1276" t="str">
        <f>_xlfn.XLOOKUP($D63,  Tabla3[No.],  Tabla3[ESTATUS ACADÉMICO], " ")</f>
        <v>EGRESADO</v>
      </c>
      <c r="M63" s="3341" t="str">
        <f>_xlfn.XLOOKUP($D63,  Tabla3[No.],  Tabla3[Grupo de clase], " ")</f>
        <v>DD06C</v>
      </c>
      <c r="N63" s="3348">
        <v>10</v>
      </c>
      <c r="O63" s="3348">
        <v>10</v>
      </c>
      <c r="P63" s="3349">
        <v>10</v>
      </c>
      <c r="Q63" s="3348">
        <v>10</v>
      </c>
      <c r="R63" s="3348">
        <v>8.1</v>
      </c>
      <c r="S63" s="3348">
        <v>9.1999999999999993</v>
      </c>
      <c r="T63" s="3348">
        <v>9.6</v>
      </c>
      <c r="U63" s="3348">
        <v>10</v>
      </c>
      <c r="V63" s="3348">
        <v>10</v>
      </c>
      <c r="W63" s="3348">
        <v>10</v>
      </c>
      <c r="X63" s="3348">
        <v>10</v>
      </c>
      <c r="Y63" s="3348">
        <v>10</v>
      </c>
      <c r="Z63" s="3348">
        <v>10</v>
      </c>
      <c r="AA63" s="3348">
        <v>10</v>
      </c>
      <c r="AB63" s="3348">
        <v>10</v>
      </c>
      <c r="AC63" s="3348">
        <v>9.1999999999999993</v>
      </c>
      <c r="AD63" s="3348">
        <v>10</v>
      </c>
      <c r="AE63" s="3348">
        <v>10</v>
      </c>
      <c r="AF63" s="3348">
        <v>10</v>
      </c>
      <c r="AG63" s="3348">
        <v>10</v>
      </c>
      <c r="AH63" s="3348">
        <v>10</v>
      </c>
      <c r="AI63" s="3257"/>
      <c r="AJ63" s="3257"/>
      <c r="AK63" s="3257"/>
      <c r="AL63" s="3257"/>
      <c r="AM63" s="3257"/>
      <c r="AN63" s="3257"/>
      <c r="AO63" s="3257"/>
      <c r="AP63" s="3257"/>
      <c r="AQ63" s="3257"/>
      <c r="AR63" s="3257"/>
      <c r="AS63" s="3257"/>
      <c r="AT63" s="3257"/>
      <c r="AU63" s="3257"/>
      <c r="AV63" s="3687"/>
    </row>
    <row r="64" spans="1:48" s="2290" customFormat="1" ht="15.75">
      <c r="A64" s="2774" t="s">
        <v>1625</v>
      </c>
      <c r="B64" s="1231">
        <v>8</v>
      </c>
      <c r="C64" s="2955">
        <f>_xlfn.XLOOKUP($E64,Tabla3[CURP],Tabla3[FECHA DE INICIO (PRIMERA CLASE CALENDARIO)]," ")</f>
        <v>45339</v>
      </c>
      <c r="D64" s="2771">
        <v>676</v>
      </c>
      <c r="E64" s="3688" t="str">
        <f>_xlfn.XLOOKUP($D64,  Tabla3[No.],  Tabla3[CURP], " ")</f>
        <v>MUMM710101MGTXRR00</v>
      </c>
      <c r="F64" s="1231" t="str">
        <f>_xlfn.XLOOKUP($D64,  Tabla3[No.],  Tabla3[Matrícula Of. SEQ], " ")</f>
        <v>64DD07C-02</v>
      </c>
      <c r="G64" s="1608" t="str">
        <f>IFERROR(VLOOKUP(D64,Tabla3[],5,FALSE),"")</f>
        <v>MUÑOZ MARTINEZ MARCELA</v>
      </c>
      <c r="H64" s="3689" t="str">
        <f t="shared" si="8"/>
        <v>M</v>
      </c>
      <c r="I64" s="3689" t="str">
        <f t="shared" si="9"/>
        <v>71</v>
      </c>
      <c r="J64" s="3689" t="str">
        <f t="shared" si="10"/>
        <v>01</v>
      </c>
      <c r="K64" s="3689" t="str">
        <f t="shared" si="11"/>
        <v>01</v>
      </c>
      <c r="L64" s="1276" t="str">
        <f>_xlfn.XLOOKUP($D64,  Tabla3[No.],  Tabla3[ESTATUS ACADÉMICO], " ")</f>
        <v>VIGENTE</v>
      </c>
      <c r="M64" s="3341" t="str">
        <f>_xlfn.XLOOKUP($D64,  Tabla3[No.],  Tabla3[Grupo de clase], " ")</f>
        <v>DD06C</v>
      </c>
      <c r="N64" s="3257" t="s">
        <v>135</v>
      </c>
      <c r="O64" s="3257">
        <v>10</v>
      </c>
      <c r="P64" s="3257">
        <v>10</v>
      </c>
      <c r="Q64" s="3257">
        <v>10</v>
      </c>
      <c r="R64" s="3688">
        <v>8</v>
      </c>
      <c r="S64" s="3257">
        <v>9</v>
      </c>
      <c r="T64" s="3257">
        <v>9.3000000000000007</v>
      </c>
      <c r="U64" s="3257">
        <v>10</v>
      </c>
      <c r="V64" s="3257">
        <v>10</v>
      </c>
      <c r="W64" s="3257">
        <v>10</v>
      </c>
      <c r="X64" s="3257">
        <v>9.6</v>
      </c>
      <c r="Y64" s="3257">
        <v>10</v>
      </c>
      <c r="Z64" s="3257">
        <v>10</v>
      </c>
      <c r="AA64" s="3257">
        <v>10</v>
      </c>
      <c r="AB64" s="3257">
        <v>10</v>
      </c>
      <c r="AC64" s="3257">
        <v>9.6</v>
      </c>
      <c r="AD64" s="3257">
        <v>9.6</v>
      </c>
      <c r="AE64" s="3257">
        <v>10</v>
      </c>
      <c r="AF64" s="3257">
        <v>9</v>
      </c>
      <c r="AG64" s="3257">
        <v>10</v>
      </c>
      <c r="AH64" s="3257">
        <v>9.3000000000000007</v>
      </c>
      <c r="AI64" s="3257"/>
      <c r="AJ64" s="3257"/>
      <c r="AK64" s="3257"/>
      <c r="AL64" s="3257"/>
      <c r="AM64" s="3257"/>
      <c r="AN64" s="3257"/>
      <c r="AO64" s="3257"/>
      <c r="AP64" s="3257"/>
      <c r="AQ64" s="3257"/>
      <c r="AR64" s="3257"/>
      <c r="AS64" s="3257"/>
      <c r="AT64" s="3257"/>
      <c r="AU64" s="3257"/>
      <c r="AV64" s="3687"/>
    </row>
    <row r="65" spans="1:48" s="2290" customFormat="1" ht="17.25" customHeight="1">
      <c r="A65" s="3683" t="s">
        <v>1625</v>
      </c>
      <c r="B65" s="2362">
        <v>9</v>
      </c>
      <c r="C65" s="3338">
        <f>_xlfn.XLOOKUP($E65,Tabla3[CURP],Tabla3[FECHA DE INICIO (PRIMERA CLASE CALENDARIO)]," ")</f>
        <v>45339</v>
      </c>
      <c r="D65" s="3339">
        <v>677</v>
      </c>
      <c r="E65" s="3690" t="str">
        <f>_xlfn.XLOOKUP($D65,  Tabla3[No.],  Tabla3[CURP], " ")</f>
        <v>BAMS921103MMNRXM03</v>
      </c>
      <c r="F65" s="2362" t="str">
        <f>_xlfn.XLOOKUP($D65,  Tabla3[No.],  Tabla3[Matrícula Of. SEQ], " ")</f>
        <v>64DD07C-01</v>
      </c>
      <c r="G65" s="3685" t="str">
        <f>IFERROR(VLOOKUP(D65,Tabla3[],5,FALSE),"")</f>
        <v>BRAVO MUÑOZ SAMANTHA</v>
      </c>
      <c r="H65" s="3686" t="str">
        <f t="shared" si="8"/>
        <v>M</v>
      </c>
      <c r="I65" s="3686" t="str">
        <f t="shared" si="9"/>
        <v>92</v>
      </c>
      <c r="J65" s="3686" t="str">
        <f t="shared" si="10"/>
        <v>11</v>
      </c>
      <c r="K65" s="3686" t="str">
        <f t="shared" si="11"/>
        <v>03</v>
      </c>
      <c r="L65" s="1276" t="str">
        <f>_xlfn.XLOOKUP($D65,  Tabla3[No.],  Tabla3[ESTATUS ACADÉMICO], " ")</f>
        <v>EGRESADO</v>
      </c>
      <c r="M65" s="3341" t="str">
        <f>_xlfn.XLOOKUP($D65,  Tabla3[No.],  Tabla3[Grupo de clase], " ")</f>
        <v>DD06C</v>
      </c>
      <c r="N65" s="3348" t="s">
        <v>135</v>
      </c>
      <c r="O65" s="3348">
        <v>10</v>
      </c>
      <c r="P65" s="3348">
        <v>9</v>
      </c>
      <c r="Q65" s="3348">
        <v>10</v>
      </c>
      <c r="R65" s="3349">
        <v>9.3000000000000007</v>
      </c>
      <c r="S65" s="3348">
        <v>9.3000000000000007</v>
      </c>
      <c r="T65" s="3348">
        <v>9.6</v>
      </c>
      <c r="U65" s="3348">
        <v>10</v>
      </c>
      <c r="V65" s="3348">
        <v>10</v>
      </c>
      <c r="W65" s="3348">
        <v>10</v>
      </c>
      <c r="X65" s="3348">
        <v>10</v>
      </c>
      <c r="Y65" s="3348">
        <v>10</v>
      </c>
      <c r="Z65" s="3348">
        <v>10</v>
      </c>
      <c r="AA65" s="3348">
        <v>10</v>
      </c>
      <c r="AB65" s="3348">
        <v>10</v>
      </c>
      <c r="AC65" s="3348">
        <v>10</v>
      </c>
      <c r="AD65" s="3348">
        <v>10</v>
      </c>
      <c r="AE65" s="3348">
        <v>9</v>
      </c>
      <c r="AF65" s="3348">
        <v>9</v>
      </c>
      <c r="AG65" s="3348">
        <v>10</v>
      </c>
      <c r="AH65" s="3348">
        <v>9.6999999999999993</v>
      </c>
      <c r="AI65" s="3257"/>
      <c r="AJ65" s="3257"/>
      <c r="AK65" s="3257"/>
      <c r="AL65" s="3257"/>
      <c r="AM65" s="3257"/>
      <c r="AN65" s="3257"/>
      <c r="AO65" s="3257"/>
      <c r="AP65" s="3257"/>
      <c r="AQ65" s="3257"/>
      <c r="AR65" s="3257"/>
      <c r="AS65" s="3257"/>
      <c r="AT65" s="3257"/>
      <c r="AU65" s="3257"/>
      <c r="AV65" s="3687"/>
    </row>
    <row r="66" spans="1:48" s="2290" customFormat="1" ht="15" customHeight="1">
      <c r="A66" s="3683" t="s">
        <v>1625</v>
      </c>
      <c r="B66" s="2362">
        <v>10</v>
      </c>
      <c r="C66" s="3338">
        <f>_xlfn.XLOOKUP($E66,Tabla3[CURP],Tabla3[FECHA DE INICIO (PRIMERA CLASE CALENDARIO)]," ")</f>
        <v>45304</v>
      </c>
      <c r="D66" s="3339">
        <v>660</v>
      </c>
      <c r="E66" s="3690" t="str">
        <f>_xlfn.XLOOKUP($D66,  Tabla3[No.],  Tabla3[CURP], " ")</f>
        <v>GASS760909HMCRRR09</v>
      </c>
      <c r="F66" s="2362" t="str">
        <f>_xlfn.XLOOKUP($D66,  Tabla3[No.],  Tabla3[Matrícula Of. SEQ], " ")</f>
        <v>64LD07B-01</v>
      </c>
      <c r="G66" s="3685" t="str">
        <f>IFERROR(VLOOKUP(D66,Tabla3[],5,FALSE),"")</f>
        <v>GARCIA SUAREZ SERGIO ALEJANDRO</v>
      </c>
      <c r="H66" s="3686" t="str">
        <f t="shared" si="8"/>
        <v>H</v>
      </c>
      <c r="I66" s="3686" t="str">
        <f t="shared" si="9"/>
        <v>76</v>
      </c>
      <c r="J66" s="3686" t="str">
        <f t="shared" si="10"/>
        <v>09</v>
      </c>
      <c r="K66" s="3686" t="str">
        <f t="shared" si="11"/>
        <v>09</v>
      </c>
      <c r="L66" s="1276" t="str">
        <f>_xlfn.XLOOKUP($D66,  Tabla3[No.],  Tabla3[ESTATUS ACADÉMICO], " ")</f>
        <v>EGRESADO</v>
      </c>
      <c r="M66" s="3341" t="str">
        <f>_xlfn.XLOOKUP($D66,  Tabla3[No.],  Tabla3[Grupo de clase], " ")</f>
        <v>DD06A</v>
      </c>
      <c r="N66" s="3348">
        <v>10</v>
      </c>
      <c r="O66" s="3348">
        <v>10</v>
      </c>
      <c r="P66" s="3348">
        <v>10</v>
      </c>
      <c r="Q66" s="3348">
        <v>10</v>
      </c>
      <c r="R66" s="3349">
        <v>8</v>
      </c>
      <c r="S66" s="3348">
        <v>9</v>
      </c>
      <c r="T66" s="3348">
        <v>9.1999999999999993</v>
      </c>
      <c r="U66" s="3348">
        <v>10</v>
      </c>
      <c r="V66" s="3348">
        <v>10</v>
      </c>
      <c r="W66" s="3348">
        <v>10</v>
      </c>
      <c r="X66" s="3348">
        <v>10</v>
      </c>
      <c r="Y66" s="3348">
        <v>10</v>
      </c>
      <c r="Z66" s="3348">
        <v>10</v>
      </c>
      <c r="AA66" s="3348">
        <v>10</v>
      </c>
      <c r="AB66" s="3348">
        <v>10</v>
      </c>
      <c r="AC66" s="3348">
        <v>9.1999999999999993</v>
      </c>
      <c r="AD66" s="3348">
        <v>10</v>
      </c>
      <c r="AE66" s="3348">
        <v>10</v>
      </c>
      <c r="AF66" s="3348">
        <v>10</v>
      </c>
      <c r="AG66" s="3348">
        <v>10</v>
      </c>
      <c r="AH66" s="3257"/>
      <c r="AI66" s="3257"/>
      <c r="AJ66" s="3257"/>
      <c r="AK66" s="3257"/>
      <c r="AL66" s="3257"/>
      <c r="AM66" s="3257"/>
      <c r="AN66" s="3257"/>
      <c r="AO66" s="3257"/>
      <c r="AP66" s="3257"/>
      <c r="AQ66" s="3257"/>
      <c r="AR66" s="3257"/>
      <c r="AS66" s="3257"/>
      <c r="AT66" s="3257"/>
      <c r="AU66" s="3257"/>
      <c r="AV66" s="3687"/>
    </row>
    <row r="67" spans="1:48" s="3670" customFormat="1" ht="15" customHeight="1">
      <c r="A67" s="3683" t="s">
        <v>1123</v>
      </c>
      <c r="B67" s="2362">
        <v>11</v>
      </c>
      <c r="C67" s="3338">
        <f>_xlfn.XLOOKUP($E67,Tabla3[CURP],Tabla3[FECHA DE INICIO (PRIMERA CLASE CALENDARIO)]," ")</f>
        <v>45304</v>
      </c>
      <c r="D67" s="3339">
        <v>653</v>
      </c>
      <c r="E67" s="3691" t="str">
        <f>_xlfn.XLOOKUP($D67,  Tabla3[No.],  Tabla3[CURP], " ")</f>
        <v>ROEA640703HMCSSL01</v>
      </c>
      <c r="F67" s="2362" t="str">
        <f>_xlfn.XLOOKUP($D67,  Tabla3[No.],  Tabla3[Matrícula Of. SEQ], " ")</f>
        <v>64DD07A-06</v>
      </c>
      <c r="G67" s="3685" t="str">
        <f>IFERROR(VLOOKUP(D67,Tabla3[],5,FALSE),"")</f>
        <v>ROSALES ESTRADA ALEJANDRO EDGAR</v>
      </c>
      <c r="H67" s="3692" t="str">
        <f t="shared" si="8"/>
        <v>H</v>
      </c>
      <c r="I67" s="3692" t="str">
        <f t="shared" si="9"/>
        <v>64</v>
      </c>
      <c r="J67" s="3692" t="str">
        <f t="shared" si="10"/>
        <v>07</v>
      </c>
      <c r="K67" s="3692" t="str">
        <f t="shared" si="11"/>
        <v>03</v>
      </c>
      <c r="L67" s="1276" t="str">
        <f>_xlfn.XLOOKUP($D67,  Tabla3[No.],  Tabla3[ESTATUS ACADÉMICO], " ")</f>
        <v>EGRESADO</v>
      </c>
      <c r="M67" s="3342" t="str">
        <f>_xlfn.XLOOKUP($D67,  Tabla3[No.],  Tabla3[Grupo de clase], " ")</f>
        <v>DD06A</v>
      </c>
      <c r="N67" s="3350">
        <v>10</v>
      </c>
      <c r="O67" s="3351">
        <v>10</v>
      </c>
      <c r="P67" s="3350">
        <v>10</v>
      </c>
      <c r="Q67" s="3352">
        <v>10</v>
      </c>
      <c r="R67" s="3693">
        <v>10</v>
      </c>
      <c r="S67" s="3693">
        <v>9.3000000000000007</v>
      </c>
      <c r="T67" s="3693">
        <v>9.3000000000000007</v>
      </c>
      <c r="U67" s="3693">
        <v>10</v>
      </c>
      <c r="V67" s="3693"/>
      <c r="W67" s="3693"/>
      <c r="X67" s="3693"/>
      <c r="Y67" s="3693"/>
      <c r="Z67" s="3693"/>
      <c r="AA67" s="3693"/>
      <c r="AB67" s="3348"/>
      <c r="AC67" s="3348"/>
      <c r="AD67" s="3348"/>
      <c r="AE67" s="3348"/>
      <c r="AF67" s="3348"/>
      <c r="AG67" s="3348"/>
      <c r="AH67" s="3257"/>
      <c r="AI67" s="3257"/>
      <c r="AJ67" s="3257"/>
      <c r="AK67" s="3257"/>
      <c r="AL67" s="3257"/>
      <c r="AM67" s="3257"/>
      <c r="AN67" s="3257"/>
      <c r="AO67" s="3257"/>
      <c r="AP67" s="3257"/>
      <c r="AQ67" s="3257"/>
      <c r="AR67" s="3257"/>
      <c r="AS67" s="3257"/>
      <c r="AT67" s="3257"/>
      <c r="AU67" s="3257"/>
      <c r="AV67" s="3687"/>
    </row>
    <row r="68" spans="1:48" s="3670" customFormat="1" ht="15" customHeight="1">
      <c r="A68" s="3683" t="s">
        <v>1123</v>
      </c>
      <c r="B68" s="2362">
        <v>12</v>
      </c>
      <c r="C68" s="3338">
        <f>_xlfn.XLOOKUP($E68,Tabla3[CURP],Tabla3[FECHA DE INICIO (PRIMERA CLASE CALENDARIO)]," ")</f>
        <v>45304</v>
      </c>
      <c r="D68" s="3339">
        <v>649</v>
      </c>
      <c r="E68" s="3684" t="str">
        <f>_xlfn.XLOOKUP($D68,  Tabla3[No.],  Tabla3[CURP], " ")</f>
        <v>PIAH640129HMCCRC03</v>
      </c>
      <c r="F68" s="2362" t="str">
        <f>_xlfn.XLOOKUP($D68,  Tabla3[No.],  Tabla3[Matrícula Of. SEQ], " ")</f>
        <v>64DD07A-05</v>
      </c>
      <c r="G68" s="3685" t="str">
        <f>IFERROR(VLOOKUP(D68,Tabla3[],5,FALSE),"")</f>
        <v>PICHARDO ARANZA HECTOR</v>
      </c>
      <c r="H68" s="3686" t="str">
        <f t="shared" si="8"/>
        <v>H</v>
      </c>
      <c r="I68" s="3686" t="str">
        <f t="shared" si="9"/>
        <v>64</v>
      </c>
      <c r="J68" s="3686" t="str">
        <f t="shared" si="10"/>
        <v>01</v>
      </c>
      <c r="K68" s="3686" t="str">
        <f t="shared" si="11"/>
        <v>29</v>
      </c>
      <c r="L68" s="1276" t="str">
        <f>_xlfn.XLOOKUP($D68,  Tabla3[No.],  Tabla3[ESTATUS ACADÉMICO], " ")</f>
        <v>EGRESADO</v>
      </c>
      <c r="M68" s="3341" t="str">
        <f>_xlfn.XLOOKUP($D68,  Tabla3[No.],  Tabla3[Grupo de clase], " ")</f>
        <v>DD06A</v>
      </c>
      <c r="N68" s="3349">
        <v>10</v>
      </c>
      <c r="O68" s="3348">
        <v>10</v>
      </c>
      <c r="P68" s="3348">
        <v>10</v>
      </c>
      <c r="Q68" s="3348">
        <v>10</v>
      </c>
      <c r="R68" s="3348">
        <v>8</v>
      </c>
      <c r="S68" s="3348">
        <v>9.1999999999999993</v>
      </c>
      <c r="T68" s="3348"/>
      <c r="U68" s="3348"/>
      <c r="V68" s="3348"/>
      <c r="W68" s="3348"/>
      <c r="X68" s="3348"/>
      <c r="Y68" s="3348"/>
      <c r="Z68" s="3348"/>
      <c r="AA68" s="3348"/>
      <c r="AB68" s="3348"/>
      <c r="AC68" s="3348"/>
      <c r="AD68" s="3348"/>
      <c r="AE68" s="3348"/>
      <c r="AF68" s="3348"/>
      <c r="AG68" s="3348"/>
      <c r="AH68" s="3257"/>
      <c r="AI68" s="3257"/>
      <c r="AJ68" s="3257"/>
      <c r="AK68" s="3257"/>
      <c r="AL68" s="3257"/>
      <c r="AM68" s="3257"/>
      <c r="AN68" s="3257"/>
      <c r="AO68" s="3257"/>
      <c r="AP68" s="3257"/>
      <c r="AQ68" s="3257"/>
      <c r="AR68" s="3257"/>
      <c r="AS68" s="3257"/>
      <c r="AT68" s="3257"/>
      <c r="AU68" s="3257"/>
      <c r="AV68" s="3687"/>
    </row>
    <row r="69" spans="1:48" s="3670" customFormat="1" ht="15" customHeight="1">
      <c r="A69" s="3683" t="s">
        <v>1123</v>
      </c>
      <c r="B69" s="2362">
        <v>13</v>
      </c>
      <c r="C69" s="3338">
        <f>_xlfn.XLOOKUP($E69,Tabla3[CURP],Tabla3[FECHA DE INICIO (PRIMERA CLASE CALENDARIO)]," ")</f>
        <v>45304</v>
      </c>
      <c r="D69" s="3339">
        <v>650</v>
      </c>
      <c r="E69" s="3684" t="str">
        <f>_xlfn.XLOOKUP($D69,  Tabla3[No.],  Tabla3[CURP], " ")</f>
        <v>CACL770211MMCSXR00</v>
      </c>
      <c r="F69" s="2362" t="str">
        <f>_xlfn.XLOOKUP($D69,  Tabla3[No.],  Tabla3[Matrícula Of. SEQ], " ")</f>
        <v>64DD07A-03</v>
      </c>
      <c r="G69" s="3685" t="str">
        <f>IFERROR(VLOOKUP(D69,Tabla3[],5,FALSE),"")</f>
        <v>CASTILLO CAÑAS LOURDES</v>
      </c>
      <c r="H69" s="3686" t="str">
        <f t="shared" si="8"/>
        <v>M</v>
      </c>
      <c r="I69" s="3686" t="str">
        <f t="shared" si="9"/>
        <v>77</v>
      </c>
      <c r="J69" s="3686" t="str">
        <f t="shared" si="10"/>
        <v>02</v>
      </c>
      <c r="K69" s="3686" t="str">
        <f t="shared" si="11"/>
        <v>11</v>
      </c>
      <c r="L69" s="1276" t="str">
        <f>_xlfn.XLOOKUP($D69,  Tabla3[No.],  Tabla3[ESTATUS ACADÉMICO], " ")</f>
        <v>EGRESADO</v>
      </c>
      <c r="M69" s="3341" t="str">
        <f>_xlfn.XLOOKUP($D69,  Tabla3[No.],  Tabla3[Grupo de clase], " ")</f>
        <v>DD06A</v>
      </c>
      <c r="N69" s="3349">
        <v>10</v>
      </c>
      <c r="O69" s="3348">
        <v>10</v>
      </c>
      <c r="P69" s="3348">
        <v>10</v>
      </c>
      <c r="Q69" s="3348">
        <v>10</v>
      </c>
      <c r="R69" s="3348">
        <v>8</v>
      </c>
      <c r="S69" s="3348">
        <v>9.4</v>
      </c>
      <c r="T69" s="3348">
        <v>9.1</v>
      </c>
      <c r="U69" s="3348"/>
      <c r="V69" s="3348"/>
      <c r="W69" s="3348"/>
      <c r="X69" s="3348"/>
      <c r="Y69" s="3348"/>
      <c r="Z69" s="3348"/>
      <c r="AA69" s="3348"/>
      <c r="AB69" s="3348"/>
      <c r="AC69" s="3348"/>
      <c r="AD69" s="3348"/>
      <c r="AE69" s="3348"/>
      <c r="AF69" s="3348"/>
      <c r="AG69" s="3348"/>
      <c r="AH69" s="3257"/>
      <c r="AI69" s="3257"/>
      <c r="AJ69" s="3257"/>
      <c r="AK69" s="3257"/>
      <c r="AL69" s="3257"/>
      <c r="AM69" s="3257"/>
      <c r="AN69" s="3257"/>
      <c r="AO69" s="3257"/>
      <c r="AP69" s="3257"/>
      <c r="AQ69" s="3257"/>
      <c r="AR69" s="3257"/>
      <c r="AS69" s="3257"/>
      <c r="AT69" s="3257"/>
      <c r="AU69" s="3257"/>
      <c r="AV69" s="3687"/>
    </row>
    <row r="70" spans="1:48" s="3670" customFormat="1" ht="15" customHeight="1">
      <c r="A70" s="3683" t="s">
        <v>1123</v>
      </c>
      <c r="B70" s="2362">
        <v>14</v>
      </c>
      <c r="C70" s="3338">
        <f>_xlfn.XLOOKUP($E70,Tabla3[CURP],Tabla3[FECHA DE INICIO (PRIMERA CLASE CALENDARIO)]," ")</f>
        <v>0</v>
      </c>
      <c r="D70" s="3339">
        <v>659</v>
      </c>
      <c r="E70" s="3684" t="str">
        <f>_xlfn.XLOOKUP($D70,  Tabla3[No.],  Tabla3[CURP], " ")</f>
        <v>CASM660807MMCMNR09</v>
      </c>
      <c r="F70" s="2362" t="str">
        <f>_xlfn.XLOOKUP($D70,  Tabla3[No.],  Tabla3[Matrícula Of. SEQ], " ")</f>
        <v>64DD07A-02</v>
      </c>
      <c r="G70" s="3685" t="str">
        <f>IFERROR(VLOOKUP(D70,Tabla3[],5,FALSE),"")</f>
        <v>CAMARGO SANCHEZ MARTHA</v>
      </c>
      <c r="H70" s="3686" t="str">
        <f t="shared" si="8"/>
        <v>M</v>
      </c>
      <c r="I70" s="3686" t="str">
        <f t="shared" si="9"/>
        <v>66</v>
      </c>
      <c r="J70" s="3686" t="str">
        <f t="shared" si="10"/>
        <v>08</v>
      </c>
      <c r="K70" s="3686" t="str">
        <f t="shared" si="11"/>
        <v>07</v>
      </c>
      <c r="L70" s="1276" t="str">
        <f>_xlfn.XLOOKUP($D70,  Tabla3[No.],  Tabla3[ESTATUS ACADÉMICO], " ")</f>
        <v>EGRESADO</v>
      </c>
      <c r="M70" s="3341" t="str">
        <f>_xlfn.XLOOKUP($D70,  Tabla3[No.],  Tabla3[Grupo de clase], " ")</f>
        <v>DD06A</v>
      </c>
      <c r="N70" s="3348">
        <v>10</v>
      </c>
      <c r="O70" s="3348">
        <v>10</v>
      </c>
      <c r="P70" s="3348">
        <v>10</v>
      </c>
      <c r="Q70" s="3348">
        <v>10</v>
      </c>
      <c r="R70" s="3348">
        <v>8</v>
      </c>
      <c r="S70" s="3348"/>
      <c r="T70" s="3348"/>
      <c r="U70" s="3348"/>
      <c r="V70" s="3348"/>
      <c r="W70" s="3348"/>
      <c r="X70" s="3348"/>
      <c r="Y70" s="3348"/>
      <c r="Z70" s="3348"/>
      <c r="AA70" s="3348"/>
      <c r="AB70" s="3348"/>
      <c r="AC70" s="3348"/>
      <c r="AD70" s="3348"/>
      <c r="AE70" s="3348"/>
      <c r="AF70" s="3348"/>
      <c r="AG70" s="3348"/>
      <c r="AH70" s="3257"/>
      <c r="AI70" s="3257"/>
      <c r="AJ70" s="3257"/>
      <c r="AK70" s="3257"/>
      <c r="AL70" s="3257"/>
      <c r="AM70" s="3257"/>
      <c r="AN70" s="3257"/>
      <c r="AO70" s="3257"/>
      <c r="AP70" s="3257"/>
      <c r="AQ70" s="3257"/>
      <c r="AR70" s="3257"/>
      <c r="AS70" s="3257"/>
      <c r="AT70" s="3694"/>
      <c r="AU70" s="3694"/>
      <c r="AV70" s="3687"/>
    </row>
    <row r="71" spans="1:48" s="3670" customFormat="1" ht="15" customHeight="1">
      <c r="A71" s="3683" t="s">
        <v>1625</v>
      </c>
      <c r="B71" s="2362">
        <v>15</v>
      </c>
      <c r="C71" s="3338">
        <f>_xlfn.XLOOKUP($E71,Tabla3[CURP],Tabla3[FECHA DE INICIO (PRIMERA CLASE CALENDARIO)]," ")</f>
        <v>45304</v>
      </c>
      <c r="D71" s="3339">
        <v>661</v>
      </c>
      <c r="E71" s="3684" t="str">
        <f>_xlfn.XLOOKUP($D71,  Tabla3[No.],  Tabla3[CURP], " ")</f>
        <v>LOMA831210MMCPNL03</v>
      </c>
      <c r="F71" s="2362" t="str">
        <f>_xlfn.XLOOKUP($D71,  Tabla3[No.],  Tabla3[Matrícula Of. SEQ], " ")</f>
        <v>64DD07B-02</v>
      </c>
      <c r="G71" s="3685" t="str">
        <f>IFERROR(VLOOKUP(D71,Tabla3[],5,FALSE),"")</f>
        <v>LOPEZ MONTES DE OCA ALEJANDRA IRAIS</v>
      </c>
      <c r="H71" s="3686" t="str">
        <f t="shared" si="8"/>
        <v>M</v>
      </c>
      <c r="I71" s="3686" t="str">
        <f t="shared" si="9"/>
        <v>83</v>
      </c>
      <c r="J71" s="3686" t="str">
        <f t="shared" si="10"/>
        <v>12</v>
      </c>
      <c r="K71" s="3686" t="str">
        <f t="shared" si="11"/>
        <v>10</v>
      </c>
      <c r="L71" s="1276" t="str">
        <f>_xlfn.XLOOKUP($D71,  Tabla3[No.],  Tabla3[ESTATUS ACADÉMICO], " ")</f>
        <v>EGRESADO</v>
      </c>
      <c r="M71" s="3341" t="str">
        <f>_xlfn.XLOOKUP($D71,  Tabla3[No.],  Tabla3[Grupo de clase], " ")</f>
        <v>DD06A</v>
      </c>
      <c r="N71" s="3349">
        <v>10</v>
      </c>
      <c r="O71" s="3348">
        <v>10</v>
      </c>
      <c r="P71" s="3348">
        <v>10</v>
      </c>
      <c r="Q71" s="3348">
        <v>10</v>
      </c>
      <c r="R71" s="3348">
        <v>9.6</v>
      </c>
      <c r="S71" s="3348">
        <v>9.6</v>
      </c>
      <c r="T71" s="3348">
        <v>9.6</v>
      </c>
      <c r="U71" s="3348">
        <v>10</v>
      </c>
      <c r="V71" s="3348">
        <v>10</v>
      </c>
      <c r="W71" s="3348">
        <v>10</v>
      </c>
      <c r="X71" s="3348">
        <v>10</v>
      </c>
      <c r="Y71" s="3348">
        <v>10</v>
      </c>
      <c r="Z71" s="3348">
        <v>10</v>
      </c>
      <c r="AA71" s="3348">
        <v>10</v>
      </c>
      <c r="AB71" s="3348">
        <v>10</v>
      </c>
      <c r="AC71" s="3348">
        <v>10</v>
      </c>
      <c r="AD71" s="3348">
        <v>10</v>
      </c>
      <c r="AE71" s="3348">
        <v>10</v>
      </c>
      <c r="AF71" s="3348">
        <v>10</v>
      </c>
      <c r="AG71" s="3348">
        <v>10</v>
      </c>
      <c r="AH71" s="3257"/>
      <c r="AI71" s="3257"/>
      <c r="AJ71" s="3257"/>
      <c r="AK71" s="3257"/>
      <c r="AL71" s="3257"/>
      <c r="AM71" s="3257"/>
      <c r="AN71" s="3257"/>
      <c r="AO71" s="3257"/>
      <c r="AP71" s="3257"/>
      <c r="AQ71" s="3257"/>
      <c r="AR71" s="3257"/>
      <c r="AS71" s="3257"/>
      <c r="AT71" s="3257"/>
      <c r="AU71" s="3257"/>
      <c r="AV71" s="3687"/>
    </row>
    <row r="72" spans="1:48" s="3670" customFormat="1" ht="15" customHeight="1">
      <c r="A72" s="3695"/>
      <c r="B72" s="2365">
        <v>16</v>
      </c>
      <c r="C72" s="3343">
        <f>_xlfn.XLOOKUP($E72,Tabla3[CURP],Tabla3[FECHA DE INICIO (PRIMERA CLASE CALENDARIO)]," ")</f>
        <v>45367</v>
      </c>
      <c r="D72" s="3344">
        <v>692</v>
      </c>
      <c r="E72" s="3696" t="str">
        <f>_xlfn.XLOOKUP($D72,  Tabla3[No.],  Tabla3[CURP], " ")</f>
        <v>RIBR720424HCCVTS22</v>
      </c>
      <c r="F72" s="2365" t="str">
        <f>_xlfn.XLOOKUP($D72,  Tabla3[No.],  Tabla3[Matrícula Of. SEQ], " ")</f>
        <v>64DD07G-04</v>
      </c>
      <c r="G72" s="2960" t="str">
        <f>IFERROR(VLOOKUP(D72,Tabla3[],5,FALSE),"")</f>
        <v>RIVERA BOTELLO ROSENDO ENRIQUE</v>
      </c>
      <c r="H72" s="3697" t="str">
        <f t="shared" si="8"/>
        <v>H</v>
      </c>
      <c r="I72" s="3697" t="str">
        <f t="shared" si="9"/>
        <v>72</v>
      </c>
      <c r="J72" s="3697" t="str">
        <f t="shared" si="10"/>
        <v>04</v>
      </c>
      <c r="K72" s="3697" t="str">
        <f t="shared" si="11"/>
        <v>24</v>
      </c>
      <c r="L72" s="1358" t="str">
        <f>_xlfn.XLOOKUP($D72,  Tabla3[No.],  Tabla3[ESTATUS ACADÉMICO], " ")</f>
        <v>BAJA TEMPORAL</v>
      </c>
      <c r="M72" s="3345" t="str">
        <f>_xlfn.XLOOKUP($D72,  Tabla3[No.],  Tabla3[Grupo de clase], " ")</f>
        <v>DD07A</v>
      </c>
      <c r="N72" s="3353">
        <v>10</v>
      </c>
      <c r="O72" s="3353">
        <v>10</v>
      </c>
      <c r="P72" s="3353">
        <v>10</v>
      </c>
      <c r="Q72" s="3353">
        <v>10</v>
      </c>
      <c r="R72" s="3353">
        <v>9.6</v>
      </c>
      <c r="S72" s="3353">
        <v>9.6</v>
      </c>
      <c r="T72" s="3353">
        <v>9.6</v>
      </c>
      <c r="U72" s="3353">
        <v>10</v>
      </c>
      <c r="V72" s="3353">
        <v>9.6</v>
      </c>
      <c r="W72" s="3353">
        <v>10</v>
      </c>
      <c r="X72" s="3353">
        <v>9.6</v>
      </c>
      <c r="Y72" s="3353">
        <v>0</v>
      </c>
      <c r="Z72" s="3353"/>
      <c r="AA72" s="3353"/>
      <c r="AB72" s="3353"/>
      <c r="AC72" s="3353"/>
      <c r="AD72" s="3353"/>
      <c r="AE72" s="3353"/>
      <c r="AF72" s="3353"/>
      <c r="AG72" s="3353"/>
      <c r="AH72" s="3353"/>
      <c r="AI72" s="3353"/>
      <c r="AJ72" s="3353"/>
      <c r="AK72" s="3353"/>
      <c r="AL72" s="3353"/>
      <c r="AM72" s="3353"/>
      <c r="AN72" s="3353"/>
      <c r="AO72" s="3353"/>
      <c r="AP72" s="3353"/>
      <c r="AQ72" s="3353"/>
      <c r="AR72" s="3353"/>
      <c r="AS72" s="3353"/>
      <c r="AT72" s="3353"/>
      <c r="AU72" s="3353"/>
      <c r="AV72" s="3698"/>
    </row>
    <row r="73" spans="1:48" s="3670" customFormat="1" ht="15" customHeight="1">
      <c r="A73" s="3683" t="s">
        <v>1123</v>
      </c>
      <c r="B73" s="2362">
        <v>17</v>
      </c>
      <c r="C73" s="3338">
        <f>_xlfn.XLOOKUP($E73,Tabla3[CURP],Tabla3[FECHA DE INICIO (PRIMERA CLASE CALENDARIO)]," ")</f>
        <v>45402</v>
      </c>
      <c r="D73" s="3339">
        <v>697</v>
      </c>
      <c r="E73" s="3691" t="str">
        <f>_xlfn.XLOOKUP($D73,  Tabla3[No.],  Tabla3[CURP], " ")</f>
        <v>BEAA760319HMCRRN01</v>
      </c>
      <c r="F73" s="2362" t="str">
        <f>_xlfn.XLOOKUP($D73,  Tabla3[No.],  Tabla3[Matrícula Of. SEQ], " ")</f>
        <v>64DD07H-02</v>
      </c>
      <c r="G73" s="3685" t="str">
        <f>IFERROR(VLOOKUP(D73,Tabla3[],5,FALSE),"")</f>
        <v>BERNAL ARZALUZ JOSE ANTONIO</v>
      </c>
      <c r="H73" s="3699" t="str">
        <f t="shared" si="8"/>
        <v>H</v>
      </c>
      <c r="I73" s="3686" t="str">
        <f t="shared" si="9"/>
        <v>76</v>
      </c>
      <c r="J73" s="3686" t="str">
        <f t="shared" si="10"/>
        <v>03</v>
      </c>
      <c r="K73" s="3686" t="str">
        <f t="shared" si="11"/>
        <v>19</v>
      </c>
      <c r="L73" s="1276" t="str">
        <f>_xlfn.XLOOKUP($D73,  Tabla3[No.],  Tabla3[ESTATUS ACADÉMICO], " ")</f>
        <v>EGRESADO</v>
      </c>
      <c r="M73" s="3341" t="str">
        <f>_xlfn.XLOOKUP($D73,  Tabla3[No.],  Tabla3[Grupo de clase], " ")</f>
        <v>DD07A</v>
      </c>
      <c r="N73" s="3348"/>
      <c r="O73" s="3348"/>
      <c r="P73" s="3348"/>
      <c r="Q73" s="3348">
        <v>10</v>
      </c>
      <c r="R73" s="3348">
        <v>8</v>
      </c>
      <c r="S73" s="3348">
        <v>10</v>
      </c>
      <c r="T73" s="3348">
        <v>10</v>
      </c>
      <c r="U73" s="3348">
        <v>10</v>
      </c>
      <c r="V73" s="3348">
        <v>10</v>
      </c>
      <c r="W73" s="3348"/>
      <c r="X73" s="3348"/>
      <c r="Y73" s="3348"/>
      <c r="Z73" s="3348"/>
      <c r="AA73" s="3348"/>
      <c r="AB73" s="3348"/>
      <c r="AC73" s="3348"/>
      <c r="AD73" s="3348"/>
      <c r="AE73" s="3348"/>
      <c r="AF73" s="3348"/>
      <c r="AG73" s="3348"/>
      <c r="AH73" s="3348"/>
      <c r="AI73" s="3348"/>
      <c r="AJ73" s="3348"/>
      <c r="AK73" s="3348"/>
      <c r="AL73" s="3348"/>
      <c r="AM73" s="3348"/>
      <c r="AN73" s="3348"/>
      <c r="AO73" s="3348"/>
      <c r="AP73" s="3348"/>
      <c r="AQ73" s="3348"/>
      <c r="AR73" s="3348"/>
      <c r="AS73" s="3348"/>
      <c r="AT73" s="3348"/>
      <c r="AU73" s="3348"/>
      <c r="AV73" s="3700"/>
    </row>
    <row r="74" spans="1:48" s="3670" customFormat="1" ht="15" customHeight="1">
      <c r="A74" s="3683" t="s">
        <v>1123</v>
      </c>
      <c r="B74" s="2362">
        <v>18</v>
      </c>
      <c r="C74" s="3338">
        <f>_xlfn.XLOOKUP($E74,Tabla3[CURP],Tabla3[FECHA DE INICIO (PRIMERA CLASE CALENDARIO)]," ")</f>
        <v>45402</v>
      </c>
      <c r="D74" s="3339">
        <v>719</v>
      </c>
      <c r="E74" s="3691" t="str">
        <f>_xlfn.XLOOKUP($D74,  Tabla3[No.],  Tabla3[CURP], " ")</f>
        <v>AEGM580603HDGRRNO5</v>
      </c>
      <c r="F74" s="2362" t="str">
        <f>_xlfn.XLOOKUP($D74,  Tabla3[No.],  Tabla3[Matrícula Of. SEQ], " ")</f>
        <v>64DD07H-01</v>
      </c>
      <c r="G74" s="3685" t="str">
        <f>IFERROR(VLOOKUP(D74,Tabla3[],5,FALSE),"")</f>
        <v>ARELLANO GARCIA MANUEL DE JESUS</v>
      </c>
      <c r="H74" s="3699" t="str">
        <f t="shared" si="8"/>
        <v>H</v>
      </c>
      <c r="I74" s="3686" t="str">
        <f t="shared" si="9"/>
        <v>58</v>
      </c>
      <c r="J74" s="3686" t="str">
        <f t="shared" si="10"/>
        <v>06</v>
      </c>
      <c r="K74" s="3686" t="str">
        <f t="shared" si="11"/>
        <v>03</v>
      </c>
      <c r="L74" s="1276" t="str">
        <f>_xlfn.XLOOKUP($D74,  Tabla3[No.],  Tabla3[ESTATUS ACADÉMICO], " ")</f>
        <v>BAJA TEMPORAL</v>
      </c>
      <c r="M74" s="3341" t="str">
        <f>_xlfn.XLOOKUP($D74,  Tabla3[No.],  Tabla3[Grupo de clase], " ")</f>
        <v>DD07A</v>
      </c>
      <c r="N74" s="3348"/>
      <c r="O74" s="3348"/>
      <c r="P74" s="3348"/>
      <c r="Q74" s="3348">
        <v>10</v>
      </c>
      <c r="R74" s="3348">
        <v>8</v>
      </c>
      <c r="S74" s="3348">
        <v>9.1</v>
      </c>
      <c r="T74" s="3348">
        <v>9.5</v>
      </c>
      <c r="U74" s="3348">
        <v>10</v>
      </c>
      <c r="V74" s="3348">
        <v>8</v>
      </c>
      <c r="W74" s="3348"/>
      <c r="X74" s="3348"/>
      <c r="Y74" s="3348"/>
      <c r="Z74" s="3348"/>
      <c r="AA74" s="3348"/>
      <c r="AB74" s="3348"/>
      <c r="AC74" s="3348"/>
      <c r="AD74" s="3348"/>
      <c r="AE74" s="3348"/>
      <c r="AF74" s="3348"/>
      <c r="AG74" s="3348"/>
      <c r="AH74" s="3348"/>
      <c r="AI74" s="3348"/>
      <c r="AJ74" s="3348"/>
      <c r="AK74" s="3348"/>
      <c r="AL74" s="3348"/>
      <c r="AM74" s="3348"/>
      <c r="AN74" s="3348"/>
      <c r="AO74" s="3348"/>
      <c r="AP74" s="3348"/>
      <c r="AQ74" s="3348"/>
      <c r="AR74" s="3348"/>
      <c r="AS74" s="3348"/>
      <c r="AT74" s="3348"/>
      <c r="AU74" s="3348"/>
      <c r="AV74" s="3700"/>
    </row>
    <row r="75" spans="1:48" s="3670" customFormat="1" ht="15" customHeight="1">
      <c r="A75" s="3695" t="s">
        <v>1123</v>
      </c>
      <c r="B75" s="2365">
        <v>19</v>
      </c>
      <c r="C75" s="3343">
        <f>_xlfn.XLOOKUP($E75,Tabla3[CURP],Tabla3[FECHA DE INICIO (PRIMERA CLASE CALENDARIO)]," ")</f>
        <v>45409</v>
      </c>
      <c r="D75" s="3344">
        <v>721</v>
      </c>
      <c r="E75" s="3696" t="str">
        <f>_xlfn.XLOOKUP($D75,  Tabla3[No.],  Tabla3[CURP], " ")</f>
        <v>MECV480630HVZNRC09</v>
      </c>
      <c r="F75" s="2365" t="str">
        <f>_xlfn.XLOOKUP($D75,  Tabla3[No.],  Tabla3[Matrícula Of. SEQ], " ")</f>
        <v>64DD07H-03</v>
      </c>
      <c r="G75" s="2960" t="str">
        <f>IFERROR(VLOOKUP(D75,Tabla3[],5,FALSE),"")</f>
        <v>MENDEZ CORTES VICTOR MANUEL</v>
      </c>
      <c r="H75" s="3697" t="str">
        <f t="shared" si="8"/>
        <v>H</v>
      </c>
      <c r="I75" s="3697" t="str">
        <f t="shared" si="9"/>
        <v>48</v>
      </c>
      <c r="J75" s="3697" t="str">
        <f t="shared" si="10"/>
        <v>06</v>
      </c>
      <c r="K75" s="3697" t="str">
        <f t="shared" si="11"/>
        <v>30</v>
      </c>
      <c r="L75" s="1358" t="str">
        <f>_xlfn.XLOOKUP($D75,  Tabla3[No.],  Tabla3[ESTATUS ACADÉMICO], " ")</f>
        <v>BAJA TEMPORAL</v>
      </c>
      <c r="M75" s="3345" t="str">
        <f>_xlfn.XLOOKUP($D75,  Tabla3[No.],  Tabla3[Grupo de clase], " ")</f>
        <v>DD06A</v>
      </c>
      <c r="N75" s="3353"/>
      <c r="O75" s="3353"/>
      <c r="P75" s="3353"/>
      <c r="Q75" s="3353">
        <v>10</v>
      </c>
      <c r="R75" s="3353">
        <v>10</v>
      </c>
      <c r="S75" s="3353">
        <v>10</v>
      </c>
      <c r="T75" s="3353">
        <v>10</v>
      </c>
      <c r="U75" s="3353">
        <v>10</v>
      </c>
      <c r="V75" s="3353"/>
      <c r="W75" s="3353"/>
      <c r="X75" s="3353"/>
      <c r="Y75" s="3353"/>
      <c r="Z75" s="3353"/>
      <c r="AA75" s="3353"/>
      <c r="AB75" s="3353"/>
      <c r="AC75" s="3353"/>
      <c r="AD75" s="3353"/>
      <c r="AE75" s="3353"/>
      <c r="AF75" s="3353"/>
      <c r="AG75" s="3353"/>
      <c r="AH75" s="3353"/>
      <c r="AI75" s="3353"/>
      <c r="AJ75" s="3353"/>
      <c r="AK75" s="3353"/>
      <c r="AL75" s="3353"/>
      <c r="AM75" s="3353"/>
      <c r="AN75" s="3353"/>
      <c r="AO75" s="3353"/>
      <c r="AP75" s="3353"/>
      <c r="AQ75" s="3353"/>
      <c r="AR75" s="3353"/>
      <c r="AS75" s="3353"/>
      <c r="AT75" s="3353"/>
      <c r="AU75" s="3353"/>
      <c r="AV75" s="3698"/>
    </row>
    <row r="76" spans="1:48" s="3670" customFormat="1" ht="15" customHeight="1">
      <c r="A76" s="3695" t="s">
        <v>1625</v>
      </c>
      <c r="B76" s="2365">
        <v>20</v>
      </c>
      <c r="C76" s="3343">
        <f>_xlfn.XLOOKUP($E76,Tabla3[CURP],Tabla3[FECHA DE INICIO (PRIMERA CLASE CALENDARIO)]," ")</f>
        <v>45437</v>
      </c>
      <c r="D76" s="3344">
        <v>722</v>
      </c>
      <c r="E76" s="3701" t="str">
        <f>_xlfn.XLOOKUP($D76,  Tabla3[No.],  Tabla3[CURP], " ")</f>
        <v>SOMM781022MCHLNN01</v>
      </c>
      <c r="F76" s="2365" t="str">
        <f>_xlfn.XLOOKUP($D76,  Tabla3[No.],  Tabla3[Matrícula Of. SEQ], " ")</f>
        <v>64DD07G-05</v>
      </c>
      <c r="G76" s="2960" t="str">
        <f>IFERROR(VLOOKUP(D76,Tabla3[],5,FALSE),"")</f>
        <v>SOLIS MANRIQUEZ MENDY</v>
      </c>
      <c r="H76" s="3702" t="str">
        <f t="shared" si="8"/>
        <v>M</v>
      </c>
      <c r="I76" s="3697" t="str">
        <f t="shared" si="9"/>
        <v>78</v>
      </c>
      <c r="J76" s="3697" t="str">
        <f t="shared" si="10"/>
        <v>10</v>
      </c>
      <c r="K76" s="3697" t="str">
        <f t="shared" si="11"/>
        <v>22</v>
      </c>
      <c r="L76" s="1358" t="str">
        <f>_xlfn.XLOOKUP($D76,  Tabla3[No.],  Tabla3[ESTATUS ACADÉMICO], " ")</f>
        <v>BAJA TEMPORAL</v>
      </c>
      <c r="M76" s="3345" t="str">
        <f>_xlfn.XLOOKUP($D76,  Tabla3[No.],  Tabla3[Grupo de clase], " ")</f>
        <v>DD07A</v>
      </c>
      <c r="N76" s="3353"/>
      <c r="O76" s="3353"/>
      <c r="P76" s="3353"/>
      <c r="Q76" s="3353">
        <v>10</v>
      </c>
      <c r="R76" s="3353">
        <v>10</v>
      </c>
      <c r="S76" s="3353">
        <v>10</v>
      </c>
      <c r="T76" s="3353">
        <v>10</v>
      </c>
      <c r="U76" s="3353">
        <v>10</v>
      </c>
      <c r="V76" s="3847"/>
      <c r="W76" s="3847"/>
      <c r="X76" s="3847"/>
      <c r="Y76" s="3847"/>
      <c r="Z76" s="3353">
        <v>10</v>
      </c>
      <c r="AA76" s="3353">
        <v>10</v>
      </c>
      <c r="AB76" s="3353">
        <v>10</v>
      </c>
      <c r="AC76" s="3353">
        <v>10</v>
      </c>
      <c r="AD76" s="3353"/>
      <c r="AE76" s="3353"/>
      <c r="AF76" s="3353"/>
      <c r="AG76" s="3353"/>
      <c r="AH76" s="3353"/>
      <c r="AI76" s="3353"/>
      <c r="AJ76" s="3353"/>
      <c r="AK76" s="3353"/>
      <c r="AL76" s="3353"/>
      <c r="AM76" s="3353"/>
      <c r="AN76" s="3353"/>
      <c r="AO76" s="3353"/>
      <c r="AP76" s="3353"/>
      <c r="AQ76" s="3353"/>
      <c r="AR76" s="3353"/>
      <c r="AS76" s="3353"/>
      <c r="AT76" s="3353"/>
      <c r="AU76" s="3353"/>
      <c r="AV76" s="3698"/>
    </row>
    <row r="77" spans="1:48" s="3670" customFormat="1" ht="15" customHeight="1">
      <c r="A77" s="3695" t="s">
        <v>1625</v>
      </c>
      <c r="B77" s="2365">
        <v>21</v>
      </c>
      <c r="C77" s="3343">
        <f>_xlfn.XLOOKUP($E77,Tabla3[CURP],Tabla3[FECHA DE INICIO (PRIMERA CLASE CALENDARIO)]," ")</f>
        <v>45437</v>
      </c>
      <c r="D77" s="3344">
        <v>723</v>
      </c>
      <c r="E77" s="3701" t="str">
        <f>_xlfn.XLOOKUP($D77,  Tabla3[No.],  Tabla3[CURP], " ")</f>
        <v>LORI771217HDFPMS01</v>
      </c>
      <c r="F77" s="2365" t="str">
        <f>_xlfn.XLOOKUP($D77,  Tabla3[No.],  Tabla3[Matrícula Of. SEQ], " ")</f>
        <v>64DD07G-03</v>
      </c>
      <c r="G77" s="2960" t="str">
        <f>IFERROR(VLOOKUP(D77,Tabla3[],5,FALSE),"")</f>
        <v>LOPEZ ROMERO ISRAEL</v>
      </c>
      <c r="H77" s="3702" t="str">
        <f t="shared" si="8"/>
        <v>H</v>
      </c>
      <c r="I77" s="3697" t="str">
        <f t="shared" si="9"/>
        <v>77</v>
      </c>
      <c r="J77" s="3697" t="str">
        <f t="shared" si="10"/>
        <v>12</v>
      </c>
      <c r="K77" s="3697" t="str">
        <f t="shared" si="11"/>
        <v>17</v>
      </c>
      <c r="L77" s="1358" t="str">
        <f>_xlfn.XLOOKUP($D77,  Tabla3[No.],  Tabla3[ESTATUS ACADÉMICO], " ")</f>
        <v>BAJA TEMPORAL</v>
      </c>
      <c r="M77" s="3345" t="str">
        <f>_xlfn.XLOOKUP($D77,  Tabla3[No.],  Tabla3[Grupo de clase], " ")</f>
        <v>DD07A</v>
      </c>
      <c r="N77" s="3353"/>
      <c r="O77" s="3353"/>
      <c r="P77" s="3353"/>
      <c r="Q77" s="3353">
        <v>10</v>
      </c>
      <c r="R77" s="3353">
        <v>10</v>
      </c>
      <c r="S77" s="3353">
        <v>10</v>
      </c>
      <c r="T77" s="3353">
        <v>10</v>
      </c>
      <c r="U77" s="3353">
        <v>10</v>
      </c>
      <c r="V77" s="3847"/>
      <c r="W77" s="3847"/>
      <c r="X77" s="3847"/>
      <c r="Y77" s="3847"/>
      <c r="Z77" s="3353">
        <v>10</v>
      </c>
      <c r="AA77" s="3353">
        <v>10</v>
      </c>
      <c r="AB77" s="3353">
        <v>10</v>
      </c>
      <c r="AC77" s="3353">
        <v>10</v>
      </c>
      <c r="AD77" s="3353"/>
      <c r="AE77" s="3353"/>
      <c r="AF77" s="3353"/>
      <c r="AG77" s="3353"/>
      <c r="AH77" s="3353"/>
      <c r="AI77" s="3353"/>
      <c r="AJ77" s="3353"/>
      <c r="AK77" s="3353"/>
      <c r="AL77" s="3353"/>
      <c r="AM77" s="3353"/>
      <c r="AN77" s="3353"/>
      <c r="AO77" s="3353"/>
      <c r="AP77" s="3353"/>
      <c r="AQ77" s="3353"/>
      <c r="AR77" s="3353"/>
      <c r="AS77" s="3353"/>
      <c r="AT77" s="3353"/>
      <c r="AU77" s="3353"/>
      <c r="AV77" s="3698"/>
    </row>
    <row r="78" spans="1:48" s="3670" customFormat="1" ht="15" customHeight="1">
      <c r="A78" s="2774" t="s">
        <v>1625</v>
      </c>
      <c r="B78" s="1231">
        <v>22</v>
      </c>
      <c r="C78" s="2955">
        <f>_xlfn.XLOOKUP($E78,Tabla3[CURP],Tabla3[FECHA DE INICIO (PRIMERA CLASE CALENDARIO)]," ")</f>
        <v>43715</v>
      </c>
      <c r="D78" s="2771">
        <v>728</v>
      </c>
      <c r="E78" s="2276" t="str">
        <f>_xlfn.XLOOKUP($D78,  Tabla3[No.],  Tabla3[CURP], " ")</f>
        <v>LOHV800529MTCPRC01</v>
      </c>
      <c r="F78" s="1231" t="str">
        <f>_xlfn.XLOOKUP($D78,  Tabla3[No.],  Tabla3[Matrícula Of. SEQ], " ")</f>
        <v>64DD07G-02</v>
      </c>
      <c r="G78" s="1608" t="str">
        <f>IFERROR(VLOOKUP(D78,Tabla3[],5,FALSE),"")</f>
        <v>LOPEZ HERNANDEZ VICTORIA</v>
      </c>
      <c r="H78" s="3704" t="str">
        <f t="shared" si="8"/>
        <v>M</v>
      </c>
      <c r="I78" s="3689" t="str">
        <f t="shared" si="9"/>
        <v>80</v>
      </c>
      <c r="J78" s="3689" t="str">
        <f t="shared" si="10"/>
        <v>05</v>
      </c>
      <c r="K78" s="3689" t="str">
        <f t="shared" si="11"/>
        <v>29</v>
      </c>
      <c r="L78" s="1276" t="str">
        <f>_xlfn.XLOOKUP($D78,  Tabla3[No.],  Tabla3[ESTATUS ACADÉMICO], " ")</f>
        <v>VIGENTE</v>
      </c>
      <c r="M78" s="3341" t="str">
        <f>_xlfn.XLOOKUP($D78,  Tabla3[No.],  Tabla3[Grupo de clase], " ")</f>
        <v>DD07A</v>
      </c>
      <c r="N78" s="3354" t="s">
        <v>135</v>
      </c>
      <c r="O78" s="3354" t="s">
        <v>135</v>
      </c>
      <c r="P78" s="3354" t="s">
        <v>135</v>
      </c>
      <c r="Q78" s="3257" t="s">
        <v>135</v>
      </c>
      <c r="R78" s="3257">
        <v>8</v>
      </c>
      <c r="S78" s="3257">
        <v>9.5</v>
      </c>
      <c r="T78" s="3257">
        <v>9.6</v>
      </c>
      <c r="U78" s="3257">
        <v>10</v>
      </c>
      <c r="V78" s="3348">
        <v>10</v>
      </c>
      <c r="W78" s="3257">
        <v>10</v>
      </c>
      <c r="X78" s="3257">
        <v>10</v>
      </c>
      <c r="Y78" s="3257">
        <v>10</v>
      </c>
      <c r="Z78" s="3257">
        <v>10</v>
      </c>
      <c r="AA78" s="3257">
        <v>10</v>
      </c>
      <c r="AB78" s="3257">
        <v>10</v>
      </c>
      <c r="AC78" s="3257">
        <v>10</v>
      </c>
      <c r="AD78" s="3257">
        <v>10</v>
      </c>
      <c r="AE78" s="3348">
        <v>10</v>
      </c>
      <c r="AF78" s="3257">
        <v>10</v>
      </c>
      <c r="AG78" s="3257">
        <v>10</v>
      </c>
      <c r="AH78" s="3348">
        <v>10</v>
      </c>
      <c r="AI78" s="3348">
        <v>10</v>
      </c>
      <c r="AJ78" s="3257"/>
      <c r="AK78" s="3257"/>
      <c r="AL78" s="3257"/>
      <c r="AM78" s="3257"/>
      <c r="AN78" s="3257"/>
      <c r="AO78" s="3257"/>
      <c r="AP78" s="3257"/>
      <c r="AQ78" s="3257"/>
      <c r="AR78" s="3257"/>
      <c r="AS78" s="3257"/>
      <c r="AT78" s="3257"/>
      <c r="AU78" s="3257"/>
      <c r="AV78" s="3687"/>
    </row>
    <row r="79" spans="1:48" s="3670" customFormat="1" ht="15" customHeight="1">
      <c r="A79" s="2774" t="s">
        <v>1625</v>
      </c>
      <c r="B79" s="1231">
        <v>23</v>
      </c>
      <c r="C79" s="2955">
        <f>_xlfn.XLOOKUP($E79,Tabla3[CURP],Tabla3[FECHA DE INICIO (PRIMERA CLASE CALENDARIO)]," ")</f>
        <v>44575</v>
      </c>
      <c r="D79" s="2771">
        <v>788</v>
      </c>
      <c r="E79" s="2276" t="str">
        <f>_xlfn.XLOOKUP($D79,  Tabla3[No.],  Tabla3[CURP], " ")</f>
        <v>OIOX890708MMSRCC08</v>
      </c>
      <c r="F79" s="1231" t="str">
        <f>_xlfn.XLOOKUP($D79,  Tabla3[No.],  Tabla3[Matrícula Of. SEQ], " ")</f>
        <v>64DD07L-12</v>
      </c>
      <c r="G79" s="1608" t="str">
        <f>IFERROR(VLOOKUP(D79,Tabla3[],5,FALSE),"")</f>
        <v>ORTIZ OCAMPO XOCHIQUETZAL</v>
      </c>
      <c r="H79" s="3704" t="str">
        <f t="shared" si="8"/>
        <v>M</v>
      </c>
      <c r="I79" s="3689" t="str">
        <f t="shared" si="9"/>
        <v>89</v>
      </c>
      <c r="J79" s="3689" t="str">
        <f t="shared" si="10"/>
        <v>07</v>
      </c>
      <c r="K79" s="3689" t="str">
        <f t="shared" si="11"/>
        <v>08</v>
      </c>
      <c r="L79" s="1276" t="str">
        <f>_xlfn.XLOOKUP($D79,  Tabla3[No.],  Tabla3[ESTATUS ACADÉMICO], " ")</f>
        <v>VIGENTE</v>
      </c>
      <c r="M79" s="3341" t="str">
        <f>_xlfn.XLOOKUP($D79,  Tabla3[No.],  Tabla3[Grupo de clase], " ")</f>
        <v>DD07A</v>
      </c>
      <c r="N79" s="3354" t="s">
        <v>135</v>
      </c>
      <c r="O79" s="3354" t="s">
        <v>135</v>
      </c>
      <c r="P79" s="3354" t="s">
        <v>135</v>
      </c>
      <c r="Q79" s="3354" t="s">
        <v>135</v>
      </c>
      <c r="R79" s="3354" t="s">
        <v>135</v>
      </c>
      <c r="S79" s="3354" t="s">
        <v>135</v>
      </c>
      <c r="T79" s="3354" t="s">
        <v>135</v>
      </c>
      <c r="U79" s="3257">
        <v>10</v>
      </c>
      <c r="V79" s="3257">
        <v>10</v>
      </c>
      <c r="W79" s="3257">
        <v>10</v>
      </c>
      <c r="X79" s="3257">
        <v>10</v>
      </c>
      <c r="Y79" s="3257">
        <v>10</v>
      </c>
      <c r="Z79" s="3257">
        <v>10</v>
      </c>
      <c r="AA79" s="3257">
        <v>10</v>
      </c>
      <c r="AB79" s="3257">
        <v>10</v>
      </c>
      <c r="AC79" s="3257">
        <v>10</v>
      </c>
      <c r="AD79" s="3257">
        <v>10</v>
      </c>
      <c r="AE79" s="3257">
        <v>10</v>
      </c>
      <c r="AF79" s="3257">
        <v>10</v>
      </c>
      <c r="AG79" s="3257">
        <v>10</v>
      </c>
      <c r="AH79" s="3257">
        <v>10</v>
      </c>
      <c r="AI79" s="3257">
        <v>10</v>
      </c>
      <c r="AJ79" s="3257"/>
      <c r="AK79" s="3257"/>
      <c r="AL79" s="3257"/>
      <c r="AM79" s="3257"/>
      <c r="AN79" s="3257"/>
      <c r="AO79" s="3257"/>
      <c r="AP79" s="3257"/>
      <c r="AQ79" s="3257"/>
      <c r="AR79" s="3257"/>
      <c r="AS79" s="3257"/>
      <c r="AT79" s="3257"/>
      <c r="AU79" s="3257"/>
      <c r="AV79" s="3687"/>
    </row>
    <row r="80" spans="1:48" s="3670" customFormat="1" ht="15" customHeight="1">
      <c r="A80" s="3695" t="s">
        <v>1625</v>
      </c>
      <c r="B80" s="2365">
        <v>24</v>
      </c>
      <c r="C80" s="3343">
        <f>_xlfn.XLOOKUP($E80,Tabla3[CURP],Tabla3[FECHA DE INICIO (PRIMERA CLASE CALENDARIO)]," ")</f>
        <v>45010</v>
      </c>
      <c r="D80" s="3344">
        <v>790</v>
      </c>
      <c r="E80" s="3701" t="str">
        <f>_xlfn.XLOOKUP($D80,  Tabla3[No.],  Tabla3[CURP], " ")</f>
        <v>LOMM690929HCCPY604</v>
      </c>
      <c r="F80" s="2365">
        <f>_xlfn.XLOOKUP($D80,  Tabla3[No.],  Tabla3[Matrícula Of. SEQ], " ")</f>
        <v>0</v>
      </c>
      <c r="G80" s="2960" t="str">
        <f>IFERROR(VLOOKUP(D80,Tabla3[],5,FALSE),"")</f>
        <v>LOPEZ MAY MIGUEL ANGEL</v>
      </c>
      <c r="H80" s="3702" t="str">
        <f>MID($E80,11,1)</f>
        <v>H</v>
      </c>
      <c r="I80" s="3697" t="str">
        <f>MID($E80,5,2)</f>
        <v>69</v>
      </c>
      <c r="J80" s="3697" t="str">
        <f>MID($E80,7,2)</f>
        <v>09</v>
      </c>
      <c r="K80" s="3697" t="str">
        <f>MID($E80,9,2)</f>
        <v>29</v>
      </c>
      <c r="L80" s="1358" t="str">
        <f>_xlfn.XLOOKUP($D80,  Tabla3[No.],  Tabla3[ESTATUS ACADÉMICO], " ")</f>
        <v>BAJA TEMPORAL</v>
      </c>
      <c r="M80" s="3345" t="str">
        <f>_xlfn.XLOOKUP($D80,  Tabla3[No.],  Tabla3[Grupo de clase], " ")</f>
        <v>DD07</v>
      </c>
      <c r="N80" s="3355" t="s">
        <v>135</v>
      </c>
      <c r="O80" s="3355" t="s">
        <v>135</v>
      </c>
      <c r="P80" s="3355" t="s">
        <v>135</v>
      </c>
      <c r="Q80" s="3355" t="s">
        <v>135</v>
      </c>
      <c r="R80" s="3355" t="s">
        <v>135</v>
      </c>
      <c r="S80" s="3355" t="s">
        <v>135</v>
      </c>
      <c r="T80" s="3355" t="s">
        <v>135</v>
      </c>
      <c r="U80" s="3355" t="s">
        <v>135</v>
      </c>
      <c r="V80" s="3355" t="s">
        <v>135</v>
      </c>
      <c r="W80" s="3703">
        <v>0</v>
      </c>
      <c r="X80" s="3703">
        <v>0</v>
      </c>
      <c r="Y80" s="3703" t="s">
        <v>4442</v>
      </c>
      <c r="Z80" s="3353"/>
      <c r="AA80" s="3353"/>
      <c r="AB80" s="3353"/>
      <c r="AC80" s="3353">
        <v>10</v>
      </c>
      <c r="AD80" s="3353"/>
      <c r="AE80" s="3353"/>
      <c r="AF80" s="3353"/>
      <c r="AG80" s="3353"/>
      <c r="AH80" s="3353"/>
      <c r="AI80" s="3353"/>
      <c r="AJ80" s="3353"/>
      <c r="AK80" s="3353"/>
      <c r="AL80" s="3353"/>
      <c r="AM80" s="3353"/>
      <c r="AN80" s="3353"/>
      <c r="AO80" s="3353"/>
      <c r="AP80" s="3353"/>
      <c r="AQ80" s="3353"/>
      <c r="AR80" s="3353"/>
      <c r="AS80" s="3353"/>
      <c r="AT80" s="3353"/>
      <c r="AU80" s="3353"/>
      <c r="AV80" s="3698"/>
    </row>
    <row r="81" spans="1:48" s="3670" customFormat="1" ht="15" customHeight="1">
      <c r="A81" s="3695" t="s">
        <v>1625</v>
      </c>
      <c r="B81" s="2365">
        <v>25</v>
      </c>
      <c r="C81" s="3343">
        <f>_xlfn.XLOOKUP($E81,Tabla3[CURP],Tabla3[FECHA DE INICIO (PRIMERA CLASE CALENDARIO)]," ")</f>
        <v>45675</v>
      </c>
      <c r="D81" s="3344">
        <v>814</v>
      </c>
      <c r="E81" s="3701" t="str">
        <f>_xlfn.XLOOKUP($D81,  Tabla3[No.],  Tabla3[CURP], " ")</f>
        <v>ROMY850216MMCMDZ09</v>
      </c>
      <c r="F81" s="2365" t="str">
        <f>_xlfn.XLOOKUP($D81,  Tabla3[No.],  Tabla3[Matrícula Of. SEQ], " ")</f>
        <v>64DD08A-11</v>
      </c>
      <c r="G81" s="2960" t="str">
        <f>IFERROR(VLOOKUP(D81,Tabla3[],5,FALSE),"")</f>
        <v>ROMERO MEDINA YAZMIN ESMERALDA</v>
      </c>
      <c r="H81" s="3705" t="str">
        <f>MID($E81,11,1)</f>
        <v>M</v>
      </c>
      <c r="I81" s="3706" t="str">
        <f>MID($E81,5,2)</f>
        <v>85</v>
      </c>
      <c r="J81" s="3706" t="str">
        <f>MID($E81,7,2)</f>
        <v>02</v>
      </c>
      <c r="K81" s="3706" t="str">
        <f>MID($E81,9,2)</f>
        <v>16</v>
      </c>
      <c r="L81" s="1358" t="str">
        <f>_xlfn.XLOOKUP($D81,  Tabla3[No.],  Tabla3[ESTATUS ACADÉMICO], " ")</f>
        <v>BAJA TEMPORAL</v>
      </c>
      <c r="M81" s="3346" t="str">
        <f>_xlfn.XLOOKUP($D81,  Tabla3[No.],  Tabla3[Grupo de clase], " ")</f>
        <v>DD07A</v>
      </c>
      <c r="N81" s="3355" t="s">
        <v>135</v>
      </c>
      <c r="O81" s="3355" t="s">
        <v>135</v>
      </c>
      <c r="P81" s="3355" t="s">
        <v>135</v>
      </c>
      <c r="Q81" s="3355" t="s">
        <v>135</v>
      </c>
      <c r="R81" s="3355" t="s">
        <v>135</v>
      </c>
      <c r="S81" s="3355" t="s">
        <v>135</v>
      </c>
      <c r="T81" s="3355" t="s">
        <v>135</v>
      </c>
      <c r="U81" s="3355" t="s">
        <v>135</v>
      </c>
      <c r="V81" s="3355" t="s">
        <v>135</v>
      </c>
      <c r="W81" s="3355" t="s">
        <v>135</v>
      </c>
      <c r="X81" s="3355" t="s">
        <v>135</v>
      </c>
      <c r="Y81" s="3707"/>
      <c r="Z81" s="3355">
        <v>8</v>
      </c>
      <c r="AA81" s="3355"/>
      <c r="AB81" s="3353"/>
      <c r="AC81" s="3353"/>
      <c r="AD81" s="3353"/>
      <c r="AE81" s="3353"/>
      <c r="AF81" s="3353"/>
      <c r="AG81" s="3353"/>
      <c r="AH81" s="3353"/>
      <c r="AI81" s="3353"/>
      <c r="AJ81" s="3353"/>
      <c r="AK81" s="3353"/>
      <c r="AL81" s="3353"/>
      <c r="AM81" s="3353"/>
      <c r="AN81" s="3353"/>
      <c r="AO81" s="3353"/>
      <c r="AP81" s="3353"/>
      <c r="AQ81" s="3353"/>
      <c r="AR81" s="3353"/>
      <c r="AS81" s="3353"/>
      <c r="AT81" s="3355"/>
      <c r="AU81" s="3355"/>
      <c r="AV81" s="3708"/>
    </row>
    <row r="82" spans="1:48" s="3670" customFormat="1" ht="15" customHeight="1">
      <c r="A82" s="3683" t="s">
        <v>1123</v>
      </c>
      <c r="B82" s="2362">
        <v>26</v>
      </c>
      <c r="C82" s="3338">
        <f>_xlfn.XLOOKUP($E82,Tabla3[CURP],Tabla3[FECHA DE INICIO (PRIMERA CLASE CALENDARIO)]," ")</f>
        <v>45703</v>
      </c>
      <c r="D82" s="3339">
        <v>829</v>
      </c>
      <c r="E82" s="3691" t="str">
        <f>_xlfn.XLOOKUP($D82,  Tabla3[No.],  Tabla3[CURP], " ")</f>
        <v>BEGL800512MHGCRD06</v>
      </c>
      <c r="F82" s="2362" t="str">
        <f>_xlfn.XLOOKUP($D82,  Tabla3[No.],  Tabla3[Matrícula Of. SEQ], " ")</f>
        <v>64DD08D-01</v>
      </c>
      <c r="G82" s="3685" t="str">
        <f>IFERROR(VLOOKUP(D82,Tabla3[],5,FALSE),"")</f>
        <v>BECERRIL GARCIA MARIA LEDIT</v>
      </c>
      <c r="H82" s="3686" t="str">
        <f t="shared" ref="H82" si="12">MID($E82,11,1)</f>
        <v>M</v>
      </c>
      <c r="I82" s="3686" t="str">
        <f t="shared" ref="I82" si="13">MID($E82,5,2)</f>
        <v>80</v>
      </c>
      <c r="J82" s="3686" t="str">
        <f t="shared" ref="J82" si="14">MID($E82,7,2)</f>
        <v>05</v>
      </c>
      <c r="K82" s="3686" t="str">
        <f t="shared" ref="K82" si="15">MID($E82,9,2)</f>
        <v>12</v>
      </c>
      <c r="L82" s="1276" t="str">
        <f>_xlfn.XLOOKUP($D82,  Tabla3[No.],  Tabla3[ESTATUS ACADÉMICO], " ")</f>
        <v>EGRESADO</v>
      </c>
      <c r="M82" s="3341" t="str">
        <f>_xlfn.XLOOKUP($D82,  Tabla3[No.],  Tabla3[Grupo de clase], " ")</f>
        <v>DD07A</v>
      </c>
      <c r="N82" s="3356"/>
      <c r="O82" s="3356"/>
      <c r="P82" s="3356"/>
      <c r="Q82" s="3356"/>
      <c r="R82" s="3356"/>
      <c r="S82" s="3356"/>
      <c r="T82" s="3356"/>
      <c r="U82" s="3356"/>
      <c r="V82" s="3356"/>
      <c r="W82" s="3356"/>
      <c r="X82" s="3356"/>
      <c r="Y82" s="3709"/>
      <c r="Z82" s="3356"/>
      <c r="AA82" s="3356">
        <v>10</v>
      </c>
      <c r="AB82" s="3348">
        <v>10</v>
      </c>
      <c r="AC82" s="3348">
        <v>10</v>
      </c>
      <c r="AD82" s="3348">
        <v>10</v>
      </c>
      <c r="AE82" s="3348">
        <v>10</v>
      </c>
      <c r="AF82" s="3348">
        <v>10</v>
      </c>
      <c r="AG82" s="3348"/>
      <c r="AH82" s="3348"/>
      <c r="AI82" s="3348"/>
      <c r="AJ82" s="3348"/>
      <c r="AK82" s="3348"/>
      <c r="AL82" s="3348"/>
      <c r="AM82" s="3348"/>
      <c r="AN82" s="3348"/>
      <c r="AO82" s="3348"/>
      <c r="AP82" s="3348"/>
      <c r="AQ82" s="3348"/>
      <c r="AR82" s="3348"/>
      <c r="AS82" s="3348"/>
      <c r="AT82" s="3356"/>
      <c r="AU82" s="3356"/>
      <c r="AV82" s="3710"/>
    </row>
    <row r="83" spans="1:48" s="3670" customFormat="1" ht="15" customHeight="1">
      <c r="A83" s="2774" t="s">
        <v>1625</v>
      </c>
      <c r="B83" s="1231">
        <v>27</v>
      </c>
      <c r="C83" s="2955">
        <f>_xlfn.XLOOKUP($E83,Tabla3[CURP],Tabla3[FECHA DE INICIO (PRIMERA CLASE CALENDARIO)]," ")</f>
        <v>45703</v>
      </c>
      <c r="D83" s="2771">
        <v>831</v>
      </c>
      <c r="E83" s="2276" t="str">
        <f>_xlfn.XLOOKUP($D83,  Tabla3[No.],  Tabla3[CURP], " ")</f>
        <v>RORD541007HSPCYV00</v>
      </c>
      <c r="F83" s="1231" t="str">
        <f>_xlfn.XLOOKUP($D83,  Tabla3[No.],  Tabla3[Matrícula Of. SEQ], " ")</f>
        <v>64DD08D-04</v>
      </c>
      <c r="G83" s="1608" t="str">
        <f>IFERROR(VLOOKUP(D83,Tabla3[],5,FALSE),"")</f>
        <v>ROCHA REYES DAVID</v>
      </c>
      <c r="H83" s="3711" t="str">
        <f t="shared" ref="H83:H85" si="16">MID($E83,11,1)</f>
        <v>H</v>
      </c>
      <c r="I83" s="3712" t="str">
        <f t="shared" ref="I83:I85" si="17">MID($E83,5,2)</f>
        <v>54</v>
      </c>
      <c r="J83" s="3712" t="str">
        <f t="shared" ref="J83:J85" si="18">MID($E83,7,2)</f>
        <v>10</v>
      </c>
      <c r="K83" s="3712" t="str">
        <f t="shared" ref="K83:K85" si="19">MID($E83,9,2)</f>
        <v>07</v>
      </c>
      <c r="L83" s="1276" t="str">
        <f>_xlfn.XLOOKUP($D83,  Tabla3[No.],  Tabla3[ESTATUS ACADÉMICO], " ")</f>
        <v>VIGENTE</v>
      </c>
      <c r="M83" s="3659" t="str">
        <f>_xlfn.XLOOKUP($D83,  Tabla3[No.],  Tabla3[Grupo de clase], " ")</f>
        <v>DD07A</v>
      </c>
      <c r="N83" s="3256" t="s">
        <v>135</v>
      </c>
      <c r="O83" s="3256" t="s">
        <v>135</v>
      </c>
      <c r="P83" s="3256" t="s">
        <v>135</v>
      </c>
      <c r="Q83" s="3256" t="s">
        <v>135</v>
      </c>
      <c r="R83" s="3256" t="s">
        <v>135</v>
      </c>
      <c r="S83" s="3256" t="s">
        <v>135</v>
      </c>
      <c r="T83" s="3256" t="s">
        <v>135</v>
      </c>
      <c r="U83" s="3256" t="s">
        <v>135</v>
      </c>
      <c r="V83" s="3256" t="s">
        <v>135</v>
      </c>
      <c r="W83" s="3256" t="s">
        <v>135</v>
      </c>
      <c r="X83" s="3256" t="s">
        <v>135</v>
      </c>
      <c r="Y83" s="3256" t="s">
        <v>135</v>
      </c>
      <c r="Z83" s="3256" t="s">
        <v>135</v>
      </c>
      <c r="AA83" s="3257">
        <v>10</v>
      </c>
      <c r="AB83" s="3257">
        <v>10</v>
      </c>
      <c r="AC83" s="3257">
        <v>9.1999999999999993</v>
      </c>
      <c r="AD83" s="3257">
        <v>9</v>
      </c>
      <c r="AE83" s="3257">
        <v>10</v>
      </c>
      <c r="AF83" s="3257">
        <v>10</v>
      </c>
      <c r="AG83" s="3257">
        <v>10</v>
      </c>
      <c r="AH83" s="3257">
        <v>10</v>
      </c>
      <c r="AI83" s="3257"/>
      <c r="AJ83" s="3257"/>
      <c r="AK83" s="3257"/>
      <c r="AL83" s="3257"/>
      <c r="AM83" s="3257"/>
      <c r="AN83" s="3257"/>
      <c r="AO83" s="3257"/>
      <c r="AP83" s="3257"/>
      <c r="AQ83" s="3257"/>
      <c r="AR83" s="3257"/>
      <c r="AS83" s="3257"/>
      <c r="AT83" s="3257"/>
      <c r="AU83" s="3257"/>
      <c r="AV83" s="3257"/>
    </row>
    <row r="84" spans="1:48" s="3670" customFormat="1" ht="15" customHeight="1">
      <c r="A84" s="3683" t="s">
        <v>1123</v>
      </c>
      <c r="B84" s="2362">
        <v>29</v>
      </c>
      <c r="C84" s="3338">
        <f>_xlfn.XLOOKUP($E84,Tabla3[CURP],Tabla3[FECHA DE INICIO (PRIMERA CLASE CALENDARIO)]," ")</f>
        <v>45715</v>
      </c>
      <c r="D84" s="3339">
        <v>840</v>
      </c>
      <c r="E84" s="3691" t="str">
        <f>_xlfn.XLOOKUP($D84,  Tabla3[No.],  Tabla3[CURP], " ")</f>
        <v>OOGJ770323HMCSRN07</v>
      </c>
      <c r="F84" s="2362" t="str">
        <f>_xlfn.XLOOKUP($D84,  Tabla3[No.],  Tabla3[Matrícula Of. SEQ], " ")</f>
        <v>64DD08D-03</v>
      </c>
      <c r="G84" s="3685" t="str">
        <f>IFERROR(VLOOKUP(D84,Tabla3[],5,FALSE),"")</f>
        <v>OSORNIO GARCIA JUAN FRANCISCO</v>
      </c>
      <c r="H84" s="3686" t="str">
        <f t="shared" si="16"/>
        <v>H</v>
      </c>
      <c r="I84" s="3686" t="str">
        <f t="shared" si="17"/>
        <v>77</v>
      </c>
      <c r="J84" s="3686" t="str">
        <f t="shared" si="18"/>
        <v>03</v>
      </c>
      <c r="K84" s="3686" t="str">
        <f t="shared" si="19"/>
        <v>23</v>
      </c>
      <c r="L84" s="1276" t="str">
        <f>_xlfn.XLOOKUP($D84,  Tabla3[No.],  Tabla3[ESTATUS ACADÉMICO], " ")</f>
        <v>EGRESADO</v>
      </c>
      <c r="M84" s="3341" t="str">
        <f>_xlfn.XLOOKUP($D84,  Tabla3[No.],  Tabla3[Grupo de clase], " ")</f>
        <v>DD07A</v>
      </c>
      <c r="N84" s="3348" t="s">
        <v>135</v>
      </c>
      <c r="O84" s="3348" t="s">
        <v>135</v>
      </c>
      <c r="P84" s="3348" t="s">
        <v>135</v>
      </c>
      <c r="Q84" s="3348" t="s">
        <v>135</v>
      </c>
      <c r="R84" s="3348" t="s">
        <v>135</v>
      </c>
      <c r="S84" s="3348" t="s">
        <v>135</v>
      </c>
      <c r="T84" s="3348" t="s">
        <v>135</v>
      </c>
      <c r="U84" s="3348" t="s">
        <v>135</v>
      </c>
      <c r="V84" s="3348" t="s">
        <v>135</v>
      </c>
      <c r="W84" s="3348" t="s">
        <v>135</v>
      </c>
      <c r="X84" s="3348" t="s">
        <v>135</v>
      </c>
      <c r="Y84" s="3713" t="s">
        <v>135</v>
      </c>
      <c r="Z84" s="3348" t="s">
        <v>135</v>
      </c>
      <c r="AA84" s="3348">
        <v>10</v>
      </c>
      <c r="AB84" s="3348">
        <v>10</v>
      </c>
      <c r="AC84" s="3348">
        <v>10</v>
      </c>
      <c r="AD84" s="3348">
        <v>9.3000000000000007</v>
      </c>
      <c r="AE84" s="3348">
        <v>10</v>
      </c>
      <c r="AF84" s="3348">
        <v>9</v>
      </c>
      <c r="AG84" s="3348"/>
      <c r="AH84" s="3348"/>
      <c r="AI84" s="3348"/>
      <c r="AJ84" s="3348"/>
      <c r="AK84" s="3348"/>
      <c r="AL84" s="3348"/>
      <c r="AM84" s="3348"/>
      <c r="AN84" s="3348"/>
      <c r="AO84" s="3348"/>
      <c r="AP84" s="3348"/>
      <c r="AQ84" s="3348"/>
      <c r="AR84" s="3348"/>
      <c r="AS84" s="3348"/>
      <c r="AT84" s="3348"/>
      <c r="AU84" s="3348"/>
      <c r="AV84" s="3700"/>
    </row>
    <row r="85" spans="1:48" s="3670" customFormat="1" ht="15" customHeight="1">
      <c r="A85" s="3683" t="s">
        <v>1625</v>
      </c>
      <c r="B85" s="2362">
        <v>29</v>
      </c>
      <c r="C85" s="3338">
        <f>_xlfn.XLOOKUP($E85,Tabla3[CURP],Tabla3[FECHA DE INICIO (PRIMERA CLASE CALENDARIO)]," ")</f>
        <v>44440</v>
      </c>
      <c r="D85" s="3339">
        <v>462</v>
      </c>
      <c r="E85" s="3691" t="str">
        <f>_xlfn.XLOOKUP($D85,  Tabla3[No.],  Tabla3[CURP], " ")</f>
        <v>SARR600502HYNNDF02</v>
      </c>
      <c r="F85" s="2362" t="str">
        <f>_xlfn.XLOOKUP($D85,  Tabla3[No.],  Tabla3[Matrícula Of. SEQ], " ")</f>
        <v>64DD06A-10</v>
      </c>
      <c r="G85" s="3685" t="str">
        <f>IFERROR(VLOOKUP(D85,Tabla3[],5,FALSE),"")</f>
        <v>SANCHEZ RODRIGUEZ JOSE RAFAEL</v>
      </c>
      <c r="H85" s="3686" t="str">
        <f t="shared" si="16"/>
        <v>H</v>
      </c>
      <c r="I85" s="3686" t="str">
        <f t="shared" si="17"/>
        <v>60</v>
      </c>
      <c r="J85" s="3686" t="str">
        <f t="shared" si="18"/>
        <v>05</v>
      </c>
      <c r="K85" s="3686" t="str">
        <f t="shared" si="19"/>
        <v>02</v>
      </c>
      <c r="L85" s="1276" t="str">
        <f>_xlfn.XLOOKUP($D85,  Tabla3[No.],  Tabla3[ESTATUS ACADÉMICO], " ")</f>
        <v>EGRESADO</v>
      </c>
      <c r="M85" s="3341" t="str">
        <f>_xlfn.XLOOKUP($D85,  Tabla3[No.],  Tabla3[Grupo de clase], " ")</f>
        <v>DD06A</v>
      </c>
      <c r="N85" s="3348"/>
      <c r="O85" s="3348"/>
      <c r="P85" s="3348"/>
      <c r="Q85" s="3348"/>
      <c r="R85" s="3348"/>
      <c r="S85" s="3348"/>
      <c r="T85" s="3348"/>
      <c r="U85" s="3348"/>
      <c r="V85" s="3348"/>
      <c r="W85" s="3348"/>
      <c r="X85" s="3348"/>
      <c r="Y85" s="3713"/>
      <c r="Z85" s="3348"/>
      <c r="AA85" s="3348">
        <v>10</v>
      </c>
      <c r="AB85" s="3348">
        <v>10</v>
      </c>
      <c r="AC85" s="3348">
        <v>10</v>
      </c>
      <c r="AD85" s="3348">
        <v>9.3000000000000007</v>
      </c>
      <c r="AE85" s="3348">
        <v>10</v>
      </c>
      <c r="AF85" s="3348">
        <v>9</v>
      </c>
      <c r="AG85" s="3348"/>
      <c r="AH85" s="3348"/>
      <c r="AI85" s="3348"/>
      <c r="AJ85" s="3348"/>
      <c r="AK85" s="3348"/>
      <c r="AL85" s="3348"/>
      <c r="AM85" s="3348"/>
      <c r="AN85" s="3348"/>
      <c r="AO85" s="3348"/>
      <c r="AP85" s="3348"/>
      <c r="AQ85" s="3348"/>
      <c r="AR85" s="3348"/>
      <c r="AS85" s="3348"/>
      <c r="AT85" s="3348"/>
      <c r="AU85" s="3348"/>
      <c r="AV85" s="3700"/>
    </row>
    <row r="86" spans="1:48" s="700" customFormat="1" ht="15" customHeight="1">
      <c r="A86" s="2408"/>
      <c r="B86" s="1268"/>
      <c r="C86" s="2969"/>
      <c r="D86" s="2970"/>
      <c r="E86" s="2298"/>
      <c r="F86" s="2250"/>
      <c r="G86" s="2295"/>
      <c r="H86" s="643"/>
      <c r="I86" s="643"/>
      <c r="J86" s="643"/>
      <c r="K86" s="643"/>
      <c r="L86" s="643"/>
      <c r="M86" s="643"/>
      <c r="N86" s="643"/>
      <c r="O86" s="643"/>
      <c r="P86" s="643"/>
      <c r="Q86" s="643"/>
      <c r="R86" s="643"/>
      <c r="S86" s="643"/>
      <c r="T86" s="643"/>
      <c r="U86" s="643"/>
      <c r="V86" s="643"/>
      <c r="W86" s="643"/>
      <c r="X86" s="643"/>
      <c r="Y86" s="643"/>
      <c r="Z86" s="643"/>
      <c r="AA86" s="643"/>
      <c r="AB86" s="982"/>
      <c r="AF86"/>
      <c r="AG86"/>
      <c r="AH86"/>
      <c r="AI86"/>
      <c r="AJ86"/>
      <c r="AK86"/>
      <c r="AL86"/>
      <c r="AM86"/>
      <c r="AN86"/>
      <c r="AO86"/>
      <c r="AP86"/>
      <c r="AQ86"/>
      <c r="AT86" s="643"/>
      <c r="AU86" s="643"/>
      <c r="AV86" s="643"/>
    </row>
    <row r="87" spans="1:48" s="700" customFormat="1" ht="15" customHeight="1">
      <c r="A87" s="2408"/>
      <c r="B87" s="1268"/>
      <c r="C87" s="2969"/>
      <c r="D87" s="2970"/>
      <c r="E87" s="2298"/>
      <c r="F87" s="2250"/>
      <c r="G87" s="2295"/>
      <c r="H87" s="643"/>
      <c r="I87" s="643"/>
      <c r="J87" s="643"/>
      <c r="K87" s="643"/>
      <c r="L87" s="643"/>
      <c r="M87" s="643"/>
      <c r="N87" s="643"/>
      <c r="O87" s="643"/>
      <c r="P87" s="643"/>
      <c r="Q87" s="643"/>
      <c r="R87" s="643"/>
      <c r="S87" s="643"/>
      <c r="T87" s="643"/>
      <c r="U87" s="643"/>
      <c r="V87" s="643"/>
      <c r="W87" s="643"/>
      <c r="X87" s="643"/>
      <c r="Y87" s="643"/>
      <c r="Z87" s="643"/>
      <c r="AA87" s="982"/>
      <c r="AE87"/>
      <c r="AF87"/>
      <c r="AG87"/>
      <c r="AH87"/>
      <c r="AI87"/>
      <c r="AJ87"/>
      <c r="AK87"/>
      <c r="AL87"/>
      <c r="AM87"/>
      <c r="AN87"/>
      <c r="AO87"/>
      <c r="AP87"/>
      <c r="AS87" s="643"/>
      <c r="AT87" s="643"/>
      <c r="AU87" s="643"/>
    </row>
    <row r="88" spans="1:48" s="700" customFormat="1" ht="15" customHeight="1">
      <c r="A88" s="2408"/>
      <c r="B88" s="1268"/>
      <c r="C88" s="2969"/>
      <c r="D88" s="2970"/>
      <c r="E88" s="2298" t="str">
        <f>_xlfn.XLOOKUP($D88,  Tabla3[No.],  Tabla3[CURP], " ")</f>
        <v xml:space="preserve"> </v>
      </c>
      <c r="F88" s="2250" t="str">
        <f>_xlfn.XLOOKUP($D88,  Tabla3[No.],  Tabla3[Matrícula Of. SEQ], " ")</f>
        <v xml:space="preserve"> </v>
      </c>
      <c r="G88" s="2295" t="str">
        <f>IFERROR(VLOOKUP(D88,Tabla3[],5,FALSE),"")</f>
        <v/>
      </c>
      <c r="H88" s="643"/>
      <c r="I88" s="643"/>
      <c r="J88" s="643"/>
      <c r="K88" s="643"/>
      <c r="L88" s="643"/>
      <c r="M88" s="643"/>
      <c r="N88" s="643"/>
      <c r="O88" s="643"/>
      <c r="P88" s="643"/>
      <c r="Q88" s="643"/>
      <c r="R88" s="643"/>
      <c r="S88" s="643"/>
      <c r="T88" s="643"/>
      <c r="U88" s="643"/>
      <c r="V88" s="643"/>
      <c r="W88" s="643"/>
      <c r="X88" s="643"/>
      <c r="Y88" s="643"/>
      <c r="Z88" s="643"/>
      <c r="AA88" s="982"/>
      <c r="AE88"/>
      <c r="AF88"/>
      <c r="AG88"/>
      <c r="AH88"/>
      <c r="AI88"/>
      <c r="AJ88"/>
      <c r="AK88"/>
      <c r="AL88"/>
      <c r="AM88"/>
      <c r="AN88"/>
      <c r="AO88"/>
      <c r="AP88"/>
      <c r="AS88" s="643"/>
      <c r="AT88" s="643"/>
      <c r="AU88" s="643"/>
    </row>
    <row r="89" spans="1:48" ht="15" customHeight="1" thickBot="1">
      <c r="A89" s="3"/>
      <c r="B89" s="3"/>
      <c r="C89" s="3"/>
      <c r="D89" s="3"/>
      <c r="E89" s="701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48" ht="15" customHeight="1" thickBot="1">
      <c r="A90" s="3"/>
      <c r="B90" s="4166" t="s">
        <v>5</v>
      </c>
      <c r="C90" s="4475" t="s">
        <v>1247</v>
      </c>
      <c r="D90" s="4085" t="s">
        <v>3866</v>
      </c>
      <c r="E90" s="4444" t="s">
        <v>1222</v>
      </c>
      <c r="F90" s="4444" t="s">
        <v>7</v>
      </c>
      <c r="G90" s="4429" t="s">
        <v>8</v>
      </c>
      <c r="H90" s="4443" t="s">
        <v>9</v>
      </c>
      <c r="I90" s="4407" t="s">
        <v>10</v>
      </c>
      <c r="J90" s="4407"/>
      <c r="K90" s="4407"/>
      <c r="L90" s="1202"/>
      <c r="M90" s="637"/>
      <c r="N90" s="1197" t="s">
        <v>647</v>
      </c>
      <c r="O90" s="1191" t="s">
        <v>1245</v>
      </c>
      <c r="P90" s="262" t="s">
        <v>1055</v>
      </c>
      <c r="Q90" s="132" t="s">
        <v>1276</v>
      </c>
      <c r="R90" s="3336" t="s">
        <v>3781</v>
      </c>
      <c r="S90" s="20" t="s">
        <v>3782</v>
      </c>
      <c r="T90" s="20" t="s">
        <v>3783</v>
      </c>
      <c r="U90" s="1481" t="s">
        <v>3784</v>
      </c>
      <c r="V90" s="32" t="s">
        <v>3785</v>
      </c>
      <c r="W90" s="32" t="s">
        <v>3785</v>
      </c>
      <c r="X90" s="1481" t="s">
        <v>3786</v>
      </c>
      <c r="Y90" s="1481" t="s">
        <v>3786</v>
      </c>
      <c r="Z90" s="1482" t="s">
        <v>3787</v>
      </c>
      <c r="AA90" s="1482"/>
      <c r="AB90" s="1482" t="s">
        <v>3787</v>
      </c>
    </row>
    <row r="91" spans="1:48" ht="60" customHeight="1" thickBot="1">
      <c r="A91" s="3"/>
      <c r="B91" s="4451"/>
      <c r="C91" s="4475"/>
      <c r="D91" s="4075"/>
      <c r="E91" s="4444"/>
      <c r="F91" s="4444"/>
      <c r="G91" s="4429"/>
      <c r="H91" s="4443"/>
      <c r="I91" s="4407"/>
      <c r="J91" s="4407"/>
      <c r="K91" s="4407"/>
      <c r="L91" s="1118"/>
      <c r="M91" s="1181" t="s">
        <v>1149</v>
      </c>
      <c r="N91" s="1483" t="s">
        <v>1070</v>
      </c>
      <c r="O91" s="1484" t="s">
        <v>1154</v>
      </c>
      <c r="P91" s="1485" t="s">
        <v>1155</v>
      </c>
      <c r="Q91" s="1486" t="s">
        <v>1061</v>
      </c>
      <c r="R91" s="1485" t="s">
        <v>3788</v>
      </c>
      <c r="S91" s="1485" t="s">
        <v>3789</v>
      </c>
      <c r="T91" s="626" t="s">
        <v>3790</v>
      </c>
      <c r="U91" s="626" t="s">
        <v>3791</v>
      </c>
      <c r="V91" s="626" t="s">
        <v>3792</v>
      </c>
      <c r="W91" s="626" t="s">
        <v>3792</v>
      </c>
      <c r="X91" s="626" t="s">
        <v>3793</v>
      </c>
      <c r="Y91" s="626" t="s">
        <v>3793</v>
      </c>
      <c r="Z91" s="1485" t="s">
        <v>3730</v>
      </c>
      <c r="AA91" s="1322"/>
      <c r="AB91" s="626" t="s">
        <v>3794</v>
      </c>
    </row>
    <row r="92" spans="1:48" ht="15" customHeight="1" thickBot="1">
      <c r="A92" s="3"/>
      <c r="B92" s="4451"/>
      <c r="C92" s="1203" t="s">
        <v>27</v>
      </c>
      <c r="D92" s="4075"/>
      <c r="E92" s="4444"/>
      <c r="F92" s="4444"/>
      <c r="G92" s="4429"/>
      <c r="H92" s="4443"/>
      <c r="I92" s="4407"/>
      <c r="J92" s="4407"/>
      <c r="K92" s="4407"/>
      <c r="L92" s="1212"/>
      <c r="M92" s="927"/>
      <c r="N92" s="1213" t="s">
        <v>955</v>
      </c>
      <c r="O92" s="1213" t="s">
        <v>952</v>
      </c>
      <c r="P92" s="1214" t="s">
        <v>954</v>
      </c>
      <c r="Q92" s="1487" t="s">
        <v>954</v>
      </c>
      <c r="R92" s="1488" t="s">
        <v>950</v>
      </c>
      <c r="S92" s="927" t="s">
        <v>953</v>
      </c>
      <c r="T92" s="927" t="s">
        <v>951</v>
      </c>
      <c r="U92" s="637" t="s">
        <v>1073</v>
      </c>
      <c r="V92" s="630" t="s">
        <v>960</v>
      </c>
      <c r="W92" s="637" t="s">
        <v>960</v>
      </c>
      <c r="X92" s="637" t="s">
        <v>1075</v>
      </c>
      <c r="Y92" s="637" t="s">
        <v>1075</v>
      </c>
      <c r="Z92" s="637" t="s">
        <v>964</v>
      </c>
      <c r="AA92" s="637"/>
      <c r="AB92" s="637" t="s">
        <v>1074</v>
      </c>
    </row>
    <row r="93" spans="1:48" ht="85.5">
      <c r="A93" s="1725" t="str">
        <f>C90</f>
        <v>DD05A</v>
      </c>
      <c r="B93" s="4451"/>
      <c r="C93" s="1489" t="s">
        <v>3795</v>
      </c>
      <c r="D93" s="4084"/>
      <c r="E93" s="4161"/>
      <c r="F93" s="4161"/>
      <c r="G93" s="1490" t="s">
        <v>78</v>
      </c>
      <c r="H93" s="4445"/>
      <c r="I93" s="1491" t="s">
        <v>79</v>
      </c>
      <c r="J93" s="1491" t="s">
        <v>80</v>
      </c>
      <c r="K93" s="1491" t="s">
        <v>81</v>
      </c>
      <c r="L93" s="1492" t="s">
        <v>1759</v>
      </c>
      <c r="M93" s="1493" t="s">
        <v>27</v>
      </c>
      <c r="N93" s="1494" t="s">
        <v>1091</v>
      </c>
      <c r="O93" s="1495" t="s">
        <v>2589</v>
      </c>
      <c r="P93" s="1496" t="s">
        <v>3796</v>
      </c>
      <c r="Q93" s="1496" t="s">
        <v>2590</v>
      </c>
      <c r="R93" s="1497" t="s">
        <v>2595</v>
      </c>
      <c r="S93" s="1497" t="s">
        <v>3797</v>
      </c>
      <c r="T93" s="1498" t="s">
        <v>3798</v>
      </c>
      <c r="U93" s="1499" t="s">
        <v>3799</v>
      </c>
      <c r="V93" s="1499" t="s">
        <v>3800</v>
      </c>
      <c r="W93" s="1499" t="s">
        <v>3801</v>
      </c>
      <c r="X93" s="1499" t="s">
        <v>3802</v>
      </c>
      <c r="Y93" s="1500" t="s">
        <v>1089</v>
      </c>
      <c r="Z93" s="1501" t="s">
        <v>3803</v>
      </c>
      <c r="AA93" s="2264"/>
      <c r="AB93" s="1502" t="s">
        <v>1087</v>
      </c>
    </row>
    <row r="94" spans="1:48" ht="15" customHeight="1">
      <c r="A94" s="637"/>
      <c r="B94" s="3310">
        <v>1</v>
      </c>
      <c r="C94" s="3311">
        <f>_xlfn.XLOOKUP($E94,Tabla3[CURP],Tabla3[FECHA DE INICIO (PRIMERA CLASE CALENDARIO)]," ")</f>
        <v>44828</v>
      </c>
      <c r="D94" s="3312">
        <v>422</v>
      </c>
      <c r="E94" s="3313" t="str">
        <f>_xlfn.XLOOKUP($D94,  Tabla3[No.],  Tabla3[CURP], " ")</f>
        <v>AEGJ590712MDFBRN06</v>
      </c>
      <c r="F94" s="3314" t="str">
        <f>_xlfn.XLOOKUP($D94,  Tabla3[No.],  Tabla3[Matrícula Of. SEQ], " ")</f>
        <v>64DD05C-01</v>
      </c>
      <c r="G94" s="3315" t="str">
        <f>IFERROR(VLOOKUP(D94,Tabla3[],5,FALSE),"")</f>
        <v>ABREU GIRALT JUANA  MARIA</v>
      </c>
      <c r="H94" s="739" t="str">
        <f>MID($E94,11,1)</f>
        <v>M</v>
      </c>
      <c r="I94" s="739" t="str">
        <f>MID($E94,5,2)</f>
        <v>59</v>
      </c>
      <c r="J94" s="739" t="str">
        <f>MID($E94,7,2)</f>
        <v>07</v>
      </c>
      <c r="K94" s="739" t="str">
        <f>MID($E94,9,2)</f>
        <v>12</v>
      </c>
      <c r="L94" s="1276" t="str">
        <f>_xlfn.XLOOKUP($D94,  Tabla3[No.],  Tabla3[ESTATUS ACADÉMICO], " ")</f>
        <v>EGRESADO</v>
      </c>
      <c r="M94" s="637" t="str">
        <f>_xlfn.XLOOKUP($D94,  Tabla3[No.],  Tabla3[Grupo de clase], " ")</f>
        <v>DD05A</v>
      </c>
      <c r="N94" s="1405">
        <v>9.4</v>
      </c>
      <c r="O94" s="2971">
        <v>10</v>
      </c>
      <c r="P94" s="1779">
        <v>10</v>
      </c>
      <c r="Q94" s="1779">
        <v>10</v>
      </c>
      <c r="R94" s="1779">
        <v>10</v>
      </c>
      <c r="S94" s="1503">
        <v>10</v>
      </c>
      <c r="T94" s="1503">
        <v>9.4</v>
      </c>
      <c r="U94" s="744">
        <v>10</v>
      </c>
      <c r="V94" s="744">
        <v>9.6999999999999993</v>
      </c>
      <c r="W94" s="1504">
        <v>9.8000000000000007</v>
      </c>
      <c r="X94" s="1347">
        <v>9.5</v>
      </c>
      <c r="Y94" s="744">
        <v>10</v>
      </c>
      <c r="Z94" s="1448">
        <v>10</v>
      </c>
      <c r="AA94" s="1448"/>
      <c r="AB94" s="744">
        <v>10</v>
      </c>
      <c r="AC94">
        <f>AVERAGE(N94:AB94)</f>
        <v>9.8428571428571434</v>
      </c>
    </row>
    <row r="95" spans="1:48" ht="15" customHeight="1">
      <c r="A95" s="637"/>
      <c r="B95" s="3310">
        <v>2</v>
      </c>
      <c r="C95" s="3311">
        <f>_xlfn.XLOOKUP($E95,Tabla3[CURP],Tabla3[FECHA DE INICIO (PRIMERA CLASE CALENDARIO)]," ")</f>
        <v>44891</v>
      </c>
      <c r="D95" s="3312">
        <v>446</v>
      </c>
      <c r="E95" s="3310" t="str">
        <f>_xlfn.XLOOKUP($D95,  Tabla3[No.],  Tabla3[CURP], " ")</f>
        <v>GABD610730MSLSJV05</v>
      </c>
      <c r="F95" s="3314" t="str">
        <f>_xlfn.XLOOKUP($D95,  Tabla3[No.],  Tabla3[Matrícula Of. SEQ], " ")</f>
        <v>64DD06A-04</v>
      </c>
      <c r="G95" s="3315" t="str">
        <f>IFERROR(VLOOKUP(D95,Tabla3[],5,FALSE),"")</f>
        <v>GASTELUM BAJO DIVA HADAMIRA</v>
      </c>
      <c r="H95" s="739" t="str">
        <f t="shared" ref="H95:H109" si="20">MID($E95,11,1)</f>
        <v>M</v>
      </c>
      <c r="I95" s="739" t="str">
        <f t="shared" ref="I95:I109" si="21">MID($E95,5,2)</f>
        <v>61</v>
      </c>
      <c r="J95" s="739" t="str">
        <f t="shared" ref="J95:J109" si="22">MID($E95,7,2)</f>
        <v>07</v>
      </c>
      <c r="K95" s="739" t="str">
        <f t="shared" ref="K95:K109" si="23">MID($E95,9,2)</f>
        <v>30</v>
      </c>
      <c r="L95" s="1276" t="str">
        <f>_xlfn.XLOOKUP($D95,  Tabla3[No.],  Tabla3[ESTATUS ACADÉMICO], " ")</f>
        <v>EGRESADO</v>
      </c>
      <c r="M95" s="637" t="str">
        <f>_xlfn.XLOOKUP($D95,  Tabla3[No.],  Tabla3[Grupo de clase], " ")</f>
        <v>DD05A</v>
      </c>
      <c r="N95" s="1411" t="s">
        <v>135</v>
      </c>
      <c r="O95" s="2972">
        <v>10</v>
      </c>
      <c r="P95" s="1405">
        <v>10</v>
      </c>
      <c r="Q95" s="1405">
        <v>10</v>
      </c>
      <c r="R95" s="1405">
        <v>10</v>
      </c>
      <c r="S95" s="1405">
        <v>10</v>
      </c>
      <c r="T95" s="1405">
        <v>10</v>
      </c>
      <c r="U95" s="1405">
        <v>10</v>
      </c>
      <c r="V95" s="1405">
        <v>10</v>
      </c>
      <c r="W95" s="1513">
        <v>10</v>
      </c>
      <c r="X95" s="744">
        <v>10</v>
      </c>
      <c r="Y95" s="744">
        <v>10</v>
      </c>
      <c r="Z95" s="744">
        <v>10</v>
      </c>
      <c r="AA95" s="744"/>
      <c r="AB95" s="744">
        <v>10</v>
      </c>
    </row>
    <row r="96" spans="1:48" ht="15" customHeight="1">
      <c r="A96" s="637"/>
      <c r="B96" s="3310">
        <v>3</v>
      </c>
      <c r="C96" s="3311">
        <f>_xlfn.XLOOKUP($E96,Tabla3[CURP],Tabla3[FECHA DE INICIO (PRIMERA CLASE CALENDARIO)]," ")</f>
        <v>44856</v>
      </c>
      <c r="D96" s="3312">
        <v>445</v>
      </c>
      <c r="E96" s="3310" t="str">
        <f>_xlfn.XLOOKUP($D96,  Tabla3[No.],  Tabla3[CURP], " ")</f>
        <v>OEMA931224HBCCRL05</v>
      </c>
      <c r="F96" s="3314" t="str">
        <f>_xlfn.XLOOKUP($D96,  Tabla3[No.],  Tabla3[Matrícula Of. SEQ], " ")</f>
        <v>64DD06A-06</v>
      </c>
      <c r="G96" s="3315" t="str">
        <f>IFERROR(VLOOKUP(D96,Tabla3[],5,FALSE),"")</f>
        <v>OCEGUEDA MARTINEZ ALFONSO</v>
      </c>
      <c r="H96" s="739" t="str">
        <f t="shared" si="20"/>
        <v>H</v>
      </c>
      <c r="I96" s="739" t="str">
        <f t="shared" si="21"/>
        <v>93</v>
      </c>
      <c r="J96" s="739" t="str">
        <f t="shared" si="22"/>
        <v>12</v>
      </c>
      <c r="K96" s="739" t="str">
        <f t="shared" si="23"/>
        <v>24</v>
      </c>
      <c r="L96" s="1276" t="str">
        <f>_xlfn.XLOOKUP($D96,  Tabla3[No.],  Tabla3[ESTATUS ACADÉMICO], " ")</f>
        <v>EGRESADO</v>
      </c>
      <c r="M96" s="637" t="str">
        <f>_xlfn.XLOOKUP($D96,  Tabla3[No.],  Tabla3[Grupo de clase], " ")</f>
        <v>DD05A</v>
      </c>
      <c r="N96" s="1411" t="s">
        <v>135</v>
      </c>
      <c r="O96" s="2972">
        <v>9</v>
      </c>
      <c r="P96" s="1780">
        <v>9.8000000000000007</v>
      </c>
      <c r="Q96" s="1780">
        <v>9.3000000000000007</v>
      </c>
      <c r="R96" s="1780">
        <v>10</v>
      </c>
      <c r="S96" s="1405">
        <v>9</v>
      </c>
      <c r="T96" s="1405">
        <v>10</v>
      </c>
      <c r="U96" s="1405">
        <v>10</v>
      </c>
      <c r="V96" s="1405">
        <v>9.8000000000000007</v>
      </c>
      <c r="W96" s="744">
        <v>9.5</v>
      </c>
      <c r="X96" s="744">
        <v>10</v>
      </c>
      <c r="Y96" s="744">
        <v>10</v>
      </c>
      <c r="Z96" s="744">
        <v>10</v>
      </c>
      <c r="AA96" s="744"/>
      <c r="AB96" s="744">
        <v>10</v>
      </c>
    </row>
    <row r="97" spans="1:28" ht="15" customHeight="1">
      <c r="A97" s="3330"/>
      <c r="B97" s="3317">
        <v>4</v>
      </c>
      <c r="C97" s="3318">
        <f>_xlfn.XLOOKUP($E97,Tabla3[CURP],Tabla3[FECHA DE INICIO (PRIMERA CLASE CALENDARIO)]," ")</f>
        <v>44828</v>
      </c>
      <c r="D97" s="3319">
        <v>423</v>
      </c>
      <c r="E97" s="3317" t="str">
        <f>_xlfn.XLOOKUP($D97,  Tabla3[No.],  Tabla3[CURP], " ")</f>
        <v>SAAE900312HQRNLD00</v>
      </c>
      <c r="F97" s="3320" t="str">
        <f>_xlfn.XLOOKUP($D97,  Tabla3[No.],  Tabla3[Matrícula Of. SEQ], " ")</f>
        <v>64DD05C-04</v>
      </c>
      <c r="G97" s="3320" t="str">
        <f>IFERROR(VLOOKUP(D97,Tabla3[],5,FALSE),"")</f>
        <v>SANCHEZ ALAMILLA EDUARDO ABEL</v>
      </c>
      <c r="H97" s="3331" t="str">
        <f t="shared" si="20"/>
        <v>H</v>
      </c>
      <c r="I97" s="3331" t="str">
        <f t="shared" si="21"/>
        <v>90</v>
      </c>
      <c r="J97" s="3331" t="str">
        <f t="shared" si="22"/>
        <v>03</v>
      </c>
      <c r="K97" s="3331" t="str">
        <f t="shared" si="23"/>
        <v>12</v>
      </c>
      <c r="L97" s="1358" t="str">
        <f>_xlfn.XLOOKUP($D97,  Tabla3[No.],  Tabla3[ESTATUS ACADÉMICO], " ")</f>
        <v>BAJA TEMPORAL</v>
      </c>
      <c r="M97" s="3332" t="str">
        <f>_xlfn.XLOOKUP($D97,  Tabla3[No.],  Tabla3[Grupo de clase], " ")</f>
        <v>DD05C</v>
      </c>
      <c r="N97" s="3333" t="s">
        <v>135</v>
      </c>
      <c r="O97" s="3334" t="s">
        <v>135</v>
      </c>
      <c r="P97" s="2365" t="s">
        <v>135</v>
      </c>
      <c r="Q97" s="2365" t="s">
        <v>135</v>
      </c>
      <c r="R97" s="2365">
        <v>10</v>
      </c>
      <c r="S97" s="2365" t="s">
        <v>135</v>
      </c>
      <c r="T97" s="2365">
        <v>9.4</v>
      </c>
      <c r="U97" s="2365">
        <v>9.5</v>
      </c>
      <c r="V97" s="1294">
        <v>9</v>
      </c>
      <c r="W97" s="1294">
        <v>9.1999999999999993</v>
      </c>
      <c r="X97" s="1294">
        <v>10</v>
      </c>
      <c r="Y97" s="1294">
        <v>10</v>
      </c>
      <c r="Z97" s="3335" t="s">
        <v>135</v>
      </c>
      <c r="AA97" s="3335"/>
      <c r="AB97" s="3329">
        <v>9.4</v>
      </c>
    </row>
    <row r="98" spans="1:28" ht="15" customHeight="1">
      <c r="A98" s="637"/>
      <c r="B98" s="3310">
        <v>5</v>
      </c>
      <c r="C98" s="3311">
        <f>_xlfn.XLOOKUP($E98,Tabla3[CURP],Tabla3[FECHA DE INICIO (PRIMERA CLASE CALENDARIO)]," ")</f>
        <v>44639</v>
      </c>
      <c r="D98" s="3312">
        <v>335</v>
      </c>
      <c r="E98" s="3310" t="str">
        <f>_xlfn.XLOOKUP($D98,  Tabla3[No.],  Tabla3[CURP], " ")</f>
        <v>RORC750108HMCMZR07</v>
      </c>
      <c r="F98" s="3314" t="str">
        <f>_xlfn.XLOOKUP($D98,  Tabla3[No.],  Tabla3[Matrícula Of. SEQ], " ")</f>
        <v>64DD05A-05</v>
      </c>
      <c r="G98" s="3315" t="str">
        <f>IFERROR(VLOOKUP(D98,Tabla3[],5,FALSE),"")</f>
        <v>ROMERO RUIZ CARLOS</v>
      </c>
      <c r="H98" s="1393" t="str">
        <f t="shared" si="20"/>
        <v>H</v>
      </c>
      <c r="I98" s="1393" t="str">
        <f t="shared" si="21"/>
        <v>75</v>
      </c>
      <c r="J98" s="1393" t="str">
        <f t="shared" si="22"/>
        <v>01</v>
      </c>
      <c r="K98" s="1393" t="str">
        <f t="shared" si="23"/>
        <v>08</v>
      </c>
      <c r="L98" s="1506" t="str">
        <f>_xlfn.XLOOKUP($D98,  Tabla3[No.],  Tabla3[ESTATUS ACADÉMICO], " ")</f>
        <v>EGRESADO</v>
      </c>
      <c r="M98" s="1141" t="str">
        <f>_xlfn.XLOOKUP($D98,  Tabla3[No.],  Tabla3[Grupo de clase], " ")</f>
        <v>DD03C</v>
      </c>
      <c r="N98" s="1417" t="s">
        <v>135</v>
      </c>
      <c r="O98" s="2973" t="s">
        <v>135</v>
      </c>
      <c r="P98" s="630">
        <v>10</v>
      </c>
      <c r="Q98" s="630">
        <v>10</v>
      </c>
      <c r="R98" s="630">
        <v>10</v>
      </c>
      <c r="S98" s="637">
        <v>9</v>
      </c>
      <c r="T98" s="637"/>
      <c r="U98" s="637">
        <v>10</v>
      </c>
      <c r="V98" s="637"/>
      <c r="W98" s="637"/>
      <c r="X98" s="637"/>
      <c r="Y98" s="744"/>
      <c r="Z98" s="744"/>
      <c r="AA98" s="744"/>
      <c r="AB98" s="744"/>
    </row>
    <row r="99" spans="1:28" ht="15" customHeight="1">
      <c r="A99" s="637"/>
      <c r="B99" s="3310">
        <v>6</v>
      </c>
      <c r="C99" s="3311">
        <f>_xlfn.XLOOKUP($E99,Tabla3[CURP],Tabla3[FECHA DE INICIO (PRIMERA CLASE CALENDARIO)]," ")</f>
        <v>44639</v>
      </c>
      <c r="D99" s="3312">
        <v>336</v>
      </c>
      <c r="E99" s="3310" t="str">
        <f>_xlfn.XLOOKUP($D99,  Tabla3[No.],  Tabla3[CURP], " ")</f>
        <v>DIGS770724MMCZNS06</v>
      </c>
      <c r="F99" s="3314" t="str">
        <f>_xlfn.XLOOKUP($D99,  Tabla3[No.],  Tabla3[Matrícula Of. SEQ], " ")</f>
        <v>64DD05A-02</v>
      </c>
      <c r="G99" s="3315" t="str">
        <f>IFERROR(VLOOKUP(D99,Tabla3[],5,FALSE),"")</f>
        <v>DIAZ GONZALEZ SUSANA</v>
      </c>
      <c r="H99" s="739" t="str">
        <f t="shared" si="20"/>
        <v>M</v>
      </c>
      <c r="I99" s="739" t="str">
        <f t="shared" si="21"/>
        <v>77</v>
      </c>
      <c r="J99" s="739" t="str">
        <f t="shared" si="22"/>
        <v>07</v>
      </c>
      <c r="K99" s="739" t="str">
        <f t="shared" si="23"/>
        <v>24</v>
      </c>
      <c r="L99" s="1507" t="str">
        <f>_xlfn.XLOOKUP($D99,  Tabla3[No.],  Tabla3[ESTATUS ACADÉMICO], " ")</f>
        <v>EGRESADO</v>
      </c>
      <c r="M99" s="637" t="str">
        <f>_xlfn.XLOOKUP($D99,  Tabla3[No.],  Tabla3[Grupo de clase], " ")</f>
        <v>DD03C</v>
      </c>
      <c r="N99" s="1405" t="s">
        <v>135</v>
      </c>
      <c r="O99" s="2972" t="s">
        <v>135</v>
      </c>
      <c r="P99" s="630">
        <v>10</v>
      </c>
      <c r="Q99" s="630">
        <v>10</v>
      </c>
      <c r="R99" s="630">
        <v>10</v>
      </c>
      <c r="S99" s="630">
        <v>9</v>
      </c>
      <c r="T99" s="637"/>
      <c r="U99" s="637"/>
      <c r="V99" s="1508"/>
      <c r="W99" s="1509"/>
      <c r="X99" s="1510"/>
      <c r="Y99" s="1510"/>
      <c r="Z99" s="630"/>
      <c r="AA99" s="630"/>
      <c r="AB99" s="637"/>
    </row>
    <row r="100" spans="1:28" ht="15" customHeight="1">
      <c r="A100" s="637"/>
      <c r="B100" s="3317">
        <v>7</v>
      </c>
      <c r="C100" s="3318">
        <f>_xlfn.XLOOKUP($E100,Tabla3[CURP],Tabla3[FECHA DE INICIO (PRIMERA CLASE CALENDARIO)]," ")</f>
        <v>44576</v>
      </c>
      <c r="D100" s="3319">
        <v>317</v>
      </c>
      <c r="E100" s="3317" t="str">
        <f>_xlfn.XLOOKUP($D100,  Tabla3[No.],  Tabla3[CURP], " ")</f>
        <v>IACM730613MQRBNR18</v>
      </c>
      <c r="F100" s="3320" t="str">
        <f>_xlfn.XLOOKUP($D100,  Tabla3[No.],  Tabla3[Matrícula Of. SEQ], " ")</f>
        <v>64DD05A-01</v>
      </c>
      <c r="G100" s="3320" t="str">
        <f>IFERROR(VLOOKUP(D100,Tabla3[],5,FALSE),"")</f>
        <v xml:space="preserve">IBARRA CANCHE MARCELA </v>
      </c>
      <c r="H100" s="1472" t="str">
        <f t="shared" si="20"/>
        <v>M</v>
      </c>
      <c r="I100" s="1472" t="str">
        <f t="shared" si="21"/>
        <v>73</v>
      </c>
      <c r="J100" s="1472" t="str">
        <f t="shared" si="22"/>
        <v>06</v>
      </c>
      <c r="K100" s="1472" t="str">
        <f t="shared" si="23"/>
        <v>13</v>
      </c>
      <c r="L100" s="1358" t="str">
        <f>_xlfn.XLOOKUP($D100,  Tabla3[No.],  Tabla3[ESTATUS ACADÉMICO], " ")</f>
        <v>BAJA TEMPORAL</v>
      </c>
      <c r="M100" s="1872" t="str">
        <f>_xlfn.XLOOKUP($D100,  Tabla3[No.],  Tabla3[Grupo de clase], " ")</f>
        <v>DD05A</v>
      </c>
      <c r="N100" s="3321">
        <v>10</v>
      </c>
      <c r="O100" s="3322">
        <v>9.6999999999999993</v>
      </c>
      <c r="P100" s="3321">
        <v>9.1999999999999993</v>
      </c>
      <c r="Q100" s="3321">
        <v>9.6999999999999993</v>
      </c>
      <c r="R100" s="3321">
        <v>10</v>
      </c>
      <c r="S100" s="1434">
        <v>9.6999999999999993</v>
      </c>
      <c r="T100" s="1434" t="s">
        <v>135</v>
      </c>
      <c r="U100" s="1872" t="s">
        <v>173</v>
      </c>
      <c r="V100" s="1872">
        <v>0</v>
      </c>
      <c r="W100" s="1872" t="s">
        <v>136</v>
      </c>
      <c r="X100" s="1872" t="s">
        <v>136</v>
      </c>
      <c r="Y100" s="1294"/>
      <c r="Z100" s="1294"/>
      <c r="AA100" s="1294"/>
      <c r="AB100" s="1294"/>
    </row>
    <row r="101" spans="1:28" ht="15" customHeight="1">
      <c r="A101" s="637"/>
      <c r="B101" s="3317">
        <v>8</v>
      </c>
      <c r="C101" s="3318">
        <f>_xlfn.XLOOKUP($E101,Tabla3[CURP],Tabla3[FECHA DE INICIO (PRIMERA CLASE CALENDARIO)]," ")</f>
        <v>44531</v>
      </c>
      <c r="D101" s="3319">
        <v>308</v>
      </c>
      <c r="E101" s="3317" t="str">
        <f>_xlfn.XLOOKUP($D101,  Tabla3[No.],  Tabla3[CURP], " ")</f>
        <v>VEGH731229HTCRRC07</v>
      </c>
      <c r="F101" s="3320" t="str">
        <f>_xlfn.XLOOKUP($D101,  Tabla3[No.],  Tabla3[Matrícula Of. SEQ], " ")</f>
        <v>64DD05A-06</v>
      </c>
      <c r="G101" s="3320" t="str">
        <f>IFERROR(VLOOKUP(D101,Tabla3[],5,FALSE),"")</f>
        <v>VERA GARCIA HECTOR</v>
      </c>
      <c r="H101" s="1472" t="str">
        <f t="shared" si="20"/>
        <v>H</v>
      </c>
      <c r="I101" s="1472" t="str">
        <f t="shared" si="21"/>
        <v>73</v>
      </c>
      <c r="J101" s="1472" t="str">
        <f t="shared" si="22"/>
        <v>12</v>
      </c>
      <c r="K101" s="1472" t="str">
        <f t="shared" si="23"/>
        <v>29</v>
      </c>
      <c r="L101" s="1358" t="str">
        <f>_xlfn.XLOOKUP($D101,  Tabla3[No.],  Tabla3[ESTATUS ACADÉMICO], " ")</f>
        <v>BAJA TEMPORAL</v>
      </c>
      <c r="M101" s="1872" t="str">
        <f>_xlfn.XLOOKUP($D101,  Tabla3[No.],  Tabla3[Grupo de clase], " ")</f>
        <v>DD05A</v>
      </c>
      <c r="N101" s="2365" t="s">
        <v>135</v>
      </c>
      <c r="O101" s="3323" t="s">
        <v>135</v>
      </c>
      <c r="P101" s="3321">
        <v>10</v>
      </c>
      <c r="Q101" s="3324">
        <v>3.2</v>
      </c>
      <c r="R101" s="3321">
        <v>8</v>
      </c>
      <c r="S101" s="1872">
        <v>9</v>
      </c>
      <c r="T101" s="1872">
        <v>10</v>
      </c>
      <c r="U101" s="1872">
        <v>10</v>
      </c>
      <c r="V101" s="1872" t="s">
        <v>136</v>
      </c>
      <c r="W101" s="1872">
        <v>9.6999999999999993</v>
      </c>
      <c r="X101" s="1872" t="s">
        <v>136</v>
      </c>
      <c r="Y101" s="1294"/>
      <c r="Z101" s="1872"/>
      <c r="AA101" s="1872"/>
      <c r="AB101" s="1872"/>
    </row>
    <row r="102" spans="1:28" ht="15" customHeight="1">
      <c r="A102" s="744"/>
      <c r="B102" s="3317" t="s">
        <v>1123</v>
      </c>
      <c r="C102" s="3318">
        <f>_xlfn.XLOOKUP($E102,Tabla3[CURP],Tabla3[FECHA DE INICIO (PRIMERA CLASE CALENDARIO)]," ")</f>
        <v>44681</v>
      </c>
      <c r="D102" s="3319">
        <v>373</v>
      </c>
      <c r="E102" s="3317" t="str">
        <f>_xlfn.XLOOKUP($D102,  Tabla3[No.],  Tabla3[CURP], " ")</f>
        <v>GAMS750515MMCRRN09</v>
      </c>
      <c r="F102" s="3320" t="str">
        <f>_xlfn.XLOOKUP($D102,  Tabla3[No.],  Tabla3[Matrícula Of. SEQ], " ")</f>
        <v>64DD04A-05</v>
      </c>
      <c r="G102" s="3320" t="str">
        <f>IFERROR(VLOOKUP(D102,Tabla3[],5,FALSE),"")</f>
        <v>GARAY MARTINEZ SONIA</v>
      </c>
      <c r="H102" s="1472" t="str">
        <f t="shared" si="20"/>
        <v>M</v>
      </c>
      <c r="I102" s="1472" t="str">
        <f t="shared" si="21"/>
        <v>75</v>
      </c>
      <c r="J102" s="1472" t="str">
        <f t="shared" si="22"/>
        <v>05</v>
      </c>
      <c r="K102" s="1472" t="str">
        <f t="shared" si="23"/>
        <v>15</v>
      </c>
      <c r="L102" s="1358" t="str">
        <f>_xlfn.XLOOKUP($D102,  Tabla3[No.],  Tabla3[ESTATUS ACADÉMICO], " ")</f>
        <v>EGRESADO</v>
      </c>
      <c r="M102" s="1872" t="str">
        <f>_xlfn.XLOOKUP($D102,  Tabla3[No.],  Tabla3[Grupo de clase], " ")</f>
        <v>DD05A</v>
      </c>
      <c r="N102" s="2365" t="s">
        <v>135</v>
      </c>
      <c r="O102" s="3323" t="s">
        <v>135</v>
      </c>
      <c r="P102" s="2365" t="s">
        <v>135</v>
      </c>
      <c r="Q102" s="2365" t="s">
        <v>135</v>
      </c>
      <c r="R102" s="2365">
        <v>10</v>
      </c>
      <c r="S102" s="3325">
        <v>9</v>
      </c>
      <c r="T102" s="3325">
        <v>10</v>
      </c>
      <c r="U102" s="1872" t="s">
        <v>136</v>
      </c>
      <c r="V102" s="1872" t="s">
        <v>136</v>
      </c>
      <c r="W102" s="1872" t="s">
        <v>136</v>
      </c>
      <c r="X102" s="1872" t="s">
        <v>136</v>
      </c>
      <c r="Y102" s="1294"/>
      <c r="Z102" s="1872"/>
      <c r="AA102" s="1872"/>
      <c r="AB102" s="1872"/>
    </row>
    <row r="103" spans="1:28" ht="15" customHeight="1">
      <c r="A103" s="744"/>
      <c r="B103" s="3317" t="s">
        <v>1123</v>
      </c>
      <c r="C103" s="3318">
        <f>_xlfn.XLOOKUP($E103,Tabla3[CURP],Tabla3[FECHA DE INICIO (PRIMERA CLASE CALENDARIO)]," ")</f>
        <v>44793</v>
      </c>
      <c r="D103" s="3319">
        <v>417</v>
      </c>
      <c r="E103" s="3326" t="str">
        <f>_xlfn.XLOOKUP($D103,  Tabla3[No.],  Tabla3[CURP], " ")</f>
        <v>MAAR630510HYNRRB02</v>
      </c>
      <c r="F103" s="3326" t="str">
        <f>_xlfn.XLOOKUP($D103,  Tabla3[No.],  Tabla3[Matrícula Of. SEQ], " ")</f>
        <v>BAJA</v>
      </c>
      <c r="G103" s="3320" t="str">
        <f>IFERROR(VLOOKUP(D103,Tabla3[],5,FALSE),"")</f>
        <v>MARTINEZ ARAGON ROBERTO</v>
      </c>
      <c r="H103" s="1472" t="str">
        <f t="shared" si="20"/>
        <v>H</v>
      </c>
      <c r="I103" s="1472" t="str">
        <f t="shared" si="21"/>
        <v>63</v>
      </c>
      <c r="J103" s="1472" t="str">
        <f t="shared" si="22"/>
        <v>05</v>
      </c>
      <c r="K103" s="1472" t="str">
        <f t="shared" si="23"/>
        <v>10</v>
      </c>
      <c r="L103" s="1358" t="str">
        <f>_xlfn.XLOOKUP($D103,  Tabla3[No.],  Tabla3[ESTATUS ACADÉMICO], " ")</f>
        <v>BAJA TEMPORAL</v>
      </c>
      <c r="M103" s="1872" t="str">
        <f>_xlfn.XLOOKUP($D103,  Tabla3[No.],  Tabla3[Grupo de clase], " ")</f>
        <v>DD05A</v>
      </c>
      <c r="N103" s="2365" t="s">
        <v>135</v>
      </c>
      <c r="O103" s="3327" t="s">
        <v>135</v>
      </c>
      <c r="P103" s="3328" t="s">
        <v>135</v>
      </c>
      <c r="Q103" s="3328" t="s">
        <v>135</v>
      </c>
      <c r="R103" s="3328" t="s">
        <v>135</v>
      </c>
      <c r="S103" s="3328" t="s">
        <v>135</v>
      </c>
      <c r="T103" s="3328" t="s">
        <v>135</v>
      </c>
      <c r="U103" s="1294">
        <v>10</v>
      </c>
      <c r="V103" s="1294"/>
      <c r="W103" s="1872" t="s">
        <v>136</v>
      </c>
      <c r="X103" s="1872" t="s">
        <v>136</v>
      </c>
      <c r="Y103" s="1294"/>
      <c r="Z103" s="1872"/>
      <c r="AA103" s="1872"/>
      <c r="AB103" s="1872"/>
    </row>
    <row r="104" spans="1:28" ht="15" customHeight="1">
      <c r="A104" s="744"/>
      <c r="B104" s="3317"/>
      <c r="C104" s="3318">
        <f>_xlfn.XLOOKUP($E104,Tabla3[CURP],Tabla3[FECHA DE INICIO (PRIMERA CLASE CALENDARIO)]," ")</f>
        <v>44751</v>
      </c>
      <c r="D104" s="3319">
        <v>418</v>
      </c>
      <c r="E104" s="3326" t="str">
        <f>_xlfn.XLOOKUP($D104,  Tabla3[No.],  Tabla3[CURP], " ")</f>
        <v>PARA680822MSRCYL00</v>
      </c>
      <c r="F104" s="3326" t="str">
        <f>_xlfn.XLOOKUP($D104,  Tabla3[No.],  Tabla3[Matrícula Of. SEQ], " ")</f>
        <v>BAJA</v>
      </c>
      <c r="G104" s="3320" t="str">
        <f>IFERROR(VLOOKUP(D104,Tabla3[],5,FALSE),"")</f>
        <v>PACHECO REYES ALMA DELIA</v>
      </c>
      <c r="H104" s="1472" t="str">
        <f t="shared" si="20"/>
        <v>M</v>
      </c>
      <c r="I104" s="1472" t="str">
        <f t="shared" si="21"/>
        <v>68</v>
      </c>
      <c r="J104" s="1472" t="str">
        <f t="shared" si="22"/>
        <v>08</v>
      </c>
      <c r="K104" s="1472" t="str">
        <f t="shared" si="23"/>
        <v>22</v>
      </c>
      <c r="L104" s="1358" t="str">
        <f>_xlfn.XLOOKUP($D104,  Tabla3[No.],  Tabla3[ESTATUS ACADÉMICO], " ")</f>
        <v>BAJA TEMPORAL</v>
      </c>
      <c r="M104" s="1872" t="str">
        <f>_xlfn.XLOOKUP($D104,  Tabla3[No.],  Tabla3[Grupo de clase], " ")</f>
        <v>DD05A</v>
      </c>
      <c r="N104" s="2365" t="s">
        <v>135</v>
      </c>
      <c r="O104" s="3327" t="s">
        <v>135</v>
      </c>
      <c r="P104" s="3328" t="s">
        <v>135</v>
      </c>
      <c r="Q104" s="3328" t="s">
        <v>135</v>
      </c>
      <c r="R104" s="3328" t="s">
        <v>135</v>
      </c>
      <c r="S104" s="3328" t="s">
        <v>135</v>
      </c>
      <c r="T104" s="3328" t="s">
        <v>135</v>
      </c>
      <c r="U104" s="1294">
        <v>10</v>
      </c>
      <c r="V104" s="1294"/>
      <c r="W104" s="1872" t="s">
        <v>136</v>
      </c>
      <c r="X104" s="1872" t="s">
        <v>136</v>
      </c>
      <c r="Y104" s="1294"/>
      <c r="Z104" s="1872"/>
      <c r="AA104" s="1872"/>
      <c r="AB104" s="1872"/>
    </row>
    <row r="105" spans="1:28" ht="15" customHeight="1">
      <c r="A105" s="744"/>
      <c r="B105" s="3317"/>
      <c r="C105" s="3318">
        <f>_xlfn.XLOOKUP($E105,Tabla3[CURP],Tabla3[FECHA DE INICIO (PRIMERA CLASE CALENDARIO)]," ")</f>
        <v>44604</v>
      </c>
      <c r="D105" s="3319">
        <v>331</v>
      </c>
      <c r="E105" s="3317" t="str">
        <f>_xlfn.XLOOKUP($D105,  Tabla3[No.],  Tabla3[CURP], " ")</f>
        <v>LOTJ710629HSPPRS00</v>
      </c>
      <c r="F105" s="3320" t="str">
        <f>_xlfn.XLOOKUP($D105,  Tabla3[No.],  Tabla3[Matrícula Of. SEQ], " ")</f>
        <v>64DD05A-05</v>
      </c>
      <c r="G105" s="3320" t="str">
        <f>IFERROR(VLOOKUP(D105,Tabla3[],5,FALSE),"")</f>
        <v xml:space="preserve">LOPEZ TORRES JOSE DE JESUS </v>
      </c>
      <c r="H105" s="1472" t="str">
        <f t="shared" si="20"/>
        <v>H</v>
      </c>
      <c r="I105" s="1472" t="str">
        <f t="shared" si="21"/>
        <v>71</v>
      </c>
      <c r="J105" s="1472" t="str">
        <f t="shared" si="22"/>
        <v>06</v>
      </c>
      <c r="K105" s="1472" t="str">
        <f t="shared" si="23"/>
        <v>29</v>
      </c>
      <c r="L105" s="1358" t="str">
        <f>_xlfn.XLOOKUP($D105,  Tabla3[No.],  Tabla3[ESTATUS ACADÉMICO], " ")</f>
        <v>BAJA TEMPORAL</v>
      </c>
      <c r="M105" s="1872" t="str">
        <f>_xlfn.XLOOKUP($D105,  Tabla3[No.],  Tabla3[Grupo de clase], " ")</f>
        <v>DD05A</v>
      </c>
      <c r="N105" s="2365">
        <v>9.5</v>
      </c>
      <c r="O105" s="3323">
        <v>10</v>
      </c>
      <c r="P105" s="2365">
        <v>9.4</v>
      </c>
      <c r="Q105" s="3321">
        <v>10</v>
      </c>
      <c r="R105" s="3321">
        <v>10</v>
      </c>
      <c r="S105" s="1872">
        <v>9</v>
      </c>
      <c r="T105" s="1872">
        <v>8</v>
      </c>
      <c r="U105" s="1872">
        <v>10</v>
      </c>
      <c r="V105" s="1872">
        <v>9.6999999999999993</v>
      </c>
      <c r="W105" s="1872">
        <v>9.6</v>
      </c>
      <c r="X105" s="1872">
        <v>10</v>
      </c>
      <c r="Y105" s="1872">
        <v>10</v>
      </c>
      <c r="Z105" s="1872" t="s">
        <v>135</v>
      </c>
      <c r="AA105" s="1872"/>
      <c r="AB105" s="3329">
        <v>9.4</v>
      </c>
    </row>
    <row r="106" spans="1:28" ht="15" customHeight="1">
      <c r="A106" s="744"/>
      <c r="B106" s="3310"/>
      <c r="C106" s="3311">
        <f>_xlfn.XLOOKUP($E106,Tabla3[CURP],Tabla3[FECHA DE INICIO (PRIMERA CLASE CALENDARIO)]," ")</f>
        <v>44576</v>
      </c>
      <c r="D106" s="3312">
        <v>319</v>
      </c>
      <c r="E106" s="3310" t="str">
        <f>_xlfn.XLOOKUP($D106,  Tabla3[No.],  Tabla3[CURP], " ")</f>
        <v>GULY811203HCSLPN06</v>
      </c>
      <c r="F106" s="3314" t="str">
        <f>_xlfn.XLOOKUP($D106,  Tabla3[No.],  Tabla3[Matrícula Of. SEQ], " ")</f>
        <v>64DIA01-06</v>
      </c>
      <c r="G106" s="3316" t="str">
        <f>IFERROR(VLOOKUP(D106,Tabla3[],5,FALSE),"")</f>
        <v>GUILLEN LOPEZ YONNI JOSUE</v>
      </c>
      <c r="H106" s="739" t="str">
        <f t="shared" si="20"/>
        <v>H</v>
      </c>
      <c r="I106" s="739" t="str">
        <f t="shared" si="21"/>
        <v>81</v>
      </c>
      <c r="J106" s="739" t="str">
        <f t="shared" si="22"/>
        <v>12</v>
      </c>
      <c r="K106" s="739" t="str">
        <f t="shared" si="23"/>
        <v>03</v>
      </c>
      <c r="L106" s="1276" t="str">
        <f>_xlfn.XLOOKUP($D106,  Tabla3[No.],  Tabla3[ESTATUS ACADÉMICO], " ")</f>
        <v>EGRESADO</v>
      </c>
      <c r="M106" s="637" t="str">
        <f>_xlfn.XLOOKUP($D106,  Tabla3[No.],  Tabla3[Grupo de clase], " ")</f>
        <v>DIAP01</v>
      </c>
      <c r="N106" s="1405">
        <v>9.6999999999999993</v>
      </c>
      <c r="O106" s="2974">
        <v>10</v>
      </c>
      <c r="P106" s="630">
        <v>9.4</v>
      </c>
      <c r="Q106" s="630">
        <v>10</v>
      </c>
      <c r="R106" s="630">
        <v>9</v>
      </c>
      <c r="S106" s="637">
        <v>9</v>
      </c>
      <c r="T106" s="637">
        <v>10</v>
      </c>
      <c r="U106" s="637">
        <v>10</v>
      </c>
      <c r="V106" s="637">
        <v>9.6999999999999993</v>
      </c>
      <c r="W106" s="1365" t="s">
        <v>136</v>
      </c>
      <c r="X106" s="637">
        <v>10</v>
      </c>
      <c r="Y106" s="637">
        <v>10</v>
      </c>
      <c r="Z106" s="637">
        <v>10</v>
      </c>
      <c r="AA106" s="637"/>
      <c r="AB106" s="744">
        <v>10</v>
      </c>
    </row>
    <row r="107" spans="1:28" ht="15" customHeight="1">
      <c r="A107" s="744"/>
      <c r="B107" s="3310" t="s">
        <v>1247</v>
      </c>
      <c r="C107" s="3311">
        <f>_xlfn.XLOOKUP($E107,Tabla3[CURP],Tabla3[FECHA DE INICIO (PRIMERA CLASE CALENDARIO)]," ")</f>
        <v>44639</v>
      </c>
      <c r="D107" s="3312">
        <v>334</v>
      </c>
      <c r="E107" s="3310" t="str">
        <f>_xlfn.XLOOKUP($D107,  Tabla3[No.],  Tabla3[CURP], " ")</f>
        <v>LAAI750417HJCYRS07</v>
      </c>
      <c r="F107" s="3314" t="str">
        <f>_xlfn.XLOOKUP($D107,  Tabla3[No.],  Tabla3[Matrícula Of. SEQ], " ")</f>
        <v>64DD05A-04</v>
      </c>
      <c r="G107" s="3316" t="str">
        <f>IFERROR(VLOOKUP(D107,Tabla3[],5,FALSE),"")</f>
        <v>LAY ARELLANO ISRAEL TONATIUH</v>
      </c>
      <c r="H107" s="739" t="str">
        <f t="shared" si="20"/>
        <v>H</v>
      </c>
      <c r="I107" s="739" t="str">
        <f t="shared" si="21"/>
        <v>75</v>
      </c>
      <c r="J107" s="739" t="str">
        <f t="shared" si="22"/>
        <v>04</v>
      </c>
      <c r="K107" s="739" t="str">
        <f t="shared" si="23"/>
        <v>17</v>
      </c>
      <c r="L107" s="1276" t="str">
        <f>_xlfn.XLOOKUP($D107,  Tabla3[No.],  Tabla3[ESTATUS ACADÉMICO], " ")</f>
        <v>EGRESADO</v>
      </c>
      <c r="M107" s="637" t="str">
        <f>_xlfn.XLOOKUP($D107,  Tabla3[No.],  Tabla3[Grupo de clase], " ")</f>
        <v>DD05A</v>
      </c>
      <c r="N107" s="1405">
        <v>9.8000000000000007</v>
      </c>
      <c r="O107" s="2972">
        <v>9.8000000000000007</v>
      </c>
      <c r="P107" s="637">
        <v>10</v>
      </c>
      <c r="Q107" s="637">
        <v>10</v>
      </c>
      <c r="R107" s="637">
        <v>10</v>
      </c>
      <c r="S107" s="637">
        <v>9</v>
      </c>
      <c r="T107" s="637">
        <v>10</v>
      </c>
      <c r="U107" s="637">
        <v>9</v>
      </c>
      <c r="V107" s="637">
        <v>9.5</v>
      </c>
      <c r="W107" s="637">
        <v>9.5</v>
      </c>
      <c r="X107" s="637">
        <v>10</v>
      </c>
      <c r="Y107" s="637">
        <v>10</v>
      </c>
      <c r="Z107" s="637">
        <v>10</v>
      </c>
      <c r="AA107" s="637"/>
      <c r="AB107" s="637">
        <v>10</v>
      </c>
    </row>
    <row r="108" spans="1:28" ht="15" customHeight="1">
      <c r="A108" s="744"/>
      <c r="B108" s="3310"/>
      <c r="C108" s="3311">
        <f>_xlfn.XLOOKUP($E108,Tabla3[CURP],Tabla3[FECHA DE INICIO (PRIMERA CLASE CALENDARIO)]," ")</f>
        <v>44440</v>
      </c>
      <c r="D108" s="3312">
        <v>92</v>
      </c>
      <c r="E108" s="3310" t="str">
        <f>_xlfn.XLOOKUP($D108,  Tabla3[No.],  Tabla3[CURP], " ")</f>
        <v>SACA780407MCCNRL05</v>
      </c>
      <c r="F108" s="3310" t="str">
        <f>_xlfn.XLOOKUP($D108,  Tabla3[No.],  Tabla3[Matrícula Of. SEQ], " ")</f>
        <v>64DD04A-09</v>
      </c>
      <c r="G108" s="3316" t="str">
        <f>IFERROR(VLOOKUP(D108,Tabla3[],5,FALSE),"")</f>
        <v xml:space="preserve">SANCHEZ DE LA CRUZ ALICIA </v>
      </c>
      <c r="H108" s="739" t="str">
        <f t="shared" si="20"/>
        <v>M</v>
      </c>
      <c r="I108" s="739" t="str">
        <f t="shared" si="21"/>
        <v>78</v>
      </c>
      <c r="J108" s="739" t="str">
        <f t="shared" si="22"/>
        <v>04</v>
      </c>
      <c r="K108" s="739" t="str">
        <f t="shared" si="23"/>
        <v>07</v>
      </c>
      <c r="L108" s="1276" t="str">
        <f>_xlfn.XLOOKUP($D108,  Tabla3[No.],  Tabla3[ESTATUS ACADÉMICO], " ")</f>
        <v>EGRESADO</v>
      </c>
      <c r="M108" s="637" t="str">
        <f>_xlfn.XLOOKUP($D108,  Tabla3[No.],  Tabla3[Grupo de clase], " ")</f>
        <v>DD03C</v>
      </c>
      <c r="N108" s="1405"/>
      <c r="O108" s="2972"/>
      <c r="P108" s="637"/>
      <c r="Q108" s="637"/>
      <c r="R108" s="637"/>
      <c r="S108" s="637"/>
      <c r="T108" s="637"/>
      <c r="U108" s="637"/>
      <c r="V108" s="637"/>
      <c r="W108" s="637"/>
      <c r="X108" s="637"/>
      <c r="Y108" s="637"/>
      <c r="Z108" s="637"/>
      <c r="AA108" s="637"/>
      <c r="AB108" s="637"/>
    </row>
    <row r="109" spans="1:28" ht="15" customHeight="1">
      <c r="A109" s="637"/>
      <c r="B109" s="3317"/>
      <c r="C109" s="3318">
        <f>_xlfn.XLOOKUP($E109,Tabla3[CURP],Tabla3[FECHA DE INICIO (PRIMERA CLASE CALENDARIO)]," ")</f>
        <v>44501</v>
      </c>
      <c r="D109" s="3319">
        <v>98</v>
      </c>
      <c r="E109" s="3317" t="str">
        <f>_xlfn.XLOOKUP($D109,  Tabla3[No.],  Tabla3[CURP], " ")</f>
        <v>ROSE820911MVZJRR04</v>
      </c>
      <c r="F109" s="3320" t="str">
        <f>_xlfn.XLOOKUP($D109,  Tabla3[No.],  Tabla3[Matrícula Of. SEQ], " ")</f>
        <v>64DIA01-11</v>
      </c>
      <c r="G109" s="3337" t="str">
        <f>IFERROR(VLOOKUP(D109,Tabla3[],5,FALSE),"")</f>
        <v>ROJAS SORIA ERIKA</v>
      </c>
      <c r="H109" s="1472" t="str">
        <f t="shared" si="20"/>
        <v>M</v>
      </c>
      <c r="I109" s="1472" t="str">
        <f t="shared" si="21"/>
        <v>82</v>
      </c>
      <c r="J109" s="1472" t="str">
        <f t="shared" si="22"/>
        <v>09</v>
      </c>
      <c r="K109" s="1472" t="str">
        <f t="shared" si="23"/>
        <v>11</v>
      </c>
      <c r="L109" s="1358" t="str">
        <f>_xlfn.XLOOKUP($D109,  Tabla3[No.],  Tabla3[ESTATUS ACADÉMICO], " ")</f>
        <v>BAJA TEMPORAL</v>
      </c>
      <c r="M109" s="1872" t="str">
        <f>_xlfn.XLOOKUP($D109,  Tabla3[No.],  Tabla3[Grupo de clase], " ")</f>
        <v>DIAP01</v>
      </c>
      <c r="N109" s="3328" t="s">
        <v>135</v>
      </c>
      <c r="O109" s="3327" t="s">
        <v>135</v>
      </c>
      <c r="P109" s="3328" t="s">
        <v>135</v>
      </c>
      <c r="Q109" s="3328" t="s">
        <v>135</v>
      </c>
      <c r="R109" s="3328" t="s">
        <v>135</v>
      </c>
      <c r="S109" s="3328" t="s">
        <v>135</v>
      </c>
      <c r="T109" s="3328">
        <v>9.4</v>
      </c>
      <c r="U109" s="1294">
        <v>10</v>
      </c>
      <c r="V109" s="1294">
        <v>9.6</v>
      </c>
      <c r="W109" s="1294">
        <v>9.1999999999999993</v>
      </c>
      <c r="X109" s="1294">
        <v>10</v>
      </c>
      <c r="Y109" s="1872">
        <v>10</v>
      </c>
      <c r="Z109" s="1872">
        <v>10</v>
      </c>
      <c r="AA109" s="1872"/>
      <c r="AB109" s="3329">
        <v>9.4</v>
      </c>
    </row>
    <row r="110" spans="1:28" ht="15" customHeight="1">
      <c r="A110" s="3"/>
      <c r="B110" s="3"/>
    </row>
    <row r="111" spans="1:28" ht="15" customHeight="1">
      <c r="A111" s="3"/>
      <c r="B111" s="3"/>
    </row>
    <row r="112" spans="1:28" ht="15" customHeight="1">
      <c r="A112" s="3"/>
      <c r="B112" s="3"/>
    </row>
    <row r="113" spans="1:42" ht="15" customHeight="1" thickBot="1">
      <c r="A113" s="3"/>
      <c r="B113" s="3"/>
      <c r="AC113" s="2337" t="s">
        <v>173</v>
      </c>
    </row>
    <row r="114" spans="1:42" ht="15" customHeight="1" thickBot="1">
      <c r="A114" s="3"/>
      <c r="B114" s="3"/>
      <c r="C114" s="3"/>
      <c r="D114" s="4085" t="s">
        <v>3866</v>
      </c>
      <c r="E114" s="701"/>
      <c r="F114" s="3"/>
      <c r="G114" s="3"/>
      <c r="H114" s="3"/>
      <c r="I114" s="3"/>
      <c r="J114" s="3"/>
      <c r="K114" s="3"/>
      <c r="L114" s="3"/>
      <c r="M114" s="3"/>
      <c r="N114" s="193">
        <v>44927</v>
      </c>
      <c r="O114" s="193" t="s">
        <v>4261</v>
      </c>
      <c r="P114" s="193" t="s">
        <v>4376</v>
      </c>
      <c r="Q114" s="193" t="s">
        <v>4377</v>
      </c>
      <c r="R114" s="3" t="s">
        <v>4045</v>
      </c>
      <c r="S114" s="3" t="s">
        <v>4257</v>
      </c>
      <c r="T114" s="3" t="s">
        <v>4256</v>
      </c>
      <c r="U114" s="3" t="s">
        <v>4882</v>
      </c>
      <c r="V114" s="3" t="s">
        <v>159</v>
      </c>
      <c r="W114" s="3" t="s">
        <v>4258</v>
      </c>
      <c r="X114" s="3" t="s">
        <v>4259</v>
      </c>
      <c r="Y114" s="3" t="s">
        <v>4260</v>
      </c>
      <c r="Z114" s="451" t="s">
        <v>4855</v>
      </c>
      <c r="AA114" s="3" t="s">
        <v>4261</v>
      </c>
      <c r="AB114" s="3" t="s">
        <v>4376</v>
      </c>
      <c r="AC114" s="3" t="s">
        <v>4262</v>
      </c>
      <c r="AD114" s="3" t="s">
        <v>4045</v>
      </c>
      <c r="AE114" s="3" t="s">
        <v>4369</v>
      </c>
      <c r="AF114" s="3" t="s">
        <v>4256</v>
      </c>
      <c r="AG114" s="3" t="s">
        <v>4325</v>
      </c>
      <c r="AH114" s="3" t="s">
        <v>159</v>
      </c>
      <c r="AI114" s="3" t="s">
        <v>4258</v>
      </c>
      <c r="AJ114" s="3" t="s">
        <v>4259</v>
      </c>
      <c r="AK114" s="2368">
        <v>45627</v>
      </c>
      <c r="AL114" s="1067">
        <v>45658</v>
      </c>
      <c r="AM114" s="1067">
        <v>45689</v>
      </c>
      <c r="AN114" s="1067">
        <v>45717</v>
      </c>
      <c r="AO114" s="1535"/>
      <c r="AP114" s="1535"/>
    </row>
    <row r="115" spans="1:42" ht="15" customHeight="1" thickBot="1">
      <c r="B115" s="643"/>
      <c r="C115" s="1381" t="s">
        <v>2592</v>
      </c>
      <c r="D115" s="4075"/>
      <c r="E115" s="4521" t="s">
        <v>1222</v>
      </c>
      <c r="F115" s="1382"/>
      <c r="G115" s="1383" t="s">
        <v>8</v>
      </c>
      <c r="H115" s="1384"/>
      <c r="I115" s="1384"/>
      <c r="J115" s="1384"/>
      <c r="K115" s="1384"/>
      <c r="L115" s="1385"/>
      <c r="M115" s="1386" t="s">
        <v>1149</v>
      </c>
      <c r="N115" s="1387" t="s">
        <v>3729</v>
      </c>
      <c r="O115" s="1388" t="s">
        <v>3730</v>
      </c>
      <c r="P115" s="1388" t="s">
        <v>3730</v>
      </c>
      <c r="Q115" s="1389" t="s">
        <v>3731</v>
      </c>
      <c r="R115" s="1389" t="s">
        <v>2594</v>
      </c>
      <c r="S115" s="1389" t="s">
        <v>2594</v>
      </c>
      <c r="T115" s="2340" t="s">
        <v>2594</v>
      </c>
      <c r="U115" s="744"/>
      <c r="V115" s="2342" t="s">
        <v>4881</v>
      </c>
      <c r="W115" s="1389" t="s">
        <v>3731</v>
      </c>
      <c r="X115" s="1389" t="s">
        <v>3731</v>
      </c>
      <c r="Y115" s="1389" t="s">
        <v>3731</v>
      </c>
      <c r="Z115" s="1389" t="s">
        <v>3731</v>
      </c>
      <c r="AA115" s="1389" t="s">
        <v>3731</v>
      </c>
      <c r="AB115" s="1389"/>
      <c r="AC115" s="1389" t="s">
        <v>3845</v>
      </c>
      <c r="AD115" s="2338" t="s">
        <v>4885</v>
      </c>
      <c r="AE115" s="2338" t="s">
        <v>4884</v>
      </c>
      <c r="AF115" s="2338" t="s">
        <v>4886</v>
      </c>
      <c r="AG115" s="2338" t="s">
        <v>4888</v>
      </c>
      <c r="AH115" s="2338" t="s">
        <v>4890</v>
      </c>
      <c r="AI115" s="2338" t="s">
        <v>4892</v>
      </c>
      <c r="AJ115" s="2338" t="s">
        <v>4891</v>
      </c>
      <c r="AK115" s="2338" t="s">
        <v>4893</v>
      </c>
      <c r="AL115" s="2338" t="s">
        <v>4798</v>
      </c>
      <c r="AM115" s="2338"/>
      <c r="AN115" s="2338"/>
    </row>
    <row r="116" spans="1:42" ht="15" customHeight="1" thickBot="1">
      <c r="B116" s="1350" t="s">
        <v>5</v>
      </c>
      <c r="C116" s="1390" t="s">
        <v>27</v>
      </c>
      <c r="D116" s="4075"/>
      <c r="E116" s="4522"/>
      <c r="F116" s="1391" t="s">
        <v>7</v>
      </c>
      <c r="G116" s="1302"/>
      <c r="H116" s="1392" t="s">
        <v>10</v>
      </c>
      <c r="J116" s="1393"/>
      <c r="K116" s="1393"/>
      <c r="L116" s="1385"/>
      <c r="M116" s="1347"/>
      <c r="N116" s="1394" t="s">
        <v>951</v>
      </c>
      <c r="O116" s="1394" t="s">
        <v>964</v>
      </c>
      <c r="P116" s="1394" t="s">
        <v>964</v>
      </c>
      <c r="Q116" s="1395" t="s">
        <v>1074</v>
      </c>
      <c r="R116" s="1395" t="s">
        <v>1075</v>
      </c>
      <c r="S116" s="1395" t="s">
        <v>1075</v>
      </c>
      <c r="T116" s="2341" t="s">
        <v>956</v>
      </c>
      <c r="U116" s="744"/>
      <c r="V116" s="2343" t="s">
        <v>960</v>
      </c>
      <c r="W116" s="1396" t="s">
        <v>952</v>
      </c>
      <c r="X116" s="1396" t="s">
        <v>954</v>
      </c>
      <c r="Y116" s="1396" t="s">
        <v>954</v>
      </c>
      <c r="Z116" s="1396" t="s">
        <v>950</v>
      </c>
      <c r="AA116" s="1397" t="s">
        <v>953</v>
      </c>
      <c r="AB116" s="1397"/>
      <c r="AC116" s="1396" t="s">
        <v>1073</v>
      </c>
      <c r="AD116" s="2339"/>
      <c r="AE116" s="2339"/>
      <c r="AF116" s="2339"/>
      <c r="AG116" s="2339"/>
      <c r="AH116" s="2339"/>
      <c r="AI116" s="2339"/>
      <c r="AJ116" s="2339"/>
      <c r="AK116" s="2339" t="s">
        <v>1074</v>
      </c>
      <c r="AL116" s="2339" t="s">
        <v>1075</v>
      </c>
      <c r="AM116" s="2339" t="s">
        <v>1075</v>
      </c>
      <c r="AN116" s="2339" t="s">
        <v>956</v>
      </c>
    </row>
    <row r="117" spans="1:42" s="1535" customFormat="1" ht="85.5">
      <c r="A117" s="1665" t="s">
        <v>2592</v>
      </c>
      <c r="B117" s="1415"/>
      <c r="C117" s="1400" t="s">
        <v>3732</v>
      </c>
      <c r="D117" s="4084"/>
      <c r="E117" s="4523"/>
      <c r="F117" s="2345"/>
      <c r="G117" s="1128" t="s">
        <v>78</v>
      </c>
      <c r="H117" s="2346" t="s">
        <v>9</v>
      </c>
      <c r="I117" s="2347" t="s">
        <v>79</v>
      </c>
      <c r="J117" s="2347" t="s">
        <v>80</v>
      </c>
      <c r="K117" s="2347" t="s">
        <v>81</v>
      </c>
      <c r="L117" s="2348" t="s">
        <v>1759</v>
      </c>
      <c r="M117" s="2349" t="s">
        <v>27</v>
      </c>
      <c r="N117" s="2350" t="s">
        <v>3733</v>
      </c>
      <c r="O117" s="2350" t="s">
        <v>3734</v>
      </c>
      <c r="P117" s="2350" t="s">
        <v>984</v>
      </c>
      <c r="Q117" s="2351" t="s">
        <v>1087</v>
      </c>
      <c r="R117" s="2352" t="s">
        <v>1088</v>
      </c>
      <c r="S117" s="2352" t="s">
        <v>3735</v>
      </c>
      <c r="T117" s="2344" t="s">
        <v>973</v>
      </c>
      <c r="U117" s="2344" t="s">
        <v>2588</v>
      </c>
      <c r="V117" s="2353" t="s">
        <v>979</v>
      </c>
      <c r="W117" s="2354" t="s">
        <v>2589</v>
      </c>
      <c r="X117" s="2354" t="s">
        <v>3736</v>
      </c>
      <c r="Y117" s="2354" t="s">
        <v>2590</v>
      </c>
      <c r="Z117" s="2355" t="s">
        <v>2595</v>
      </c>
      <c r="AA117" s="2356" t="s">
        <v>1278</v>
      </c>
      <c r="AB117" s="2357" t="s">
        <v>4883</v>
      </c>
      <c r="AC117" s="2355" t="s">
        <v>2586</v>
      </c>
      <c r="AD117" s="2358" t="s">
        <v>1091</v>
      </c>
      <c r="AE117" s="2358" t="s">
        <v>4874</v>
      </c>
      <c r="AF117" s="2358" t="s">
        <v>4120</v>
      </c>
      <c r="AG117" s="2358" t="s">
        <v>4887</v>
      </c>
      <c r="AH117" s="2359" t="s">
        <v>4889</v>
      </c>
      <c r="AI117" s="2359" t="s">
        <v>1090</v>
      </c>
      <c r="AJ117" s="2359" t="s">
        <v>984</v>
      </c>
      <c r="AK117" s="2360" t="s">
        <v>4878</v>
      </c>
      <c r="AL117" s="2361" t="s">
        <v>4879</v>
      </c>
      <c r="AM117" s="2361" t="s">
        <v>4802</v>
      </c>
      <c r="AN117" s="2361" t="s">
        <v>4880</v>
      </c>
      <c r="AO117"/>
      <c r="AP117"/>
    </row>
    <row r="118" spans="1:42" ht="15" customHeight="1">
      <c r="A118" s="1401"/>
      <c r="B118" s="3569">
        <v>1</v>
      </c>
      <c r="C118" s="3650">
        <v>45047</v>
      </c>
      <c r="D118" s="3643">
        <v>470</v>
      </c>
      <c r="E118" s="3569" t="str">
        <f>_xlfn.XLOOKUP($D118,  Tabla3[No.],  Tabla3[CURP], " ")</f>
        <v>AUPE701017HDFGDD06</v>
      </c>
      <c r="F118" s="3644" t="str">
        <f>_xlfn.XLOOKUP($D118,  Tabla3[No.],  Tabla3[Matrícula Of. SEQ], " ")</f>
        <v>64DD06A-01</v>
      </c>
      <c r="G118" s="3570" t="str">
        <f>IFERROR(VLOOKUP(D118,Tabla3[],5,FALSE),"")</f>
        <v>AGUILAR PADILLA EDGAR</v>
      </c>
      <c r="H118" s="3569" t="str">
        <f t="shared" ref="H118:H135" si="24">MID($E118,11,1)</f>
        <v>H</v>
      </c>
      <c r="I118" s="3651" t="str">
        <f t="shared" ref="I118:I135" si="25">MID($E118,5,2)</f>
        <v>70</v>
      </c>
      <c r="J118" s="3569" t="str">
        <f t="shared" ref="J118:J135" si="26">MID($E118,7,2)</f>
        <v>10</v>
      </c>
      <c r="K118" s="3569" t="str">
        <f t="shared" ref="K118:K135" si="27">MID($E118,9,2)</f>
        <v>17</v>
      </c>
      <c r="L118" s="1342" t="str">
        <f>_xlfn.XLOOKUP($D118,  Tabla3[No.],  Tabla3[ESTATUS ACADÉMICO], " ")</f>
        <v>EGRESADO</v>
      </c>
      <c r="M118" s="3645" t="str">
        <f>_xlfn.XLOOKUP($D118,  Tabla3[No.],  Tabla3[Grupo de clase], " ")</f>
        <v>DD06A</v>
      </c>
      <c r="N118" s="2362">
        <v>9.4</v>
      </c>
      <c r="O118" s="2362">
        <v>9.4</v>
      </c>
      <c r="P118" s="2362">
        <v>9.4</v>
      </c>
      <c r="Q118" s="2362">
        <v>9.4</v>
      </c>
      <c r="R118" s="2362">
        <v>10</v>
      </c>
      <c r="S118" s="2362">
        <v>10</v>
      </c>
      <c r="T118" s="2363">
        <v>10</v>
      </c>
      <c r="U118" s="2363">
        <v>9.4</v>
      </c>
      <c r="V118" s="2363">
        <v>9.4</v>
      </c>
      <c r="W118" s="3645">
        <v>10</v>
      </c>
      <c r="X118" s="1883">
        <v>10</v>
      </c>
      <c r="Y118" s="3645">
        <v>9</v>
      </c>
      <c r="Z118" s="1884">
        <v>10</v>
      </c>
      <c r="AA118" s="1883">
        <v>10</v>
      </c>
      <c r="AB118" s="3647">
        <v>10</v>
      </c>
      <c r="AC118" s="1432">
        <v>10</v>
      </c>
      <c r="AD118" s="3647">
        <v>9.3000000000000007</v>
      </c>
      <c r="AE118" s="3647">
        <v>9.6999999999999993</v>
      </c>
      <c r="AF118" s="3647">
        <v>9.3000000000000007</v>
      </c>
      <c r="AG118" s="3647">
        <v>10</v>
      </c>
      <c r="AH118" s="1432"/>
      <c r="AI118" s="1432"/>
      <c r="AJ118" s="1432"/>
      <c r="AK118" s="1432"/>
      <c r="AL118" s="1432"/>
      <c r="AM118" s="1432"/>
      <c r="AN118" s="1432"/>
    </row>
    <row r="119" spans="1:42" ht="15" customHeight="1">
      <c r="A119" s="643"/>
      <c r="B119" s="3569">
        <v>2</v>
      </c>
      <c r="C119" s="3650">
        <v>45017</v>
      </c>
      <c r="D119" s="3643">
        <v>495</v>
      </c>
      <c r="E119" s="3569" t="str">
        <f>_xlfn.XLOOKUP($D119,  Tabla3[No.],  Tabla3[CURP], " ")</f>
        <v>BIES551007HDFRSL01</v>
      </c>
      <c r="F119" s="3644" t="str">
        <f>_xlfn.XLOOKUP($D119,  Tabla3[No.],  Tabla3[Matrícula Of. SEQ], " ")</f>
        <v>64DD06C-03</v>
      </c>
      <c r="G119" s="3570" t="str">
        <f>IFERROR(VLOOKUP(D119,Tabla3[],5,FALSE),"")</f>
        <v>BRINGAS ESTRADA SALVADOR</v>
      </c>
      <c r="H119" s="3569" t="str">
        <f t="shared" si="24"/>
        <v>H</v>
      </c>
      <c r="I119" s="3651" t="str">
        <f t="shared" si="25"/>
        <v>55</v>
      </c>
      <c r="J119" s="3569" t="str">
        <f t="shared" si="26"/>
        <v>10</v>
      </c>
      <c r="K119" s="3569" t="str">
        <f t="shared" si="27"/>
        <v>07</v>
      </c>
      <c r="L119" s="1342" t="str">
        <f>_xlfn.XLOOKUP($D119,  Tabla3[No.],  Tabla3[ESTATUS ACADÉMICO], " ")</f>
        <v>EGRESADO</v>
      </c>
      <c r="M119" s="3645" t="str">
        <f>_xlfn.XLOOKUP($D119,  Tabla3[No.],  Tabla3[Grupo de clase], " ")</f>
        <v>DD06A</v>
      </c>
      <c r="N119" s="2362">
        <v>9.4</v>
      </c>
      <c r="O119" s="2362">
        <v>10</v>
      </c>
      <c r="P119" s="2362">
        <v>10</v>
      </c>
      <c r="Q119" s="2362">
        <v>10</v>
      </c>
      <c r="R119" s="2362">
        <v>10</v>
      </c>
      <c r="S119" s="2362">
        <v>10</v>
      </c>
      <c r="T119" s="2363">
        <v>10</v>
      </c>
      <c r="U119" s="2363">
        <v>9.6</v>
      </c>
      <c r="V119" s="2363">
        <v>9.6</v>
      </c>
      <c r="W119" s="3645">
        <v>10</v>
      </c>
      <c r="X119" s="1883">
        <v>10</v>
      </c>
      <c r="Y119" s="3645">
        <v>9.1</v>
      </c>
      <c r="Z119" s="1884">
        <v>10</v>
      </c>
      <c r="AA119" s="1883">
        <v>10</v>
      </c>
      <c r="AB119" s="3647">
        <v>10</v>
      </c>
      <c r="AC119" s="1432">
        <v>10</v>
      </c>
      <c r="AD119" s="3647">
        <v>9.6</v>
      </c>
      <c r="AE119" s="3647">
        <v>9.3000000000000007</v>
      </c>
      <c r="AF119" s="3647">
        <v>9.6</v>
      </c>
      <c r="AG119" s="3647">
        <v>10</v>
      </c>
      <c r="AH119" s="1432">
        <v>10</v>
      </c>
      <c r="AI119" s="1432">
        <v>10</v>
      </c>
      <c r="AJ119" s="1432">
        <v>10</v>
      </c>
      <c r="AK119" s="1432"/>
      <c r="AL119" s="1432"/>
      <c r="AM119" s="1432"/>
      <c r="AN119" s="1432"/>
    </row>
    <row r="120" spans="1:42" ht="15" customHeight="1">
      <c r="A120" s="643"/>
      <c r="B120" s="3569">
        <v>3</v>
      </c>
      <c r="C120" s="3650">
        <v>44958</v>
      </c>
      <c r="D120" s="3643">
        <v>103</v>
      </c>
      <c r="E120" s="3569" t="str">
        <f>_xlfn.XLOOKUP($D120,  Tabla3[No.],  Tabla3[CURP], " ")</f>
        <v>CAVE910116MQRBNS01</v>
      </c>
      <c r="F120" s="3644" t="str">
        <f>_xlfn.XLOOKUP($D120,  Tabla3[No.],  Tabla3[Matrícula Of. SEQ], " ")</f>
        <v>64MD03A-04</v>
      </c>
      <c r="G120" s="3570" t="str">
        <f>IFERROR(VLOOKUP(D120,Tabla3[],5,FALSE),"")</f>
        <v>CABALLERO VANEGAS ESTEFANIA CAROLINA</v>
      </c>
      <c r="H120" s="3569" t="str">
        <f t="shared" si="24"/>
        <v>M</v>
      </c>
      <c r="I120" s="3651" t="str">
        <f t="shared" si="25"/>
        <v>91</v>
      </c>
      <c r="J120" s="3569" t="str">
        <f t="shared" si="26"/>
        <v>01</v>
      </c>
      <c r="K120" s="3569" t="str">
        <f t="shared" si="27"/>
        <v>16</v>
      </c>
      <c r="L120" s="1342" t="str">
        <f>_xlfn.XLOOKUP($D120,  Tabla3[No.],  Tabla3[ESTATUS ACADÉMICO], " ")</f>
        <v>EGRESADO</v>
      </c>
      <c r="M120" s="3645" t="str">
        <f>_xlfn.XLOOKUP($D120,  Tabla3[No.],  Tabla3[Grupo de clase], " ")</f>
        <v>MD03A</v>
      </c>
      <c r="N120" s="2362">
        <v>10</v>
      </c>
      <c r="O120" s="2362">
        <v>10</v>
      </c>
      <c r="P120" s="2362">
        <v>10</v>
      </c>
      <c r="Q120" s="2362">
        <v>10</v>
      </c>
      <c r="R120" s="2362">
        <v>10</v>
      </c>
      <c r="S120" s="2362">
        <v>10</v>
      </c>
      <c r="T120" s="2363">
        <v>10</v>
      </c>
      <c r="U120" s="2363">
        <v>9.3000000000000007</v>
      </c>
      <c r="V120" s="2363">
        <v>9.3000000000000007</v>
      </c>
      <c r="W120" s="3645">
        <v>9</v>
      </c>
      <c r="X120" s="1883">
        <v>10</v>
      </c>
      <c r="Y120" s="3645">
        <v>9.4</v>
      </c>
      <c r="Z120" s="1884">
        <v>10</v>
      </c>
      <c r="AA120" s="1883">
        <v>10</v>
      </c>
      <c r="AB120" s="3647">
        <v>10</v>
      </c>
      <c r="AC120" s="1432">
        <v>10</v>
      </c>
      <c r="AD120" s="3647">
        <v>7.5</v>
      </c>
      <c r="AE120" s="3647">
        <v>9.3000000000000007</v>
      </c>
      <c r="AF120" s="3647">
        <v>9</v>
      </c>
      <c r="AG120" s="3647">
        <v>10</v>
      </c>
      <c r="AH120" s="1432"/>
      <c r="AI120" s="1432"/>
      <c r="AJ120" s="1432"/>
      <c r="AK120" s="1432"/>
      <c r="AL120" s="1432"/>
      <c r="AM120" s="1432"/>
      <c r="AN120" s="1432"/>
    </row>
    <row r="121" spans="1:42" ht="15" customHeight="1">
      <c r="A121" s="643"/>
      <c r="B121" s="3569">
        <v>4</v>
      </c>
      <c r="C121" s="3650">
        <v>45017</v>
      </c>
      <c r="D121" s="3643">
        <v>497</v>
      </c>
      <c r="E121" s="3569" t="str">
        <f>_xlfn.XLOOKUP($D121,  Tabla3[No.],  Tabla3[CURP], " ")</f>
        <v>GACM710917MDFRLL02</v>
      </c>
      <c r="F121" s="3644" t="str">
        <f>_xlfn.XLOOKUP($D121,  Tabla3[No.],  Tabla3[Matrícula Of. SEQ], " ")</f>
        <v>64DD06C-07</v>
      </c>
      <c r="G121" s="3570" t="str">
        <f>IFERROR(VLOOKUP(D121,Tabla3[],5,FALSE),"")</f>
        <v>GARAMENDI CELIS MIRIAM</v>
      </c>
      <c r="H121" s="3569" t="str">
        <f t="shared" si="24"/>
        <v>M</v>
      </c>
      <c r="I121" s="3651" t="str">
        <f t="shared" si="25"/>
        <v>71</v>
      </c>
      <c r="J121" s="3569" t="str">
        <f t="shared" si="26"/>
        <v>09</v>
      </c>
      <c r="K121" s="3569" t="str">
        <f t="shared" si="27"/>
        <v>17</v>
      </c>
      <c r="L121" s="1342" t="str">
        <f>_xlfn.XLOOKUP($D121,  Tabla3[No.],  Tabla3[ESTATUS ACADÉMICO], " ")</f>
        <v>EGRESADO</v>
      </c>
      <c r="M121" s="3645" t="str">
        <f>_xlfn.XLOOKUP($D121,  Tabla3[No.],  Tabla3[Grupo de clase], " ")</f>
        <v>DD06A</v>
      </c>
      <c r="N121" s="2362">
        <v>9.4</v>
      </c>
      <c r="O121" s="2362">
        <v>10</v>
      </c>
      <c r="P121" s="2362">
        <v>10</v>
      </c>
      <c r="Q121" s="2362">
        <v>10</v>
      </c>
      <c r="R121" s="2362">
        <v>10</v>
      </c>
      <c r="S121" s="2362">
        <v>10</v>
      </c>
      <c r="T121" s="2363">
        <v>10</v>
      </c>
      <c r="U121" s="2363">
        <v>10</v>
      </c>
      <c r="V121" s="2363">
        <v>10</v>
      </c>
      <c r="W121" s="3645">
        <v>10</v>
      </c>
      <c r="X121" s="1883">
        <v>10</v>
      </c>
      <c r="Y121" s="3645">
        <v>9.4</v>
      </c>
      <c r="Z121" s="1884">
        <v>10</v>
      </c>
      <c r="AA121" s="1883">
        <v>10</v>
      </c>
      <c r="AB121" s="3647">
        <v>10</v>
      </c>
      <c r="AC121" s="1432">
        <v>10</v>
      </c>
      <c r="AD121" s="3647">
        <v>9.6</v>
      </c>
      <c r="AE121" s="3647">
        <v>9.6</v>
      </c>
      <c r="AF121" s="3647">
        <v>9.6</v>
      </c>
      <c r="AG121" s="3647">
        <v>10</v>
      </c>
      <c r="AH121" s="1432">
        <v>10</v>
      </c>
      <c r="AI121" s="1432">
        <v>10</v>
      </c>
      <c r="AJ121" s="1432">
        <v>10</v>
      </c>
      <c r="AK121" s="1432"/>
      <c r="AL121" s="1432"/>
      <c r="AM121" s="1432"/>
      <c r="AN121" s="1432"/>
    </row>
    <row r="122" spans="1:42" ht="15" customHeight="1">
      <c r="A122" s="700"/>
      <c r="B122" s="3569">
        <v>5</v>
      </c>
      <c r="C122" s="3652">
        <v>44927</v>
      </c>
      <c r="D122" s="3643">
        <v>463</v>
      </c>
      <c r="E122" s="3569" t="str">
        <f>_xlfn.XLOOKUP($D122,  Tabla3[No.],  Tabla3[CURP], " ")</f>
        <v>MEHA671215HJCNRR08</v>
      </c>
      <c r="F122" s="3569" t="str">
        <f>_xlfn.XLOOKUP($D122,  Tabla3[No.],  Tabla3[Matrícula Of. SEQ], " ")</f>
        <v>64DD06C-06</v>
      </c>
      <c r="G122" s="3570" t="str">
        <f>IFERROR(VLOOKUP(D122,Tabla3[],5,FALSE),"")</f>
        <v>MENDOZA HERNANDEZ JOSE ARTURO</v>
      </c>
      <c r="H122" s="3569" t="str">
        <f t="shared" si="24"/>
        <v>H</v>
      </c>
      <c r="I122" s="3570" t="str">
        <f t="shared" si="25"/>
        <v>67</v>
      </c>
      <c r="J122" s="3569" t="str">
        <f t="shared" si="26"/>
        <v>12</v>
      </c>
      <c r="K122" s="3569" t="str">
        <f t="shared" si="27"/>
        <v>15</v>
      </c>
      <c r="L122" s="1276" t="str">
        <f>_xlfn.XLOOKUP($D122,  Tabla3[No.],  Tabla3[ESTATUS ACADÉMICO], " ")</f>
        <v>EN TITULACION</v>
      </c>
      <c r="M122" s="3645" t="str">
        <f>_xlfn.XLOOKUP($D122,  Tabla3[No.],  Tabla3[Grupo de clase], " ")</f>
        <v>DD06A</v>
      </c>
      <c r="N122" s="2362">
        <v>10</v>
      </c>
      <c r="O122" s="2362">
        <v>10</v>
      </c>
      <c r="P122" s="2362">
        <v>10</v>
      </c>
      <c r="Q122" s="2364">
        <v>10</v>
      </c>
      <c r="R122" s="2363">
        <v>10</v>
      </c>
      <c r="S122" s="1883">
        <v>10</v>
      </c>
      <c r="T122" s="2363">
        <v>10</v>
      </c>
      <c r="U122" s="2363">
        <v>9.6</v>
      </c>
      <c r="V122" s="2363">
        <v>9.6</v>
      </c>
      <c r="W122" s="1883">
        <v>9</v>
      </c>
      <c r="X122" s="1883">
        <v>10</v>
      </c>
      <c r="Y122" s="1884">
        <v>8.6999999999999993</v>
      </c>
      <c r="Z122" s="1884">
        <v>10</v>
      </c>
      <c r="AA122" s="1883">
        <v>10</v>
      </c>
      <c r="AB122" s="3647">
        <v>10</v>
      </c>
      <c r="AC122" s="2364">
        <v>10</v>
      </c>
      <c r="AD122" s="3647">
        <v>9</v>
      </c>
      <c r="AE122" s="3647">
        <v>9.6</v>
      </c>
      <c r="AF122" s="3647">
        <v>9.4</v>
      </c>
      <c r="AG122" s="3647">
        <v>10</v>
      </c>
      <c r="AH122" s="2364"/>
      <c r="AI122" s="2364"/>
      <c r="AJ122" s="2364"/>
      <c r="AK122" s="2364"/>
      <c r="AL122" s="2364"/>
      <c r="AM122" s="2364"/>
      <c r="AN122" s="2364"/>
    </row>
    <row r="123" spans="1:42" ht="15" customHeight="1">
      <c r="A123" s="700"/>
      <c r="B123" s="3569">
        <v>6</v>
      </c>
      <c r="C123" s="3650">
        <v>44927</v>
      </c>
      <c r="D123" s="3643">
        <v>464</v>
      </c>
      <c r="E123" s="3569" t="str">
        <f>_xlfn.XLOOKUP($D123,  Tabla3[No.],  Tabla3[CURP], " ")</f>
        <v>PABR881209HQRNLC07</v>
      </c>
      <c r="F123" s="3644" t="str">
        <f>_xlfn.XLOOKUP($D123,  Tabla3[No.],  Tabla3[Matrícula Of. SEQ], " ")</f>
        <v>64DD06A-07</v>
      </c>
      <c r="G123" s="3570" t="str">
        <f>IFERROR(VLOOKUP(D123,Tabla3[],5,FALSE),"")</f>
        <v>PANTOJA BLEE RICARDO</v>
      </c>
      <c r="H123" s="3569" t="str">
        <f t="shared" si="24"/>
        <v>H</v>
      </c>
      <c r="I123" s="3651" t="str">
        <f t="shared" si="25"/>
        <v>88</v>
      </c>
      <c r="J123" s="3569" t="str">
        <f t="shared" si="26"/>
        <v>12</v>
      </c>
      <c r="K123" s="3569" t="str">
        <f t="shared" si="27"/>
        <v>09</v>
      </c>
      <c r="L123" s="1342" t="str">
        <f>_xlfn.XLOOKUP($D123,  Tabla3[No.],  Tabla3[ESTATUS ACADÉMICO], " ")</f>
        <v>EGRESADO</v>
      </c>
      <c r="M123" s="3645" t="str">
        <f>_xlfn.XLOOKUP($D123,  Tabla3[No.],  Tabla3[Grupo de clase], " ")</f>
        <v>DD06</v>
      </c>
      <c r="N123" s="2362">
        <v>10</v>
      </c>
      <c r="O123" s="2362">
        <v>10</v>
      </c>
      <c r="P123" s="2362">
        <v>10</v>
      </c>
      <c r="Q123" s="2362">
        <v>10</v>
      </c>
      <c r="R123" s="2362">
        <v>10</v>
      </c>
      <c r="S123" s="2362">
        <v>10</v>
      </c>
      <c r="T123" s="2363">
        <v>10</v>
      </c>
      <c r="U123" s="2363">
        <v>9.6999999999999993</v>
      </c>
      <c r="V123" s="2363">
        <v>9.6999999999999993</v>
      </c>
      <c r="W123" s="3645">
        <v>9</v>
      </c>
      <c r="X123" s="1883">
        <v>10</v>
      </c>
      <c r="Y123" s="3645">
        <v>9</v>
      </c>
      <c r="Z123" s="1884">
        <v>10</v>
      </c>
      <c r="AA123" s="1883">
        <v>10</v>
      </c>
      <c r="AB123" s="3647">
        <v>10</v>
      </c>
      <c r="AC123" s="1432">
        <v>10</v>
      </c>
      <c r="AD123" s="3647">
        <v>9.6</v>
      </c>
      <c r="AE123" s="3647">
        <v>9.6</v>
      </c>
      <c r="AF123" s="3647">
        <v>9.6</v>
      </c>
      <c r="AG123" s="3647">
        <v>10</v>
      </c>
      <c r="AH123" s="1432"/>
      <c r="AI123" s="1432"/>
      <c r="AJ123" s="1432"/>
      <c r="AK123" s="1432"/>
      <c r="AL123" s="1432"/>
      <c r="AM123" s="1432"/>
      <c r="AN123" s="1432"/>
    </row>
    <row r="124" spans="1:42" ht="15" customHeight="1">
      <c r="A124" s="643"/>
      <c r="B124" s="3569">
        <v>7</v>
      </c>
      <c r="C124" s="3650">
        <v>44927</v>
      </c>
      <c r="D124" s="3643">
        <v>107</v>
      </c>
      <c r="E124" s="3569" t="str">
        <f>_xlfn.XLOOKUP($D124,  Tabla3[No.],  Tabla3[CURP], " ")</f>
        <v>PELE761206HQRRZD08</v>
      </c>
      <c r="F124" s="3644" t="str">
        <f>_xlfn.XLOOKUP($D124,  Tabla3[No.],  Tabla3[Matrícula Of. SEQ], " ")</f>
        <v>64MD03A-10</v>
      </c>
      <c r="G124" s="3570" t="str">
        <f>IFERROR(VLOOKUP(D124,Tabla3[],5,FALSE),"")</f>
        <v xml:space="preserve">PEREZ LOEZA EDGARDO NICOLAS </v>
      </c>
      <c r="H124" s="3569" t="str">
        <f t="shared" si="24"/>
        <v>H</v>
      </c>
      <c r="I124" s="3651" t="str">
        <f t="shared" si="25"/>
        <v>76</v>
      </c>
      <c r="J124" s="3569" t="str">
        <f t="shared" si="26"/>
        <v>12</v>
      </c>
      <c r="K124" s="3569" t="str">
        <f t="shared" si="27"/>
        <v>06</v>
      </c>
      <c r="L124" s="1342" t="str">
        <f>_xlfn.XLOOKUP($D124,  Tabla3[No.],  Tabla3[ESTATUS ACADÉMICO], " ")</f>
        <v>EGRESADO</v>
      </c>
      <c r="M124" s="3645" t="str">
        <f>_xlfn.XLOOKUP($D124,  Tabla3[No.],  Tabla3[Grupo de clase], " ")</f>
        <v>MD03A</v>
      </c>
      <c r="N124" s="2362">
        <v>10</v>
      </c>
      <c r="O124" s="2362">
        <v>10</v>
      </c>
      <c r="P124" s="2362">
        <v>10</v>
      </c>
      <c r="Q124" s="2362">
        <v>10</v>
      </c>
      <c r="R124" s="2362">
        <v>9.5</v>
      </c>
      <c r="S124" s="2362">
        <v>10</v>
      </c>
      <c r="T124" s="2363">
        <v>10</v>
      </c>
      <c r="U124" s="2363">
        <v>9.4</v>
      </c>
      <c r="V124" s="2363">
        <v>9.4</v>
      </c>
      <c r="W124" s="3645">
        <v>9</v>
      </c>
      <c r="X124" s="1883">
        <v>10</v>
      </c>
      <c r="Y124" s="3645">
        <v>9</v>
      </c>
      <c r="Z124" s="1884">
        <v>10</v>
      </c>
      <c r="AA124" s="1883">
        <v>10</v>
      </c>
      <c r="AB124" s="3647">
        <v>10</v>
      </c>
      <c r="AC124" s="1432">
        <v>10</v>
      </c>
      <c r="AD124" s="3647">
        <v>7.6</v>
      </c>
      <c r="AE124" s="3647">
        <v>9</v>
      </c>
      <c r="AF124" s="3647">
        <v>9.3000000000000007</v>
      </c>
      <c r="AG124" s="3647">
        <v>10</v>
      </c>
      <c r="AH124" s="1432"/>
      <c r="AI124" s="1432"/>
      <c r="AJ124" s="1432"/>
      <c r="AK124" s="1432"/>
      <c r="AL124" s="1432"/>
      <c r="AM124" s="1432"/>
      <c r="AN124" s="1432"/>
    </row>
    <row r="125" spans="1:42" ht="15" customHeight="1">
      <c r="A125" s="643"/>
      <c r="B125" s="3569">
        <v>8</v>
      </c>
      <c r="C125" s="3650">
        <v>45047</v>
      </c>
      <c r="D125" s="3643">
        <v>492</v>
      </c>
      <c r="E125" s="3569" t="str">
        <f>_xlfn.XLOOKUP($D125,  Tabla3[No.],  Tabla3[CURP], " ")</f>
        <v>SACL640107HVZLNC02</v>
      </c>
      <c r="F125" s="3644" t="str">
        <f>_xlfn.XLOOKUP($D125,  Tabla3[No.],  Tabla3[Matrícula Of. SEQ], " ")</f>
        <v>64DD06B-</v>
      </c>
      <c r="G125" s="3570" t="str">
        <f>IFERROR(VLOOKUP(D125,Tabla3[],5,FALSE),"")</f>
        <v>SALAS CONTRERAS LUCIANO</v>
      </c>
      <c r="H125" s="3569" t="str">
        <f t="shared" si="24"/>
        <v>H</v>
      </c>
      <c r="I125" s="3651" t="str">
        <f t="shared" si="25"/>
        <v>64</v>
      </c>
      <c r="J125" s="3569" t="str">
        <f t="shared" si="26"/>
        <v>01</v>
      </c>
      <c r="K125" s="3569" t="str">
        <f t="shared" si="27"/>
        <v>07</v>
      </c>
      <c r="L125" s="1342" t="str">
        <f>_xlfn.XLOOKUP($D125,  Tabla3[No.],  Tabla3[ESTATUS ACADÉMICO], " ")</f>
        <v>EGRESADO</v>
      </c>
      <c r="M125" s="3645" t="str">
        <f>_xlfn.XLOOKUP($D125,  Tabla3[No.],  Tabla3[Grupo de clase], " ")</f>
        <v>DD06A</v>
      </c>
      <c r="N125" s="2362">
        <v>9.4</v>
      </c>
      <c r="O125" s="2362">
        <v>10</v>
      </c>
      <c r="P125" s="2362">
        <v>10</v>
      </c>
      <c r="Q125" s="2362">
        <v>9.4</v>
      </c>
      <c r="R125" s="2362">
        <v>10</v>
      </c>
      <c r="S125" s="2362">
        <v>10</v>
      </c>
      <c r="T125" s="2363">
        <v>10</v>
      </c>
      <c r="U125" s="2363">
        <v>9.6999999999999993</v>
      </c>
      <c r="V125" s="2363">
        <v>9.6999999999999993</v>
      </c>
      <c r="W125" s="3645">
        <v>9</v>
      </c>
      <c r="X125" s="1883">
        <v>10</v>
      </c>
      <c r="Y125" s="3645">
        <v>9</v>
      </c>
      <c r="Z125" s="1884">
        <v>10</v>
      </c>
      <c r="AA125" s="1883">
        <v>10</v>
      </c>
      <c r="AB125" s="3647">
        <v>10</v>
      </c>
      <c r="AC125" s="1432">
        <v>10</v>
      </c>
      <c r="AD125" s="3647">
        <v>9.4</v>
      </c>
      <c r="AE125" s="3647">
        <v>9.4</v>
      </c>
      <c r="AF125" s="3647">
        <v>9.4</v>
      </c>
      <c r="AG125" s="3647">
        <v>10</v>
      </c>
      <c r="AH125" s="1432">
        <v>10</v>
      </c>
      <c r="AI125" s="1432">
        <v>10</v>
      </c>
      <c r="AJ125" s="1432">
        <v>9.6</v>
      </c>
      <c r="AK125" s="1432"/>
      <c r="AL125" s="1432"/>
      <c r="AM125" s="1432"/>
      <c r="AN125" s="1432"/>
    </row>
    <row r="126" spans="1:42" ht="15" customHeight="1">
      <c r="A126" s="643"/>
      <c r="B126" s="3569">
        <v>9</v>
      </c>
      <c r="C126" s="3650">
        <v>44927</v>
      </c>
      <c r="D126" s="3643">
        <v>269</v>
      </c>
      <c r="E126" s="3569" t="str">
        <f>_xlfn.XLOOKUP($D126,  Tabla3[No.],  Tabla3[CURP], " ")</f>
        <v>SARR600502HYNNDF02</v>
      </c>
      <c r="F126" s="3644" t="str">
        <f>_xlfn.XLOOKUP($D126,  Tabla3[No.],  Tabla3[Matrícula Of. SEQ], " ")</f>
        <v>64MD04B-05</v>
      </c>
      <c r="G126" s="3570" t="str">
        <f>IFERROR(VLOOKUP(D126,Tabla3[],5,FALSE),"")</f>
        <v>SANCHEZ RODRIGUEZ JOSE RAFAEL</v>
      </c>
      <c r="H126" s="3569" t="str">
        <f t="shared" si="24"/>
        <v>H</v>
      </c>
      <c r="I126" s="3651" t="str">
        <f t="shared" si="25"/>
        <v>60</v>
      </c>
      <c r="J126" s="3569" t="str">
        <f t="shared" si="26"/>
        <v>05</v>
      </c>
      <c r="K126" s="3569" t="str">
        <f t="shared" si="27"/>
        <v>02</v>
      </c>
      <c r="L126" s="1342" t="str">
        <f>_xlfn.XLOOKUP($D126,  Tabla3[No.],  Tabla3[ESTATUS ACADÉMICO], " ")</f>
        <v>EGRESADO</v>
      </c>
      <c r="M126" s="3645" t="str">
        <f>_xlfn.XLOOKUP($D126,  Tabla3[No.],  Tabla3[Grupo de clase], " ")</f>
        <v>MD05A</v>
      </c>
      <c r="N126" s="2362">
        <v>10</v>
      </c>
      <c r="O126" s="2362">
        <v>10</v>
      </c>
      <c r="P126" s="2362">
        <v>10</v>
      </c>
      <c r="Q126" s="2362">
        <v>10</v>
      </c>
      <c r="R126" s="2362">
        <v>10</v>
      </c>
      <c r="S126" s="2362">
        <v>10</v>
      </c>
      <c r="T126" s="2363">
        <v>10</v>
      </c>
      <c r="U126" s="2363">
        <v>9.6</v>
      </c>
      <c r="V126" s="2363">
        <v>9.6</v>
      </c>
      <c r="W126" s="3645">
        <v>10</v>
      </c>
      <c r="X126" s="1883">
        <v>10</v>
      </c>
      <c r="Y126" s="3645">
        <v>9.4</v>
      </c>
      <c r="Z126" s="1884">
        <v>10</v>
      </c>
      <c r="AA126" s="1883">
        <v>10</v>
      </c>
      <c r="AB126" s="3647">
        <v>10</v>
      </c>
      <c r="AC126" s="1432">
        <v>10</v>
      </c>
      <c r="AD126" s="3647">
        <v>9.4</v>
      </c>
      <c r="AE126" s="3647">
        <v>9.4</v>
      </c>
      <c r="AF126" s="3647">
        <v>9.4</v>
      </c>
      <c r="AG126" s="3647">
        <v>10</v>
      </c>
      <c r="AH126" s="1432"/>
      <c r="AI126" s="1432"/>
      <c r="AJ126" s="1432"/>
      <c r="AK126" s="1432"/>
      <c r="AL126" s="1432"/>
      <c r="AM126" s="1432"/>
      <c r="AN126" s="1432"/>
    </row>
    <row r="127" spans="1:42" ht="15" customHeight="1">
      <c r="A127" s="643"/>
      <c r="B127" s="3569">
        <v>10</v>
      </c>
      <c r="C127" s="3652">
        <v>44927</v>
      </c>
      <c r="D127" s="3643">
        <v>465</v>
      </c>
      <c r="E127" s="3569" t="str">
        <f>_xlfn.XLOOKUP($D127,  Tabla3[No.],  Tabla3[CURP], " ")</f>
        <v>VAAC750416MQRNCR03</v>
      </c>
      <c r="F127" s="3569" t="str">
        <f>_xlfn.XLOOKUP($D127,  Tabla3[No.],  Tabla3[Matrícula Of. SEQ], " ")</f>
        <v>64DD06A-10</v>
      </c>
      <c r="G127" s="3570" t="str">
        <f>IFERROR(VLOOKUP(D127,Tabla3[],5,FALSE),"")</f>
        <v>VANEGAS ACEVES CAROLINA</v>
      </c>
      <c r="H127" s="3569" t="str">
        <f t="shared" si="24"/>
        <v>M</v>
      </c>
      <c r="I127" s="3570" t="str">
        <f t="shared" si="25"/>
        <v>75</v>
      </c>
      <c r="J127" s="3569" t="str">
        <f t="shared" si="26"/>
        <v>04</v>
      </c>
      <c r="K127" s="3569" t="str">
        <f t="shared" si="27"/>
        <v>16</v>
      </c>
      <c r="L127" s="1276" t="str">
        <f>_xlfn.XLOOKUP($D127,  Tabla3[No.],  Tabla3[ESTATUS ACADÉMICO], " ")</f>
        <v>EN TITULACION</v>
      </c>
      <c r="M127" s="3645" t="str">
        <f>_xlfn.XLOOKUP($D127,  Tabla3[No.],  Tabla3[Grupo de clase], " ")</f>
        <v>DD06A</v>
      </c>
      <c r="N127" s="2362">
        <v>10</v>
      </c>
      <c r="O127" s="2362">
        <v>10</v>
      </c>
      <c r="P127" s="2362">
        <v>10</v>
      </c>
      <c r="Q127" s="2362">
        <v>10</v>
      </c>
      <c r="R127" s="2363">
        <v>10</v>
      </c>
      <c r="S127" s="3644">
        <v>10</v>
      </c>
      <c r="T127" s="2363">
        <v>10</v>
      </c>
      <c r="U127" s="2363">
        <v>9.6999999999999993</v>
      </c>
      <c r="V127" s="2363">
        <v>9.6999999999999993</v>
      </c>
      <c r="W127" s="3644">
        <v>9</v>
      </c>
      <c r="X127" s="1883">
        <v>10</v>
      </c>
      <c r="Y127" s="3644">
        <v>9</v>
      </c>
      <c r="Z127" s="1884">
        <v>10</v>
      </c>
      <c r="AA127" s="1883">
        <v>10</v>
      </c>
      <c r="AB127" s="3647">
        <v>10</v>
      </c>
      <c r="AC127" s="1306">
        <v>10</v>
      </c>
      <c r="AD127" s="3647">
        <v>7.6</v>
      </c>
      <c r="AE127" s="3647">
        <v>9.3000000000000007</v>
      </c>
      <c r="AF127" s="3647">
        <v>9</v>
      </c>
      <c r="AG127" s="3647">
        <v>10</v>
      </c>
      <c r="AH127" s="1306"/>
      <c r="AI127" s="1306"/>
      <c r="AJ127" s="1306"/>
      <c r="AK127" s="1306"/>
      <c r="AL127" s="1306"/>
      <c r="AM127" s="1306"/>
      <c r="AN127" s="1306"/>
    </row>
    <row r="128" spans="1:42" ht="15" customHeight="1">
      <c r="A128" s="643"/>
      <c r="B128" s="3569">
        <v>11</v>
      </c>
      <c r="C128" s="3652">
        <v>45017</v>
      </c>
      <c r="D128" s="3643">
        <v>560</v>
      </c>
      <c r="E128" s="3569" t="str">
        <f>_xlfn.XLOOKUP($D128,  Tabla3[No.],  Tabla3[CURP], " ")</f>
        <v>VEGJ530126HVZLMR08</v>
      </c>
      <c r="F128" s="3569" t="str">
        <f>_xlfn.XLOOKUP($D128,  Tabla3[No.],  Tabla3[Matrícula Of. SEQ], " ")</f>
        <v>64DD06B2-15</v>
      </c>
      <c r="G128" s="3570" t="str">
        <f>IFERROR(VLOOKUP(D128,Tabla3[],5,FALSE),"")</f>
        <v>VELARDE GOMEZ JORGE</v>
      </c>
      <c r="H128" s="3569" t="str">
        <f t="shared" si="24"/>
        <v>H</v>
      </c>
      <c r="I128" s="3570" t="str">
        <f t="shared" si="25"/>
        <v>53</v>
      </c>
      <c r="J128" s="3569" t="str">
        <f t="shared" si="26"/>
        <v>01</v>
      </c>
      <c r="K128" s="3569" t="str">
        <f t="shared" si="27"/>
        <v>26</v>
      </c>
      <c r="L128" s="1276" t="str">
        <f>_xlfn.XLOOKUP($D128,  Tabla3[No.],  Tabla3[ESTATUS ACADÉMICO], " ")</f>
        <v>EGRESADO</v>
      </c>
      <c r="M128" s="3645" t="str">
        <f>_xlfn.XLOOKUP($D128,  Tabla3[No.],  Tabla3[Grupo de clase], " ")</f>
        <v>DD06A</v>
      </c>
      <c r="N128" s="2362">
        <v>9.4</v>
      </c>
      <c r="O128" s="2362">
        <v>10</v>
      </c>
      <c r="P128" s="2362">
        <v>10</v>
      </c>
      <c r="Q128" s="2362">
        <v>10</v>
      </c>
      <c r="R128" s="2363">
        <v>10</v>
      </c>
      <c r="S128" s="3646">
        <v>10</v>
      </c>
      <c r="T128" s="2363">
        <v>8.3000000000000007</v>
      </c>
      <c r="U128" s="2363">
        <v>9.6999999999999993</v>
      </c>
      <c r="V128" s="2363">
        <v>9.6999999999999993</v>
      </c>
      <c r="W128" s="3645">
        <v>10</v>
      </c>
      <c r="X128" s="1883">
        <v>10</v>
      </c>
      <c r="Y128" s="3645">
        <v>9.3000000000000007</v>
      </c>
      <c r="Z128" s="1884">
        <v>10</v>
      </c>
      <c r="AA128" s="1883">
        <v>10</v>
      </c>
      <c r="AB128" s="3647">
        <v>10</v>
      </c>
      <c r="AC128" s="1432">
        <v>10</v>
      </c>
      <c r="AD128" s="3647">
        <v>9.6</v>
      </c>
      <c r="AE128" s="3647">
        <v>9.6</v>
      </c>
      <c r="AF128" s="3647">
        <v>9.6</v>
      </c>
      <c r="AG128" s="3647">
        <v>10</v>
      </c>
      <c r="AH128" s="1432"/>
      <c r="AI128" s="1432"/>
      <c r="AJ128" s="1432"/>
      <c r="AK128" s="1432">
        <v>10</v>
      </c>
      <c r="AL128" s="1432">
        <v>10</v>
      </c>
      <c r="AM128" s="1432"/>
      <c r="AN128" s="1432"/>
    </row>
    <row r="129" spans="1:68" s="1865" customFormat="1" ht="15" customHeight="1">
      <c r="B129" s="1867">
        <v>12</v>
      </c>
      <c r="C129" s="1868">
        <v>45078</v>
      </c>
      <c r="D129" s="1869">
        <v>566</v>
      </c>
      <c r="E129" s="1867" t="str">
        <f>_xlfn.XLOOKUP($D129,  Tabla3[No.],  Tabla3[CURP], " ")</f>
        <v>GAOG661130HDFRTB07</v>
      </c>
      <c r="F129" s="1867" t="str">
        <f>_xlfn.XLOOKUP($D129,  Tabla3[No.],  Tabla3[Matrícula Of. SEQ], " ")</f>
        <v>64DD06C-03</v>
      </c>
      <c r="G129" s="1870" t="str">
        <f>IFERROR(VLOOKUP(D129,Tabla3[],5,FALSE),"")</f>
        <v>GARCIA OTAMENDI GABRIEL</v>
      </c>
      <c r="H129" s="1867" t="str">
        <f t="shared" si="24"/>
        <v>H</v>
      </c>
      <c r="I129" s="1870" t="str">
        <f t="shared" si="25"/>
        <v>66</v>
      </c>
      <c r="J129" s="1867" t="str">
        <f t="shared" si="26"/>
        <v>11</v>
      </c>
      <c r="K129" s="1867" t="str">
        <f t="shared" si="27"/>
        <v>30</v>
      </c>
      <c r="L129" s="1358" t="str">
        <f>_xlfn.XLOOKUP($D129,  Tabla3[No.],  Tabla3[ESTATUS ACADÉMICO], " ")</f>
        <v>BAJA TEMPORAL</v>
      </c>
      <c r="M129" s="637" t="str">
        <f>_xlfn.XLOOKUP($D129,  Tabla3[No.],  Tabla3[Grupo de clase], " ")</f>
        <v>DD06A</v>
      </c>
      <c r="N129" s="2365">
        <v>9.4</v>
      </c>
      <c r="O129" s="2365">
        <v>10</v>
      </c>
      <c r="P129" s="2365">
        <v>10</v>
      </c>
      <c r="Q129" s="2365">
        <v>9.4</v>
      </c>
      <c r="R129" s="2365" t="s">
        <v>135</v>
      </c>
      <c r="S129" s="1871">
        <v>10</v>
      </c>
      <c r="T129" s="2366">
        <v>10</v>
      </c>
      <c r="U129" s="1134">
        <v>9.4</v>
      </c>
      <c r="V129" s="2366">
        <v>9.4</v>
      </c>
      <c r="W129" s="1872">
        <v>9</v>
      </c>
      <c r="X129" s="1873">
        <v>10</v>
      </c>
      <c r="Y129" s="1872">
        <v>10</v>
      </c>
      <c r="Z129" s="2367">
        <v>0</v>
      </c>
      <c r="AA129" s="1873">
        <v>0</v>
      </c>
      <c r="AB129" s="1729">
        <v>10</v>
      </c>
      <c r="AC129" s="1434">
        <v>0</v>
      </c>
      <c r="AD129" s="1729">
        <v>10</v>
      </c>
      <c r="AE129" s="1729">
        <v>0</v>
      </c>
      <c r="AF129" s="1729">
        <v>9.4</v>
      </c>
      <c r="AG129" s="1729">
        <v>0</v>
      </c>
      <c r="AH129" s="1350"/>
      <c r="AI129" s="1350"/>
      <c r="AJ129" s="1350"/>
      <c r="AK129" s="1350"/>
      <c r="AL129" s="1350"/>
      <c r="AM129" s="1350"/>
      <c r="AN129" s="1350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</row>
    <row r="130" spans="1:68" ht="15" customHeight="1">
      <c r="A130" s="700"/>
      <c r="B130" s="1402">
        <v>13</v>
      </c>
      <c r="C130" s="1403">
        <v>45108</v>
      </c>
      <c r="D130" s="1601">
        <v>573</v>
      </c>
      <c r="E130" s="1412" t="str">
        <f>_xlfn.XLOOKUP($D130,  Tabla3[No.],  Tabla3[CURP], " ")</f>
        <v>AERE550710MDFNYG02</v>
      </c>
      <c r="F130" s="1402" t="str">
        <f>_xlfn.XLOOKUP($D130,  Tabla3[No.],  Tabla3[Matrícula Of. SEQ], " ")</f>
        <v xml:space="preserve">64DD06C-01 </v>
      </c>
      <c r="G130" s="1778" t="str">
        <f>IFERROR(VLOOKUP(D130,Tabla3[],5,FALSE),"")</f>
        <v>ANGELES REYNOSO MARIA EUGENIA</v>
      </c>
      <c r="H130" s="1404" t="str">
        <f>MID(E130,11,1)</f>
        <v>M</v>
      </c>
      <c r="I130" s="1410">
        <v>55</v>
      </c>
      <c r="J130" s="1404" t="str">
        <f>MID(E130, 7,2)</f>
        <v>07</v>
      </c>
      <c r="K130" s="1404" t="str">
        <f>MID(E130, 9, 2)</f>
        <v>10</v>
      </c>
      <c r="L130" s="1276" t="s">
        <v>3489</v>
      </c>
      <c r="M130" s="637" t="str">
        <f>_xlfn.XLOOKUP($D130,  Tabla3[No.],  Tabla3[Grupo de clase], " ")</f>
        <v>DD06A</v>
      </c>
      <c r="N130" s="1405" t="s">
        <v>135</v>
      </c>
      <c r="O130" s="1405" t="s">
        <v>135</v>
      </c>
      <c r="P130" s="1405" t="s">
        <v>135</v>
      </c>
      <c r="Q130" s="1405" t="s">
        <v>135</v>
      </c>
      <c r="R130" s="1405" t="s">
        <v>135</v>
      </c>
      <c r="S130" s="1405" t="s">
        <v>135</v>
      </c>
      <c r="T130" s="1134">
        <v>10</v>
      </c>
      <c r="U130" s="1134">
        <v>9.6999999999999993</v>
      </c>
      <c r="V130" s="1134">
        <v>9.6999999999999993</v>
      </c>
      <c r="W130" s="1347">
        <v>9</v>
      </c>
      <c r="X130" s="1407">
        <v>10</v>
      </c>
      <c r="Y130" s="637">
        <v>8.6999999999999993</v>
      </c>
      <c r="Z130" s="1406">
        <v>10</v>
      </c>
      <c r="AA130" s="1407">
        <v>10</v>
      </c>
      <c r="AB130" s="1729">
        <v>10</v>
      </c>
      <c r="AC130" s="1350">
        <v>10</v>
      </c>
      <c r="AD130" s="1729">
        <v>9.6</v>
      </c>
      <c r="AE130" s="1729">
        <v>9.9</v>
      </c>
      <c r="AF130" s="1729">
        <v>9.6</v>
      </c>
      <c r="AG130" s="1729">
        <v>10</v>
      </c>
      <c r="AH130" s="1350">
        <v>9</v>
      </c>
      <c r="AI130" s="1350">
        <v>10</v>
      </c>
      <c r="AJ130" s="1350">
        <v>10</v>
      </c>
      <c r="AK130" s="1350">
        <v>10</v>
      </c>
      <c r="AL130" s="1350">
        <v>10</v>
      </c>
      <c r="AM130" s="1350"/>
      <c r="AN130" s="1350"/>
    </row>
    <row r="131" spans="1:68" ht="15" customHeight="1">
      <c r="A131" s="700"/>
      <c r="B131" s="3569">
        <v>14</v>
      </c>
      <c r="C131" s="3642">
        <v>45078</v>
      </c>
      <c r="D131" s="3643">
        <v>572</v>
      </c>
      <c r="E131" s="3569" t="str">
        <f>_xlfn.XLOOKUP($D131,  Tabla3[No.],  Tabla3[CURP], " ")</f>
        <v>COBM860618HDFRRR02</v>
      </c>
      <c r="F131" s="3644" t="str">
        <f>_xlfn.XLOOKUP($D131,  Tabla3[No.],  Tabla3[Matrícula Of. SEQ], " ")</f>
        <v>64DD06C-02</v>
      </c>
      <c r="G131" s="3570" t="str">
        <f>IFERROR(VLOOKUP(D131,Tabla3[],5,FALSE),"")</f>
        <v>CORTES BRISEÑO MARCO ANTONIO</v>
      </c>
      <c r="H131" s="3569" t="str">
        <f t="shared" si="24"/>
        <v>H</v>
      </c>
      <c r="I131" s="3570" t="str">
        <f t="shared" si="25"/>
        <v>86</v>
      </c>
      <c r="J131" s="3569" t="str">
        <f t="shared" si="26"/>
        <v>06</v>
      </c>
      <c r="K131" s="3569" t="str">
        <f t="shared" si="27"/>
        <v>18</v>
      </c>
      <c r="L131" s="1276" t="str">
        <f>_xlfn.XLOOKUP($D131,  Tabla3[No.],  Tabla3[ESTATUS ACADÉMICO], " ")</f>
        <v>EGRESADO</v>
      </c>
      <c r="M131" s="3645" t="str">
        <f>_xlfn.XLOOKUP($D131,  Tabla3[No.],  Tabla3[Grupo de clase], " ")</f>
        <v>DD06A</v>
      </c>
      <c r="N131" s="2362">
        <v>9.4</v>
      </c>
      <c r="O131" s="2362">
        <v>10</v>
      </c>
      <c r="P131" s="2362">
        <v>10</v>
      </c>
      <c r="Q131" s="2362">
        <v>9.4</v>
      </c>
      <c r="R131" s="2362" t="s">
        <v>135</v>
      </c>
      <c r="S131" s="3646">
        <v>10</v>
      </c>
      <c r="T131" s="2363">
        <v>10</v>
      </c>
      <c r="U131" s="2363">
        <v>9.6</v>
      </c>
      <c r="V131" s="2363">
        <v>9.6</v>
      </c>
      <c r="W131" s="3645">
        <v>9</v>
      </c>
      <c r="X131" s="1883">
        <v>10</v>
      </c>
      <c r="Y131" s="3645">
        <v>9.1999999999999993</v>
      </c>
      <c r="Z131" s="1884">
        <v>10</v>
      </c>
      <c r="AA131" s="1883">
        <v>10</v>
      </c>
      <c r="AB131" s="3647">
        <v>10</v>
      </c>
      <c r="AC131" s="1432">
        <v>10</v>
      </c>
      <c r="AD131" s="3647">
        <v>10</v>
      </c>
      <c r="AE131" s="3647">
        <v>9.1999999999999993</v>
      </c>
      <c r="AF131" s="3647">
        <v>9.1999999999999993</v>
      </c>
      <c r="AG131" s="3647">
        <v>10</v>
      </c>
      <c r="AH131" s="1432">
        <v>10</v>
      </c>
      <c r="AI131" s="1432">
        <v>10</v>
      </c>
      <c r="AJ131" s="1432">
        <v>10</v>
      </c>
      <c r="AK131" s="1432">
        <v>10</v>
      </c>
      <c r="AL131" s="1432">
        <v>10</v>
      </c>
      <c r="AM131" s="1432"/>
      <c r="AN131" s="1432"/>
    </row>
    <row r="132" spans="1:68" ht="15" customHeight="1">
      <c r="A132" s="643"/>
      <c r="B132" s="3569">
        <v>15</v>
      </c>
      <c r="C132" s="3642">
        <v>45108</v>
      </c>
      <c r="D132" s="3643">
        <v>576</v>
      </c>
      <c r="E132" s="3648" t="str">
        <f>_xlfn.XLOOKUP($D132,  Tabla3[No.],  Tabla3[CURP], " ")</f>
        <v>DEAJ810208HQRLZL09</v>
      </c>
      <c r="F132" s="3649" t="str">
        <f>_xlfn.XLOOKUP($D132,  Tabla3[No.],  Tabla3[Matrícula Of. SEQ], " ")</f>
        <v>64DD06C2-01</v>
      </c>
      <c r="G132" s="3570" t="str">
        <f>IFERROR(VLOOKUP(D132,Tabla3[],5,FALSE),"")</f>
        <v>DELGADO AZUETA JULIO CESAR</v>
      </c>
      <c r="H132" s="3569" t="str">
        <f t="shared" si="24"/>
        <v>H</v>
      </c>
      <c r="I132" s="3570" t="str">
        <f t="shared" si="25"/>
        <v>81</v>
      </c>
      <c r="J132" s="3569" t="str">
        <f t="shared" si="26"/>
        <v>02</v>
      </c>
      <c r="K132" s="3569" t="str">
        <f t="shared" si="27"/>
        <v>08</v>
      </c>
      <c r="L132" s="1276" t="str">
        <f>_xlfn.XLOOKUP($D132,  Tabla3[No.],  Tabla3[ESTATUS ACADÉMICO], " ")</f>
        <v>EGRESADO</v>
      </c>
      <c r="M132" s="3645" t="str">
        <f>_xlfn.XLOOKUP($D132,  Tabla3[No.],  Tabla3[Grupo de clase], " ")</f>
        <v>DD06A</v>
      </c>
      <c r="N132" s="2362" t="s">
        <v>135</v>
      </c>
      <c r="O132" s="2362" t="s">
        <v>135</v>
      </c>
      <c r="P132" s="2362" t="s">
        <v>135</v>
      </c>
      <c r="Q132" s="2362" t="s">
        <v>135</v>
      </c>
      <c r="R132" s="2362" t="s">
        <v>135</v>
      </c>
      <c r="S132" s="2362" t="s">
        <v>135</v>
      </c>
      <c r="T132" s="2363">
        <v>10</v>
      </c>
      <c r="U132" s="2363">
        <v>9.6999999999999993</v>
      </c>
      <c r="V132" s="2363">
        <v>9.6999999999999993</v>
      </c>
      <c r="W132" s="3645">
        <v>9</v>
      </c>
      <c r="X132" s="1883">
        <v>10</v>
      </c>
      <c r="Y132" s="3645">
        <v>10</v>
      </c>
      <c r="Z132" s="1884">
        <v>10</v>
      </c>
      <c r="AA132" s="1883">
        <v>10</v>
      </c>
      <c r="AB132" s="3647"/>
      <c r="AC132" s="1432"/>
      <c r="AD132" s="3647"/>
      <c r="AE132" s="3647"/>
      <c r="AF132" s="3647"/>
      <c r="AG132" s="3647"/>
      <c r="AH132" s="1432"/>
      <c r="AI132" s="1432"/>
      <c r="AJ132" s="1432"/>
      <c r="AK132" s="1432"/>
      <c r="AL132" s="1432"/>
      <c r="AM132" s="1432"/>
      <c r="AN132" s="1432"/>
    </row>
    <row r="133" spans="1:68" ht="15" customHeight="1">
      <c r="A133" s="643"/>
      <c r="B133" s="3569">
        <v>16</v>
      </c>
      <c r="C133" s="3650">
        <v>45108</v>
      </c>
      <c r="D133" s="3643">
        <v>348</v>
      </c>
      <c r="E133" s="3569" t="str">
        <f>_xlfn.XLOOKUP($D133,  Tabla3[No.],  Tabla3[CURP], " ")</f>
        <v>MORI790221MDFNVR01</v>
      </c>
      <c r="F133" s="3644" t="str">
        <f>_xlfn.XLOOKUP($D133,  Tabla3[No.],  Tabla3[Matrícula Of. SEQ], " ")</f>
        <v>64MD02B-06</v>
      </c>
      <c r="G133" s="3570" t="str">
        <f>IFERROR(VLOOKUP(D133,Tabla3[],5,FALSE),"")</f>
        <v xml:space="preserve">MONDRAGÓN RUVALCABA IRÁN MARGARITA </v>
      </c>
      <c r="H133" s="3569" t="str">
        <f t="shared" si="24"/>
        <v>M</v>
      </c>
      <c r="I133" s="3651" t="str">
        <f t="shared" si="25"/>
        <v>79</v>
      </c>
      <c r="J133" s="3569" t="str">
        <f t="shared" si="26"/>
        <v>02</v>
      </c>
      <c r="K133" s="3569" t="str">
        <f t="shared" si="27"/>
        <v>21</v>
      </c>
      <c r="L133" s="1342" t="str">
        <f>_xlfn.XLOOKUP($D133,  Tabla3[No.],  Tabla3[ESTATUS ACADÉMICO], " ")</f>
        <v>EGRESADO</v>
      </c>
      <c r="M133" s="3645" t="str">
        <f>_xlfn.XLOOKUP($D133,  Tabla3[No.],  Tabla3[Grupo de clase], " ")</f>
        <v>MD02B</v>
      </c>
      <c r="N133" s="2362" t="s">
        <v>135</v>
      </c>
      <c r="O133" s="2362" t="s">
        <v>135</v>
      </c>
      <c r="P133" s="2362" t="s">
        <v>135</v>
      </c>
      <c r="Q133" s="2362" t="s">
        <v>135</v>
      </c>
      <c r="R133" s="2362" t="s">
        <v>135</v>
      </c>
      <c r="S133" s="2362" t="s">
        <v>135</v>
      </c>
      <c r="T133" s="2363">
        <v>10</v>
      </c>
      <c r="U133" s="2363">
        <v>9</v>
      </c>
      <c r="V133" s="2363">
        <v>9</v>
      </c>
      <c r="W133" s="3645">
        <v>9</v>
      </c>
      <c r="X133" s="1883">
        <v>10</v>
      </c>
      <c r="Y133" s="3645">
        <v>10</v>
      </c>
      <c r="Z133" s="1884">
        <v>10</v>
      </c>
      <c r="AA133" s="1883">
        <v>10</v>
      </c>
      <c r="AB133" s="3647"/>
      <c r="AC133" s="1432"/>
      <c r="AD133" s="3647"/>
      <c r="AE133" s="3647"/>
      <c r="AF133" s="3647"/>
      <c r="AG133" s="3647"/>
      <c r="AH133" s="1432"/>
      <c r="AI133" s="1432"/>
      <c r="AJ133" s="1432"/>
      <c r="AK133" s="1432"/>
      <c r="AL133" s="1432"/>
      <c r="AM133" s="1432"/>
      <c r="AN133" s="1432"/>
    </row>
    <row r="134" spans="1:68" ht="15" customHeight="1">
      <c r="B134" s="1402">
        <v>17</v>
      </c>
      <c r="C134" s="1353">
        <v>45139</v>
      </c>
      <c r="D134" s="1601">
        <v>582</v>
      </c>
      <c r="E134" s="1404" t="str">
        <f>_xlfn.XLOOKUP($D134,  Tabla3[No.],  Tabla3[CURP], " ")</f>
        <v>QUVA801218MCC</v>
      </c>
      <c r="F134" s="744" t="str">
        <f>_xlfn.XLOOKUP($D134,  Tabla3[No.],  Tabla3[Matrícula Of. SEQ], " ")</f>
        <v>64DD06C-09</v>
      </c>
      <c r="G134" s="1778" t="str">
        <f>IFERROR(VLOOKUP(D134,Tabla3[],5,FALSE),"")</f>
        <v>QUINTERO VILLAMIZAR AHALIA ROCIO DEL PILAR</v>
      </c>
      <c r="H134" s="1404" t="s">
        <v>432</v>
      </c>
      <c r="I134" s="1379"/>
      <c r="J134" s="744"/>
      <c r="K134" s="1404" t="str">
        <f>MID(E134, 9, 2)</f>
        <v>18</v>
      </c>
      <c r="L134" s="1342" t="s">
        <v>3489</v>
      </c>
      <c r="M134" s="637" t="str">
        <f>_xlfn.XLOOKUP($D134,  Tabla3[No.],  Tabla3[Grupo de clase], " ")</f>
        <v>DD06A</v>
      </c>
      <c r="N134" s="1405" t="s">
        <v>135</v>
      </c>
      <c r="O134" s="1405" t="s">
        <v>135</v>
      </c>
      <c r="P134" s="1405" t="s">
        <v>135</v>
      </c>
      <c r="Q134" s="1405" t="s">
        <v>135</v>
      </c>
      <c r="R134" s="1405" t="s">
        <v>135</v>
      </c>
      <c r="S134" s="1405" t="s">
        <v>135</v>
      </c>
      <c r="T134" s="1405" t="s">
        <v>135</v>
      </c>
      <c r="U134" s="1134">
        <v>9.6999999999999993</v>
      </c>
      <c r="V134" s="1134">
        <v>9.6999999999999993</v>
      </c>
      <c r="W134" s="1347">
        <v>10</v>
      </c>
      <c r="X134" s="1407">
        <v>10</v>
      </c>
      <c r="Y134" s="637">
        <v>10</v>
      </c>
      <c r="Z134" s="1406">
        <v>10</v>
      </c>
      <c r="AA134" s="1407">
        <v>10</v>
      </c>
      <c r="AB134" s="1729">
        <v>10</v>
      </c>
      <c r="AC134" s="1350">
        <v>10</v>
      </c>
      <c r="AD134" s="1729">
        <v>9.6</v>
      </c>
      <c r="AE134" s="1729">
        <v>9.6</v>
      </c>
      <c r="AF134" s="1729">
        <v>9.6999999999999993</v>
      </c>
      <c r="AG134" s="1729">
        <v>10</v>
      </c>
      <c r="AH134" s="1350">
        <v>10</v>
      </c>
      <c r="AI134" s="1350">
        <v>10</v>
      </c>
      <c r="AJ134" s="1350">
        <v>10</v>
      </c>
      <c r="AK134" s="1350">
        <v>10</v>
      </c>
      <c r="AL134" s="1350">
        <v>10</v>
      </c>
      <c r="AM134" s="1350">
        <v>10</v>
      </c>
      <c r="AN134" s="1350">
        <v>10</v>
      </c>
    </row>
    <row r="135" spans="1:68" ht="15" customHeight="1">
      <c r="B135" s="3569">
        <v>18</v>
      </c>
      <c r="C135" s="3652">
        <v>45139</v>
      </c>
      <c r="D135" s="3643">
        <v>577</v>
      </c>
      <c r="E135" s="3569" t="str">
        <f>_xlfn.XLOOKUP($D135,  Tabla3[No.],  Tabla3[CURP], " ")</f>
        <v>RETL840311HDFYRS06</v>
      </c>
      <c r="F135" s="3569" t="str">
        <f>_xlfn.XLOOKUP($D135,  Tabla3[No.],  Tabla3[Matrícula Of. SEQ], " ")</f>
        <v>64DD06C-06</v>
      </c>
      <c r="G135" s="3570" t="str">
        <f>IFERROR(VLOOKUP(D135,Tabla3[],5,FALSE),"")</f>
        <v>REYES TREJO LUIS ALONSO</v>
      </c>
      <c r="H135" s="3569" t="str">
        <f t="shared" si="24"/>
        <v>H</v>
      </c>
      <c r="I135" s="3570" t="str">
        <f t="shared" si="25"/>
        <v>84</v>
      </c>
      <c r="J135" s="3569" t="str">
        <f t="shared" si="26"/>
        <v>03</v>
      </c>
      <c r="K135" s="3569" t="str">
        <f t="shared" si="27"/>
        <v>11</v>
      </c>
      <c r="L135" s="1276" t="str">
        <f>_xlfn.XLOOKUP($D135,  Tabla3[No.],  Tabla3[ESTATUS ACADÉMICO], " ")</f>
        <v>EN TITULACION</v>
      </c>
      <c r="M135" s="3645" t="str">
        <f>_xlfn.XLOOKUP($D135,  Tabla3[No.],  Tabla3[Grupo de clase], " ")</f>
        <v>DD06A</v>
      </c>
      <c r="N135" s="2362" t="s">
        <v>135</v>
      </c>
      <c r="O135" s="2362" t="s">
        <v>135</v>
      </c>
      <c r="P135" s="2362" t="s">
        <v>135</v>
      </c>
      <c r="Q135" s="2362" t="s">
        <v>135</v>
      </c>
      <c r="R135" s="2363" t="s">
        <v>135</v>
      </c>
      <c r="S135" s="3646" t="s">
        <v>135</v>
      </c>
      <c r="T135" s="2363" t="s">
        <v>135</v>
      </c>
      <c r="U135" s="2363">
        <v>9.6</v>
      </c>
      <c r="V135" s="2363">
        <v>9.6</v>
      </c>
      <c r="W135" s="3645">
        <v>9</v>
      </c>
      <c r="X135" s="1883">
        <v>10</v>
      </c>
      <c r="Y135" s="3645">
        <v>10</v>
      </c>
      <c r="Z135" s="1884">
        <v>10</v>
      </c>
      <c r="AA135" s="1883">
        <v>10</v>
      </c>
      <c r="AB135" s="3647">
        <v>9</v>
      </c>
      <c r="AC135" s="1432">
        <v>10</v>
      </c>
      <c r="AD135" s="3647">
        <v>8.1</v>
      </c>
      <c r="AE135" s="3647">
        <v>8.1</v>
      </c>
      <c r="AF135" s="3647">
        <v>8.1</v>
      </c>
      <c r="AG135" s="3647">
        <v>10</v>
      </c>
      <c r="AH135" s="1432">
        <v>10</v>
      </c>
      <c r="AI135" s="1432">
        <v>10</v>
      </c>
      <c r="AJ135" s="1432">
        <v>10</v>
      </c>
      <c r="AK135" s="1432">
        <v>10</v>
      </c>
      <c r="AL135" s="1432">
        <v>10</v>
      </c>
      <c r="AM135" s="1432">
        <v>10</v>
      </c>
      <c r="AN135" s="1432">
        <v>10</v>
      </c>
    </row>
    <row r="136" spans="1:68" ht="15" customHeight="1">
      <c r="B136" s="1402">
        <v>19</v>
      </c>
      <c r="C136" s="1353">
        <v>45139</v>
      </c>
      <c r="D136" s="1601">
        <v>583</v>
      </c>
      <c r="E136" s="1379" t="str">
        <f>_xlfn.XLOOKUP($D136,  Tabla3[No.],  Tabla3[CURP], " ")</f>
        <v>GARF010101HGT</v>
      </c>
      <c r="F136" s="744" t="str">
        <f>_xlfn.XLOOKUP($D136,  Tabla3[No.],  Tabla3[Matrícula Of. SEQ], " ")</f>
        <v>64DD06C-05</v>
      </c>
      <c r="G136" s="1778" t="str">
        <f>IFERROR(VLOOKUP(D136,Tabla3[],5,FALSE),"")</f>
        <v>GARCIA ROJAS FERNANDO</v>
      </c>
      <c r="H136" s="1404" t="s">
        <v>433</v>
      </c>
      <c r="I136" s="744"/>
      <c r="J136" s="1404" t="str">
        <f>MID(E136, 7,2)</f>
        <v>01</v>
      </c>
      <c r="K136" s="1404" t="str">
        <f>MID(E136, 9, 2)</f>
        <v>01</v>
      </c>
      <c r="L136" s="1342" t="s">
        <v>3489</v>
      </c>
      <c r="M136" s="637" t="str">
        <f>_xlfn.XLOOKUP($D136,  Tabla3[No.],  Tabla3[Grupo de clase], " ")</f>
        <v>DD06A</v>
      </c>
      <c r="N136" s="1405" t="s">
        <v>135</v>
      </c>
      <c r="O136" s="1405" t="s">
        <v>135</v>
      </c>
      <c r="P136" s="1405" t="s">
        <v>135</v>
      </c>
      <c r="Q136" s="1405" t="s">
        <v>135</v>
      </c>
      <c r="R136" s="1405" t="s">
        <v>135</v>
      </c>
      <c r="S136" s="1405" t="s">
        <v>135</v>
      </c>
      <c r="T136" s="1405" t="s">
        <v>135</v>
      </c>
      <c r="U136" s="744">
        <v>9.6999999999999993</v>
      </c>
      <c r="V136" s="637">
        <v>9.6999999999999993</v>
      </c>
      <c r="W136" s="1347">
        <v>9</v>
      </c>
      <c r="X136" s="1407">
        <v>10</v>
      </c>
      <c r="Y136" s="637">
        <v>10</v>
      </c>
      <c r="Z136" s="1406">
        <v>10</v>
      </c>
      <c r="AA136" s="1407">
        <v>10</v>
      </c>
      <c r="AB136" s="1279">
        <v>10</v>
      </c>
      <c r="AC136" s="1350">
        <v>10</v>
      </c>
      <c r="AD136" s="1729">
        <v>9.4</v>
      </c>
      <c r="AE136" s="1729">
        <v>9.4</v>
      </c>
      <c r="AF136" s="1729">
        <v>9.4</v>
      </c>
      <c r="AG136" s="1729">
        <v>10</v>
      </c>
      <c r="AH136" s="1350">
        <v>10</v>
      </c>
      <c r="AI136" s="1350">
        <v>10</v>
      </c>
      <c r="AJ136" s="1350">
        <v>10</v>
      </c>
      <c r="AK136" s="1350">
        <v>10</v>
      </c>
      <c r="AL136" s="1350">
        <v>10</v>
      </c>
      <c r="AM136" s="1350">
        <v>10</v>
      </c>
      <c r="AN136" s="1350">
        <v>10</v>
      </c>
    </row>
    <row r="137" spans="1:68" ht="15" customHeight="1">
      <c r="B137" s="1867">
        <v>20</v>
      </c>
      <c r="C137" s="3639">
        <v>45170</v>
      </c>
      <c r="D137" s="1869">
        <v>586</v>
      </c>
      <c r="E137" s="3224" t="str">
        <f>_xlfn.XLOOKUP($D137,  Tabla3[No.],  Tabla3[CURP], " ")</f>
        <v>AUAA611125HCSHRN08</v>
      </c>
      <c r="F137" s="1294" t="str">
        <f>_xlfn.XLOOKUP($D137,  Tabla3[No.],  Tabla3[Matrícula Of. SEQ], " ")</f>
        <v>64DD06C-01</v>
      </c>
      <c r="G137" s="1870" t="str">
        <f>IFERROR(VLOOKUP(D137,Tabla3[],5,FALSE),"")</f>
        <v>AHUMADA ARANDA ANDRES</v>
      </c>
      <c r="H137" s="1867" t="s">
        <v>433</v>
      </c>
      <c r="I137" s="3640"/>
      <c r="J137" s="1867"/>
      <c r="K137" s="1867"/>
      <c r="L137" s="3641" t="s">
        <v>3737</v>
      </c>
      <c r="M137" s="1872" t="str">
        <f>_xlfn.XLOOKUP($D137,  Tabla3[No.],  Tabla3[Grupo de clase], " ")</f>
        <v>DD06B</v>
      </c>
      <c r="N137" s="2365" t="s">
        <v>135</v>
      </c>
      <c r="O137" s="2365" t="s">
        <v>135</v>
      </c>
      <c r="P137" s="2365" t="s">
        <v>135</v>
      </c>
      <c r="Q137" s="2365" t="s">
        <v>135</v>
      </c>
      <c r="R137" s="2365" t="s">
        <v>135</v>
      </c>
      <c r="S137" s="2365" t="s">
        <v>135</v>
      </c>
      <c r="T137" s="2365" t="s">
        <v>135</v>
      </c>
      <c r="U137" s="1294"/>
      <c r="V137" s="2365" t="s">
        <v>135</v>
      </c>
      <c r="W137" s="1872">
        <v>9</v>
      </c>
      <c r="X137" s="1873">
        <v>10</v>
      </c>
      <c r="Y137" s="1872"/>
      <c r="Z137" s="2367">
        <v>10</v>
      </c>
      <c r="AA137" s="1873"/>
      <c r="AB137" s="3635"/>
      <c r="AC137" s="1434"/>
      <c r="AD137" s="3636"/>
      <c r="AE137" s="1872"/>
      <c r="AF137" s="1872"/>
      <c r="AG137" s="1872"/>
      <c r="AH137" s="1434"/>
      <c r="AI137" s="1434"/>
      <c r="AJ137" s="1434"/>
      <c r="AK137" s="1434"/>
      <c r="AL137" s="1434"/>
      <c r="AM137" s="1434"/>
      <c r="AN137" s="1434"/>
    </row>
    <row r="138" spans="1:68" ht="15" customHeight="1">
      <c r="A138" s="1208" t="s">
        <v>1123</v>
      </c>
      <c r="B138" s="3569">
        <v>21</v>
      </c>
      <c r="C138" s="3653">
        <v>44986</v>
      </c>
      <c r="D138" s="3643">
        <v>477</v>
      </c>
      <c r="E138" s="3569" t="str">
        <f>_xlfn.XLOOKUP($D138,  Tabla3[No.],  Tabla3[CURP], " ")</f>
        <v>VEFI770113HDFRNS03</v>
      </c>
      <c r="F138" s="3569" t="str">
        <f>_xlfn.XLOOKUP($D138,  Tabla3[No.],  Tabla3[Matrícula Of. SEQ], " ")</f>
        <v>64MDP03A-15</v>
      </c>
      <c r="G138" s="3570" t="str">
        <f>IFERROR(VLOOKUP(D138,Tabla3[],5,FALSE),"")</f>
        <v>VERGARA FUENTES ISRAEL AARON</v>
      </c>
      <c r="H138" s="3569" t="str">
        <f t="shared" ref="H138:H140" si="28">MID($E138,11,1)</f>
        <v>H</v>
      </c>
      <c r="I138" s="3654" t="str">
        <f t="shared" ref="I138:I140" si="29">MID($E138,5,2)</f>
        <v>77</v>
      </c>
      <c r="J138" s="3569" t="str">
        <f t="shared" ref="J138:J140" si="30">MID($E138,7,2)</f>
        <v>01</v>
      </c>
      <c r="K138" s="3569" t="str">
        <f t="shared" ref="K138:K140" si="31">MID($E138,9,2)</f>
        <v>13</v>
      </c>
      <c r="L138" s="3297" t="str">
        <f>_xlfn.XLOOKUP($D138,  Tabla3[No.],  Tabla3[ESTATUS ACADÉMICO], " ")</f>
        <v>EGRESADO</v>
      </c>
      <c r="M138" s="3645" t="str">
        <f>_xlfn.XLOOKUP($D138,  Tabla3[No.],  Tabla3[Grupo de clase], " ")</f>
        <v>MDP02B</v>
      </c>
      <c r="N138" s="2362" t="s">
        <v>135</v>
      </c>
      <c r="O138" s="2362" t="s">
        <v>135</v>
      </c>
      <c r="P138" s="2362">
        <v>10</v>
      </c>
      <c r="Q138" s="2362">
        <v>10</v>
      </c>
      <c r="R138" s="2363">
        <v>10</v>
      </c>
      <c r="S138" s="3646">
        <v>10</v>
      </c>
      <c r="T138" s="3655"/>
      <c r="U138" s="3644"/>
      <c r="V138" s="3656"/>
      <c r="W138" s="3656"/>
      <c r="X138" s="3656"/>
      <c r="Y138" s="3656"/>
      <c r="Z138" s="1884">
        <v>10</v>
      </c>
      <c r="AA138" s="1883">
        <v>10</v>
      </c>
      <c r="AB138" s="3657"/>
      <c r="AC138" s="3658"/>
      <c r="AD138" s="3647"/>
      <c r="AE138" s="3656"/>
      <c r="AF138" s="3656"/>
      <c r="AG138" s="3656"/>
      <c r="AH138" s="3658"/>
      <c r="AI138" s="3658"/>
      <c r="AJ138" s="3658"/>
      <c r="AK138" s="3658"/>
      <c r="AL138" s="3658"/>
      <c r="AM138" s="3658"/>
      <c r="AN138" s="3658"/>
    </row>
    <row r="139" spans="1:68" ht="15" customHeight="1">
      <c r="A139" s="643"/>
      <c r="B139" s="1867">
        <v>22</v>
      </c>
      <c r="C139" s="1868">
        <v>44958</v>
      </c>
      <c r="D139" s="1869">
        <v>479</v>
      </c>
      <c r="E139" s="1867" t="str">
        <f>_xlfn.XLOOKUP($D139,  Tabla3[No.],  Tabla3[CURP], " ")</f>
        <v>BAXL740214MPLLCZ00</v>
      </c>
      <c r="F139" s="1867" t="str">
        <f>_xlfn.XLOOKUP($D139,  Tabla3[No.],  Tabla3[Matrícula Of. SEQ], " ")</f>
        <v>64DD06A-02</v>
      </c>
      <c r="G139" s="1870" t="str">
        <f>IFERROR(VLOOKUP(D139,Tabla3[],5,FALSE),"")</f>
        <v>BALLESTEROS XICONTENCATL LUZ FABIOLA VERONICA</v>
      </c>
      <c r="H139" s="1867" t="str">
        <f t="shared" si="28"/>
        <v>M</v>
      </c>
      <c r="I139" s="1870" t="str">
        <f t="shared" si="29"/>
        <v>74</v>
      </c>
      <c r="J139" s="1867" t="str">
        <f t="shared" si="30"/>
        <v>02</v>
      </c>
      <c r="K139" s="1867" t="str">
        <f t="shared" si="31"/>
        <v>14</v>
      </c>
      <c r="L139" s="1358" t="str">
        <f>_xlfn.XLOOKUP($D139,  Tabla3[No.],  Tabla3[ESTATUS ACADÉMICO], " ")</f>
        <v>BAJA TEMPORAL</v>
      </c>
      <c r="M139" s="1872" t="str">
        <f>_xlfn.XLOOKUP($D139,  Tabla3[No.],  Tabla3[Grupo de clase], " ")</f>
        <v>DD06</v>
      </c>
      <c r="N139" s="2365" t="s">
        <v>135</v>
      </c>
      <c r="O139" s="2365">
        <v>10</v>
      </c>
      <c r="P139" s="2365" t="s">
        <v>135</v>
      </c>
      <c r="Q139" s="2365" t="s">
        <v>135</v>
      </c>
      <c r="R139" s="2365" t="s">
        <v>135</v>
      </c>
      <c r="S139" s="1294"/>
      <c r="T139" s="3634"/>
      <c r="U139" s="1294"/>
      <c r="V139" s="1294"/>
      <c r="W139" s="1294"/>
      <c r="X139" s="1294"/>
      <c r="Y139" s="1294"/>
      <c r="Z139" s="1294"/>
      <c r="AA139" s="1873">
        <v>10</v>
      </c>
      <c r="AB139" s="3635"/>
      <c r="AC139" s="3224"/>
      <c r="AD139" s="3636"/>
      <c r="AE139" s="1294"/>
      <c r="AF139" s="1294"/>
      <c r="AG139" s="1294"/>
      <c r="AH139" s="3224"/>
      <c r="AI139" s="3224"/>
      <c r="AJ139" s="3224"/>
      <c r="AK139" s="3224"/>
      <c r="AL139" s="3224"/>
      <c r="AM139" s="3224"/>
      <c r="AN139" s="3224"/>
    </row>
    <row r="140" spans="1:68" ht="15" customHeight="1">
      <c r="A140" s="3"/>
      <c r="B140" s="1867">
        <v>23</v>
      </c>
      <c r="C140" s="3637">
        <v>45017</v>
      </c>
      <c r="D140" s="1869">
        <v>491</v>
      </c>
      <c r="E140" s="3638" t="str">
        <f>_xlfn.XLOOKUP($D140,  Tabla3[No.],  Tabla3[CURP], " ")</f>
        <v>CAGD711202HYNCNT09</v>
      </c>
      <c r="F140" s="3638" t="str">
        <f>_xlfn.XLOOKUP($D140,  Tabla3[No.],  Tabla3[Matrícula Of. SEQ], " ")</f>
        <v>BAJA</v>
      </c>
      <c r="G140" s="1870" t="str">
        <f>IFERROR(VLOOKUP(D140,Tabla3[],5,FALSE),"")</f>
        <v>CAUICH GONZALEZ DITHEL MANUEL</v>
      </c>
      <c r="H140" s="1867" t="str">
        <f t="shared" si="28"/>
        <v>H</v>
      </c>
      <c r="I140" s="1413" t="str">
        <f t="shared" si="29"/>
        <v>71</v>
      </c>
      <c r="J140" s="1867" t="str">
        <f t="shared" si="30"/>
        <v>12</v>
      </c>
      <c r="K140" s="1867" t="str">
        <f t="shared" si="31"/>
        <v>02</v>
      </c>
      <c r="L140" s="1413" t="str">
        <f>_xlfn.XLOOKUP($D140,  Tabla3[No.],  Tabla3[ESTATUS ACADÉMICO], " ")</f>
        <v>BAJA TEMPORAL</v>
      </c>
      <c r="M140" s="1872" t="str">
        <f>_xlfn.XLOOKUP($D140,  Tabla3[No.],  Tabla3[Grupo de clase], " ")</f>
        <v>DD06</v>
      </c>
      <c r="N140" s="2365" t="s">
        <v>135</v>
      </c>
      <c r="O140" s="2365" t="s">
        <v>135</v>
      </c>
      <c r="P140" s="2365" t="s">
        <v>135</v>
      </c>
      <c r="Q140" s="2365">
        <v>10</v>
      </c>
      <c r="R140" s="2366">
        <v>10</v>
      </c>
      <c r="S140" s="1871">
        <v>10</v>
      </c>
      <c r="T140" s="2365" t="s">
        <v>135</v>
      </c>
      <c r="U140" s="1294"/>
      <c r="V140" s="2365" t="s">
        <v>135</v>
      </c>
      <c r="W140" s="1872"/>
      <c r="X140" s="1873"/>
      <c r="Y140" s="1872">
        <v>10</v>
      </c>
      <c r="Z140" s="2367">
        <v>10</v>
      </c>
      <c r="AA140" s="1873">
        <v>10</v>
      </c>
      <c r="AB140" s="3635"/>
      <c r="AC140" s="1434"/>
      <c r="AD140" s="3636"/>
      <c r="AE140" s="1872"/>
      <c r="AF140" s="1872"/>
      <c r="AG140" s="1872"/>
      <c r="AH140" s="1434"/>
      <c r="AI140" s="1434"/>
      <c r="AJ140" s="1434"/>
      <c r="AK140" s="1434"/>
      <c r="AL140" s="1434"/>
      <c r="AM140" s="1434"/>
      <c r="AN140" s="1434"/>
    </row>
    <row r="141" spans="1:68" ht="15" customHeight="1">
      <c r="A141" s="3"/>
      <c r="B141" s="1981"/>
      <c r="C141" s="1982"/>
      <c r="D141" s="1983"/>
      <c r="E141" s="1984" t="s">
        <v>173</v>
      </c>
      <c r="F141" s="1984"/>
      <c r="G141" s="1985"/>
      <c r="H141" s="1986"/>
      <c r="I141" s="1414"/>
      <c r="J141" s="1986"/>
      <c r="K141" s="1986"/>
      <c r="L141" s="1987"/>
      <c r="M141" s="1341"/>
      <c r="N141" s="1723"/>
      <c r="O141" s="1723"/>
      <c r="P141" s="1723"/>
      <c r="Q141" s="1268"/>
      <c r="R141" s="1408"/>
      <c r="S141" s="1408"/>
      <c r="T141" s="1988"/>
      <c r="U141" s="1723"/>
      <c r="V141" s="1723"/>
      <c r="W141" s="1401"/>
      <c r="X141" s="1989"/>
      <c r="Y141" s="643"/>
      <c r="Z141" s="1990"/>
      <c r="AA141" s="1989"/>
      <c r="AB141" s="1989"/>
      <c r="AC141" s="643"/>
    </row>
    <row r="142" spans="1:68" ht="15" customHeight="1">
      <c r="A142" s="3"/>
      <c r="B142" s="3"/>
      <c r="C142" s="3"/>
      <c r="D142" s="3"/>
      <c r="E142" s="701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68" ht="33" customHeight="1" thickBot="1">
      <c r="A143" s="4517" t="s">
        <v>2825</v>
      </c>
      <c r="B143" s="4517"/>
      <c r="C143" s="4517"/>
      <c r="D143" s="4517"/>
    </row>
    <row r="144" spans="1:68" ht="33" customHeight="1" thickBot="1">
      <c r="A144" s="2235"/>
      <c r="B144" s="3053"/>
      <c r="C144" s="3053"/>
      <c r="D144" s="3053"/>
      <c r="E144" s="3053"/>
      <c r="F144" s="3053"/>
      <c r="G144" s="2236"/>
      <c r="H144" s="2236"/>
      <c r="I144" s="2236"/>
      <c r="J144" s="2236"/>
      <c r="K144" s="2236"/>
      <c r="L144" s="2237"/>
      <c r="M144" s="2236"/>
      <c r="N144" s="4282" t="s">
        <v>4000</v>
      </c>
      <c r="O144" s="4283"/>
      <c r="P144" s="4283"/>
      <c r="Q144" s="4284"/>
      <c r="R144" s="4276" t="s">
        <v>4001</v>
      </c>
      <c r="S144" s="4277"/>
      <c r="T144" s="4277"/>
      <c r="U144" s="4278"/>
      <c r="V144" s="4279" t="s">
        <v>4002</v>
      </c>
      <c r="W144" s="4280"/>
      <c r="X144" s="4280"/>
      <c r="Y144" s="4280"/>
      <c r="Z144" s="4281"/>
      <c r="AA144" s="4382" t="s">
        <v>4103</v>
      </c>
      <c r="AB144" s="4383"/>
      <c r="AC144" s="4383"/>
      <c r="AD144" s="4384"/>
      <c r="AE144" s="4378"/>
      <c r="AF144" s="4379"/>
      <c r="AG144" s="4380"/>
      <c r="AH144" s="2369"/>
      <c r="AI144" s="2394"/>
      <c r="AJ144" s="2238"/>
    </row>
    <row r="145" spans="1:42" ht="33" customHeight="1" thickBot="1">
      <c r="A145" s="2152"/>
      <c r="B145" s="2177"/>
      <c r="C145" s="4203" t="s">
        <v>5</v>
      </c>
      <c r="D145" s="1290" t="s">
        <v>1657</v>
      </c>
      <c r="E145" s="4261" t="s">
        <v>6</v>
      </c>
      <c r="F145" s="4242" t="s">
        <v>1772</v>
      </c>
      <c r="G145" s="4245" t="s">
        <v>8</v>
      </c>
      <c r="H145" s="4248" t="s">
        <v>9</v>
      </c>
      <c r="I145" s="4250" t="s">
        <v>10</v>
      </c>
      <c r="J145" s="4251"/>
      <c r="K145" s="4252"/>
      <c r="L145" s="4259" t="s">
        <v>5051</v>
      </c>
      <c r="M145" s="4260"/>
      <c r="N145" s="3058" t="s">
        <v>5033</v>
      </c>
      <c r="O145" s="3059" t="s">
        <v>5034</v>
      </c>
      <c r="P145" s="3060" t="s">
        <v>5035</v>
      </c>
      <c r="Q145" s="3062"/>
      <c r="R145" s="3062"/>
      <c r="S145" s="3062"/>
      <c r="T145" s="3062"/>
      <c r="U145" s="3062"/>
      <c r="V145" s="3062"/>
      <c r="W145" s="3062"/>
      <c r="X145" s="3063"/>
      <c r="Y145" s="3062"/>
      <c r="Z145" s="3062"/>
      <c r="AA145" s="3064"/>
      <c r="AB145" s="3062"/>
      <c r="AC145" s="3062"/>
      <c r="AD145" s="3062"/>
      <c r="AE145" s="3063"/>
      <c r="AF145" s="3063"/>
      <c r="AG145" s="3063"/>
      <c r="AH145" s="3063"/>
      <c r="AI145" s="2395"/>
    </row>
    <row r="146" spans="1:42" ht="33" customHeight="1" thickBot="1">
      <c r="A146" s="2175"/>
      <c r="B146" s="2177"/>
      <c r="C146" s="4204"/>
      <c r="D146" s="1281" t="s">
        <v>1625</v>
      </c>
      <c r="E146" s="4262"/>
      <c r="F146" s="4243"/>
      <c r="G146" s="4246"/>
      <c r="H146" s="4249"/>
      <c r="I146" s="4253"/>
      <c r="J146" s="4254"/>
      <c r="K146" s="4255"/>
      <c r="L146" s="3077" t="s">
        <v>3551</v>
      </c>
      <c r="M146" s="3061"/>
      <c r="N146" s="3065" t="s">
        <v>5036</v>
      </c>
      <c r="O146" s="3066" t="s">
        <v>5037</v>
      </c>
      <c r="P146" s="3066" t="s">
        <v>5038</v>
      </c>
      <c r="Q146" s="3067" t="s">
        <v>446</v>
      </c>
      <c r="R146" s="3068" t="s">
        <v>765</v>
      </c>
      <c r="S146" s="3066" t="s">
        <v>448</v>
      </c>
      <c r="T146" s="3069" t="s">
        <v>449</v>
      </c>
      <c r="U146" s="3069" t="s">
        <v>562</v>
      </c>
      <c r="V146" s="3066" t="s">
        <v>451</v>
      </c>
      <c r="W146" s="3069" t="s">
        <v>452</v>
      </c>
      <c r="X146" s="3066" t="s">
        <v>453</v>
      </c>
      <c r="Y146" s="3066" t="s">
        <v>454</v>
      </c>
      <c r="Z146" s="3066" t="s">
        <v>937</v>
      </c>
      <c r="AA146" s="3070" t="s">
        <v>674</v>
      </c>
      <c r="AB146" s="3066" t="s">
        <v>445</v>
      </c>
      <c r="AC146" s="3069" t="s">
        <v>446</v>
      </c>
      <c r="AD146" s="3066" t="s">
        <v>765</v>
      </c>
      <c r="AE146" s="3071" t="s">
        <v>448</v>
      </c>
      <c r="AF146" s="3071" t="s">
        <v>449</v>
      </c>
      <c r="AG146" s="3071" t="s">
        <v>562</v>
      </c>
      <c r="AH146" s="3072"/>
      <c r="AI146" s="1322"/>
    </row>
    <row r="147" spans="1:42" ht="33" customHeight="1" thickBot="1">
      <c r="A147" s="2175"/>
      <c r="B147" s="2177"/>
      <c r="C147" s="4204"/>
      <c r="D147" s="2177"/>
      <c r="E147" s="4381"/>
      <c r="F147" s="4244"/>
      <c r="G147" s="4247"/>
      <c r="H147" s="4249"/>
      <c r="I147" s="4256"/>
      <c r="J147" s="4257"/>
      <c r="K147" s="4258"/>
      <c r="L147" s="4259" t="s">
        <v>3568</v>
      </c>
      <c r="M147" s="4260"/>
      <c r="N147" s="3073" t="s">
        <v>3569</v>
      </c>
      <c r="O147" s="1754" t="s">
        <v>3572</v>
      </c>
      <c r="P147" s="3074" t="s">
        <v>3570</v>
      </c>
      <c r="Q147" s="3075" t="s">
        <v>5039</v>
      </c>
      <c r="R147" s="3102" t="s">
        <v>5107</v>
      </c>
      <c r="S147" s="3076"/>
      <c r="T147" s="3076"/>
      <c r="U147" s="3076"/>
      <c r="V147" s="3076"/>
      <c r="W147" s="3076"/>
      <c r="X147" s="3076"/>
      <c r="Y147" s="3076"/>
      <c r="Z147" s="3076"/>
      <c r="AA147" s="3076"/>
      <c r="AB147" s="3076"/>
      <c r="AC147" s="3076"/>
      <c r="AD147" s="3076"/>
      <c r="AE147" s="3072"/>
      <c r="AF147" s="3072"/>
      <c r="AG147" s="3072"/>
      <c r="AH147" s="3072"/>
      <c r="AI147" s="2396"/>
    </row>
    <row r="148" spans="1:42" ht="33" customHeight="1">
      <c r="A148" s="2190" t="s">
        <v>27</v>
      </c>
      <c r="B148" s="700"/>
      <c r="C148" s="4204"/>
      <c r="D148" s="1791" t="s">
        <v>263</v>
      </c>
      <c r="E148" s="4053"/>
      <c r="F148" s="1292" t="s">
        <v>7</v>
      </c>
      <c r="G148" s="1293" t="s">
        <v>3580</v>
      </c>
      <c r="H148" s="4249"/>
      <c r="I148" s="2053" t="s">
        <v>79</v>
      </c>
      <c r="J148" s="2053" t="s">
        <v>80</v>
      </c>
      <c r="K148" s="2053" t="s">
        <v>81</v>
      </c>
      <c r="L148" s="2054" t="s">
        <v>1759</v>
      </c>
      <c r="M148" s="2054" t="s">
        <v>27</v>
      </c>
      <c r="N148" s="2381" t="s">
        <v>4145</v>
      </c>
      <c r="O148" s="1903" t="s">
        <v>5040</v>
      </c>
      <c r="P148" s="1903" t="s">
        <v>4146</v>
      </c>
      <c r="Q148" s="2192" t="s">
        <v>4148</v>
      </c>
      <c r="R148" s="2193" t="s">
        <v>4149</v>
      </c>
      <c r="S148" s="2055" t="s">
        <v>5041</v>
      </c>
      <c r="T148" s="2055" t="s">
        <v>5042</v>
      </c>
      <c r="U148" s="2055" t="s">
        <v>5043</v>
      </c>
      <c r="V148" s="2194" t="s">
        <v>5044</v>
      </c>
      <c r="W148" s="2194" t="s">
        <v>5045</v>
      </c>
      <c r="X148" s="2194" t="s">
        <v>4154</v>
      </c>
      <c r="Y148" s="2194" t="s">
        <v>4155</v>
      </c>
      <c r="Z148" s="3288" t="s">
        <v>5046</v>
      </c>
      <c r="AA148" s="3289" t="s">
        <v>5047</v>
      </c>
      <c r="AB148" s="3290" t="s">
        <v>5048</v>
      </c>
      <c r="AC148" s="2058" t="s">
        <v>5049</v>
      </c>
      <c r="AD148" s="3291" t="s">
        <v>4901</v>
      </c>
      <c r="AE148" s="3291" t="s">
        <v>4902</v>
      </c>
      <c r="AF148" s="3292" t="s">
        <v>4903</v>
      </c>
      <c r="AG148" s="3292" t="s">
        <v>5050</v>
      </c>
      <c r="AH148" s="3293"/>
      <c r="AI148" s="3294" t="s">
        <v>4905</v>
      </c>
      <c r="AJ148" s="2378" t="s">
        <v>1394</v>
      </c>
    </row>
    <row r="149" spans="1:42">
      <c r="A149" s="2196" t="s">
        <v>1625</v>
      </c>
      <c r="B149" s="2198">
        <v>1</v>
      </c>
      <c r="C149" s="3554">
        <f>_xlfn.XLOOKUP($D149, Tabla3[No.], Tabla3[FECHA DE INICIO (PRIMERA CLASE CALENDARIO)]," ")</f>
        <v>45775</v>
      </c>
      <c r="D149" s="3298">
        <v>851</v>
      </c>
      <c r="E149" s="1536" t="str">
        <f>_xlfn.XLOOKUP($D149,  Tabla3[No.],  Tabla3[CURP], " ")</f>
        <v>ROGJ871008HGT</v>
      </c>
      <c r="F149" s="1402" t="str">
        <f>_xlfn.XLOOKUP($D149,  Tabla3[No.],  Tabla3[Matrícula Of. SEQ], " ")</f>
        <v>64DD08C-07</v>
      </c>
      <c r="G149" s="1778" t="str">
        <f>IFERROR(VLOOKUP(D149,Tabla3[],5,FALSE),"")</f>
        <v>ROCA GUINEA JOSE FERNANDO</v>
      </c>
      <c r="H149" s="1404" t="str">
        <f t="shared" ref="H149:H175" si="32">MID($E149,11,1)</f>
        <v>H</v>
      </c>
      <c r="I149" s="1404" t="str">
        <f t="shared" ref="I149:I175" si="33">MID($E149,5,2)</f>
        <v>87</v>
      </c>
      <c r="J149" s="1404" t="str">
        <f t="shared" ref="J149:J175" si="34">MID($E149,7,2)</f>
        <v>10</v>
      </c>
      <c r="K149" s="1404" t="str">
        <f t="shared" ref="K149:K175" si="35">MID($E149,9,2)</f>
        <v>08</v>
      </c>
      <c r="L149" s="1276" t="str">
        <f>_xlfn.XLOOKUP($D149,  Tabla3[No.],  Tabla3[ESTATUS ACADÉMICO], " ")</f>
        <v>VIGENTE</v>
      </c>
      <c r="M149" s="637" t="str">
        <f>_xlfn.XLOOKUP($D149,  Tabla3[No.],  Tabla3[Grupo de clase], " ")</f>
        <v>DD08BGT</v>
      </c>
      <c r="N149" s="3299"/>
      <c r="O149" s="3299"/>
      <c r="P149" s="3299"/>
      <c r="Q149" s="3299"/>
      <c r="R149" s="3300"/>
      <c r="S149" s="3299"/>
      <c r="T149" s="3299"/>
      <c r="U149" s="3299"/>
      <c r="V149" s="3301"/>
      <c r="W149" s="3301"/>
      <c r="X149" s="3301"/>
      <c r="Y149" s="3301"/>
      <c r="Z149" s="3301"/>
      <c r="AA149" s="3302"/>
      <c r="AB149" s="3302"/>
      <c r="AC149" s="3299"/>
      <c r="AD149" s="3303"/>
      <c r="AE149" s="3303"/>
      <c r="AF149" s="3304"/>
      <c r="AG149" s="3304"/>
      <c r="AH149" s="3305"/>
      <c r="AI149" s="3306"/>
      <c r="AJ149" s="3307"/>
      <c r="AO149" s="2136"/>
      <c r="AP149" s="2136"/>
    </row>
    <row r="150" spans="1:42">
      <c r="A150" s="2196" t="s">
        <v>1625</v>
      </c>
      <c r="B150" s="2198">
        <v>2</v>
      </c>
      <c r="C150" s="3554">
        <f>_xlfn.XLOOKUP($D150, Tabla3[No.], Tabla3[FECHA DE INICIO (PRIMERA CLASE CALENDARIO)]," ")</f>
        <v>45775</v>
      </c>
      <c r="D150" s="3308">
        <v>852</v>
      </c>
      <c r="E150" s="1536" t="str">
        <f>_xlfn.XLOOKUP($D150,  Tabla3[No.],  Tabla3[CURP], " ")</f>
        <v>GARC860211HGT</v>
      </c>
      <c r="F150" s="1402" t="str">
        <f>_xlfn.XLOOKUP($D150,  Tabla3[No.],  Tabla3[Matrícula Of. SEQ], " ")</f>
        <v>64DD08C-02</v>
      </c>
      <c r="G150" s="1778" t="str">
        <f>IFERROR(VLOOKUP(D150,Tabla3[],5,FALSE),"")</f>
        <v>GARCIA RUBIO CARLOS FERNANDO</v>
      </c>
      <c r="H150" s="1404" t="str">
        <f t="shared" si="32"/>
        <v>H</v>
      </c>
      <c r="I150" s="1404" t="str">
        <f t="shared" si="33"/>
        <v>86</v>
      </c>
      <c r="J150" s="1404" t="str">
        <f t="shared" si="34"/>
        <v>02</v>
      </c>
      <c r="K150" s="1404" t="str">
        <f t="shared" si="35"/>
        <v>11</v>
      </c>
      <c r="L150" s="1276" t="str">
        <f>_xlfn.XLOOKUP($D150,  Tabla3[No.],  Tabla3[ESTATUS ACADÉMICO], " ")</f>
        <v>VIGENTE</v>
      </c>
      <c r="M150" s="637" t="str">
        <f>_xlfn.XLOOKUP($D150,  Tabla3[No.],  Tabla3[Grupo de clase], " ")</f>
        <v>DD08BGT</v>
      </c>
      <c r="N150" s="3299"/>
      <c r="O150" s="3299"/>
      <c r="P150" s="3299"/>
      <c r="Q150" s="3299"/>
      <c r="R150" s="3300"/>
      <c r="S150" s="3299"/>
      <c r="T150" s="3299"/>
      <c r="U150" s="3299"/>
      <c r="V150" s="3301"/>
      <c r="W150" s="3301"/>
      <c r="X150" s="3301"/>
      <c r="Y150" s="3301"/>
      <c r="Z150" s="3301"/>
      <c r="AA150" s="3302"/>
      <c r="AB150" s="3302"/>
      <c r="AC150" s="3299"/>
      <c r="AD150" s="3303"/>
      <c r="AE150" s="3303"/>
      <c r="AF150" s="3304"/>
      <c r="AG150" s="3304"/>
      <c r="AH150" s="3305"/>
      <c r="AI150" s="3306"/>
      <c r="AJ150" s="3307"/>
      <c r="AO150" s="2136"/>
      <c r="AP150" s="2136"/>
    </row>
    <row r="151" spans="1:42" ht="15.75">
      <c r="A151" s="2196" t="s">
        <v>1625</v>
      </c>
      <c r="B151" s="2198">
        <v>3</v>
      </c>
      <c r="C151" s="3554">
        <f>_xlfn.XLOOKUP($D151, Tabla3[No.], Tabla3[FECHA DE INICIO (PRIMERA CLASE CALENDARIO)]," ")</f>
        <v>45632</v>
      </c>
      <c r="D151" s="2197">
        <v>802</v>
      </c>
      <c r="E151" s="1536" t="str">
        <f>_xlfn.XLOOKUP($D151,  Tabla3[No.],  Tabla3[CURP], " ")</f>
        <v>MOAE691218HGT</v>
      </c>
      <c r="F151" s="1402" t="str">
        <f>_xlfn.XLOOKUP($D151,  Tabla3[No.],  Tabla3[Matrícula Of. SEQ], " ")</f>
        <v>64DD08A-08</v>
      </c>
      <c r="G151" s="1778" t="str">
        <f>IFERROR(VLOOKUP(D151,Tabla3[],5,FALSE),"")</f>
        <v>MORALES ALVARADO ELMER ADULFO</v>
      </c>
      <c r="H151" s="1404" t="str">
        <f t="shared" si="32"/>
        <v>H</v>
      </c>
      <c r="I151" s="1404" t="str">
        <f t="shared" si="33"/>
        <v>69</v>
      </c>
      <c r="J151" s="1404" t="str">
        <f t="shared" si="34"/>
        <v>12</v>
      </c>
      <c r="K151" s="1404" t="str">
        <f t="shared" si="35"/>
        <v>18</v>
      </c>
      <c r="L151" s="1276" t="str">
        <f>_xlfn.XLOOKUP($D151,  Tabla3[No.],  Tabla3[ESTATUS ACADÉMICO], " ")</f>
        <v>VIGENTE</v>
      </c>
      <c r="M151" s="637" t="str">
        <f>_xlfn.XLOOKUP($D151,  Tabla3[No.],  Tabla3[Grupo de clase], " ")</f>
        <v>DD08BGT</v>
      </c>
      <c r="N151" s="1289">
        <v>9.6999999999999993</v>
      </c>
      <c r="O151" s="3037">
        <v>9.4</v>
      </c>
      <c r="P151" s="3037">
        <v>9.3000000000000007</v>
      </c>
      <c r="Q151" s="3037">
        <v>9.5</v>
      </c>
      <c r="R151" s="3037">
        <v>9.4</v>
      </c>
      <c r="S151" s="2384"/>
      <c r="T151" s="1132"/>
      <c r="U151" s="1132"/>
      <c r="V151" s="2384"/>
      <c r="W151" s="2199"/>
      <c r="X151" s="2199"/>
      <c r="Y151" s="2384"/>
      <c r="Z151" s="2384"/>
      <c r="AA151" s="2199"/>
      <c r="AB151" s="2384"/>
      <c r="AC151" s="2384"/>
      <c r="AD151" s="2384"/>
      <c r="AE151" s="2384"/>
      <c r="AF151" s="2384"/>
      <c r="AG151" s="2384"/>
      <c r="AH151" s="2384"/>
      <c r="AI151" s="2384"/>
      <c r="AJ151" s="2384"/>
      <c r="AK151" s="2379"/>
      <c r="AO151" s="2136"/>
      <c r="AP151" s="2136"/>
    </row>
    <row r="152" spans="1:42" s="2136" customFormat="1">
      <c r="A152" s="2196" t="s">
        <v>1625</v>
      </c>
      <c r="B152" s="2198">
        <v>4</v>
      </c>
      <c r="C152" s="3554">
        <f>_xlfn.XLOOKUP($D152, Tabla3[No.], Tabla3[FECHA DE INICIO (PRIMERA CLASE CALENDARIO)]," ")</f>
        <v>45632</v>
      </c>
      <c r="D152" s="2197">
        <v>803</v>
      </c>
      <c r="E152" s="1536" t="str">
        <f>_xlfn.XLOOKUP($D152,  Tabla3[No.],  Tabla3[CURP], " ")</f>
        <v>ZEGI790402HGTLLI01</v>
      </c>
      <c r="F152" s="1402" t="str">
        <f>_xlfn.XLOOKUP($D152,  Tabla3[No.],  Tabla3[Matrícula Of. SEQ], " ")</f>
        <v>64DD08A-12</v>
      </c>
      <c r="G152" s="1778" t="str">
        <f>IFERROR(VLOOKUP(D152,Tabla3[],5,FALSE),"")</f>
        <v>ZELADA GALINDO ISRAEL GUGLIELMO</v>
      </c>
      <c r="H152" s="1404" t="str">
        <f t="shared" si="32"/>
        <v>H</v>
      </c>
      <c r="I152" s="1404" t="str">
        <f t="shared" si="33"/>
        <v>79</v>
      </c>
      <c r="J152" s="1404" t="str">
        <f t="shared" si="34"/>
        <v>04</v>
      </c>
      <c r="K152" s="1404" t="str">
        <f t="shared" si="35"/>
        <v>02</v>
      </c>
      <c r="L152" s="1276" t="str">
        <f>_xlfn.XLOOKUP($D152,  Tabla3[No.],  Tabla3[ESTATUS ACADÉMICO], " ")</f>
        <v>VIGENTE</v>
      </c>
      <c r="M152" s="637" t="str">
        <f>_xlfn.XLOOKUP($D152,  Tabla3[No.],  Tabla3[Grupo de clase], " ")</f>
        <v>DD08BGT</v>
      </c>
      <c r="N152" s="1289">
        <v>9.6999999999999993</v>
      </c>
      <c r="O152" s="3037">
        <v>9.4</v>
      </c>
      <c r="P152" s="3037">
        <v>9.3000000000000007</v>
      </c>
      <c r="Q152" s="3037">
        <v>9.5</v>
      </c>
      <c r="R152" s="3037">
        <v>9.4</v>
      </c>
      <c r="S152" s="2384"/>
      <c r="T152" s="1132"/>
      <c r="U152" s="1132"/>
      <c r="V152" s="2384"/>
      <c r="W152" s="1132"/>
      <c r="X152" s="1132"/>
      <c r="Y152" s="2384"/>
      <c r="Z152" s="2384"/>
      <c r="AA152" s="1132"/>
      <c r="AB152" s="2384"/>
      <c r="AC152" s="2384"/>
      <c r="AD152" s="2384"/>
      <c r="AE152" s="2384"/>
      <c r="AF152" s="2384"/>
      <c r="AG152" s="2384"/>
      <c r="AH152" s="2384"/>
      <c r="AI152" s="2384"/>
      <c r="AJ152" s="2384"/>
      <c r="AK152" s="2379"/>
    </row>
    <row r="153" spans="1:42" s="2136" customFormat="1">
      <c r="A153" s="2196" t="s">
        <v>1625</v>
      </c>
      <c r="B153" s="2198">
        <v>5</v>
      </c>
      <c r="C153" s="3554">
        <f>_xlfn.XLOOKUP($D153, Tabla3[No.], Tabla3[FECHA DE INICIO (PRIMERA CLASE CALENDARIO)]," ")</f>
        <v>45632</v>
      </c>
      <c r="D153" s="2197">
        <v>804</v>
      </c>
      <c r="E153" s="1536" t="str">
        <f>_xlfn.XLOOKUP($D153,  Tabla3[No.],  Tabla3[CURP], " ")</f>
        <v>HELJ841106HGT</v>
      </c>
      <c r="F153" s="1402" t="str">
        <f>_xlfn.XLOOKUP($D153,  Tabla3[No.],  Tabla3[Matrícula Of. SEQ], " ")</f>
        <v>64DD08A-03</v>
      </c>
      <c r="G153" s="1778" t="str">
        <f>IFERROR(VLOOKUP(D153,Tabla3[],5,FALSE),"")</f>
        <v>HERNANDEZ DE LEON JOSUE DAVID</v>
      </c>
      <c r="H153" s="1404" t="str">
        <f t="shared" si="32"/>
        <v>H</v>
      </c>
      <c r="I153" s="1404" t="str">
        <f t="shared" si="33"/>
        <v>84</v>
      </c>
      <c r="J153" s="1404" t="str">
        <f t="shared" si="34"/>
        <v>11</v>
      </c>
      <c r="K153" s="1404" t="str">
        <f t="shared" si="35"/>
        <v>06</v>
      </c>
      <c r="L153" s="1276" t="str">
        <f>_xlfn.XLOOKUP($D153,  Tabla3[No.],  Tabla3[ESTATUS ACADÉMICO], " ")</f>
        <v>VIGENTE</v>
      </c>
      <c r="M153" s="637" t="str">
        <f>_xlfn.XLOOKUP($D153,  Tabla3[No.],  Tabla3[Grupo de clase], " ")</f>
        <v>DD08BGT</v>
      </c>
      <c r="N153" s="1289">
        <v>9.6999999999999993</v>
      </c>
      <c r="O153" s="3037">
        <v>9.4</v>
      </c>
      <c r="P153" s="3037">
        <v>9.3000000000000007</v>
      </c>
      <c r="Q153" s="3037">
        <v>9.5</v>
      </c>
      <c r="R153" s="3037">
        <v>9.4</v>
      </c>
      <c r="S153" s="2384"/>
      <c r="T153" s="1132"/>
      <c r="U153" s="1132"/>
      <c r="V153" s="2384"/>
      <c r="W153" s="1132"/>
      <c r="X153" s="1132"/>
      <c r="Y153" s="2384"/>
      <c r="Z153" s="2384"/>
      <c r="AA153" s="1132"/>
      <c r="AB153" s="2384"/>
      <c r="AC153" s="2384"/>
      <c r="AD153" s="2384"/>
      <c r="AE153" s="2384"/>
      <c r="AF153" s="2384"/>
      <c r="AG153" s="2384"/>
      <c r="AH153" s="2384"/>
      <c r="AI153" s="2384"/>
      <c r="AJ153" s="2384"/>
      <c r="AK153" s="3057"/>
    </row>
    <row r="154" spans="1:42" s="2136" customFormat="1">
      <c r="A154" s="2196" t="s">
        <v>1625</v>
      </c>
      <c r="B154" s="2198">
        <v>6</v>
      </c>
      <c r="C154" s="3554">
        <f>_xlfn.XLOOKUP($D154, Tabla3[No.], Tabla3[FECHA DE INICIO (PRIMERA CLASE CALENDARIO)]," ")</f>
        <v>45632</v>
      </c>
      <c r="D154" s="2197">
        <v>805</v>
      </c>
      <c r="E154" s="1536" t="str">
        <f>_xlfn.XLOOKUP($D154,  Tabla3[No.],  Tabla3[CURP], " ")</f>
        <v>DASD820809HPPVS</v>
      </c>
      <c r="F154" s="1402" t="str">
        <f>_xlfn.XLOOKUP($D154,  Tabla3[No.],  Tabla3[Matrícula Of. SEQ], " ")</f>
        <v>64DD08A-02</v>
      </c>
      <c r="G154" s="1778" t="str">
        <f>IFERROR(VLOOKUP(D154,Tabla3[],5,FALSE),"")</f>
        <v>DAVILA PULEX SERGIO GUALBERTO</v>
      </c>
      <c r="H154" s="1404" t="str">
        <f t="shared" si="32"/>
        <v>H</v>
      </c>
      <c r="I154" s="1404" t="str">
        <f t="shared" si="33"/>
        <v>82</v>
      </c>
      <c r="J154" s="1404" t="str">
        <f t="shared" si="34"/>
        <v>08</v>
      </c>
      <c r="K154" s="1404" t="str">
        <f t="shared" si="35"/>
        <v>09</v>
      </c>
      <c r="L154" s="1276" t="str">
        <f>_xlfn.XLOOKUP($D154,  Tabla3[No.],  Tabla3[ESTATUS ACADÉMICO], " ")</f>
        <v>VIGENTE</v>
      </c>
      <c r="M154" s="637" t="str">
        <f>_xlfn.XLOOKUP($D154,  Tabla3[No.],  Tabla3[Grupo de clase], " ")</f>
        <v>DD08BGT</v>
      </c>
      <c r="N154" s="1289">
        <v>9.6999999999999993</v>
      </c>
      <c r="O154" s="3037">
        <v>9.4</v>
      </c>
      <c r="P154" s="3037">
        <v>9.3000000000000007</v>
      </c>
      <c r="Q154" s="3037">
        <v>9.5</v>
      </c>
      <c r="R154" s="3037">
        <v>9.4</v>
      </c>
      <c r="S154" s="2384"/>
      <c r="T154" s="1132"/>
      <c r="U154" s="2384"/>
      <c r="V154" s="1132"/>
      <c r="W154" s="1132"/>
      <c r="X154" s="2384"/>
      <c r="Y154" s="2384"/>
      <c r="Z154" s="1132"/>
      <c r="AA154" s="2384"/>
      <c r="AB154" s="2384"/>
      <c r="AC154" s="2384"/>
      <c r="AD154" s="2384"/>
      <c r="AE154" s="2384"/>
      <c r="AF154" s="2384"/>
      <c r="AG154" s="2384"/>
      <c r="AH154" s="2384"/>
      <c r="AI154" s="2384"/>
      <c r="AJ154" s="3309"/>
    </row>
    <row r="155" spans="1:42" s="2136" customFormat="1">
      <c r="A155" s="2196" t="s">
        <v>1625</v>
      </c>
      <c r="B155" s="2198">
        <v>7</v>
      </c>
      <c r="C155" s="3554">
        <f>_xlfn.XLOOKUP($D155, Tabla3[No.], Tabla3[FECHA DE INICIO (PRIMERA CLASE CALENDARIO)]," ")</f>
        <v>45632</v>
      </c>
      <c r="D155" s="2197">
        <v>806</v>
      </c>
      <c r="E155" s="1536" t="str">
        <f>_xlfn.XLOOKUP($D155,  Tabla3[No.],  Tabla3[CURP], " ")</f>
        <v>HEEP821213HGT</v>
      </c>
      <c r="F155" s="1402" t="str">
        <f>_xlfn.XLOOKUP($D155,  Tabla3[No.],  Tabla3[Matrícula Of. SEQ], " ")</f>
        <v>64DD08A-04</v>
      </c>
      <c r="G155" s="1778" t="str">
        <f>IFERROR(VLOOKUP(D155,Tabla3[],5,FALSE),"")</f>
        <v>HERNANDEZ ESCOBAR PABLO MANUEL</v>
      </c>
      <c r="H155" s="1404" t="str">
        <f t="shared" si="32"/>
        <v>H</v>
      </c>
      <c r="I155" s="1404" t="str">
        <f t="shared" si="33"/>
        <v>82</v>
      </c>
      <c r="J155" s="1404" t="str">
        <f t="shared" si="34"/>
        <v>12</v>
      </c>
      <c r="K155" s="1404" t="str">
        <f t="shared" si="35"/>
        <v>13</v>
      </c>
      <c r="L155" s="1276" t="str">
        <f>_xlfn.XLOOKUP($D155,  Tabla3[No.],  Tabla3[ESTATUS ACADÉMICO], " ")</f>
        <v>VIGENTE</v>
      </c>
      <c r="M155" s="637" t="str">
        <f>_xlfn.XLOOKUP($D155,  Tabla3[No.],  Tabla3[Grupo de clase], " ")</f>
        <v>DD08BGT</v>
      </c>
      <c r="N155" s="1289">
        <v>9.6999999999999993</v>
      </c>
      <c r="O155" s="3037">
        <v>9.4</v>
      </c>
      <c r="P155" s="3037">
        <v>9.3000000000000007</v>
      </c>
      <c r="Q155" s="3037">
        <v>9.5</v>
      </c>
      <c r="R155" s="3037">
        <v>9.4</v>
      </c>
      <c r="S155" s="2384"/>
      <c r="T155" s="1132"/>
      <c r="U155" s="2384"/>
      <c r="V155" s="1132"/>
      <c r="W155" s="1132"/>
      <c r="X155" s="2384"/>
      <c r="Y155" s="2384"/>
      <c r="Z155" s="1132"/>
      <c r="AA155" s="2384"/>
      <c r="AB155" s="2384"/>
      <c r="AC155" s="2384"/>
      <c r="AD155" s="2384"/>
      <c r="AE155" s="2384"/>
      <c r="AF155" s="2384"/>
      <c r="AG155" s="2384"/>
      <c r="AH155" s="2384"/>
      <c r="AI155" s="2384"/>
      <c r="AJ155" s="3309"/>
    </row>
    <row r="156" spans="1:42" s="2136" customFormat="1">
      <c r="A156" s="2196" t="s">
        <v>1625</v>
      </c>
      <c r="B156" s="2198">
        <v>8</v>
      </c>
      <c r="C156" s="3554">
        <f>_xlfn.XLOOKUP($D156, Tabla3[No.], Tabla3[FECHA DE INICIO (PRIMERA CLASE CALENDARIO)]," ")</f>
        <v>45632</v>
      </c>
      <c r="D156" s="2197">
        <v>807</v>
      </c>
      <c r="E156" s="1536" t="str">
        <f>_xlfn.XLOOKUP($D156,  Tabla3[No.],  Tabla3[CURP], " ")</f>
        <v>MERD871018HGT</v>
      </c>
      <c r="F156" s="1402" t="str">
        <f>_xlfn.XLOOKUP($D156,  Tabla3[No.],  Tabla3[Matrícula Of. SEQ], " ")</f>
        <v>64DD08A-07</v>
      </c>
      <c r="G156" s="1778" t="str">
        <f>IFERROR(VLOOKUP(D156,Tabla3[],5,FALSE),"")</f>
        <v>MENDOZA RACANCOJ DANY JONATAN</v>
      </c>
      <c r="H156" s="1404" t="str">
        <f t="shared" si="32"/>
        <v>H</v>
      </c>
      <c r="I156" s="1404" t="str">
        <f t="shared" si="33"/>
        <v>87</v>
      </c>
      <c r="J156" s="1404" t="str">
        <f t="shared" si="34"/>
        <v>10</v>
      </c>
      <c r="K156" s="1404" t="str">
        <f t="shared" si="35"/>
        <v>18</v>
      </c>
      <c r="L156" s="1276" t="str">
        <f>_xlfn.XLOOKUP($D156,  Tabla3[No.],  Tabla3[ESTATUS ACADÉMICO], " ")</f>
        <v>VIGENTE</v>
      </c>
      <c r="M156" s="637" t="str">
        <f>_xlfn.XLOOKUP($D156,  Tabla3[No.],  Tabla3[Grupo de clase], " ")</f>
        <v>DD08BGT</v>
      </c>
      <c r="N156" s="1289">
        <v>9.6999999999999993</v>
      </c>
      <c r="O156" s="3037">
        <v>9.4</v>
      </c>
      <c r="P156" s="3037">
        <v>9.3000000000000007</v>
      </c>
      <c r="Q156" s="3037">
        <v>9.5</v>
      </c>
      <c r="R156" s="3037">
        <v>9.4</v>
      </c>
      <c r="S156" s="2384"/>
      <c r="T156" s="1132"/>
      <c r="U156" s="2384"/>
      <c r="V156" s="1132"/>
      <c r="W156" s="1132"/>
      <c r="X156" s="2384"/>
      <c r="Y156" s="2384"/>
      <c r="Z156" s="1132"/>
      <c r="AA156" s="2384"/>
      <c r="AB156" s="2384"/>
      <c r="AC156" s="2384"/>
      <c r="AD156" s="2384"/>
      <c r="AE156" s="2384"/>
      <c r="AF156" s="2384"/>
      <c r="AG156" s="2384"/>
      <c r="AH156" s="2384"/>
      <c r="AI156" s="2384"/>
      <c r="AJ156" s="3309"/>
    </row>
    <row r="157" spans="1:42" s="2136" customFormat="1">
      <c r="A157" s="2196" t="s">
        <v>1625</v>
      </c>
      <c r="B157" s="2198">
        <v>9</v>
      </c>
      <c r="C157" s="3554">
        <f>_xlfn.XLOOKUP($D157, Tabla3[No.], Tabla3[FECHA DE INICIO (PRIMERA CLASE CALENDARIO)]," ")</f>
        <v>45632</v>
      </c>
      <c r="D157" s="2197">
        <v>808</v>
      </c>
      <c r="E157" s="1536" t="str">
        <f>_xlfn.XLOOKUP($D157,  Tabla3[No.],  Tabla3[CURP], " ")</f>
        <v>RIMH840407HGT</v>
      </c>
      <c r="F157" s="1402" t="str">
        <f>_xlfn.XLOOKUP($D157,  Tabla3[No.],  Tabla3[Matrícula Of. SEQ], " ")</f>
        <v>64DD08A-10</v>
      </c>
      <c r="G157" s="1778" t="str">
        <f>IFERROR(VLOOKUP(D157,Tabla3[],5,FALSE),"")</f>
        <v>RIVERA MEDINA HECTOR EDGARDO</v>
      </c>
      <c r="H157" s="1404" t="str">
        <f t="shared" si="32"/>
        <v>H</v>
      </c>
      <c r="I157" s="1404" t="str">
        <f t="shared" si="33"/>
        <v>84</v>
      </c>
      <c r="J157" s="1404" t="str">
        <f t="shared" si="34"/>
        <v>04</v>
      </c>
      <c r="K157" s="1404" t="str">
        <f t="shared" si="35"/>
        <v>07</v>
      </c>
      <c r="L157" s="1276" t="str">
        <f>_xlfn.XLOOKUP($D157,  Tabla3[No.],  Tabla3[ESTATUS ACADÉMICO], " ")</f>
        <v>VIGENTE</v>
      </c>
      <c r="M157" s="637" t="str">
        <f>_xlfn.XLOOKUP($D157,  Tabla3[No.],  Tabla3[Grupo de clase], " ")</f>
        <v>DD08BGT</v>
      </c>
      <c r="N157" s="1289">
        <v>9.6999999999999993</v>
      </c>
      <c r="O157" s="3037">
        <v>9.4</v>
      </c>
      <c r="P157" s="3037">
        <v>9.3000000000000007</v>
      </c>
      <c r="Q157" s="3037">
        <v>9.5</v>
      </c>
      <c r="R157" s="3037">
        <v>9.4</v>
      </c>
      <c r="S157" s="2384"/>
      <c r="T157" s="1132"/>
      <c r="U157" s="2384"/>
      <c r="V157" s="1132"/>
      <c r="W157" s="1132"/>
      <c r="X157" s="2384"/>
      <c r="Y157" s="2384"/>
      <c r="Z157" s="1132"/>
      <c r="AA157" s="2384"/>
      <c r="AB157" s="2384"/>
      <c r="AC157" s="2384"/>
      <c r="AD157" s="2384"/>
      <c r="AE157" s="2384"/>
      <c r="AF157" s="2384"/>
      <c r="AG157" s="2384"/>
      <c r="AH157" s="2384"/>
      <c r="AI157" s="2384"/>
      <c r="AJ157" s="3309"/>
    </row>
    <row r="158" spans="1:42" s="2136" customFormat="1">
      <c r="A158" s="2196" t="s">
        <v>1625</v>
      </c>
      <c r="B158" s="2198">
        <v>10</v>
      </c>
      <c r="C158" s="3554">
        <f>_xlfn.XLOOKUP($D158, Tabla3[No.], Tabla3[FECHA DE INICIO (PRIMERA CLASE CALENDARIO)]," ")</f>
        <v>45632</v>
      </c>
      <c r="D158" s="2197">
        <v>809</v>
      </c>
      <c r="E158" s="1536" t="str">
        <f>_xlfn.XLOOKUP($D158,  Tabla3[No.],  Tabla3[CURP], " ")</f>
        <v>AVLL820829MGT</v>
      </c>
      <c r="F158" s="1402" t="str">
        <f>_xlfn.XLOOKUP($D158,  Tabla3[No.],  Tabla3[Matrícula Of. SEQ], " ")</f>
        <v>64DD08A-01</v>
      </c>
      <c r="G158" s="1778" t="str">
        <f>IFERROR(VLOOKUP(D158,Tabla3[],5,FALSE),"")</f>
        <v>AVILA LARA LUISA MARIA</v>
      </c>
      <c r="H158" s="1404" t="str">
        <f t="shared" si="32"/>
        <v>M</v>
      </c>
      <c r="I158" s="1404" t="str">
        <f t="shared" si="33"/>
        <v>82</v>
      </c>
      <c r="J158" s="1404" t="str">
        <f t="shared" si="34"/>
        <v>08</v>
      </c>
      <c r="K158" s="1404" t="str">
        <f t="shared" si="35"/>
        <v>29</v>
      </c>
      <c r="L158" s="1276" t="str">
        <f>_xlfn.XLOOKUP($D158,  Tabla3[No.],  Tabla3[ESTATUS ACADÉMICO], " ")</f>
        <v>VIGENTE</v>
      </c>
      <c r="M158" s="637" t="str">
        <f>_xlfn.XLOOKUP($D158,  Tabla3[No.],  Tabla3[Grupo de clase], " ")</f>
        <v>DD08BGT</v>
      </c>
      <c r="N158" s="1289">
        <v>9.6999999999999993</v>
      </c>
      <c r="O158" s="3037">
        <v>9.4</v>
      </c>
      <c r="P158" s="3037">
        <v>9.3000000000000007</v>
      </c>
      <c r="Q158" s="3037">
        <v>9.5</v>
      </c>
      <c r="R158" s="3037">
        <v>9.4</v>
      </c>
      <c r="S158" s="2384"/>
      <c r="T158" s="1132"/>
      <c r="U158" s="2384"/>
      <c r="V158" s="1132"/>
      <c r="W158" s="1132"/>
      <c r="X158" s="2384"/>
      <c r="Y158" s="2384"/>
      <c r="Z158" s="1132"/>
      <c r="AA158" s="2384"/>
      <c r="AB158" s="2384"/>
      <c r="AC158" s="2384"/>
      <c r="AD158" s="2384"/>
      <c r="AE158" s="2384"/>
      <c r="AF158" s="2384"/>
      <c r="AG158" s="2384"/>
      <c r="AH158" s="2384"/>
      <c r="AI158" s="2384"/>
      <c r="AJ158" s="3309"/>
    </row>
    <row r="159" spans="1:42" s="2136" customFormat="1">
      <c r="A159" s="2196" t="s">
        <v>1625</v>
      </c>
      <c r="B159" s="2198">
        <v>11</v>
      </c>
      <c r="C159" s="3554">
        <f>_xlfn.XLOOKUP($D159, Tabla3[No.], Tabla3[FECHA DE INICIO (PRIMERA CLASE CALENDARIO)]," ")</f>
        <v>45632</v>
      </c>
      <c r="D159" s="2197">
        <v>810</v>
      </c>
      <c r="E159" s="1536" t="str">
        <f>_xlfn.XLOOKUP($D159,  Tabla3[No.],  Tabla3[CURP], " ")</f>
        <v>KIAE700414HGT</v>
      </c>
      <c r="F159" s="1402" t="str">
        <f>_xlfn.XLOOKUP($D159,  Tabla3[No.],  Tabla3[Matrícula Of. SEQ], " ")</f>
        <v>64DD08A-5</v>
      </c>
      <c r="G159" s="1778" t="str">
        <f>IFERROR(VLOOKUP(D159,Tabla3[],5,FALSE),"")</f>
        <v>KIESLING ALVARADO ERVIN HERMAN</v>
      </c>
      <c r="H159" s="1404" t="str">
        <f t="shared" si="32"/>
        <v>H</v>
      </c>
      <c r="I159" s="1404" t="str">
        <f t="shared" si="33"/>
        <v>70</v>
      </c>
      <c r="J159" s="1404" t="str">
        <f t="shared" si="34"/>
        <v>04</v>
      </c>
      <c r="K159" s="1404" t="str">
        <f t="shared" si="35"/>
        <v>14</v>
      </c>
      <c r="L159" s="1276" t="str">
        <f>_xlfn.XLOOKUP($D159,  Tabla3[No.],  Tabla3[ESTATUS ACADÉMICO], " ")</f>
        <v>VIGENTE</v>
      </c>
      <c r="M159" s="637" t="str">
        <f>_xlfn.XLOOKUP($D159,  Tabla3[No.],  Tabla3[Grupo de clase], " ")</f>
        <v>DD08BGT</v>
      </c>
      <c r="N159" s="1289">
        <v>9.6999999999999993</v>
      </c>
      <c r="O159" s="3037">
        <v>9.4</v>
      </c>
      <c r="P159" s="3037">
        <v>9.3000000000000007</v>
      </c>
      <c r="Q159" s="3037">
        <v>9.5</v>
      </c>
      <c r="R159" s="3037">
        <v>9.4</v>
      </c>
      <c r="S159" s="2384"/>
      <c r="T159" s="1132"/>
      <c r="U159" s="2384"/>
      <c r="V159" s="1132"/>
      <c r="W159" s="1132"/>
      <c r="X159" s="2384"/>
      <c r="Y159" s="2384"/>
      <c r="Z159" s="1132"/>
      <c r="AA159" s="2384"/>
      <c r="AB159" s="2384"/>
      <c r="AC159" s="2384"/>
      <c r="AD159" s="2384"/>
      <c r="AE159" s="2384"/>
      <c r="AF159" s="2384"/>
      <c r="AG159" s="2384"/>
      <c r="AH159" s="2384"/>
      <c r="AI159" s="2384"/>
      <c r="AJ159" s="3309"/>
    </row>
    <row r="160" spans="1:42" s="2136" customFormat="1">
      <c r="A160" s="2196" t="s">
        <v>1625</v>
      </c>
      <c r="B160" s="2198">
        <v>12</v>
      </c>
      <c r="C160" s="3554">
        <f>_xlfn.XLOOKUP($D160, Tabla3[No.], Tabla3[FECHA DE INICIO (PRIMERA CLASE CALENDARIO)]," ")</f>
        <v>45632</v>
      </c>
      <c r="D160" s="2197">
        <v>812</v>
      </c>
      <c r="E160" s="1536" t="str">
        <f>_xlfn.XLOOKUP($D160,  Tabla3[No.],  Tabla3[CURP], " ")</f>
        <v>MSPO651206HGTRLW01</v>
      </c>
      <c r="F160" s="1402" t="str">
        <f>_xlfn.XLOOKUP($D160,  Tabla3[No.],  Tabla3[Matrícula Of. SEQ], " ")</f>
        <v>64DD08A-06</v>
      </c>
      <c r="G160" s="1778" t="str">
        <f>IFERROR(VLOOKUP(D160,Tabla3[],5,FALSE),"")</f>
        <v>MARTINEZ PALACIOS OSWALD ROMEO</v>
      </c>
      <c r="H160" s="1404" t="str">
        <f t="shared" si="32"/>
        <v>H</v>
      </c>
      <c r="I160" s="1404" t="str">
        <f t="shared" si="33"/>
        <v>65</v>
      </c>
      <c r="J160" s="1404" t="str">
        <f t="shared" si="34"/>
        <v>12</v>
      </c>
      <c r="K160" s="1404" t="str">
        <f t="shared" si="35"/>
        <v>06</v>
      </c>
      <c r="L160" s="1276" t="str">
        <f>_xlfn.XLOOKUP($D160,  Tabla3[No.],  Tabla3[ESTATUS ACADÉMICO], " ")</f>
        <v>VIGENTE</v>
      </c>
      <c r="M160" s="637" t="str">
        <f>_xlfn.XLOOKUP($D160,  Tabla3[No.],  Tabla3[Grupo de clase], " ")</f>
        <v>DD08BGT</v>
      </c>
      <c r="N160" s="1289">
        <v>9.6999999999999993</v>
      </c>
      <c r="O160" s="3037">
        <v>9.4</v>
      </c>
      <c r="P160" s="3037">
        <v>9.3000000000000007</v>
      </c>
      <c r="Q160" s="3037">
        <v>9.5</v>
      </c>
      <c r="R160" s="3037">
        <v>9.4</v>
      </c>
      <c r="S160" s="2384"/>
      <c r="T160" s="1132"/>
      <c r="U160" s="2384"/>
      <c r="V160" s="1132"/>
      <c r="W160" s="1132"/>
      <c r="X160" s="2384"/>
      <c r="Y160" s="2384"/>
      <c r="Z160" s="1132"/>
      <c r="AA160" s="2384"/>
      <c r="AB160" s="2384"/>
      <c r="AC160" s="2384"/>
      <c r="AD160" s="2384"/>
      <c r="AE160" s="2384"/>
      <c r="AF160" s="2384"/>
      <c r="AG160" s="2384"/>
      <c r="AH160" s="2384"/>
      <c r="AI160" s="2384"/>
      <c r="AJ160" s="3309"/>
    </row>
    <row r="161" spans="1:36" s="2136" customFormat="1">
      <c r="A161" s="2196" t="s">
        <v>1625</v>
      </c>
      <c r="B161" s="2198">
        <v>13</v>
      </c>
      <c r="C161" s="3554">
        <f>_xlfn.XLOOKUP($D161, Tabla3[No.], Tabla3[FECHA DE INICIO (PRIMERA CLASE CALENDARIO)]," ")</f>
        <v>45632</v>
      </c>
      <c r="D161" s="2197">
        <v>815</v>
      </c>
      <c r="E161" s="1536" t="str">
        <f>_xlfn.XLOOKUP($D161,  Tabla3[No.],  Tabla3[CURP], " ")</f>
        <v>RERG880924MCGCML01</v>
      </c>
      <c r="F161" s="1402" t="str">
        <f>_xlfn.XLOOKUP($D161,  Tabla3[No.],  Tabla3[Matrícula Of. SEQ], " ")</f>
        <v>64DD08A-9</v>
      </c>
      <c r="G161" s="1778" t="str">
        <f>IFERROR(VLOOKUP(D161,Tabla3[],5,FALSE),"")</f>
        <v>RECINOS RAMOS GLENDY LISSETTE</v>
      </c>
      <c r="H161" s="1404" t="str">
        <f t="shared" si="32"/>
        <v>M</v>
      </c>
      <c r="I161" s="1404" t="str">
        <f t="shared" si="33"/>
        <v>88</v>
      </c>
      <c r="J161" s="1404" t="str">
        <f t="shared" si="34"/>
        <v>09</v>
      </c>
      <c r="K161" s="1404" t="str">
        <f t="shared" si="35"/>
        <v>24</v>
      </c>
      <c r="L161" s="1276" t="str">
        <f>_xlfn.XLOOKUP($D161,  Tabla3[No.],  Tabla3[ESTATUS ACADÉMICO], " ")</f>
        <v>VIGENTE</v>
      </c>
      <c r="M161" s="637" t="str">
        <f>_xlfn.XLOOKUP($D161,  Tabla3[No.],  Tabla3[Grupo de clase], " ")</f>
        <v>DD08BGT</v>
      </c>
      <c r="N161" s="1289">
        <v>9.6999999999999993</v>
      </c>
      <c r="O161" s="3037">
        <v>9.4</v>
      </c>
      <c r="P161" s="3037">
        <v>9.3000000000000007</v>
      </c>
      <c r="Q161" s="3037">
        <v>9.5</v>
      </c>
      <c r="R161" s="3037">
        <v>9.4</v>
      </c>
      <c r="S161" s="2384"/>
      <c r="T161" s="1132"/>
      <c r="U161" s="2384"/>
      <c r="V161" s="1132"/>
      <c r="W161" s="1132"/>
      <c r="X161" s="2384"/>
      <c r="Y161" s="2384"/>
      <c r="Z161" s="1132"/>
      <c r="AA161" s="2384"/>
      <c r="AB161" s="2384"/>
      <c r="AC161" s="2384"/>
      <c r="AD161" s="2384"/>
      <c r="AE161" s="2384"/>
      <c r="AF161" s="2384"/>
      <c r="AG161" s="2384"/>
      <c r="AH161" s="2384"/>
      <c r="AI161" s="2384"/>
      <c r="AJ161" s="3309"/>
    </row>
    <row r="162" spans="1:36" s="2136" customFormat="1">
      <c r="A162" s="2196" t="s">
        <v>1625</v>
      </c>
      <c r="B162" s="2198">
        <v>14</v>
      </c>
      <c r="C162" s="3554">
        <f>_xlfn.XLOOKUP($D162, Tabla3[No.], Tabla3[FECHA DE INICIO (PRIMERA CLASE CALENDARIO)]," ")</f>
        <v>45632</v>
      </c>
      <c r="D162" s="2197">
        <v>824</v>
      </c>
      <c r="E162" s="1536" t="str">
        <f>_xlfn.XLOOKUP($D162,  Tabla3[No.],  Tabla3[CURP], " ")</f>
        <v>CUVA730826MGT</v>
      </c>
      <c r="F162" s="1402" t="str">
        <f>_xlfn.XLOOKUP($D162,  Tabla3[No.],  Tabla3[Matrícula Of. SEQ], " ")</f>
        <v>64DD08B-01</v>
      </c>
      <c r="G162" s="1778" t="str">
        <f>IFERROR(VLOOKUP(D162,Tabla3[],5,FALSE),"")</f>
        <v>CRUZ VELASCO ANA SEFERINA</v>
      </c>
      <c r="H162" s="1404" t="str">
        <f t="shared" si="32"/>
        <v>M</v>
      </c>
      <c r="I162" s="1404" t="str">
        <f t="shared" si="33"/>
        <v>73</v>
      </c>
      <c r="J162" s="1404" t="str">
        <f t="shared" si="34"/>
        <v>08</v>
      </c>
      <c r="K162" s="1404" t="str">
        <f t="shared" si="35"/>
        <v>26</v>
      </c>
      <c r="L162" s="1276" t="str">
        <f>_xlfn.XLOOKUP($D162,  Tabla3[No.],  Tabla3[ESTATUS ACADÉMICO], " ")</f>
        <v>VIGENTE</v>
      </c>
      <c r="M162" s="637" t="str">
        <f>_xlfn.XLOOKUP($D162,  Tabla3[No.],  Tabla3[Grupo de clase], " ")</f>
        <v>DD08BGT</v>
      </c>
      <c r="N162" s="3305"/>
      <c r="O162" s="3305"/>
      <c r="P162" s="3305"/>
      <c r="Q162" s="3037">
        <v>9.5</v>
      </c>
      <c r="R162" s="3037">
        <v>9.4</v>
      </c>
      <c r="S162" s="2384"/>
      <c r="T162" s="1132"/>
      <c r="U162" s="2384"/>
      <c r="V162" s="1132"/>
      <c r="W162" s="1132"/>
      <c r="X162" s="2384"/>
      <c r="Y162" s="2384"/>
      <c r="Z162" s="1132"/>
      <c r="AA162" s="2384"/>
      <c r="AB162" s="2384"/>
      <c r="AC162" s="2384"/>
      <c r="AD162" s="2384"/>
      <c r="AE162" s="2384"/>
      <c r="AF162" s="2384"/>
      <c r="AG162" s="2384"/>
      <c r="AH162" s="2384"/>
      <c r="AI162" s="2384"/>
      <c r="AJ162" s="3309"/>
    </row>
    <row r="163" spans="1:36" s="2136" customFormat="1">
      <c r="A163" s="2196" t="s">
        <v>1625</v>
      </c>
      <c r="B163" s="2198">
        <v>15</v>
      </c>
      <c r="C163" s="3554">
        <f>_xlfn.XLOOKUP($D163, Tabla3[No.], Tabla3[FECHA DE INICIO (PRIMERA CLASE CALENDARIO)]," ")</f>
        <v>45632</v>
      </c>
      <c r="D163" s="2197">
        <v>825</v>
      </c>
      <c r="E163" s="1536" t="str">
        <f>_xlfn.XLOOKUP($D163,  Tabla3[No.],  Tabla3[CURP], " ")</f>
        <v>MAGV720427HGT</v>
      </c>
      <c r="F163" s="1402" t="str">
        <f>_xlfn.XLOOKUP($D163,  Tabla3[No.],  Tabla3[Matrícula Of. SEQ], " ")</f>
        <v>64DD08B-03</v>
      </c>
      <c r="G163" s="1778" t="str">
        <f>IFERROR(VLOOKUP(D163,Tabla3[],5,FALSE),"")</f>
        <v>MARCOS GALLEGO VICENTE</v>
      </c>
      <c r="H163" s="1404" t="str">
        <f t="shared" si="32"/>
        <v>H</v>
      </c>
      <c r="I163" s="1404" t="str">
        <f t="shared" si="33"/>
        <v>72</v>
      </c>
      <c r="J163" s="1404" t="str">
        <f t="shared" si="34"/>
        <v>04</v>
      </c>
      <c r="K163" s="1404" t="str">
        <f t="shared" si="35"/>
        <v>27</v>
      </c>
      <c r="L163" s="1276" t="str">
        <f>_xlfn.XLOOKUP($D163,  Tabla3[No.],  Tabla3[ESTATUS ACADÉMICO], " ")</f>
        <v>VIGENTE</v>
      </c>
      <c r="M163" s="637" t="str">
        <f>_xlfn.XLOOKUP($D163,  Tabla3[No.],  Tabla3[Grupo de clase], " ")</f>
        <v>DD08BGT</v>
      </c>
      <c r="N163" s="1289">
        <v>9.6999999999999993</v>
      </c>
      <c r="O163" s="3037">
        <v>9.4</v>
      </c>
      <c r="P163" s="3037">
        <v>9.3000000000000007</v>
      </c>
      <c r="Q163" s="3037">
        <v>9.5</v>
      </c>
      <c r="R163" s="3037">
        <v>9.4</v>
      </c>
      <c r="S163" s="2384"/>
      <c r="T163" s="1132"/>
      <c r="U163" s="2384"/>
      <c r="V163" s="1132"/>
      <c r="W163" s="1132"/>
      <c r="X163" s="2384"/>
      <c r="Y163" s="2384"/>
      <c r="Z163" s="1132"/>
      <c r="AA163" s="2384"/>
      <c r="AB163" s="2384"/>
      <c r="AC163" s="2384"/>
      <c r="AD163" s="2384"/>
      <c r="AE163" s="2384"/>
      <c r="AF163" s="2384"/>
      <c r="AG163" s="2384"/>
      <c r="AH163" s="2384"/>
      <c r="AI163" s="2384"/>
      <c r="AJ163" s="3309"/>
    </row>
    <row r="164" spans="1:36" s="2136" customFormat="1">
      <c r="A164" s="2196" t="s">
        <v>1625</v>
      </c>
      <c r="B164" s="2198">
        <v>16</v>
      </c>
      <c r="C164" s="3554">
        <f>_xlfn.XLOOKUP($D164, Tabla3[No.], Tabla3[FECHA DE INICIO (PRIMERA CLASE CALENDARIO)]," ")</f>
        <v>45632</v>
      </c>
      <c r="D164" s="2197">
        <v>826</v>
      </c>
      <c r="E164" s="1536" t="str">
        <f>_xlfn.XLOOKUP($D164,  Tabla3[No.],  Tabla3[CURP], " ")</f>
        <v xml:space="preserve">CUVB760213HGT </v>
      </c>
      <c r="F164" s="1402" t="str">
        <f>_xlfn.XLOOKUP($D164,  Tabla3[No.],  Tabla3[Matrícula Of. SEQ], " ")</f>
        <v>64DD08B-02</v>
      </c>
      <c r="G164" s="1778" t="str">
        <f>IFERROR(VLOOKUP(D164,Tabla3[],5,FALSE),"")</f>
        <v>CRUZ VELASCO BENJAMIN</v>
      </c>
      <c r="H164" s="1404" t="str">
        <f t="shared" si="32"/>
        <v>H</v>
      </c>
      <c r="I164" s="1404" t="str">
        <f t="shared" si="33"/>
        <v>76</v>
      </c>
      <c r="J164" s="1404" t="str">
        <f t="shared" si="34"/>
        <v>02</v>
      </c>
      <c r="K164" s="1404" t="str">
        <f t="shared" si="35"/>
        <v>13</v>
      </c>
      <c r="L164" s="1276" t="str">
        <f>_xlfn.XLOOKUP($D164,  Tabla3[No.],  Tabla3[ESTATUS ACADÉMICO], " ")</f>
        <v>VIGENTE</v>
      </c>
      <c r="M164" s="637" t="str">
        <f>_xlfn.XLOOKUP($D164,  Tabla3[No.],  Tabla3[Grupo de clase], " ")</f>
        <v>DD08BGT</v>
      </c>
      <c r="N164" s="1289">
        <v>9.6999999999999993</v>
      </c>
      <c r="O164" s="3037">
        <v>9.4</v>
      </c>
      <c r="P164" s="3037">
        <v>9.3000000000000007</v>
      </c>
      <c r="Q164" s="3037">
        <v>9.5</v>
      </c>
      <c r="R164" s="3037">
        <v>9.4</v>
      </c>
      <c r="S164" s="2384"/>
      <c r="T164" s="1132"/>
      <c r="U164" s="2384"/>
      <c r="V164" s="1132"/>
      <c r="W164" s="1132"/>
      <c r="X164" s="2384"/>
      <c r="Y164" s="2384"/>
      <c r="Z164" s="1132"/>
      <c r="AA164" s="2384"/>
      <c r="AB164" s="2384"/>
      <c r="AC164" s="2384"/>
      <c r="AD164" s="2384"/>
      <c r="AE164" s="2384"/>
      <c r="AF164" s="2384"/>
      <c r="AG164" s="2384"/>
      <c r="AH164" s="2384"/>
      <c r="AI164" s="2384"/>
      <c r="AJ164" s="3309"/>
    </row>
    <row r="165" spans="1:36" s="2136" customFormat="1">
      <c r="A165" s="2196" t="s">
        <v>1625</v>
      </c>
      <c r="B165" s="2198">
        <v>17</v>
      </c>
      <c r="C165" s="3554">
        <f>_xlfn.XLOOKUP($D165, Tabla3[No.], Tabla3[FECHA DE INICIO (PRIMERA CLASE CALENDARIO)]," ")</f>
        <v>45632</v>
      </c>
      <c r="D165" s="2197">
        <v>827</v>
      </c>
      <c r="E165" s="1536" t="str">
        <f>_xlfn.XLOOKUP($D165,  Tabla3[No.],  Tabla3[CURP], " ")</f>
        <v xml:space="preserve">TOPK870301MGT </v>
      </c>
      <c r="F165" s="1402" t="str">
        <f>_xlfn.XLOOKUP($D165,  Tabla3[No.],  Tabla3[Matrícula Of. SEQ], " ")</f>
        <v>64DD08B-04</v>
      </c>
      <c r="G165" s="1778" t="str">
        <f>IFERROR(VLOOKUP(D165,Tabla3[],5,FALSE),"")</f>
        <v>TOLEDO PIVARAL KAREN ANELISSE</v>
      </c>
      <c r="H165" s="1404" t="str">
        <f t="shared" si="32"/>
        <v>M</v>
      </c>
      <c r="I165" s="1404" t="str">
        <f t="shared" si="33"/>
        <v>87</v>
      </c>
      <c r="J165" s="1404" t="str">
        <f t="shared" si="34"/>
        <v>03</v>
      </c>
      <c r="K165" s="1404" t="str">
        <f t="shared" si="35"/>
        <v>01</v>
      </c>
      <c r="L165" s="1276" t="str">
        <f>_xlfn.XLOOKUP($D165,  Tabla3[No.],  Tabla3[ESTATUS ACADÉMICO], " ")</f>
        <v>VIGENTE</v>
      </c>
      <c r="M165" s="637" t="str">
        <f>_xlfn.XLOOKUP($D165,  Tabla3[No.],  Tabla3[Grupo de clase], " ")</f>
        <v>DD08BGT</v>
      </c>
      <c r="N165" s="1289">
        <v>9.6999999999999993</v>
      </c>
      <c r="O165" s="3037">
        <v>9.4</v>
      </c>
      <c r="P165" s="3037">
        <v>9.3000000000000007</v>
      </c>
      <c r="Q165" s="3037">
        <v>9.5</v>
      </c>
      <c r="R165" s="3037">
        <v>9.4</v>
      </c>
      <c r="S165" s="2384"/>
      <c r="T165" s="1132"/>
      <c r="U165" s="2384"/>
      <c r="V165" s="1132"/>
      <c r="W165" s="1132"/>
      <c r="X165" s="2384"/>
      <c r="Y165" s="2384"/>
      <c r="Z165" s="1132"/>
      <c r="AA165" s="2384"/>
      <c r="AB165" s="2384"/>
      <c r="AC165" s="2384"/>
      <c r="AD165" s="2384"/>
      <c r="AE165" s="2384"/>
      <c r="AF165" s="2384"/>
      <c r="AG165" s="2384"/>
      <c r="AH165" s="2384"/>
      <c r="AI165" s="2384"/>
      <c r="AJ165" s="3309"/>
    </row>
    <row r="166" spans="1:36" s="2136" customFormat="1" ht="15.75">
      <c r="A166" s="2196" t="s">
        <v>1625</v>
      </c>
      <c r="B166" s="2198">
        <v>18</v>
      </c>
      <c r="C166" s="3554">
        <f>_xlfn.XLOOKUP($D166, Tabla3[No.], Tabla3[FECHA DE INICIO (PRIMERA CLASE CALENDARIO)]," ")</f>
        <v>45659</v>
      </c>
      <c r="D166" s="2197">
        <v>835</v>
      </c>
      <c r="E166" s="1536" t="str">
        <f>_xlfn.XLOOKUP($D166,  Tabla3[No.],  Tabla3[CURP], " ")</f>
        <v>PETJ760522HCG</v>
      </c>
      <c r="F166" s="1402" t="str">
        <f>_xlfn.XLOOKUP($D166,  Tabla3[No.],  Tabla3[Matrícula Of. SEQ], " ")</f>
        <v>64DD08C-05</v>
      </c>
      <c r="G166" s="1778" t="str">
        <f>IFERROR(VLOOKUP(D166,Tabla3[],5,FALSE),"")</f>
        <v>PELLECER TEREAUX JULIO AUGUSTO BENIGNO</v>
      </c>
      <c r="H166" s="1404" t="str">
        <f t="shared" si="32"/>
        <v>H</v>
      </c>
      <c r="I166" s="1404" t="str">
        <f t="shared" si="33"/>
        <v>76</v>
      </c>
      <c r="J166" s="1404" t="str">
        <f t="shared" si="34"/>
        <v>05</v>
      </c>
      <c r="K166" s="1404" t="str">
        <f t="shared" si="35"/>
        <v>22</v>
      </c>
      <c r="L166" s="1276" t="str">
        <f>_xlfn.XLOOKUP($D166,  Tabla3[No.],  Tabla3[ESTATUS ACADÉMICO], " ")</f>
        <v>VIGENTE</v>
      </c>
      <c r="M166" s="637" t="str">
        <f>_xlfn.XLOOKUP($D166,  Tabla3[No.],  Tabla3[Grupo de clase], " ")</f>
        <v>DD08BGT</v>
      </c>
      <c r="N166" s="1173" t="s">
        <v>136</v>
      </c>
      <c r="O166" s="2244">
        <v>9.4</v>
      </c>
      <c r="P166" s="1173">
        <v>9.3000000000000007</v>
      </c>
      <c r="Q166" s="3037">
        <v>9.4</v>
      </c>
      <c r="R166" s="3037">
        <v>9.4</v>
      </c>
      <c r="S166" s="2384"/>
      <c r="T166" s="1132"/>
      <c r="U166" s="2384"/>
      <c r="V166" s="1132"/>
      <c r="W166" s="1132"/>
      <c r="X166" s="2384"/>
      <c r="Y166" s="2384"/>
      <c r="Z166" s="1132"/>
      <c r="AA166" s="2384"/>
      <c r="AB166" s="2384"/>
      <c r="AC166" s="2384"/>
      <c r="AD166" s="2384"/>
      <c r="AE166" s="2384"/>
      <c r="AF166" s="2384"/>
      <c r="AG166" s="2384"/>
      <c r="AH166" s="2384"/>
      <c r="AI166" s="2384"/>
      <c r="AJ166" s="3309"/>
    </row>
    <row r="167" spans="1:36" s="2136" customFormat="1">
      <c r="A167" s="2196" t="s">
        <v>1625</v>
      </c>
      <c r="B167" s="2198">
        <v>19</v>
      </c>
      <c r="C167" s="3554">
        <f>_xlfn.XLOOKUP($D167, Tabla3[No.], Tabla3[FECHA DE INICIO (PRIMERA CLASE CALENDARIO)]," ")</f>
        <v>45690</v>
      </c>
      <c r="D167" s="2197">
        <v>836</v>
      </c>
      <c r="E167" s="1536" t="str">
        <f>_xlfn.XLOOKUP($D167,  Tabla3[No.],  Tabla3[CURP], " ")</f>
        <v>VIGJ770412HCG</v>
      </c>
      <c r="F167" s="1402" t="str">
        <f>_xlfn.XLOOKUP($D167,  Tabla3[No.],  Tabla3[Matrícula Of. SEQ], " ")</f>
        <v>64DD08C-09</v>
      </c>
      <c r="G167" s="1778" t="str">
        <f>IFERROR(VLOOKUP(D167,Tabla3[],5,FALSE),"")</f>
        <v>VILLATORO GONZALEZ JONATHAN STEVE</v>
      </c>
      <c r="H167" s="1404" t="str">
        <f t="shared" si="32"/>
        <v>H</v>
      </c>
      <c r="I167" s="1404" t="str">
        <f t="shared" si="33"/>
        <v>77</v>
      </c>
      <c r="J167" s="1404" t="str">
        <f t="shared" si="34"/>
        <v>04</v>
      </c>
      <c r="K167" s="1404" t="str">
        <f t="shared" si="35"/>
        <v>12</v>
      </c>
      <c r="L167" s="1276" t="str">
        <f>_xlfn.XLOOKUP($D167,  Tabla3[No.],  Tabla3[ESTATUS ACADÉMICO], " ")</f>
        <v>VIGENTE</v>
      </c>
      <c r="M167" s="637" t="str">
        <f>_xlfn.XLOOKUP($D167,  Tabla3[No.],  Tabla3[Grupo de clase], " ")</f>
        <v>DD08BGT</v>
      </c>
      <c r="N167" s="1289">
        <v>9.6999999999999993</v>
      </c>
      <c r="O167" s="3037">
        <v>9.4</v>
      </c>
      <c r="P167" s="3037">
        <v>9.3000000000000007</v>
      </c>
      <c r="Q167" s="3037">
        <v>9.5</v>
      </c>
      <c r="R167" s="3037">
        <v>9.4</v>
      </c>
      <c r="S167" s="2384"/>
      <c r="T167" s="1132"/>
      <c r="U167" s="2384"/>
      <c r="V167" s="1132"/>
      <c r="W167" s="1132"/>
      <c r="X167" s="2384"/>
      <c r="Y167" s="2384"/>
      <c r="Z167" s="1132"/>
      <c r="AA167" s="2384"/>
      <c r="AB167" s="2384"/>
      <c r="AC167" s="2384"/>
      <c r="AD167" s="2384"/>
      <c r="AE167" s="2384"/>
      <c r="AF167" s="2384"/>
      <c r="AG167" s="2384"/>
      <c r="AH167" s="2384"/>
      <c r="AI167" s="2384"/>
      <c r="AJ167" s="3309"/>
    </row>
    <row r="168" spans="1:36" s="2136" customFormat="1">
      <c r="A168" s="2196" t="s">
        <v>1625</v>
      </c>
      <c r="B168" s="2198">
        <v>20</v>
      </c>
      <c r="C168" s="3554">
        <f>_xlfn.XLOOKUP($D168, Tabla3[No.], Tabla3[FECHA DE INICIO (PRIMERA CLASE CALENDARIO)]," ")</f>
        <v>45690</v>
      </c>
      <c r="D168" s="2197">
        <v>837</v>
      </c>
      <c r="E168" s="1536" t="str">
        <f>_xlfn.XLOOKUP($D168,  Tabla3[No.],  Tabla3[CURP], " ")</f>
        <v>PIFM780808MCG</v>
      </c>
      <c r="F168" s="1402" t="str">
        <f>_xlfn.XLOOKUP($D168,  Tabla3[No.],  Tabla3[Matrícula Of. SEQ], " ")</f>
        <v>64DD08C-06</v>
      </c>
      <c r="G168" s="1778" t="str">
        <f>IFERROR(VLOOKUP(D168,Tabla3[],5,FALSE),"")</f>
        <v>PINEDA FRANCO MIRIAM NINET</v>
      </c>
      <c r="H168" s="1404" t="str">
        <f t="shared" si="32"/>
        <v>M</v>
      </c>
      <c r="I168" s="1404" t="str">
        <f t="shared" si="33"/>
        <v>78</v>
      </c>
      <c r="J168" s="1404" t="str">
        <f t="shared" si="34"/>
        <v>08</v>
      </c>
      <c r="K168" s="1404" t="str">
        <f t="shared" si="35"/>
        <v>08</v>
      </c>
      <c r="L168" s="1276" t="str">
        <f>_xlfn.XLOOKUP($D168,  Tabla3[No.],  Tabla3[ESTATUS ACADÉMICO], " ")</f>
        <v>VIGENTE</v>
      </c>
      <c r="M168" s="637" t="str">
        <f>_xlfn.XLOOKUP($D168,  Tabla3[No.],  Tabla3[Grupo de clase], " ")</f>
        <v>DD08BGT</v>
      </c>
      <c r="N168" s="3037" t="s">
        <v>136</v>
      </c>
      <c r="O168" s="3037" t="s">
        <v>136</v>
      </c>
      <c r="P168" s="3037">
        <v>9.3000000000000007</v>
      </c>
      <c r="Q168" s="3037">
        <v>9.3000000000000007</v>
      </c>
      <c r="R168" s="3037">
        <v>9.3000000000000007</v>
      </c>
      <c r="S168" s="2384"/>
      <c r="T168" s="1132"/>
      <c r="U168" s="2384"/>
      <c r="V168" s="1132"/>
      <c r="W168" s="1132"/>
      <c r="X168" s="2384"/>
      <c r="Y168" s="2384"/>
      <c r="Z168" s="1132"/>
      <c r="AA168" s="2384"/>
      <c r="AB168" s="2384"/>
      <c r="AC168" s="2384"/>
      <c r="AD168" s="2384"/>
      <c r="AE168" s="2384"/>
      <c r="AF168" s="2384"/>
      <c r="AG168" s="2384"/>
      <c r="AH168" s="2384"/>
      <c r="AI168" s="2384"/>
      <c r="AJ168" s="3309"/>
    </row>
    <row r="169" spans="1:36" s="2136" customFormat="1">
      <c r="A169" s="2196" t="s">
        <v>1625</v>
      </c>
      <c r="B169" s="2198">
        <v>21</v>
      </c>
      <c r="C169" s="3554">
        <f>_xlfn.XLOOKUP($D169, Tabla3[No.], Tabla3[FECHA DE INICIO (PRIMERA CLASE CALENDARIO)]," ")</f>
        <v>45690</v>
      </c>
      <c r="D169" s="2197">
        <v>838</v>
      </c>
      <c r="E169" s="1536" t="str">
        <f>_xlfn.XLOOKUP($D169,  Tabla3[No.],  Tabla3[CURP], " ")</f>
        <v>ROSB830203MCG</v>
      </c>
      <c r="F169" s="1402" t="str">
        <f>_xlfn.XLOOKUP($D169,  Tabla3[No.],  Tabla3[Matrícula Of. SEQ], " ")</f>
        <v>64DD08C-08</v>
      </c>
      <c r="G169" s="1778" t="str">
        <f>IFERROR(VLOOKUP(D169,Tabla3[],5,FALSE),"")</f>
        <v>ROSAS SOLARES BARBARA MABELLE</v>
      </c>
      <c r="H169" s="1404" t="str">
        <f t="shared" si="32"/>
        <v>M</v>
      </c>
      <c r="I169" s="1404" t="str">
        <f t="shared" si="33"/>
        <v>83</v>
      </c>
      <c r="J169" s="1404" t="str">
        <f t="shared" si="34"/>
        <v>02</v>
      </c>
      <c r="K169" s="1404" t="str">
        <f t="shared" si="35"/>
        <v>03</v>
      </c>
      <c r="L169" s="1276" t="str">
        <f>_xlfn.XLOOKUP($D169,  Tabla3[No.],  Tabla3[ESTATUS ACADÉMICO], " ")</f>
        <v>VIGENTE</v>
      </c>
      <c r="M169" s="637" t="str">
        <f>_xlfn.XLOOKUP($D169,  Tabla3[No.],  Tabla3[Grupo de clase], " ")</f>
        <v>DD08BGT</v>
      </c>
      <c r="N169" s="3037" t="s">
        <v>136</v>
      </c>
      <c r="O169" s="3037" t="s">
        <v>136</v>
      </c>
      <c r="P169" s="3037">
        <v>9.3000000000000007</v>
      </c>
      <c r="Q169" s="3037">
        <v>9.3000000000000007</v>
      </c>
      <c r="R169" s="3037">
        <v>9.3000000000000007</v>
      </c>
      <c r="S169" s="2384"/>
      <c r="T169" s="1132"/>
      <c r="U169" s="2384"/>
      <c r="V169" s="1132"/>
      <c r="W169" s="1132"/>
      <c r="X169" s="2384"/>
      <c r="Y169" s="2384"/>
      <c r="Z169" s="1132"/>
      <c r="AA169" s="2384"/>
      <c r="AB169" s="2384"/>
      <c r="AC169" s="2384"/>
      <c r="AD169" s="2384"/>
      <c r="AE169" s="2384"/>
      <c r="AF169" s="2384"/>
      <c r="AG169" s="2384"/>
      <c r="AH169" s="2384"/>
      <c r="AI169" s="2384"/>
      <c r="AJ169" s="3309"/>
    </row>
    <row r="170" spans="1:36" s="2136" customFormat="1">
      <c r="A170" s="2196" t="s">
        <v>1625</v>
      </c>
      <c r="B170" s="2198">
        <v>22</v>
      </c>
      <c r="C170" s="3554">
        <f>_xlfn.XLOOKUP($D170, Tabla3[No.], Tabla3[FECHA DE INICIO (PRIMERA CLASE CALENDARIO)]," ")</f>
        <v>45690</v>
      </c>
      <c r="D170" s="2197">
        <v>839</v>
      </c>
      <c r="E170" s="1536" t="str">
        <f>_xlfn.XLOOKUP($D170,  Tabla3[No.],  Tabla3[CURP], " ")</f>
        <v>GOAG770607MCG</v>
      </c>
      <c r="F170" s="1402" t="str">
        <f>_xlfn.XLOOKUP($D170,  Tabla3[No.],  Tabla3[Matrícula Of. SEQ], " ")</f>
        <v>64DD08C-03</v>
      </c>
      <c r="G170" s="1778" t="str">
        <f>IFERROR(VLOOKUP(D170,Tabla3[],5,FALSE),"")</f>
        <v>GONZALEZ ARANA GLENDA ROSALYNN</v>
      </c>
      <c r="H170" s="1404" t="str">
        <f t="shared" si="32"/>
        <v>M</v>
      </c>
      <c r="I170" s="1404" t="str">
        <f t="shared" si="33"/>
        <v>77</v>
      </c>
      <c r="J170" s="1404" t="str">
        <f t="shared" si="34"/>
        <v>06</v>
      </c>
      <c r="K170" s="1404" t="str">
        <f t="shared" si="35"/>
        <v>07</v>
      </c>
      <c r="L170" s="1276" t="str">
        <f>_xlfn.XLOOKUP($D170,  Tabla3[No.],  Tabla3[ESTATUS ACADÉMICO], " ")</f>
        <v>VIGENTE</v>
      </c>
      <c r="M170" s="637" t="str">
        <f>_xlfn.XLOOKUP($D170,  Tabla3[No.],  Tabla3[Grupo de clase], " ")</f>
        <v>DD08BGT</v>
      </c>
      <c r="N170" s="3037" t="s">
        <v>136</v>
      </c>
      <c r="O170" s="3037" t="s">
        <v>136</v>
      </c>
      <c r="P170" s="3037">
        <v>9.3000000000000007</v>
      </c>
      <c r="Q170" s="3037">
        <v>9.3000000000000007</v>
      </c>
      <c r="R170" s="3037">
        <v>9.3000000000000007</v>
      </c>
      <c r="S170" s="2384"/>
      <c r="T170" s="1132"/>
      <c r="U170" s="2384"/>
      <c r="V170" s="1132"/>
      <c r="W170" s="1132"/>
      <c r="X170" s="2384"/>
      <c r="Y170" s="2384"/>
      <c r="Z170" s="1132"/>
      <c r="AA170" s="2384"/>
      <c r="AB170" s="2384"/>
      <c r="AC170" s="2384"/>
      <c r="AD170" s="2384"/>
      <c r="AE170" s="2384"/>
      <c r="AF170" s="2384"/>
      <c r="AG170" s="2384"/>
      <c r="AH170" s="2384"/>
      <c r="AI170" s="2384"/>
      <c r="AJ170" s="3309"/>
    </row>
    <row r="171" spans="1:36" s="2136" customFormat="1">
      <c r="A171" s="2196" t="s">
        <v>1625</v>
      </c>
      <c r="B171" s="2198">
        <v>23</v>
      </c>
      <c r="C171" s="3554">
        <f>_xlfn.XLOOKUP($D171, Tabla3[No.], Tabla3[FECHA DE INICIO (PRIMERA CLASE CALENDARIO)]," ")</f>
        <v>45744</v>
      </c>
      <c r="D171" s="2197">
        <v>842</v>
      </c>
      <c r="E171" s="1536" t="str">
        <f>_xlfn.XLOOKUP($D171,  Tabla3[No.],  Tabla3[CURP], " ")</f>
        <v>ZEAC881015MGT</v>
      </c>
      <c r="F171" s="1402" t="str">
        <f>_xlfn.XLOOKUP($D171,  Tabla3[No.],  Tabla3[Matrícula Of. SEQ], " ")</f>
        <v>64DD08C-10</v>
      </c>
      <c r="G171" s="1778" t="str">
        <f>IFERROR(VLOOKUP(D171,Tabla3[],5,FALSE),"")</f>
        <v>ZEPEDA AGUILAR CARMEN ODILIA</v>
      </c>
      <c r="H171" s="1404" t="str">
        <f t="shared" si="32"/>
        <v>M</v>
      </c>
      <c r="I171" s="1404" t="str">
        <f t="shared" si="33"/>
        <v>88</v>
      </c>
      <c r="J171" s="1404" t="str">
        <f t="shared" si="34"/>
        <v>10</v>
      </c>
      <c r="K171" s="1404" t="str">
        <f t="shared" si="35"/>
        <v>15</v>
      </c>
      <c r="L171" s="1276" t="str">
        <f>_xlfn.XLOOKUP($D171,  Tabla3[No.],  Tabla3[ESTATUS ACADÉMICO], " ")</f>
        <v>VIGENTE</v>
      </c>
      <c r="M171" s="637" t="str">
        <f>_xlfn.XLOOKUP($D171,  Tabla3[No.],  Tabla3[Grupo de clase], " ")</f>
        <v>DD08BGT</v>
      </c>
      <c r="N171" s="3037" t="s">
        <v>136</v>
      </c>
      <c r="O171" s="3037" t="s">
        <v>136</v>
      </c>
      <c r="P171" s="3037">
        <v>9.3000000000000007</v>
      </c>
      <c r="Q171" s="3037">
        <v>9.3000000000000007</v>
      </c>
      <c r="R171" s="3037">
        <v>9.3000000000000007</v>
      </c>
      <c r="S171" s="2384"/>
      <c r="T171" s="1132"/>
      <c r="U171" s="2384"/>
      <c r="V171" s="1132"/>
      <c r="W171" s="1132"/>
      <c r="X171" s="2384"/>
      <c r="Y171" s="2384"/>
      <c r="Z171" s="1132"/>
      <c r="AA171" s="2384"/>
      <c r="AB171" s="2384"/>
      <c r="AC171" s="2384"/>
      <c r="AD171" s="2384"/>
      <c r="AE171" s="2384"/>
      <c r="AF171" s="2384"/>
      <c r="AG171" s="2384"/>
      <c r="AH171" s="2384"/>
      <c r="AI171" s="2384"/>
      <c r="AJ171" s="3309"/>
    </row>
    <row r="172" spans="1:36" s="2136" customFormat="1">
      <c r="A172" s="2196" t="s">
        <v>1625</v>
      </c>
      <c r="B172" s="1958">
        <v>24</v>
      </c>
      <c r="C172" s="3554">
        <f>_xlfn.XLOOKUP($D172, Tabla3[No.], Tabla3[FECHA DE INICIO (PRIMERA CLASE CALENDARIO)]," ")</f>
        <v>45744</v>
      </c>
      <c r="D172" s="2197">
        <v>843</v>
      </c>
      <c r="E172" s="1536" t="str">
        <f>_xlfn.XLOOKUP($D172,  Tabla3[No.],  Tabla3[CURP], " ")</f>
        <v>CARV640428MGT</v>
      </c>
      <c r="F172" s="1402" t="str">
        <f>_xlfn.XLOOKUP($D172,  Tabla3[No.],  Tabla3[Matrícula Of. SEQ], " ")</f>
        <v xml:space="preserve"> 64DD08C-01</v>
      </c>
      <c r="G172" s="1778" t="str">
        <f>IFERROR(VLOOKUP(D172,Tabla3[],5,FALSE),"")</f>
        <v>CASTELLANOS RAMIREZ VILMA ELIZABETH</v>
      </c>
      <c r="H172" s="1404" t="str">
        <f t="shared" si="32"/>
        <v>M</v>
      </c>
      <c r="I172" s="1404" t="str">
        <f t="shared" si="33"/>
        <v>64</v>
      </c>
      <c r="J172" s="1404" t="str">
        <f t="shared" si="34"/>
        <v>04</v>
      </c>
      <c r="K172" s="1404" t="str">
        <f t="shared" si="35"/>
        <v>28</v>
      </c>
      <c r="L172" s="1276" t="str">
        <f>_xlfn.XLOOKUP($D172,  Tabla3[No.],  Tabla3[ESTATUS ACADÉMICO], " ")</f>
        <v>VIGENTE</v>
      </c>
      <c r="M172" s="637" t="str">
        <f>_xlfn.XLOOKUP($D172,  Tabla3[No.],  Tabla3[Grupo de clase], " ")</f>
        <v>DD08BGT</v>
      </c>
      <c r="N172" s="3305"/>
      <c r="O172" s="3305"/>
      <c r="P172" s="3305"/>
      <c r="Q172" s="3037">
        <v>9.3000000000000007</v>
      </c>
      <c r="R172" s="3037">
        <v>9.3000000000000007</v>
      </c>
      <c r="S172" s="2384"/>
      <c r="T172" s="1132"/>
      <c r="U172" s="2384"/>
      <c r="V172" s="1132"/>
      <c r="W172" s="1132"/>
      <c r="X172" s="2384"/>
      <c r="Y172" s="2384"/>
      <c r="Z172" s="1132"/>
      <c r="AA172" s="2384"/>
      <c r="AB172" s="2384"/>
      <c r="AC172" s="2384"/>
      <c r="AD172" s="2384"/>
      <c r="AE172" s="2384"/>
      <c r="AF172" s="2384"/>
      <c r="AG172" s="2384"/>
      <c r="AH172" s="2384"/>
      <c r="AI172" s="2384"/>
      <c r="AJ172" s="3309"/>
    </row>
    <row r="173" spans="1:36" s="2136" customFormat="1">
      <c r="A173" s="1958"/>
      <c r="B173" s="1958">
        <v>25</v>
      </c>
      <c r="C173" s="3554">
        <f>_xlfn.XLOOKUP($D173, Tabla3[No.], Tabla3[FECHA DE INICIO (PRIMERA CLASE CALENDARIO)]," ")</f>
        <v>45744</v>
      </c>
      <c r="D173" s="2197">
        <v>848</v>
      </c>
      <c r="E173" s="1536" t="str">
        <f>_xlfn.XLOOKUP($D173,  Tabla3[No.],  Tabla3[CURP], " ")</f>
        <v>OEDE930303HGG</v>
      </c>
      <c r="F173" s="1402" t="str">
        <f>_xlfn.XLOOKUP($D173,  Tabla3[No.],  Tabla3[Matrícula Of. SEQ], " ")</f>
        <v>64DD08C-04</v>
      </c>
      <c r="G173" s="1778" t="str">
        <f>IFERROR(VLOOKUP(D173,Tabla3[],5,FALSE),"")</f>
        <v>ORREGO DUBON EVER ARIEL</v>
      </c>
      <c r="H173" s="1404" t="str">
        <f t="shared" si="32"/>
        <v>H</v>
      </c>
      <c r="I173" s="1404" t="str">
        <f t="shared" si="33"/>
        <v>93</v>
      </c>
      <c r="J173" s="1404" t="str">
        <f t="shared" si="34"/>
        <v>03</v>
      </c>
      <c r="K173" s="1404" t="str">
        <f t="shared" si="35"/>
        <v>03</v>
      </c>
      <c r="L173" s="1276" t="str">
        <f>_xlfn.XLOOKUP($D173,  Tabla3[No.],  Tabla3[ESTATUS ACADÉMICO], " ")</f>
        <v>VIGENTE</v>
      </c>
      <c r="M173" s="637" t="str">
        <f>_xlfn.XLOOKUP($D173,  Tabla3[No.],  Tabla3[Grupo de clase], " ")</f>
        <v>DD08BGT</v>
      </c>
      <c r="N173" s="3305"/>
      <c r="O173" s="3305"/>
      <c r="P173" s="3305"/>
      <c r="Q173" s="3037">
        <v>9.3000000000000007</v>
      </c>
      <c r="R173" s="3037">
        <v>9.3000000000000007</v>
      </c>
      <c r="S173" s="2384"/>
      <c r="T173" s="1132"/>
      <c r="U173" s="2384"/>
      <c r="V173" s="1132"/>
      <c r="W173" s="1132"/>
      <c r="X173" s="2384"/>
      <c r="Y173" s="2384"/>
      <c r="Z173" s="1132"/>
      <c r="AA173" s="2384"/>
      <c r="AB173" s="2384"/>
      <c r="AC173" s="2384"/>
      <c r="AD173" s="2384"/>
      <c r="AE173" s="2384"/>
      <c r="AF173" s="2384"/>
      <c r="AG173" s="2384"/>
      <c r="AH173" s="2384"/>
      <c r="AI173" s="2384"/>
      <c r="AJ173" s="3309"/>
    </row>
    <row r="174" spans="1:36" s="2136" customFormat="1">
      <c r="A174" s="1958"/>
      <c r="B174" s="2198">
        <v>26</v>
      </c>
      <c r="C174" s="3554">
        <f>_xlfn.XLOOKUP($D174, Tabla3[No.], Tabla3[FECHA DE INICIO (PRIMERA CLASE CALENDARIO)]," ")</f>
        <v>45513</v>
      </c>
      <c r="D174" s="2197">
        <v>784</v>
      </c>
      <c r="E174" s="1536" t="str">
        <f>_xlfn.XLOOKUP($D174,  Tabla3[No.],  Tabla3[CURP], " ")</f>
        <v>HELV781104MGT</v>
      </c>
      <c r="F174" s="1402">
        <f>_xlfn.XLOOKUP($D174,  Tabla3[No.],  Tabla3[Matrícula Of. SEQ], " ")</f>
        <v>0</v>
      </c>
      <c r="G174" s="1778" t="str">
        <f>IFERROR(VLOOKUP(D174,Tabla3[],5,FALSE),"")</f>
        <v>HERNANDEZ LOPEZ VICKY ARRELY</v>
      </c>
      <c r="H174" s="1404" t="str">
        <f t="shared" si="32"/>
        <v>M</v>
      </c>
      <c r="I174" s="1404" t="str">
        <f t="shared" si="33"/>
        <v>78</v>
      </c>
      <c r="J174" s="1404" t="str">
        <f t="shared" si="34"/>
        <v>11</v>
      </c>
      <c r="K174" s="1404" t="str">
        <f t="shared" si="35"/>
        <v>04</v>
      </c>
      <c r="L174" s="1276" t="str">
        <f>_xlfn.XLOOKUP($D174,  Tabla3[No.],  Tabla3[ESTATUS ACADÉMICO], " ")</f>
        <v>VIGENTE</v>
      </c>
      <c r="M174" s="637" t="str">
        <f>_xlfn.XLOOKUP($D174,  Tabla3[No.],  Tabla3[Grupo de clase], " ")</f>
        <v>DD08BGT</v>
      </c>
      <c r="N174" s="2384"/>
      <c r="O174" s="2384"/>
      <c r="P174" s="2384"/>
      <c r="Q174" s="2384"/>
      <c r="R174" s="2384"/>
      <c r="S174" s="1132"/>
      <c r="T174" s="1132"/>
      <c r="U174" s="2384"/>
      <c r="V174" s="1132"/>
      <c r="W174" s="1132"/>
      <c r="X174" s="2384"/>
      <c r="Y174" s="2384"/>
      <c r="Z174" s="1132"/>
      <c r="AA174" s="2384"/>
      <c r="AB174" s="2384"/>
      <c r="AC174" s="2384"/>
      <c r="AD174" s="2384"/>
      <c r="AE174" s="2384"/>
      <c r="AF174" s="2384"/>
      <c r="AG174" s="2384"/>
      <c r="AH174" s="2384"/>
      <c r="AI174" s="2384"/>
      <c r="AJ174" s="3309"/>
    </row>
    <row r="175" spans="1:36" s="2136" customFormat="1">
      <c r="A175" s="3287"/>
      <c r="B175" s="2129"/>
      <c r="C175" s="3054"/>
      <c r="D175" s="3054"/>
      <c r="E175" s="3120" t="str">
        <f>_xlfn.XLOOKUP($D175,  Tabla3[No.],  Tabla3[CURP], " ")</f>
        <v xml:space="preserve"> </v>
      </c>
      <c r="F175" s="3121" t="str">
        <f>_xlfn.XLOOKUP($D175,  Tabla3[No.],  Tabla3[Matrícula Of. SEQ], " ")</f>
        <v xml:space="preserve"> </v>
      </c>
      <c r="G175" s="3295" t="str">
        <f>IFERROR(VLOOKUP(D175,Tabla3[],5,FALSE),"")</f>
        <v/>
      </c>
      <c r="H175" s="3296" t="str">
        <f t="shared" si="32"/>
        <v/>
      </c>
      <c r="I175" s="3296" t="str">
        <f t="shared" si="33"/>
        <v/>
      </c>
      <c r="J175" s="3296" t="str">
        <f t="shared" si="34"/>
        <v/>
      </c>
      <c r="K175" s="3296" t="str">
        <f t="shared" si="35"/>
        <v/>
      </c>
      <c r="L175" s="3297" t="str">
        <f>_xlfn.XLOOKUP($D175,  Tabla3[No.],  Tabla3[ESTATUS ACADÉMICO], " ")</f>
        <v xml:space="preserve"> </v>
      </c>
      <c r="M175" s="1141" t="str">
        <f>_xlfn.XLOOKUP($D175,  Tabla3[No.],  Tabla3[Grupo de clase], " ")</f>
        <v xml:space="preserve"> </v>
      </c>
      <c r="N175" s="2398"/>
      <c r="O175" s="2398"/>
      <c r="P175" s="2398"/>
      <c r="Q175" s="2398"/>
      <c r="R175" s="2398"/>
      <c r="S175" s="2321"/>
      <c r="T175" s="2321"/>
      <c r="U175" s="2398"/>
      <c r="V175" s="2321"/>
      <c r="W175" s="2321"/>
      <c r="X175" s="2398"/>
      <c r="Y175" s="2398"/>
      <c r="Z175" s="2321"/>
      <c r="AA175" s="2398"/>
      <c r="AB175" s="2398"/>
      <c r="AC175" s="2398"/>
      <c r="AD175" s="2398"/>
      <c r="AE175" s="2398"/>
      <c r="AF175" s="2398"/>
      <c r="AG175" s="2398"/>
      <c r="AH175" s="2398"/>
      <c r="AI175" s="2398"/>
      <c r="AJ175" s="3057"/>
    </row>
    <row r="176" spans="1:36" s="2136" customFormat="1">
      <c r="A176" s="3287"/>
      <c r="C176" s="3054"/>
      <c r="D176" s="3054"/>
      <c r="E176" s="3055"/>
      <c r="F176" s="1981"/>
      <c r="G176" s="1985"/>
      <c r="H176" s="1986"/>
      <c r="I176" s="1986"/>
      <c r="J176" s="1986"/>
      <c r="K176" s="1986"/>
      <c r="L176" s="3056"/>
      <c r="M176" s="1986"/>
      <c r="N176" s="2398"/>
      <c r="O176" s="2398"/>
      <c r="P176" s="2398"/>
      <c r="Q176" s="2398"/>
      <c r="R176" s="2398"/>
      <c r="S176" s="2321"/>
      <c r="T176" s="2321"/>
      <c r="U176" s="2398"/>
      <c r="V176" s="2321"/>
      <c r="W176" s="2321"/>
      <c r="X176" s="2398"/>
      <c r="Y176" s="2398"/>
      <c r="Z176" s="2321"/>
      <c r="AA176" s="2398"/>
      <c r="AB176" s="2398"/>
      <c r="AC176" s="2398"/>
      <c r="AD176" s="2398"/>
      <c r="AE176" s="2398"/>
      <c r="AF176" s="2398"/>
      <c r="AG176" s="2398"/>
      <c r="AH176" s="2398"/>
      <c r="AI176" s="2398"/>
      <c r="AJ176" s="3057"/>
    </row>
    <row r="177" spans="1:42" s="2136" customFormat="1">
      <c r="A177" s="2239"/>
      <c r="B177" s="3287"/>
      <c r="C177" s="3054"/>
      <c r="D177" s="3054"/>
      <c r="E177" s="3055"/>
      <c r="F177" s="1981"/>
      <c r="G177" s="1985"/>
      <c r="H177" s="1986"/>
      <c r="I177" s="1986"/>
      <c r="J177" s="1986"/>
      <c r="K177" s="1986"/>
      <c r="L177" s="3056"/>
      <c r="M177" s="1986"/>
      <c r="N177" s="2398"/>
      <c r="O177" s="2398"/>
      <c r="P177" s="2398"/>
      <c r="Q177" s="2398"/>
      <c r="R177" s="2398"/>
      <c r="S177" s="2321"/>
      <c r="T177" s="2321"/>
      <c r="U177" s="2398"/>
      <c r="V177" s="2321"/>
      <c r="W177" s="2321"/>
      <c r="X177" s="2398"/>
      <c r="Y177" s="2398"/>
      <c r="Z177" s="2321"/>
      <c r="AA177" s="2398"/>
      <c r="AB177" s="2398"/>
      <c r="AC177" s="2398"/>
      <c r="AD177" s="2398"/>
      <c r="AE177" s="2398"/>
      <c r="AF177" s="2398"/>
      <c r="AG177" s="2398"/>
      <c r="AH177" s="2398"/>
      <c r="AI177" s="2398"/>
      <c r="AJ177" s="3057"/>
      <c r="AO177" s="2238"/>
      <c r="AP177" s="2238"/>
    </row>
    <row r="178" spans="1:42" s="2136" customFormat="1">
      <c r="AO178" s="2238"/>
      <c r="AP178" s="2238"/>
    </row>
    <row r="179" spans="1:42" s="2136" customFormat="1" ht="42" customHeight="1">
      <c r="AO179" s="2238"/>
      <c r="AP179" s="2238"/>
    </row>
    <row r="180" spans="1:42" s="2238" customFormat="1" ht="15.75" customHeight="1">
      <c r="A180" s="2235"/>
      <c r="C180" s="3053"/>
      <c r="D180" s="3053"/>
      <c r="E180" s="3053"/>
      <c r="F180" s="3053"/>
      <c r="G180" s="2236"/>
      <c r="H180" s="2236"/>
      <c r="I180" s="2236"/>
      <c r="J180" s="2236"/>
      <c r="K180" s="2236"/>
      <c r="L180" s="2237"/>
      <c r="M180" s="2236"/>
      <c r="N180" s="2236"/>
      <c r="O180" s="2236"/>
      <c r="P180" s="2236"/>
      <c r="Q180" s="2236"/>
      <c r="R180" s="2236"/>
      <c r="S180" s="2236"/>
      <c r="T180" s="2236"/>
      <c r="U180" s="2236"/>
      <c r="V180" s="2236"/>
      <c r="W180" s="2236"/>
      <c r="X180" s="2236"/>
      <c r="Y180" s="2236"/>
      <c r="Z180" s="2236"/>
      <c r="AA180" s="2236"/>
      <c r="AB180" s="2236"/>
      <c r="AC180" s="2236"/>
    </row>
    <row r="181" spans="1:42" s="2238" customFormat="1" ht="15.75" customHeight="1">
      <c r="A181" s="2235"/>
      <c r="B181" s="3052"/>
      <c r="C181" s="3053"/>
      <c r="D181" s="3053"/>
      <c r="E181" s="3053"/>
      <c r="F181" s="3053"/>
      <c r="G181" s="2236"/>
      <c r="H181" s="2236"/>
      <c r="I181" s="2236"/>
      <c r="J181" s="2236"/>
      <c r="K181" s="2236"/>
      <c r="L181" s="2237"/>
      <c r="M181" s="2236"/>
      <c r="N181" s="2236"/>
      <c r="O181" s="2236"/>
      <c r="P181" s="2236"/>
      <c r="Q181" s="2236"/>
      <c r="R181" s="2236"/>
      <c r="S181" s="2236"/>
      <c r="T181" s="2236"/>
      <c r="U181" s="2236"/>
      <c r="V181" s="2236"/>
      <c r="W181" s="2236"/>
      <c r="X181" s="2236"/>
      <c r="Y181" s="2236"/>
      <c r="Z181" s="2236"/>
      <c r="AA181" s="2236"/>
      <c r="AB181" s="2236"/>
      <c r="AC181" s="2236"/>
    </row>
    <row r="182" spans="1:42" s="2238" customFormat="1" ht="15.75" customHeight="1" thickBot="1">
      <c r="A182" s="2235"/>
      <c r="B182" s="3052"/>
      <c r="C182" s="3053"/>
      <c r="D182" s="3053"/>
      <c r="E182" s="3053"/>
      <c r="F182" s="3053"/>
      <c r="G182" s="2236"/>
      <c r="H182" s="2236"/>
      <c r="I182" s="2236"/>
      <c r="J182" s="2236"/>
      <c r="K182" s="2236"/>
      <c r="L182" s="2237"/>
      <c r="M182" s="2236"/>
      <c r="N182" s="2236"/>
      <c r="O182" s="2236"/>
      <c r="P182" s="2236"/>
      <c r="Q182" s="2236"/>
      <c r="R182" s="2236"/>
      <c r="S182" s="2236"/>
      <c r="T182" s="2236"/>
      <c r="U182" s="2236"/>
      <c r="V182" s="2236"/>
      <c r="W182" s="2236"/>
      <c r="X182" s="2236"/>
      <c r="Y182" s="2236"/>
      <c r="Z182" s="2236"/>
      <c r="AA182" s="2236"/>
      <c r="AB182" s="2236"/>
      <c r="AC182" s="2236"/>
      <c r="AO182"/>
      <c r="AP182"/>
    </row>
    <row r="183" spans="1:42" s="2238" customFormat="1" ht="15.75" customHeight="1" thickBot="1">
      <c r="A183" s="2235"/>
      <c r="B183" s="3053"/>
      <c r="C183" s="3053"/>
      <c r="D183" s="3053"/>
      <c r="E183" s="3053"/>
      <c r="F183" s="3053"/>
      <c r="G183" s="2236"/>
      <c r="H183" s="2236"/>
      <c r="I183" s="2236"/>
      <c r="J183" s="2236"/>
      <c r="K183" s="2236"/>
      <c r="L183" s="2237"/>
      <c r="M183" s="2236"/>
      <c r="N183" s="4282" t="s">
        <v>4000</v>
      </c>
      <c r="O183" s="4283"/>
      <c r="P183" s="4283"/>
      <c r="Q183" s="4284"/>
      <c r="R183" s="4276" t="s">
        <v>4001</v>
      </c>
      <c r="S183" s="4277"/>
      <c r="T183" s="4277"/>
      <c r="U183" s="4278"/>
      <c r="V183" s="4279" t="s">
        <v>4002</v>
      </c>
      <c r="W183" s="4280"/>
      <c r="X183" s="4280"/>
      <c r="Y183" s="4280"/>
      <c r="Z183" s="4281"/>
      <c r="AA183" s="4382" t="s">
        <v>4103</v>
      </c>
      <c r="AB183" s="4383"/>
      <c r="AC183" s="4383"/>
      <c r="AD183" s="4384"/>
      <c r="AE183" s="4378"/>
      <c r="AF183" s="4379"/>
      <c r="AG183" s="4380"/>
      <c r="AH183" s="2369"/>
      <c r="AI183" s="2394"/>
      <c r="AO183"/>
      <c r="AP183"/>
    </row>
    <row r="184" spans="1:42" s="2238" customFormat="1" ht="15.75" customHeight="1" thickBot="1">
      <c r="A184" s="2235"/>
      <c r="B184" s="3046"/>
      <c r="C184" s="3046"/>
      <c r="D184" s="3046"/>
      <c r="E184" s="3046"/>
      <c r="F184" s="3046"/>
      <c r="G184" s="2236"/>
      <c r="H184" s="2236"/>
      <c r="I184" s="2236"/>
      <c r="J184" s="2236"/>
      <c r="K184" s="2236"/>
      <c r="L184" s="2237"/>
      <c r="M184" s="2236"/>
      <c r="N184" s="3041"/>
      <c r="O184" s="3042"/>
      <c r="P184" s="3042"/>
      <c r="Q184" s="3042"/>
      <c r="R184" s="3043"/>
      <c r="S184" s="3043"/>
      <c r="T184" s="3043"/>
      <c r="U184" s="3044"/>
      <c r="V184" s="3045"/>
      <c r="W184" s="3045"/>
      <c r="X184" s="3045"/>
      <c r="Y184" s="3045"/>
      <c r="Z184" s="3045"/>
      <c r="AA184" s="3047"/>
      <c r="AB184" s="3047"/>
      <c r="AC184" s="3047"/>
      <c r="AD184" s="3048"/>
      <c r="AE184" s="3049"/>
      <c r="AF184" s="3049"/>
      <c r="AG184" s="3050"/>
      <c r="AH184" s="3051"/>
      <c r="AI184" s="2394"/>
      <c r="AO184"/>
      <c r="AP184"/>
    </row>
    <row r="185" spans="1:42" ht="21" customHeight="1" thickBot="1">
      <c r="A185" s="2152"/>
      <c r="B185" s="2177"/>
      <c r="C185" s="4203" t="s">
        <v>5</v>
      </c>
      <c r="D185" s="1290" t="s">
        <v>1657</v>
      </c>
      <c r="E185" s="4261" t="s">
        <v>6</v>
      </c>
      <c r="F185" s="4242" t="s">
        <v>1772</v>
      </c>
      <c r="G185" s="4245" t="s">
        <v>8</v>
      </c>
      <c r="H185" s="4248" t="s">
        <v>9</v>
      </c>
      <c r="I185" s="4250" t="s">
        <v>10</v>
      </c>
      <c r="J185" s="4251"/>
      <c r="K185" s="4252"/>
      <c r="L185" s="4259" t="s">
        <v>3551</v>
      </c>
      <c r="M185" s="4260"/>
      <c r="N185" s="2370" t="s">
        <v>4121</v>
      </c>
      <c r="O185" s="1751" t="s">
        <v>4122</v>
      </c>
      <c r="P185" s="1750" t="s">
        <v>4123</v>
      </c>
      <c r="Q185" s="2371" t="s">
        <v>4124</v>
      </c>
      <c r="R185" s="1750" t="s">
        <v>4125</v>
      </c>
      <c r="S185" s="1750" t="s">
        <v>4126</v>
      </c>
      <c r="T185" s="1751" t="s">
        <v>4127</v>
      </c>
      <c r="U185" s="1750" t="s">
        <v>4128</v>
      </c>
      <c r="V185" s="1750" t="s">
        <v>4875</v>
      </c>
      <c r="W185" s="1750" t="s">
        <v>4104</v>
      </c>
      <c r="X185" s="2372" t="s">
        <v>4129</v>
      </c>
      <c r="Y185" s="1750" t="s">
        <v>4130</v>
      </c>
      <c r="Z185" s="2371" t="s">
        <v>4015</v>
      </c>
      <c r="AA185" s="2373" t="s">
        <v>4017</v>
      </c>
      <c r="AB185" s="1750" t="s">
        <v>4131</v>
      </c>
      <c r="AC185" s="1751" t="s">
        <v>4876</v>
      </c>
      <c r="AD185" s="1750" t="s">
        <v>4132</v>
      </c>
      <c r="AE185" s="1750" t="s">
        <v>4133</v>
      </c>
      <c r="AF185" s="1750" t="s">
        <v>451</v>
      </c>
      <c r="AG185" s="1750" t="s">
        <v>452</v>
      </c>
      <c r="AH185" s="1750" t="s">
        <v>453</v>
      </c>
      <c r="AI185" s="2395"/>
    </row>
    <row r="186" spans="1:42" ht="32.25" customHeight="1" thickBot="1">
      <c r="A186" s="2175"/>
      <c r="B186" s="2177"/>
      <c r="C186" s="4204"/>
      <c r="D186" s="1281" t="s">
        <v>1625</v>
      </c>
      <c r="E186" s="4262"/>
      <c r="F186" s="4243"/>
      <c r="G186" s="4246"/>
      <c r="H186" s="4249"/>
      <c r="I186" s="4253"/>
      <c r="J186" s="4254"/>
      <c r="K186" s="4255"/>
      <c r="L186" s="4259" t="s">
        <v>4019</v>
      </c>
      <c r="M186" s="4260"/>
      <c r="N186" s="2374" t="s">
        <v>4020</v>
      </c>
      <c r="O186" s="1752" t="s">
        <v>4134</v>
      </c>
      <c r="P186" s="1752" t="s">
        <v>4135</v>
      </c>
      <c r="Q186" s="2186" t="s">
        <v>4136</v>
      </c>
      <c r="R186" s="2375"/>
      <c r="S186" s="2376"/>
      <c r="T186" s="1752" t="s">
        <v>4137</v>
      </c>
      <c r="U186" s="1752" t="s">
        <v>4138</v>
      </c>
      <c r="V186" s="1752" t="s">
        <v>4894</v>
      </c>
      <c r="W186" s="1752" t="s">
        <v>4139</v>
      </c>
      <c r="X186" s="1752" t="s">
        <v>4140</v>
      </c>
      <c r="Y186" s="1752" t="s">
        <v>4140</v>
      </c>
      <c r="Z186" s="1752" t="s">
        <v>4140</v>
      </c>
      <c r="AA186" s="2187" t="s">
        <v>4140</v>
      </c>
      <c r="AB186" s="1752" t="s">
        <v>4140</v>
      </c>
      <c r="AC186" s="1752" t="s">
        <v>4895</v>
      </c>
      <c r="AD186" s="1797" t="s">
        <v>4141</v>
      </c>
      <c r="AE186" s="1752" t="s">
        <v>4896</v>
      </c>
      <c r="AF186" s="1752" t="s">
        <v>4897</v>
      </c>
      <c r="AG186" s="1752" t="s">
        <v>4897</v>
      </c>
      <c r="AH186" s="1752" t="s">
        <v>4898</v>
      </c>
      <c r="AI186" s="1322"/>
    </row>
    <row r="187" spans="1:42" ht="42" customHeight="1" thickBot="1">
      <c r="A187" s="2175"/>
      <c r="B187" s="2177"/>
      <c r="C187" s="4204"/>
      <c r="D187" s="2177"/>
      <c r="E187" s="4381"/>
      <c r="F187" s="4244"/>
      <c r="G187" s="4247"/>
      <c r="H187" s="4249"/>
      <c r="I187" s="4256"/>
      <c r="J187" s="4257"/>
      <c r="K187" s="4258"/>
      <c r="L187" s="4259" t="s">
        <v>3568</v>
      </c>
      <c r="M187" s="4260"/>
      <c r="N187" s="2377" t="s">
        <v>4113</v>
      </c>
      <c r="O187" s="1754" t="s">
        <v>3569</v>
      </c>
      <c r="P187" s="1753" t="s">
        <v>3570</v>
      </c>
      <c r="Q187" s="2188" t="s">
        <v>3572</v>
      </c>
      <c r="R187" s="1900" t="s">
        <v>4142</v>
      </c>
      <c r="S187" s="1753" t="s">
        <v>3589</v>
      </c>
      <c r="T187" s="1754" t="s">
        <v>4142</v>
      </c>
      <c r="U187" s="1753" t="s">
        <v>4113</v>
      </c>
      <c r="V187" s="1753" t="s">
        <v>3573</v>
      </c>
      <c r="W187" s="1753" t="s">
        <v>4143</v>
      </c>
      <c r="X187" s="1753" t="s">
        <v>4144</v>
      </c>
      <c r="Y187" s="2376"/>
      <c r="Z187" s="2376"/>
      <c r="AA187" s="2376"/>
      <c r="AB187" s="2376"/>
      <c r="AC187" s="2376"/>
      <c r="AD187" s="2376"/>
      <c r="AE187" s="2376"/>
      <c r="AF187" s="2376"/>
      <c r="AG187" s="2376"/>
      <c r="AH187" s="2376"/>
      <c r="AI187" s="2396"/>
    </row>
    <row r="188" spans="1:42" ht="60.75" thickBot="1">
      <c r="A188" s="2175"/>
      <c r="B188" s="2190" t="s">
        <v>27</v>
      </c>
      <c r="C188" s="4204"/>
      <c r="D188" s="1791" t="s">
        <v>263</v>
      </c>
      <c r="E188" s="2191" t="s">
        <v>3579</v>
      </c>
      <c r="F188" s="1292" t="s">
        <v>7</v>
      </c>
      <c r="G188" s="1293" t="s">
        <v>3580</v>
      </c>
      <c r="H188" s="4249"/>
      <c r="I188" s="2053" t="s">
        <v>79</v>
      </c>
      <c r="J188" s="2053" t="s">
        <v>80</v>
      </c>
      <c r="K188" s="2053" t="s">
        <v>81</v>
      </c>
      <c r="L188" s="2054" t="s">
        <v>1759</v>
      </c>
      <c r="M188" s="2054" t="s">
        <v>27</v>
      </c>
      <c r="N188" s="2381" t="s">
        <v>3728</v>
      </c>
      <c r="O188" s="1903" t="s">
        <v>4145</v>
      </c>
      <c r="P188" s="1903" t="s">
        <v>4146</v>
      </c>
      <c r="Q188" s="2192" t="s">
        <v>4147</v>
      </c>
      <c r="R188" s="2193" t="s">
        <v>4148</v>
      </c>
      <c r="S188" s="2055" t="s">
        <v>4149</v>
      </c>
      <c r="T188" s="2055" t="s">
        <v>4150</v>
      </c>
      <c r="U188" s="2055" t="s">
        <v>4151</v>
      </c>
      <c r="V188" s="2194" t="s">
        <v>4899</v>
      </c>
      <c r="W188" s="2194" t="s">
        <v>4152</v>
      </c>
      <c r="X188" s="2194" t="s">
        <v>4153</v>
      </c>
      <c r="Y188" s="2194" t="s">
        <v>4154</v>
      </c>
      <c r="Z188" s="2194" t="s">
        <v>4155</v>
      </c>
      <c r="AA188" s="2195" t="s">
        <v>4156</v>
      </c>
      <c r="AB188" s="2058" t="s">
        <v>4157</v>
      </c>
      <c r="AC188" s="2058" t="s">
        <v>4900</v>
      </c>
      <c r="AD188" s="2058" t="s">
        <v>4158</v>
      </c>
      <c r="AE188" s="2382" t="s">
        <v>4901</v>
      </c>
      <c r="AF188" s="2382" t="s">
        <v>4902</v>
      </c>
      <c r="AG188" s="2382" t="s">
        <v>4903</v>
      </c>
      <c r="AH188" s="2382" t="s">
        <v>984</v>
      </c>
      <c r="AI188" s="2399" t="s">
        <v>4905</v>
      </c>
      <c r="AJ188" s="2378" t="s">
        <v>1394</v>
      </c>
    </row>
    <row r="189" spans="1:42" ht="15" customHeight="1" thickBot="1">
      <c r="A189" s="2189">
        <v>1</v>
      </c>
      <c r="B189" s="2196" t="s">
        <v>1625</v>
      </c>
      <c r="C189" s="2197"/>
      <c r="D189" s="2197">
        <v>543</v>
      </c>
      <c r="E189" s="1536" t="str">
        <f>_xlfn.XLOOKUP($D189,  Tabla3[No.],  Tabla3[CURP], " ")</f>
        <v>AILK871001MG</v>
      </c>
      <c r="F189" s="1402" t="str">
        <f>_xlfn.XLOOKUP($D189,  Tabla3[No.],  Tabla3[Matrícula Of. SEQ], " ")</f>
        <v>64DD06B2-01</v>
      </c>
      <c r="G189" s="1778" t="str">
        <f>IFERROR(VLOOKUP(D189,Tabla3[],5,FALSE),"")</f>
        <v>ARRIOLA LOPEZ KEHILY ELVIRA</v>
      </c>
      <c r="H189" s="1404" t="str">
        <f t="shared" ref="H189:H245" si="36">MID($E189,11,1)</f>
        <v>M</v>
      </c>
      <c r="I189" s="1404" t="str">
        <f t="shared" ref="I189:I245" si="37">MID($E189,5,2)</f>
        <v>87</v>
      </c>
      <c r="J189" s="1404" t="str">
        <f t="shared" ref="J189:J245" si="38">MID($E189,7,2)</f>
        <v>10</v>
      </c>
      <c r="K189" s="1404" t="str">
        <f t="shared" ref="K189:K245" si="39">MID($E189,9,2)</f>
        <v>01</v>
      </c>
      <c r="L189" s="1276" t="str">
        <f>_xlfn.XLOOKUP($D189,  Tabla3[No.],  Tabla3[ESTATUS ACADÉMICO], " ")</f>
        <v>EGRESADO</v>
      </c>
      <c r="M189" s="1404" t="s">
        <v>2592</v>
      </c>
      <c r="N189" s="2384">
        <v>9.1999999999999993</v>
      </c>
      <c r="O189" s="2384">
        <v>9.3000000000000007</v>
      </c>
      <c r="P189" s="2384">
        <v>9.3000000000000007</v>
      </c>
      <c r="Q189" s="2384">
        <v>9.5</v>
      </c>
      <c r="R189" s="2384">
        <v>9.5</v>
      </c>
      <c r="S189" s="1132">
        <v>10</v>
      </c>
      <c r="T189" s="1132">
        <v>9.6</v>
      </c>
      <c r="U189" s="2384">
        <v>9.5</v>
      </c>
      <c r="V189" s="2199">
        <v>10</v>
      </c>
      <c r="W189" s="2199">
        <v>10</v>
      </c>
      <c r="X189" s="2384">
        <v>10</v>
      </c>
      <c r="Y189" s="2384">
        <v>9.5</v>
      </c>
      <c r="Z189" s="2199">
        <v>10</v>
      </c>
      <c r="AA189" s="2384">
        <v>9.6999999999999993</v>
      </c>
      <c r="AB189" s="2384">
        <v>9.4</v>
      </c>
      <c r="AC189" s="2384">
        <v>9.8000000000000007</v>
      </c>
      <c r="AD189" s="2384">
        <v>9.5</v>
      </c>
      <c r="AE189" s="2384">
        <v>9.4</v>
      </c>
      <c r="AF189" s="2384">
        <v>9.4</v>
      </c>
      <c r="AG189" s="2384">
        <v>9.5</v>
      </c>
      <c r="AH189" s="2384">
        <v>9.4</v>
      </c>
      <c r="AI189" s="2397"/>
      <c r="AJ189" s="2379">
        <f t="shared" ref="AJ189:AJ208" si="40">(AVERAGE(N189:AH189))</f>
        <v>9.5952380952380967</v>
      </c>
    </row>
    <row r="190" spans="1:42" ht="15" customHeight="1" thickBot="1">
      <c r="A190" s="2189">
        <v>2</v>
      </c>
      <c r="B190" s="2196" t="s">
        <v>1625</v>
      </c>
      <c r="C190" s="2197"/>
      <c r="D190" s="2197">
        <v>544</v>
      </c>
      <c r="E190" s="1536" t="str">
        <f>_xlfn.XLOOKUP($D190,  Tabla3[No.],  Tabla3[CURP], " ")</f>
        <v>AILR921007MCG</v>
      </c>
      <c r="F190" s="1402" t="str">
        <f>_xlfn.XLOOKUP($D190,  Tabla3[No.],  Tabla3[Matrícula Of. SEQ], " ")</f>
        <v>64DD06B2-02</v>
      </c>
      <c r="G190" s="1778" t="str">
        <f>IFERROR(VLOOKUP(D190,Tabla3[],5,FALSE),"")</f>
        <v>ARRIOLA LOPEZ ROCKSSY GABRIELA</v>
      </c>
      <c r="H190" s="1404" t="str">
        <f t="shared" si="36"/>
        <v>M</v>
      </c>
      <c r="I190" s="1404" t="str">
        <f t="shared" si="37"/>
        <v>92</v>
      </c>
      <c r="J190" s="1404" t="str">
        <f t="shared" si="38"/>
        <v>10</v>
      </c>
      <c r="K190" s="1404" t="str">
        <f t="shared" si="39"/>
        <v>07</v>
      </c>
      <c r="L190" s="1276" t="str">
        <f>_xlfn.XLOOKUP($D190,  Tabla3[No.],  Tabla3[ESTATUS ACADÉMICO], " ")</f>
        <v>EGRESADO</v>
      </c>
      <c r="M190" s="1404" t="s">
        <v>2592</v>
      </c>
      <c r="N190" s="2384">
        <v>9.1999999999999993</v>
      </c>
      <c r="O190" s="2384">
        <v>9.3000000000000007</v>
      </c>
      <c r="P190" s="2384">
        <v>9.1999999999999993</v>
      </c>
      <c r="Q190" s="2384">
        <v>9.5</v>
      </c>
      <c r="R190" s="2384">
        <v>9.5</v>
      </c>
      <c r="S190" s="1132">
        <v>10</v>
      </c>
      <c r="T190" s="1132">
        <v>10</v>
      </c>
      <c r="U190" s="2384">
        <v>9.5</v>
      </c>
      <c r="V190" s="1132">
        <v>10</v>
      </c>
      <c r="W190" s="1132">
        <v>10</v>
      </c>
      <c r="X190" s="2384">
        <v>10</v>
      </c>
      <c r="Y190" s="2384">
        <v>9.5</v>
      </c>
      <c r="Z190" s="1132">
        <v>10</v>
      </c>
      <c r="AA190" s="2384">
        <v>9.5</v>
      </c>
      <c r="AB190" s="2384">
        <v>9.3000000000000007</v>
      </c>
      <c r="AC190" s="2384">
        <v>9.8000000000000007</v>
      </c>
      <c r="AD190" s="2384">
        <v>9.5</v>
      </c>
      <c r="AE190" s="2384">
        <v>9.4</v>
      </c>
      <c r="AF190" s="2384">
        <v>9.4</v>
      </c>
      <c r="AG190" s="2384">
        <v>9.5</v>
      </c>
      <c r="AH190" s="2384">
        <v>9.4</v>
      </c>
      <c r="AI190" s="2397"/>
      <c r="AJ190" s="2379">
        <f t="shared" si="40"/>
        <v>9.5952380952380967</v>
      </c>
    </row>
    <row r="191" spans="1:42" ht="15" customHeight="1" thickBot="1">
      <c r="A191" s="2189">
        <v>3</v>
      </c>
      <c r="B191" s="2196" t="s">
        <v>1625</v>
      </c>
      <c r="C191" s="2197"/>
      <c r="D191" s="2197">
        <v>452</v>
      </c>
      <c r="E191" s="1536" t="str">
        <f>_xlfn.XLOOKUP($D191,  Tabla3[No.],  Tabla3[CURP], " ")</f>
        <v>BAAG800101MGT</v>
      </c>
      <c r="F191" s="1402" t="str">
        <f>_xlfn.XLOOKUP($D191,  Tabla3[No.],  Tabla3[Matrícula Of. SEQ], " ")</f>
        <v>64DD05C-02</v>
      </c>
      <c r="G191" s="1778" t="str">
        <f>IFERROR(VLOOKUP(D191,Tabla3[],5,FALSE),"")</f>
        <v>BAUTISTA AYALA GLORIA ALEJANDRA</v>
      </c>
      <c r="H191" s="1404" t="str">
        <f t="shared" si="36"/>
        <v>M</v>
      </c>
      <c r="I191" s="1404" t="str">
        <f t="shared" si="37"/>
        <v>80</v>
      </c>
      <c r="J191" s="1404" t="str">
        <f t="shared" si="38"/>
        <v>01</v>
      </c>
      <c r="K191" s="1404" t="str">
        <f t="shared" si="39"/>
        <v>01</v>
      </c>
      <c r="L191" s="1276" t="str">
        <f>_xlfn.XLOOKUP($D191,  Tabla3[No.],  Tabla3[ESTATUS ACADÉMICO], " ")</f>
        <v>EGRESADO</v>
      </c>
      <c r="M191" s="1404" t="s">
        <v>2592</v>
      </c>
      <c r="N191" s="2384">
        <v>10</v>
      </c>
      <c r="O191" s="2384">
        <v>9.9</v>
      </c>
      <c r="P191" s="2384">
        <v>10</v>
      </c>
      <c r="Q191" s="2384">
        <v>9.5</v>
      </c>
      <c r="R191" s="2384">
        <v>9.5</v>
      </c>
      <c r="S191" s="1132">
        <v>10</v>
      </c>
      <c r="T191" s="1132">
        <v>10</v>
      </c>
      <c r="U191" s="2384">
        <v>9.5</v>
      </c>
      <c r="V191" s="1132">
        <v>10</v>
      </c>
      <c r="W191" s="1132">
        <v>10</v>
      </c>
      <c r="X191" s="2384">
        <v>10</v>
      </c>
      <c r="Y191" s="2384">
        <v>9.5</v>
      </c>
      <c r="Z191" s="1132">
        <v>10</v>
      </c>
      <c r="AA191" s="2384">
        <v>9.5</v>
      </c>
      <c r="AB191" s="2384">
        <v>9.3000000000000007</v>
      </c>
      <c r="AC191" s="2384">
        <v>9.8000000000000007</v>
      </c>
      <c r="AD191" s="2384">
        <v>9.5</v>
      </c>
      <c r="AE191" s="2384">
        <v>9.5</v>
      </c>
      <c r="AF191" s="2384">
        <v>9.4</v>
      </c>
      <c r="AG191" s="2384">
        <v>9.5</v>
      </c>
      <c r="AH191" s="2384">
        <v>9.4</v>
      </c>
      <c r="AI191" s="2397"/>
      <c r="AJ191" s="2379">
        <f t="shared" si="40"/>
        <v>9.7047619047619058</v>
      </c>
    </row>
    <row r="192" spans="1:42" ht="15" customHeight="1" thickBot="1">
      <c r="A192" s="2189">
        <v>4</v>
      </c>
      <c r="B192" s="2196" t="s">
        <v>1625</v>
      </c>
      <c r="C192" s="2197"/>
      <c r="D192" s="2197">
        <v>546</v>
      </c>
      <c r="E192" s="1536" t="str">
        <f>_xlfn.XLOOKUP($D192,  Tabla3[No.],  Tabla3[CURP], " ")</f>
        <v>LEPF041066HGG</v>
      </c>
      <c r="F192" s="1402" t="str">
        <f>_xlfn.XLOOKUP($D192,  Tabla3[No.],  Tabla3[Matrícula Of. SEQ], " ")</f>
        <v>64DD06B2-06</v>
      </c>
      <c r="G192" s="1778" t="str">
        <f>IFERROR(VLOOKUP(D192,Tabla3[],5,FALSE),"")</f>
        <v>LEON PEREZ FABIAN</v>
      </c>
      <c r="H192" s="1404" t="str">
        <f t="shared" si="36"/>
        <v>H</v>
      </c>
      <c r="I192" s="1404" t="str">
        <f t="shared" si="37"/>
        <v>04</v>
      </c>
      <c r="J192" s="1404" t="str">
        <f t="shared" si="38"/>
        <v>10</v>
      </c>
      <c r="K192" s="1404" t="str">
        <f t="shared" si="39"/>
        <v>66</v>
      </c>
      <c r="L192" s="1276" t="str">
        <f>_xlfn.XLOOKUP($D192,  Tabla3[No.],  Tabla3[ESTATUS ACADÉMICO], " ")</f>
        <v>EGRESADO</v>
      </c>
      <c r="M192" s="1404" t="s">
        <v>2592</v>
      </c>
      <c r="N192" s="2384">
        <v>9.1999999999999993</v>
      </c>
      <c r="O192" s="2384">
        <v>9.3000000000000007</v>
      </c>
      <c r="P192" s="2384">
        <v>9.3000000000000007</v>
      </c>
      <c r="Q192" s="2384">
        <v>9.5</v>
      </c>
      <c r="R192" s="2384">
        <v>9.5</v>
      </c>
      <c r="S192" s="2199">
        <v>10</v>
      </c>
      <c r="T192" s="2199">
        <v>10</v>
      </c>
      <c r="U192" s="2384">
        <v>9.5</v>
      </c>
      <c r="V192" s="1132">
        <v>10</v>
      </c>
      <c r="W192" s="1132">
        <v>10</v>
      </c>
      <c r="X192" s="2384">
        <v>10</v>
      </c>
      <c r="Y192" s="2384">
        <v>9.5</v>
      </c>
      <c r="Z192" s="1132">
        <v>10</v>
      </c>
      <c r="AA192" s="2384">
        <v>9.5</v>
      </c>
      <c r="AB192" s="2384">
        <v>9.3000000000000007</v>
      </c>
      <c r="AC192" s="2384">
        <v>9.8000000000000007</v>
      </c>
      <c r="AD192" s="2384">
        <v>9.5</v>
      </c>
      <c r="AE192" s="2384">
        <v>9.4</v>
      </c>
      <c r="AF192" s="2384">
        <v>9.4</v>
      </c>
      <c r="AG192" s="2384">
        <v>9.5</v>
      </c>
      <c r="AH192" s="2384">
        <v>9.4</v>
      </c>
      <c r="AI192" s="2397"/>
      <c r="AJ192" s="2379">
        <f t="shared" si="40"/>
        <v>9.6000000000000032</v>
      </c>
    </row>
    <row r="193" spans="1:36" ht="15" customHeight="1" thickBot="1">
      <c r="A193" s="2189">
        <v>5</v>
      </c>
      <c r="B193" s="2196" t="s">
        <v>1625</v>
      </c>
      <c r="C193" s="2197"/>
      <c r="D193" s="2197">
        <v>547</v>
      </c>
      <c r="E193" s="1536" t="str">
        <f>_xlfn.XLOOKUP($D193,  Tabla3[No.],  Tabla3[CURP], " ")</f>
        <v>FIIE280681HGG</v>
      </c>
      <c r="F193" s="1402" t="str">
        <f>_xlfn.XLOOKUP($D193,  Tabla3[No.],  Tabla3[Matrícula Of. SEQ], " ")</f>
        <v>64DD06B2-07</v>
      </c>
      <c r="G193" s="1778" t="str">
        <f>IFERROR(VLOOKUP(D193,Tabla3[],5,FALSE),"")</f>
        <v>FIGUEROA IRIAS ERICK ALEXANDER</v>
      </c>
      <c r="H193" s="1404" t="str">
        <f t="shared" si="36"/>
        <v>H</v>
      </c>
      <c r="I193" s="1404" t="str">
        <f t="shared" si="37"/>
        <v>28</v>
      </c>
      <c r="J193" s="1404" t="str">
        <f t="shared" si="38"/>
        <v>06</v>
      </c>
      <c r="K193" s="1404" t="str">
        <f t="shared" si="39"/>
        <v>81</v>
      </c>
      <c r="L193" s="1276" t="str">
        <f>_xlfn.XLOOKUP($D193,  Tabla3[No.],  Tabla3[ESTATUS ACADÉMICO], " ")</f>
        <v>EGRESADO</v>
      </c>
      <c r="M193" s="1404" t="s">
        <v>2592</v>
      </c>
      <c r="N193" s="2384">
        <v>9.3000000000000007</v>
      </c>
      <c r="O193" s="2384">
        <v>9.1999999999999993</v>
      </c>
      <c r="P193" s="2384">
        <v>9.1999999999999993</v>
      </c>
      <c r="Q193" s="2384">
        <v>9.5</v>
      </c>
      <c r="R193" s="2384">
        <v>9.5</v>
      </c>
      <c r="S193" s="1132">
        <v>10</v>
      </c>
      <c r="T193" s="1132">
        <v>10</v>
      </c>
      <c r="U193" s="2384">
        <v>9.5</v>
      </c>
      <c r="V193" s="1132">
        <v>10</v>
      </c>
      <c r="W193" s="1132">
        <v>10</v>
      </c>
      <c r="X193" s="2384">
        <v>10</v>
      </c>
      <c r="Y193" s="2384">
        <v>9.5</v>
      </c>
      <c r="Z193" s="1132">
        <v>10</v>
      </c>
      <c r="AA193" s="2384">
        <v>9.5</v>
      </c>
      <c r="AB193" s="2384">
        <v>9.3000000000000007</v>
      </c>
      <c r="AC193" s="2384">
        <v>9.8000000000000007</v>
      </c>
      <c r="AD193" s="2384">
        <v>9.5</v>
      </c>
      <c r="AE193" s="2384">
        <v>9.4</v>
      </c>
      <c r="AF193" s="2384">
        <v>9.4</v>
      </c>
      <c r="AG193" s="2384">
        <v>9.5</v>
      </c>
      <c r="AH193" s="2384">
        <v>9.4</v>
      </c>
      <c r="AI193" s="2397"/>
      <c r="AJ193" s="2379">
        <f t="shared" si="40"/>
        <v>9.5952380952380967</v>
      </c>
    </row>
    <row r="194" spans="1:36" ht="15" customHeight="1" thickBot="1">
      <c r="A194" s="2189">
        <v>6</v>
      </c>
      <c r="B194" s="2196" t="s">
        <v>1625</v>
      </c>
      <c r="C194" s="2197"/>
      <c r="D194" s="2197">
        <v>548</v>
      </c>
      <c r="E194" s="1536" t="str">
        <f>_xlfn.XLOOKUP($D194,  Tabla3[No.],  Tabla3[CURP], " ")</f>
        <v>GULM271069HGG</v>
      </c>
      <c r="F194" s="1402" t="str">
        <f>_xlfn.XLOOKUP($D194,  Tabla3[No.],  Tabla3[Matrícula Of. SEQ], " ")</f>
        <v>64DD06B2-09</v>
      </c>
      <c r="G194" s="1778" t="str">
        <f>IFERROR(VLOOKUP(D194,Tabla3[],5,FALSE),"")</f>
        <v>GUERRA LUCAS MARIO RENE</v>
      </c>
      <c r="H194" s="1404" t="str">
        <f t="shared" si="36"/>
        <v>H</v>
      </c>
      <c r="I194" s="1404" t="str">
        <f t="shared" si="37"/>
        <v>27</v>
      </c>
      <c r="J194" s="1404" t="str">
        <f t="shared" si="38"/>
        <v>10</v>
      </c>
      <c r="K194" s="1404" t="str">
        <f t="shared" si="39"/>
        <v>69</v>
      </c>
      <c r="L194" s="1276" t="str">
        <f>_xlfn.XLOOKUP($D194,  Tabla3[No.],  Tabla3[ESTATUS ACADÉMICO], " ")</f>
        <v>EGRESADO</v>
      </c>
      <c r="M194" s="1404" t="s">
        <v>2592</v>
      </c>
      <c r="N194" s="2384">
        <v>9.3000000000000007</v>
      </c>
      <c r="O194" s="2384">
        <v>9.9</v>
      </c>
      <c r="P194" s="2384">
        <v>9.9</v>
      </c>
      <c r="Q194" s="2384">
        <v>9.5</v>
      </c>
      <c r="R194" s="2384">
        <v>9.5</v>
      </c>
      <c r="S194" s="1132">
        <v>10</v>
      </c>
      <c r="T194" s="1132">
        <v>10</v>
      </c>
      <c r="U194" s="2384">
        <v>9.5</v>
      </c>
      <c r="V194" s="1132">
        <v>10</v>
      </c>
      <c r="W194" s="1132">
        <v>9.6</v>
      </c>
      <c r="X194" s="2384">
        <v>9.6999999999999993</v>
      </c>
      <c r="Y194" s="2384">
        <v>10</v>
      </c>
      <c r="Z194" s="1132">
        <v>10</v>
      </c>
      <c r="AA194" s="2384">
        <v>9.5</v>
      </c>
      <c r="AB194" s="2384">
        <v>9.1999999999999993</v>
      </c>
      <c r="AC194" s="2384">
        <v>9.8000000000000007</v>
      </c>
      <c r="AD194" s="2384">
        <v>9.5</v>
      </c>
      <c r="AE194" s="2384">
        <v>9.4</v>
      </c>
      <c r="AF194" s="2384">
        <v>9.4</v>
      </c>
      <c r="AG194" s="2384">
        <v>9.5</v>
      </c>
      <c r="AH194" s="2384">
        <v>9.4</v>
      </c>
      <c r="AI194" s="2397"/>
      <c r="AJ194" s="2379">
        <f t="shared" si="40"/>
        <v>9.6476190476190471</v>
      </c>
    </row>
    <row r="195" spans="1:36" ht="15" customHeight="1" thickBot="1">
      <c r="A195" s="2189">
        <v>7</v>
      </c>
      <c r="B195" s="2196" t="s">
        <v>1625</v>
      </c>
      <c r="C195" s="2197"/>
      <c r="D195" s="2197">
        <v>549</v>
      </c>
      <c r="E195" s="1536" t="str">
        <f>_xlfn.XLOOKUP($D195,  Tabla3[No.],  Tabla3[CURP], " ")</f>
        <v>LOHMM730610MJGPE00</v>
      </c>
      <c r="F195" s="1402" t="str">
        <f>_xlfn.XLOOKUP($D195,  Tabla3[No.],  Tabla3[Matrícula Of. SEQ], " ")</f>
        <v>64DD06B-02</v>
      </c>
      <c r="G195" s="1778" t="str">
        <f>IFERROR(VLOOKUP(D195,Tabla3[],5,FALSE),"")</f>
        <v>LOPEZ HERNANDEZ MILDRED AZUCENA</v>
      </c>
      <c r="H195" s="1404" t="str">
        <f t="shared" si="36"/>
        <v>0</v>
      </c>
      <c r="I195" s="1404" t="str">
        <f t="shared" si="37"/>
        <v>M7</v>
      </c>
      <c r="J195" s="1404" t="str">
        <f t="shared" si="38"/>
        <v>30</v>
      </c>
      <c r="K195" s="1404" t="str">
        <f t="shared" si="39"/>
        <v>61</v>
      </c>
      <c r="L195" s="1276" t="str">
        <f>_xlfn.XLOOKUP($D195,  Tabla3[No.],  Tabla3[ESTATUS ACADÉMICO], " ")</f>
        <v>EGRESADO</v>
      </c>
      <c r="M195" s="1404" t="s">
        <v>2592</v>
      </c>
      <c r="N195" s="2384">
        <v>9.3000000000000007</v>
      </c>
      <c r="O195" s="2384">
        <v>9.8000000000000007</v>
      </c>
      <c r="P195" s="2384">
        <v>10</v>
      </c>
      <c r="Q195" s="2384">
        <v>9.1999999999999993</v>
      </c>
      <c r="R195" s="2384">
        <v>9.3000000000000007</v>
      </c>
      <c r="S195" s="2384">
        <v>9.3000000000000007</v>
      </c>
      <c r="T195" s="2384">
        <v>9.5</v>
      </c>
      <c r="U195" s="2384">
        <v>9.5</v>
      </c>
      <c r="V195" s="1132">
        <v>10</v>
      </c>
      <c r="W195" s="1132">
        <v>10</v>
      </c>
      <c r="X195" s="2384">
        <v>10</v>
      </c>
      <c r="Y195" s="2384">
        <v>9.5</v>
      </c>
      <c r="Z195" s="1132">
        <v>10</v>
      </c>
      <c r="AA195" s="2384">
        <v>9.5</v>
      </c>
      <c r="AB195" s="2384">
        <v>9.3000000000000007</v>
      </c>
      <c r="AC195" s="2384">
        <v>9.8000000000000007</v>
      </c>
      <c r="AD195" s="2384">
        <v>9.5</v>
      </c>
      <c r="AE195" s="2384">
        <v>9.4</v>
      </c>
      <c r="AF195" s="2384">
        <v>9.4</v>
      </c>
      <c r="AG195" s="2384">
        <v>9.5</v>
      </c>
      <c r="AH195" s="2384">
        <v>9.4</v>
      </c>
      <c r="AI195" s="2397"/>
      <c r="AJ195" s="2379">
        <f t="shared" si="40"/>
        <v>9.5809523809523824</v>
      </c>
    </row>
    <row r="196" spans="1:36" ht="15" customHeight="1" thickBot="1">
      <c r="A196" s="2189">
        <v>8</v>
      </c>
      <c r="B196" s="2196" t="s">
        <v>1625</v>
      </c>
      <c r="C196" s="2197"/>
      <c r="D196" s="2197">
        <v>550</v>
      </c>
      <c r="E196" s="1536" t="str">
        <f>_xlfn.XLOOKUP($D196,  Tabla3[No.],  Tabla3[CURP], " ")</f>
        <v>LORE010675HGG</v>
      </c>
      <c r="F196" s="1402" t="str">
        <f>_xlfn.XLOOKUP($D196,  Tabla3[No.],  Tabla3[Matrícula Of. SEQ], " ")</f>
        <v>64DD06B2-09</v>
      </c>
      <c r="G196" s="1778" t="str">
        <f>IFERROR(VLOOKUP(D196,Tabla3[],5,FALSE),"")</f>
        <v>LOPEZ RODRIGUEZ EDVIN ESTUARDO</v>
      </c>
      <c r="H196" s="1404" t="str">
        <f t="shared" si="36"/>
        <v>H</v>
      </c>
      <c r="I196" s="1404" t="str">
        <f t="shared" si="37"/>
        <v>01</v>
      </c>
      <c r="J196" s="1404" t="str">
        <f t="shared" si="38"/>
        <v>06</v>
      </c>
      <c r="K196" s="1404" t="str">
        <f t="shared" si="39"/>
        <v>75</v>
      </c>
      <c r="L196" s="1276" t="str">
        <f>_xlfn.XLOOKUP($D196,  Tabla3[No.],  Tabla3[ESTATUS ACADÉMICO], " ")</f>
        <v>EGRESADO</v>
      </c>
      <c r="M196" s="1404" t="s">
        <v>2592</v>
      </c>
      <c r="N196" s="2384">
        <v>9.4</v>
      </c>
      <c r="O196" s="2384">
        <v>9.1999999999999993</v>
      </c>
      <c r="P196" s="2384">
        <v>9.1999999999999993</v>
      </c>
      <c r="Q196" s="2384">
        <v>9.1999999999999993</v>
      </c>
      <c r="R196" s="2384">
        <v>9.3000000000000007</v>
      </c>
      <c r="S196" s="2384">
        <v>9.1999999999999993</v>
      </c>
      <c r="T196" s="2384">
        <v>9.5</v>
      </c>
      <c r="U196" s="2384">
        <v>9.5</v>
      </c>
      <c r="V196" s="1132">
        <v>10</v>
      </c>
      <c r="W196" s="1132">
        <v>10</v>
      </c>
      <c r="X196" s="2384">
        <v>10</v>
      </c>
      <c r="Y196" s="2384">
        <v>9.5</v>
      </c>
      <c r="Z196" s="1132">
        <v>10</v>
      </c>
      <c r="AA196" s="2384">
        <v>9.5</v>
      </c>
      <c r="AB196" s="2384">
        <v>9.3000000000000007</v>
      </c>
      <c r="AC196" s="2384">
        <v>9.8000000000000007</v>
      </c>
      <c r="AD196" s="2384">
        <v>9.5</v>
      </c>
      <c r="AE196" s="2384">
        <v>9.4</v>
      </c>
      <c r="AF196" s="2384">
        <v>9.4</v>
      </c>
      <c r="AG196" s="2384">
        <v>9.5</v>
      </c>
      <c r="AH196" s="2384">
        <v>9.4</v>
      </c>
      <c r="AI196" s="2397"/>
      <c r="AJ196" s="2379">
        <f t="shared" si="40"/>
        <v>9.514285714285716</v>
      </c>
    </row>
    <row r="197" spans="1:36" ht="15" customHeight="1" thickBot="1">
      <c r="A197" s="2189">
        <v>9</v>
      </c>
      <c r="B197" s="2196" t="s">
        <v>1625</v>
      </c>
      <c r="C197" s="2197"/>
      <c r="D197" s="2197">
        <v>551</v>
      </c>
      <c r="E197" s="1536" t="str">
        <f>_xlfn.XLOOKUP($D197,  Tabla3[No.],  Tabla3[CURP], " ")</f>
        <v>MOCM210589MGG</v>
      </c>
      <c r="F197" s="1402" t="str">
        <f>_xlfn.XLOOKUP($D197,  Tabla3[No.],  Tabla3[Matrícula Of. SEQ], " ")</f>
        <v>64DD06B2-10</v>
      </c>
      <c r="G197" s="1778" t="str">
        <f>IFERROR(VLOOKUP(D197,Tabla3[],5,FALSE),"")</f>
        <v>MORALES CARRILLO MARIACELESTE</v>
      </c>
      <c r="H197" s="1404" t="str">
        <f t="shared" si="36"/>
        <v>M</v>
      </c>
      <c r="I197" s="1404" t="str">
        <f t="shared" si="37"/>
        <v>21</v>
      </c>
      <c r="J197" s="1404" t="str">
        <f t="shared" si="38"/>
        <v>05</v>
      </c>
      <c r="K197" s="1404" t="str">
        <f t="shared" si="39"/>
        <v>89</v>
      </c>
      <c r="L197" s="1276" t="str">
        <f>_xlfn.XLOOKUP($D197,  Tabla3[No.],  Tabla3[ESTATUS ACADÉMICO], " ")</f>
        <v>EGRESADO</v>
      </c>
      <c r="M197" s="1404" t="s">
        <v>2592</v>
      </c>
      <c r="N197" s="2384">
        <v>9.1999999999999993</v>
      </c>
      <c r="O197" s="2384">
        <v>9.5</v>
      </c>
      <c r="P197" s="2384">
        <v>9.5</v>
      </c>
      <c r="Q197" s="2384">
        <v>10</v>
      </c>
      <c r="R197" s="2384">
        <v>9.9</v>
      </c>
      <c r="S197" s="2384">
        <v>10</v>
      </c>
      <c r="T197" s="2384">
        <v>9.5</v>
      </c>
      <c r="U197" s="2384">
        <v>9.5</v>
      </c>
      <c r="V197" s="2199">
        <v>10</v>
      </c>
      <c r="W197" s="2199">
        <v>10</v>
      </c>
      <c r="X197" s="2384">
        <v>10</v>
      </c>
      <c r="Y197" s="2384">
        <v>9.5</v>
      </c>
      <c r="Z197" s="2199">
        <v>10</v>
      </c>
      <c r="AA197" s="2384">
        <v>9.5</v>
      </c>
      <c r="AB197" s="2384">
        <v>9.1999999999999993</v>
      </c>
      <c r="AC197" s="2384">
        <v>9.8000000000000007</v>
      </c>
      <c r="AD197" s="2384">
        <v>9.5</v>
      </c>
      <c r="AE197" s="2384">
        <v>9.4</v>
      </c>
      <c r="AF197" s="2384">
        <v>9.4</v>
      </c>
      <c r="AG197" s="2384">
        <v>9.5</v>
      </c>
      <c r="AH197" s="2384">
        <v>9.4</v>
      </c>
      <c r="AI197" s="2397"/>
      <c r="AJ197" s="2379">
        <f t="shared" si="40"/>
        <v>9.6333333333333346</v>
      </c>
    </row>
    <row r="198" spans="1:36" ht="15" customHeight="1" thickBot="1">
      <c r="A198" s="2189">
        <v>10</v>
      </c>
      <c r="B198" s="2200" t="s">
        <v>1123</v>
      </c>
      <c r="C198" s="2197"/>
      <c r="D198" s="2197">
        <v>552</v>
      </c>
      <c r="E198" s="1536" t="str">
        <f>_xlfn.XLOOKUP($D198,  Tabla3[No.],  Tabla3[CURP], " ")</f>
        <v>ALVJ800101HGT</v>
      </c>
      <c r="F198" s="1402" t="str">
        <f>_xlfn.XLOOKUP($D198,  Tabla3[No.],  Tabla3[Matrícula Of. SEQ], " ")</f>
        <v>64DD06B3-01</v>
      </c>
      <c r="G198" s="1778" t="str">
        <f>IFERROR(VLOOKUP(D198,Tabla3[],5,FALSE),"")</f>
        <v>ALMENGOR VELASQUEZ JORGE APARICIO</v>
      </c>
      <c r="H198" s="1404" t="str">
        <f t="shared" si="36"/>
        <v>H</v>
      </c>
      <c r="I198" s="1404" t="str">
        <f t="shared" si="37"/>
        <v>80</v>
      </c>
      <c r="J198" s="1404" t="str">
        <f t="shared" si="38"/>
        <v>01</v>
      </c>
      <c r="K198" s="1404" t="str">
        <f t="shared" si="39"/>
        <v>01</v>
      </c>
      <c r="L198" s="1276" t="str">
        <f>_xlfn.XLOOKUP($D198,  Tabla3[No.],  Tabla3[ESTATUS ACADÉMICO], " ")</f>
        <v>EGRESADO</v>
      </c>
      <c r="M198" s="3105" t="s">
        <v>2592</v>
      </c>
      <c r="N198" s="2384">
        <v>9.4</v>
      </c>
      <c r="O198" s="2384">
        <v>9.9</v>
      </c>
      <c r="P198" s="2384">
        <v>9.9</v>
      </c>
      <c r="Q198" s="2384">
        <v>9.1999999999999993</v>
      </c>
      <c r="R198" s="2384">
        <v>9.3000000000000007</v>
      </c>
      <c r="S198" s="2384">
        <v>9.3000000000000007</v>
      </c>
      <c r="T198" s="2384">
        <v>9.5</v>
      </c>
      <c r="U198" s="2384">
        <v>9.5</v>
      </c>
      <c r="V198" s="1132">
        <v>10</v>
      </c>
      <c r="W198" s="1132">
        <v>10</v>
      </c>
      <c r="X198" s="2384">
        <v>10</v>
      </c>
      <c r="Y198" s="2384">
        <v>9.5</v>
      </c>
      <c r="Z198" s="1132">
        <v>10</v>
      </c>
      <c r="AA198" s="2384">
        <v>9.5</v>
      </c>
      <c r="AB198" s="2384">
        <v>9.1999999999999993</v>
      </c>
      <c r="AC198" s="2384">
        <v>9.8000000000000007</v>
      </c>
      <c r="AD198" s="2384">
        <v>9.5</v>
      </c>
      <c r="AE198" s="2384">
        <v>9.4</v>
      </c>
      <c r="AF198" s="2384">
        <v>9.4</v>
      </c>
      <c r="AG198" s="2384">
        <v>9.5</v>
      </c>
      <c r="AH198" s="2384">
        <v>9.4</v>
      </c>
      <c r="AI198" s="2397"/>
      <c r="AJ198" s="2379">
        <f t="shared" si="40"/>
        <v>9.5809523809523824</v>
      </c>
    </row>
    <row r="199" spans="1:36" ht="15" customHeight="1" thickBot="1">
      <c r="A199" s="2189">
        <v>11</v>
      </c>
      <c r="B199" s="2200" t="s">
        <v>1123</v>
      </c>
      <c r="C199" s="2197"/>
      <c r="D199" s="2197">
        <v>553</v>
      </c>
      <c r="E199" s="1536" t="str">
        <f>_xlfn.XLOOKUP($D199,  Tabla3[No.],  Tabla3[CURP], " ")</f>
        <v>CAAC800101MGT</v>
      </c>
      <c r="F199" s="1402" t="str">
        <f>_xlfn.XLOOKUP($D199,  Tabla3[No.],  Tabla3[Matrícula Of. SEQ], " ")</f>
        <v>64DD06B3-02</v>
      </c>
      <c r="G199" s="1778" t="str">
        <f>IFERROR(VLOOKUP(D199,Tabla3[],5,FALSE),"")</f>
        <v>CACERES ARRIAZA CLAUDIA</v>
      </c>
      <c r="H199" s="1404" t="str">
        <f t="shared" si="36"/>
        <v>M</v>
      </c>
      <c r="I199" s="1404" t="str">
        <f t="shared" si="37"/>
        <v>80</v>
      </c>
      <c r="J199" s="1404" t="str">
        <f t="shared" si="38"/>
        <v>01</v>
      </c>
      <c r="K199" s="1404" t="str">
        <f t="shared" si="39"/>
        <v>01</v>
      </c>
      <c r="L199" s="1276" t="str">
        <f>_xlfn.XLOOKUP($D199,  Tabla3[No.],  Tabla3[ESTATUS ACADÉMICO], " ")</f>
        <v>EGRESADO</v>
      </c>
      <c r="M199" s="3105" t="s">
        <v>2592</v>
      </c>
      <c r="N199" s="2384">
        <v>9.5</v>
      </c>
      <c r="O199" s="2384">
        <v>9.9</v>
      </c>
      <c r="P199" s="2384">
        <v>10</v>
      </c>
      <c r="Q199" s="2384">
        <v>9.3000000000000007</v>
      </c>
      <c r="R199" s="2384">
        <v>9.1999999999999993</v>
      </c>
      <c r="S199" s="2384">
        <v>9.1999999999999993</v>
      </c>
      <c r="T199" s="2384">
        <v>9.5</v>
      </c>
      <c r="U199" s="2384">
        <v>9.5</v>
      </c>
      <c r="V199" s="1132">
        <v>10</v>
      </c>
      <c r="W199" s="1132">
        <v>10</v>
      </c>
      <c r="X199" s="2384">
        <v>10</v>
      </c>
      <c r="Y199" s="2384">
        <v>9.5</v>
      </c>
      <c r="Z199" s="1132">
        <v>10</v>
      </c>
      <c r="AA199" s="2384">
        <v>9.5</v>
      </c>
      <c r="AB199" s="2384">
        <v>9.1999999999999993</v>
      </c>
      <c r="AC199" s="2384">
        <v>9.8000000000000007</v>
      </c>
      <c r="AD199" s="2384">
        <v>9.5</v>
      </c>
      <c r="AE199" s="2384">
        <v>9.4</v>
      </c>
      <c r="AF199" s="2384">
        <v>9.4</v>
      </c>
      <c r="AG199" s="2384">
        <v>9.5</v>
      </c>
      <c r="AH199" s="2384">
        <v>9.4</v>
      </c>
      <c r="AI199" s="2397"/>
      <c r="AJ199" s="2379">
        <f t="shared" si="40"/>
        <v>9.5857142857142872</v>
      </c>
    </row>
    <row r="200" spans="1:36" ht="15" customHeight="1" thickBot="1">
      <c r="A200" s="2189">
        <v>12</v>
      </c>
      <c r="B200" s="2200" t="s">
        <v>1123</v>
      </c>
      <c r="C200" s="2197"/>
      <c r="D200" s="2197">
        <v>554</v>
      </c>
      <c r="E200" s="1536" t="str">
        <f>_xlfn.XLOOKUP($D200,  Tabla3[No.],  Tabla3[CURP], " ")</f>
        <v>CHZA800101HGT</v>
      </c>
      <c r="F200" s="1402" t="str">
        <f>_xlfn.XLOOKUP($D200,  Tabla3[No.],  Tabla3[Matrícula Of. SEQ], " ")</f>
        <v>64DD06B2-03</v>
      </c>
      <c r="G200" s="1778" t="str">
        <f>IFERROR(VLOOKUP(D200,Tabla3[],5,FALSE),"")</f>
        <v>CHANCHAVAC ZARATE ARNULFO FELIPE</v>
      </c>
      <c r="H200" s="1404" t="str">
        <f t="shared" si="36"/>
        <v>H</v>
      </c>
      <c r="I200" s="1404" t="str">
        <f t="shared" si="37"/>
        <v>80</v>
      </c>
      <c r="J200" s="1404" t="str">
        <f t="shared" si="38"/>
        <v>01</v>
      </c>
      <c r="K200" s="1404" t="str">
        <f t="shared" si="39"/>
        <v>01</v>
      </c>
      <c r="L200" s="1276" t="str">
        <f>_xlfn.XLOOKUP($D200,  Tabla3[No.],  Tabla3[ESTATUS ACADÉMICO], " ")</f>
        <v>EGRESADO</v>
      </c>
      <c r="M200" s="3105" t="s">
        <v>2592</v>
      </c>
      <c r="N200" s="2384">
        <v>9.1999999999999993</v>
      </c>
      <c r="O200" s="2384">
        <v>9.3000000000000007</v>
      </c>
      <c r="P200" s="2384">
        <v>9.1999999999999993</v>
      </c>
      <c r="Q200" s="2384">
        <v>9.3000000000000007</v>
      </c>
      <c r="R200" s="2384">
        <v>9.9</v>
      </c>
      <c r="S200" s="2384">
        <v>9.9</v>
      </c>
      <c r="T200" s="2384">
        <v>9.4</v>
      </c>
      <c r="U200" s="2384">
        <v>9.4</v>
      </c>
      <c r="V200" s="1132">
        <v>10</v>
      </c>
      <c r="W200" s="1132" t="s">
        <v>4159</v>
      </c>
      <c r="X200" s="2384">
        <v>9.6999999999999993</v>
      </c>
      <c r="Y200" s="2384">
        <v>9.5</v>
      </c>
      <c r="Z200" s="1132">
        <v>9.4</v>
      </c>
      <c r="AA200" s="2384">
        <v>9.5</v>
      </c>
      <c r="AB200" s="2384">
        <v>9.5</v>
      </c>
      <c r="AC200" s="2384">
        <v>9.8000000000000007</v>
      </c>
      <c r="AD200" s="2384">
        <v>9.5</v>
      </c>
      <c r="AE200" s="2384">
        <v>9.4</v>
      </c>
      <c r="AF200" s="2384">
        <v>9.4</v>
      </c>
      <c r="AG200" s="2384">
        <v>9.5</v>
      </c>
      <c r="AH200" s="2384">
        <v>9.4</v>
      </c>
      <c r="AI200" s="2397"/>
      <c r="AJ200" s="2379">
        <f t="shared" si="40"/>
        <v>9.5100000000000016</v>
      </c>
    </row>
    <row r="201" spans="1:36" ht="15" customHeight="1" thickBot="1">
      <c r="A201" s="2189">
        <v>13</v>
      </c>
      <c r="B201" s="2196" t="s">
        <v>1625</v>
      </c>
      <c r="C201" s="2197"/>
      <c r="D201" s="2197">
        <v>707</v>
      </c>
      <c r="E201" s="1536" t="str">
        <f>_xlfn.XLOOKUP($D201,  Tabla3[No.],  Tabla3[CURP], " ")</f>
        <v>LOSP830522MGGPI00</v>
      </c>
      <c r="F201" s="1402" t="str">
        <f>_xlfn.XLOOKUP($D201,  Tabla3[No.],  Tabla3[Matrícula Of. SEQ], " ")</f>
        <v>64DD07E-06</v>
      </c>
      <c r="G201" s="1778" t="str">
        <f>IFERROR(VLOOKUP(D201,Tabla3[],5,FALSE),"")</f>
        <v>LOPEZ SILVA PAOLA IVETH</v>
      </c>
      <c r="H201" s="1404" t="str">
        <f t="shared" si="36"/>
        <v>M</v>
      </c>
      <c r="I201" s="1404" t="str">
        <f t="shared" si="37"/>
        <v>83</v>
      </c>
      <c r="J201" s="1404" t="str">
        <f t="shared" si="38"/>
        <v>05</v>
      </c>
      <c r="K201" s="1404" t="str">
        <f t="shared" si="39"/>
        <v>22</v>
      </c>
      <c r="L201" s="1276" t="str">
        <f>_xlfn.XLOOKUP($D201,  Tabla3[No.],  Tabla3[ESTATUS ACADÉMICO], " ")</f>
        <v>VIGENTE</v>
      </c>
      <c r="M201" s="3105" t="s">
        <v>2592</v>
      </c>
      <c r="N201" s="2384">
        <v>9.1999999999999993</v>
      </c>
      <c r="O201" s="2384">
        <v>9.9</v>
      </c>
      <c r="P201" s="2384">
        <v>10</v>
      </c>
      <c r="Q201" s="2384">
        <v>9.3000000000000007</v>
      </c>
      <c r="R201" s="2384">
        <v>9.8000000000000007</v>
      </c>
      <c r="S201" s="2384">
        <v>10</v>
      </c>
      <c r="T201" s="2384">
        <v>9.5</v>
      </c>
      <c r="U201" s="2384">
        <v>9.5</v>
      </c>
      <c r="V201" s="1132">
        <v>10</v>
      </c>
      <c r="W201" s="1132">
        <v>10</v>
      </c>
      <c r="X201" s="2384">
        <v>10</v>
      </c>
      <c r="Y201" s="2384">
        <v>9.5</v>
      </c>
      <c r="Z201" s="1132">
        <v>10</v>
      </c>
      <c r="AA201" s="2384">
        <v>9.4</v>
      </c>
      <c r="AB201" s="2384">
        <v>9.4</v>
      </c>
      <c r="AC201" s="2384">
        <v>9.8000000000000007</v>
      </c>
      <c r="AD201" s="2384">
        <v>9.5</v>
      </c>
      <c r="AE201" s="2384">
        <v>9.4</v>
      </c>
      <c r="AF201" s="2384">
        <v>9.4</v>
      </c>
      <c r="AG201" s="2384">
        <v>9.5</v>
      </c>
      <c r="AH201" s="2384">
        <v>9.4</v>
      </c>
      <c r="AI201" s="2397"/>
      <c r="AJ201" s="2379">
        <f t="shared" si="40"/>
        <v>9.6428571428571441</v>
      </c>
    </row>
    <row r="202" spans="1:36" ht="15" customHeight="1" thickBot="1">
      <c r="A202" s="2189">
        <v>14</v>
      </c>
      <c r="B202" s="2196" t="s">
        <v>1625</v>
      </c>
      <c r="C202" s="2197"/>
      <c r="D202" s="2201">
        <v>556</v>
      </c>
      <c r="E202" s="1536" t="str">
        <f>_xlfn.XLOOKUP($D202,  Tabla3[No.],  Tabla3[CURP], " ")</f>
        <v>MOMM800101HGT</v>
      </c>
      <c r="F202" s="1402" t="str">
        <f>_xlfn.XLOOKUP($D202,  Tabla3[No.],  Tabla3[Matrícula Of. SEQ], " ")</f>
        <v>64DD06B2-05</v>
      </c>
      <c r="G202" s="1778" t="str">
        <f>IFERROR(VLOOKUP(D202,Tabla3[],5,FALSE),"")</f>
        <v>MOTO MORATAYA MYNOR MAURICIO</v>
      </c>
      <c r="H202" s="1404" t="str">
        <f t="shared" si="36"/>
        <v>H</v>
      </c>
      <c r="I202" s="1404" t="str">
        <f t="shared" si="37"/>
        <v>80</v>
      </c>
      <c r="J202" s="1404" t="str">
        <f t="shared" si="38"/>
        <v>01</v>
      </c>
      <c r="K202" s="1404" t="str">
        <f t="shared" si="39"/>
        <v>01</v>
      </c>
      <c r="L202" s="1276" t="str">
        <f>_xlfn.XLOOKUP($D202,  Tabla3[No.],  Tabla3[ESTATUS ACADÉMICO], " ")</f>
        <v>EGRESADO</v>
      </c>
      <c r="M202" s="3105" t="s">
        <v>2592</v>
      </c>
      <c r="N202" s="2384">
        <v>9.4</v>
      </c>
      <c r="O202" s="2384">
        <v>9.9</v>
      </c>
      <c r="P202" s="2384">
        <v>10</v>
      </c>
      <c r="Q202" s="2384">
        <v>9.4</v>
      </c>
      <c r="R202" s="2384">
        <v>9.1999999999999993</v>
      </c>
      <c r="S202" s="2384">
        <v>9.1999999999999993</v>
      </c>
      <c r="T202" s="2384">
        <v>9.1999999999999993</v>
      </c>
      <c r="U202" s="2384">
        <v>9.5</v>
      </c>
      <c r="V202" s="1132">
        <v>10</v>
      </c>
      <c r="W202" s="1132">
        <v>10</v>
      </c>
      <c r="X202" s="2384">
        <v>10</v>
      </c>
      <c r="Y202" s="2384">
        <v>9.6999999999999993</v>
      </c>
      <c r="Z202" s="1132">
        <v>9.6</v>
      </c>
      <c r="AA202" s="2384">
        <v>9.3000000000000007</v>
      </c>
      <c r="AB202" s="2384">
        <v>9.4</v>
      </c>
      <c r="AC202" s="2384">
        <v>9.8000000000000007</v>
      </c>
      <c r="AD202" s="2384">
        <v>9.5</v>
      </c>
      <c r="AE202" s="2384">
        <v>9.4</v>
      </c>
      <c r="AF202" s="2384">
        <v>9.4</v>
      </c>
      <c r="AG202" s="2384">
        <v>9.5</v>
      </c>
      <c r="AH202" s="2384">
        <v>9.4</v>
      </c>
      <c r="AI202" s="2397"/>
      <c r="AJ202" s="2379">
        <f t="shared" si="40"/>
        <v>9.5619047619047635</v>
      </c>
    </row>
    <row r="203" spans="1:36" ht="15" customHeight="1" thickBot="1">
      <c r="A203" s="2189">
        <v>15</v>
      </c>
      <c r="B203" s="2196" t="s">
        <v>1625</v>
      </c>
      <c r="C203" s="2197"/>
      <c r="D203" s="2201">
        <v>557</v>
      </c>
      <c r="E203" s="1536" t="str">
        <f>_xlfn.XLOOKUP($D203,  Tabla3[No.],  Tabla3[CURP], " ")</f>
        <v>ROOD800101MGT</v>
      </c>
      <c r="F203" s="1402" t="str">
        <f>_xlfn.XLOOKUP($D203,  Tabla3[No.],  Tabla3[Matrícula Of. SEQ], " ")</f>
        <v>64DD06B2-06</v>
      </c>
      <c r="G203" s="1778" t="str">
        <f>IFERROR(VLOOKUP(D203,Tabla3[],5,FALSE),"")</f>
        <v>RODRIGUEZ ORIVE DORIS AMANDA</v>
      </c>
      <c r="H203" s="1404" t="str">
        <f t="shared" si="36"/>
        <v>M</v>
      </c>
      <c r="I203" s="1404" t="str">
        <f t="shared" si="37"/>
        <v>80</v>
      </c>
      <c r="J203" s="1404" t="str">
        <f t="shared" si="38"/>
        <v>01</v>
      </c>
      <c r="K203" s="1404" t="str">
        <f t="shared" si="39"/>
        <v>01</v>
      </c>
      <c r="L203" s="1276" t="str">
        <f>_xlfn.XLOOKUP($D203,  Tabla3[No.],  Tabla3[ESTATUS ACADÉMICO], " ")</f>
        <v>BAJA TEMPORAL</v>
      </c>
      <c r="M203" s="3105" t="s">
        <v>2592</v>
      </c>
      <c r="N203" s="2384">
        <v>9.1999999999999993</v>
      </c>
      <c r="O203" s="2384">
        <v>9.9</v>
      </c>
      <c r="P203" s="2384">
        <v>10</v>
      </c>
      <c r="Q203" s="2384">
        <v>9.1999999999999993</v>
      </c>
      <c r="R203" s="2384">
        <v>9.5</v>
      </c>
      <c r="S203" s="2384">
        <v>9.5</v>
      </c>
      <c r="T203" s="2384">
        <v>9.5</v>
      </c>
      <c r="U203" s="2384">
        <v>9.5</v>
      </c>
      <c r="V203" s="1132">
        <v>10</v>
      </c>
      <c r="W203" s="1132">
        <v>10</v>
      </c>
      <c r="X203" s="2384">
        <v>10</v>
      </c>
      <c r="Y203" s="2384">
        <v>9.5</v>
      </c>
      <c r="Z203" s="1132">
        <v>10</v>
      </c>
      <c r="AA203" s="2384">
        <v>9.6</v>
      </c>
      <c r="AB203" s="2384">
        <v>9.3000000000000007</v>
      </c>
      <c r="AC203" s="2384">
        <v>9.8000000000000007</v>
      </c>
      <c r="AD203" s="2384">
        <v>9.5</v>
      </c>
      <c r="AE203" s="2384">
        <v>9.4</v>
      </c>
      <c r="AF203" s="2384">
        <v>9.4</v>
      </c>
      <c r="AG203" s="2384">
        <v>9.5</v>
      </c>
      <c r="AH203" s="2384">
        <v>9.4</v>
      </c>
      <c r="AI203" s="2397"/>
      <c r="AJ203" s="2379">
        <f t="shared" si="40"/>
        <v>9.6047619047619062</v>
      </c>
    </row>
    <row r="204" spans="1:36" ht="15" customHeight="1" thickBot="1">
      <c r="A204" s="2189">
        <v>16</v>
      </c>
      <c r="B204" s="2196" t="s">
        <v>1625</v>
      </c>
      <c r="C204" s="2197"/>
      <c r="D204" s="2201">
        <v>558</v>
      </c>
      <c r="E204" s="1536" t="str">
        <f>_xlfn.XLOOKUP($D204,  Tabla3[No.],  Tabla3[CURP], " ")</f>
        <v>BADG800101HGT</v>
      </c>
      <c r="F204" s="1402" t="str">
        <f>_xlfn.XLOOKUP($D204,  Tabla3[No.],  Tabla3[Matrícula Of. SEQ], " ")</f>
        <v>64DD06B2-07</v>
      </c>
      <c r="G204" s="1778" t="str">
        <f>IFERROR(VLOOKUP(D204,Tabla3[],5,FALSE),"")</f>
        <v>BARRIOS DE LEON GILMAR AMARILDO</v>
      </c>
      <c r="H204" s="1404" t="str">
        <f t="shared" si="36"/>
        <v>H</v>
      </c>
      <c r="I204" s="1404" t="str">
        <f t="shared" si="37"/>
        <v>80</v>
      </c>
      <c r="J204" s="1404" t="str">
        <f t="shared" si="38"/>
        <v>01</v>
      </c>
      <c r="K204" s="1404" t="str">
        <f t="shared" si="39"/>
        <v>01</v>
      </c>
      <c r="L204" s="1276" t="str">
        <f>_xlfn.XLOOKUP($D204,  Tabla3[No.],  Tabla3[ESTATUS ACADÉMICO], " ")</f>
        <v>EGRESADO</v>
      </c>
      <c r="M204" s="3105" t="s">
        <v>2592</v>
      </c>
      <c r="N204" s="2384">
        <v>9.1999999999999993</v>
      </c>
      <c r="O204" s="2384">
        <v>9.9</v>
      </c>
      <c r="P204" s="2384">
        <v>10</v>
      </c>
      <c r="Q204" s="2384">
        <v>9.4</v>
      </c>
      <c r="R204" s="2384">
        <v>9.1999999999999993</v>
      </c>
      <c r="S204" s="2384">
        <v>9.9</v>
      </c>
      <c r="T204" s="2384">
        <v>9.5</v>
      </c>
      <c r="U204" s="2384">
        <v>9.5</v>
      </c>
      <c r="V204" s="1132">
        <v>10</v>
      </c>
      <c r="W204" s="1132">
        <v>10</v>
      </c>
      <c r="X204" s="2384">
        <v>10</v>
      </c>
      <c r="Y204" s="2384">
        <v>9.5</v>
      </c>
      <c r="Z204" s="1132">
        <v>10</v>
      </c>
      <c r="AA204" s="2384">
        <v>9.3000000000000007</v>
      </c>
      <c r="AB204" s="2384">
        <v>9.5</v>
      </c>
      <c r="AC204" s="2384">
        <v>9.8000000000000007</v>
      </c>
      <c r="AD204" s="2384">
        <v>9.5</v>
      </c>
      <c r="AE204" s="2384">
        <v>9.4</v>
      </c>
      <c r="AF204" s="2384">
        <v>9.4</v>
      </c>
      <c r="AG204" s="2384">
        <v>9.5</v>
      </c>
      <c r="AH204" s="2384">
        <v>9.4</v>
      </c>
      <c r="AI204" s="2397"/>
      <c r="AJ204" s="2379">
        <f t="shared" si="40"/>
        <v>9.6142857142857157</v>
      </c>
    </row>
    <row r="205" spans="1:36" ht="15" customHeight="1" thickBot="1">
      <c r="A205" s="2189">
        <v>17</v>
      </c>
      <c r="B205" s="2196" t="s">
        <v>1625</v>
      </c>
      <c r="C205" s="2202"/>
      <c r="D205" s="2202">
        <v>562</v>
      </c>
      <c r="E205" s="1536" t="str">
        <f>_xlfn.XLOOKUP($D205,  Tabla3[No.],  Tabla3[CURP], " ")</f>
        <v>RIVN261286HGG</v>
      </c>
      <c r="F205" s="1402" t="str">
        <f>_xlfn.XLOOKUP($D205,  Tabla3[No.],  Tabla3[Matrícula Of. SEQ], " ")</f>
        <v>64DD06B2-13</v>
      </c>
      <c r="G205" s="1778" t="str">
        <f>IFERROR(VLOOKUP(D205,Tabla3[],5,FALSE),"")</f>
        <v>RIVERA VASQUEZ NOE NEHEMIAS</v>
      </c>
      <c r="H205" s="1404" t="str">
        <f t="shared" si="36"/>
        <v>H</v>
      </c>
      <c r="I205" s="1404" t="str">
        <f t="shared" si="37"/>
        <v>26</v>
      </c>
      <c r="J205" s="1404" t="str">
        <f t="shared" si="38"/>
        <v>12</v>
      </c>
      <c r="K205" s="1404" t="str">
        <f t="shared" si="39"/>
        <v>86</v>
      </c>
      <c r="L205" s="1276" t="str">
        <f>_xlfn.XLOOKUP($D205,  Tabla3[No.],  Tabla3[ESTATUS ACADÉMICO], " ")</f>
        <v>EGRESADO</v>
      </c>
      <c r="M205" s="1404" t="s">
        <v>2592</v>
      </c>
      <c r="N205" s="2385">
        <v>9.1999999999999993</v>
      </c>
      <c r="O205" s="2385">
        <v>9.9</v>
      </c>
      <c r="P205" s="2385">
        <v>10</v>
      </c>
      <c r="Q205" s="2385">
        <v>9.5</v>
      </c>
      <c r="R205" s="2385">
        <v>9.5</v>
      </c>
      <c r="S205" s="2385">
        <v>9.4</v>
      </c>
      <c r="T205" s="2385">
        <v>9.5</v>
      </c>
      <c r="U205" s="2385">
        <v>9.5</v>
      </c>
      <c r="V205" s="2203">
        <v>10</v>
      </c>
      <c r="W205" s="2203">
        <v>10</v>
      </c>
      <c r="X205" s="2385">
        <v>10</v>
      </c>
      <c r="Y205" s="2385">
        <v>9.5</v>
      </c>
      <c r="Z205" s="2203">
        <v>10</v>
      </c>
      <c r="AA205" s="2385">
        <v>9.3000000000000007</v>
      </c>
      <c r="AB205" s="2385">
        <v>9.5</v>
      </c>
      <c r="AC205" s="2385">
        <v>9.8000000000000007</v>
      </c>
      <c r="AD205" s="2385">
        <v>9.5</v>
      </c>
      <c r="AE205" s="2385">
        <v>9.4</v>
      </c>
      <c r="AF205" s="2385">
        <v>9.4</v>
      </c>
      <c r="AG205" s="2385">
        <v>9.5</v>
      </c>
      <c r="AH205" s="2384">
        <v>9.4</v>
      </c>
      <c r="AI205" s="2397"/>
      <c r="AJ205" s="2379">
        <f t="shared" si="40"/>
        <v>9.6095238095238109</v>
      </c>
    </row>
    <row r="206" spans="1:36" ht="15" customHeight="1" thickBot="1">
      <c r="A206" s="2189">
        <v>18</v>
      </c>
      <c r="B206" s="2196" t="s">
        <v>1625</v>
      </c>
      <c r="C206" s="2197"/>
      <c r="D206" s="2197">
        <v>561</v>
      </c>
      <c r="E206" s="1536" t="str">
        <f>_xlfn.XLOOKUP($D206,  Tabla3[No.],  Tabla3[CURP], " ")</f>
        <v>PEJR230967HGG</v>
      </c>
      <c r="F206" s="1402" t="str">
        <f>_xlfn.XLOOKUP($D206,  Tabla3[No.],  Tabla3[Matrícula Of. SEQ], " ")</f>
        <v>64DD06B2-12</v>
      </c>
      <c r="G206" s="1778" t="str">
        <f>IFERROR(VLOOKUP(D206,Tabla3[],5,FALSE),"")</f>
        <v>PEREZ JUAREZ REGINO WALDEMAR</v>
      </c>
      <c r="H206" s="1404" t="str">
        <f t="shared" si="36"/>
        <v>H</v>
      </c>
      <c r="I206" s="1404" t="str">
        <f t="shared" si="37"/>
        <v>23</v>
      </c>
      <c r="J206" s="1404" t="str">
        <f t="shared" si="38"/>
        <v>09</v>
      </c>
      <c r="K206" s="1404" t="str">
        <f t="shared" si="39"/>
        <v>67</v>
      </c>
      <c r="L206" s="1276" t="str">
        <f>_xlfn.XLOOKUP($D206,  Tabla3[No.],  Tabla3[ESTATUS ACADÉMICO], " ")</f>
        <v>EGRESADO</v>
      </c>
      <c r="M206" s="1404" t="s">
        <v>2592</v>
      </c>
      <c r="N206" s="2384">
        <v>9.4</v>
      </c>
      <c r="O206" s="2384">
        <v>9.4</v>
      </c>
      <c r="P206" s="2384">
        <v>9.1999999999999993</v>
      </c>
      <c r="Q206" s="2384">
        <v>9.4</v>
      </c>
      <c r="R206" s="2384">
        <v>9.9</v>
      </c>
      <c r="S206" s="2384">
        <v>9.5</v>
      </c>
      <c r="T206" s="2384">
        <v>9.5</v>
      </c>
      <c r="U206" s="2384">
        <v>9.5</v>
      </c>
      <c r="V206" s="1132">
        <v>10</v>
      </c>
      <c r="W206" s="1132">
        <v>10</v>
      </c>
      <c r="X206" s="2384">
        <v>10</v>
      </c>
      <c r="Y206" s="2384">
        <v>9.5</v>
      </c>
      <c r="Z206" s="1132">
        <v>10</v>
      </c>
      <c r="AA206" s="2384">
        <v>9.3000000000000007</v>
      </c>
      <c r="AB206" s="2384">
        <v>9.5</v>
      </c>
      <c r="AC206" s="2384">
        <v>9.8000000000000007</v>
      </c>
      <c r="AD206" s="2384">
        <v>9.5</v>
      </c>
      <c r="AE206" s="2384">
        <v>9.4</v>
      </c>
      <c r="AF206" s="2384">
        <v>9.4</v>
      </c>
      <c r="AG206" s="2384">
        <v>9.5</v>
      </c>
      <c r="AH206" s="2384">
        <v>9.4</v>
      </c>
      <c r="AI206" s="2397"/>
      <c r="AJ206" s="2379">
        <f t="shared" si="40"/>
        <v>9.5761904761904777</v>
      </c>
    </row>
    <row r="207" spans="1:36" ht="15" customHeight="1" thickBot="1">
      <c r="A207" s="2189">
        <v>19</v>
      </c>
      <c r="B207" s="2196" t="s">
        <v>1625</v>
      </c>
      <c r="C207" s="2197"/>
      <c r="D207" s="2197">
        <v>578</v>
      </c>
      <c r="E207" s="1536" t="str">
        <f>_xlfn.XLOOKUP($D207,  Tabla3[No.],  Tabla3[CURP], " ")</f>
        <v>GORW751119HJGNO00</v>
      </c>
      <c r="F207" s="1402" t="str">
        <f>_xlfn.XLOOKUP($D207,  Tabla3[No.],  Tabla3[Matrícula Of. SEQ], " ")</f>
        <v>64DD06B-01</v>
      </c>
      <c r="G207" s="1778" t="str">
        <f>IFERROR(VLOOKUP(D207,Tabla3[],5,FALSE),"")</f>
        <v>GONZALEZ RODOLFO WALDEMAR</v>
      </c>
      <c r="H207" s="1404" t="str">
        <f t="shared" si="36"/>
        <v>H</v>
      </c>
      <c r="I207" s="1404" t="str">
        <f t="shared" si="37"/>
        <v>75</v>
      </c>
      <c r="J207" s="1404" t="str">
        <f t="shared" si="38"/>
        <v>11</v>
      </c>
      <c r="K207" s="1404" t="str">
        <f t="shared" si="39"/>
        <v>19</v>
      </c>
      <c r="L207" s="1276" t="str">
        <f>_xlfn.XLOOKUP($D207,  Tabla3[No.],  Tabla3[ESTATUS ACADÉMICO], " ")</f>
        <v>EGRESADO</v>
      </c>
      <c r="M207" s="1404" t="s">
        <v>2592</v>
      </c>
      <c r="N207" s="2384">
        <v>9.6999999999999993</v>
      </c>
      <c r="O207" s="2384">
        <v>9.1999999999999993</v>
      </c>
      <c r="P207" s="2384">
        <v>9.4</v>
      </c>
      <c r="Q207" s="2384">
        <v>9.6</v>
      </c>
      <c r="R207" s="2384">
        <v>10</v>
      </c>
      <c r="S207" s="2384">
        <v>9.6999999999999993</v>
      </c>
      <c r="T207" s="2384">
        <v>9.5</v>
      </c>
      <c r="U207" s="2384">
        <v>9.5</v>
      </c>
      <c r="V207" s="1132">
        <v>10</v>
      </c>
      <c r="W207" s="1132">
        <v>10</v>
      </c>
      <c r="X207" s="2384">
        <v>10</v>
      </c>
      <c r="Y207" s="2384">
        <v>9.5</v>
      </c>
      <c r="Z207" s="1132">
        <v>10</v>
      </c>
      <c r="AA207" s="2384">
        <v>9.3000000000000007</v>
      </c>
      <c r="AB207" s="2384">
        <v>9.5</v>
      </c>
      <c r="AC207" s="2384">
        <v>9.8000000000000007</v>
      </c>
      <c r="AD207" s="2384">
        <v>9.5</v>
      </c>
      <c r="AE207" s="2384">
        <v>9.4</v>
      </c>
      <c r="AF207" s="2384">
        <v>9.4</v>
      </c>
      <c r="AG207" s="2384">
        <v>9.5</v>
      </c>
      <c r="AH207" s="2384">
        <v>9.4</v>
      </c>
      <c r="AI207" s="2397"/>
      <c r="AJ207" s="2379">
        <f t="shared" si="40"/>
        <v>9.6142857142857157</v>
      </c>
    </row>
    <row r="208" spans="1:36" ht="15" customHeight="1" thickBot="1">
      <c r="A208" s="2189">
        <v>20</v>
      </c>
      <c r="B208" s="2196" t="s">
        <v>1625</v>
      </c>
      <c r="C208" s="2197"/>
      <c r="D208" s="2197">
        <v>545</v>
      </c>
      <c r="E208" s="1536" t="str">
        <f>_xlfn.XLOOKUP($D208,  Tabla3[No.],  Tabla3[CURP], " ")</f>
        <v>MOGJ290690HGG</v>
      </c>
      <c r="F208" s="1402" t="str">
        <f>_xlfn.XLOOKUP($D208,  Tabla3[No.],  Tabla3[Matrícula Of. SEQ], " ")</f>
        <v>64DD06B2-11</v>
      </c>
      <c r="G208" s="1778" t="str">
        <f>IFERROR(VLOOKUP(D208,Tabla3[],5,FALSE),"")</f>
        <v>MORALES GARCIA JOOSIMAR BLADIMIR</v>
      </c>
      <c r="H208" s="1404" t="str">
        <f t="shared" si="36"/>
        <v>H</v>
      </c>
      <c r="I208" s="1404" t="str">
        <f t="shared" si="37"/>
        <v>29</v>
      </c>
      <c r="J208" s="1404" t="str">
        <f t="shared" si="38"/>
        <v>06</v>
      </c>
      <c r="K208" s="1404" t="str">
        <f t="shared" si="39"/>
        <v>90</v>
      </c>
      <c r="L208" s="1276" t="str">
        <f>_xlfn.XLOOKUP($D208,  Tabla3[No.],  Tabla3[ESTATUS ACADÉMICO], " ")</f>
        <v>EGRESADO</v>
      </c>
      <c r="M208" s="1404" t="s">
        <v>2592</v>
      </c>
      <c r="N208" s="2384">
        <v>9.6999999999999993</v>
      </c>
      <c r="O208" s="2384">
        <v>9.1999999999999993</v>
      </c>
      <c r="P208" s="2384">
        <v>10</v>
      </c>
      <c r="Q208" s="2384">
        <v>9.5</v>
      </c>
      <c r="R208" s="2384">
        <v>9.9</v>
      </c>
      <c r="S208" s="2384">
        <v>9.8000000000000007</v>
      </c>
      <c r="T208" s="2384">
        <v>9.5</v>
      </c>
      <c r="U208" s="2384">
        <v>9.5</v>
      </c>
      <c r="V208" s="1132">
        <v>10</v>
      </c>
      <c r="W208" s="1132">
        <v>10</v>
      </c>
      <c r="X208" s="2384">
        <v>10</v>
      </c>
      <c r="Y208" s="2384">
        <v>9.5</v>
      </c>
      <c r="Z208" s="1132">
        <v>10</v>
      </c>
      <c r="AA208" s="2384">
        <v>9.3000000000000007</v>
      </c>
      <c r="AB208" s="2384">
        <v>9.5</v>
      </c>
      <c r="AC208" s="2384">
        <v>9.8000000000000007</v>
      </c>
      <c r="AD208" s="2384">
        <v>9.5</v>
      </c>
      <c r="AE208" s="2384">
        <v>9.4</v>
      </c>
      <c r="AF208" s="2384">
        <v>9.4</v>
      </c>
      <c r="AG208" s="2384">
        <v>9.5</v>
      </c>
      <c r="AH208" s="2384">
        <v>9.4</v>
      </c>
      <c r="AI208" s="2397"/>
      <c r="AJ208" s="2379">
        <f t="shared" si="40"/>
        <v>9.6380952380952394</v>
      </c>
    </row>
    <row r="209" spans="1:42" ht="15" customHeight="1" thickBot="1">
      <c r="A209" s="2189">
        <v>21</v>
      </c>
      <c r="B209" s="2204"/>
      <c r="C209" s="2205"/>
      <c r="D209" s="2205">
        <v>796</v>
      </c>
      <c r="E209" s="1536" t="str">
        <f>_xlfn.XLOOKUP($D209,  Tabla3[No.],  Tabla3[CURP], " ")</f>
        <v>MAGD721104HGT11</v>
      </c>
      <c r="F209" s="1402" t="str">
        <f>_xlfn.XLOOKUP($D209,  Tabla3[No.],  Tabla3[Matrícula Of. SEQ], " ")</f>
        <v>64DD07L-09</v>
      </c>
      <c r="G209" s="1778" t="str">
        <f>IFERROR(VLOOKUP(D209,Tabla3[],5,FALSE),"")</f>
        <v>MADRID GRAMAJO DIONEL YUNIOR</v>
      </c>
      <c r="H209" s="1404" t="str">
        <f t="shared" si="36"/>
        <v>H</v>
      </c>
      <c r="I209" s="1404" t="str">
        <f t="shared" si="37"/>
        <v>72</v>
      </c>
      <c r="J209" s="1404" t="str">
        <f t="shared" si="38"/>
        <v>11</v>
      </c>
      <c r="K209" s="1404" t="str">
        <f t="shared" si="39"/>
        <v>04</v>
      </c>
      <c r="L209" s="1276" t="str">
        <f>_xlfn.XLOOKUP($D209,  Tabla3[No.],  Tabla3[ESTATUS ACADÉMICO], " ")</f>
        <v>VIGENTE</v>
      </c>
      <c r="M209" s="1404" t="s">
        <v>2592</v>
      </c>
      <c r="N209" s="2384">
        <v>9.6999999999999993</v>
      </c>
      <c r="O209" s="2387">
        <v>9.9</v>
      </c>
      <c r="P209" s="2387">
        <v>10</v>
      </c>
      <c r="Q209" s="2387">
        <v>9.4</v>
      </c>
      <c r="R209" s="2387">
        <v>9.1999999999999993</v>
      </c>
      <c r="S209" s="2387">
        <v>9.1999999999999993</v>
      </c>
      <c r="T209" s="2387">
        <v>9.5</v>
      </c>
      <c r="U209" s="2387">
        <v>9.5</v>
      </c>
      <c r="V209" s="2076">
        <v>10</v>
      </c>
      <c r="W209" s="2076">
        <v>10</v>
      </c>
      <c r="X209" s="2387">
        <v>10</v>
      </c>
      <c r="Y209" s="2387">
        <v>9.5</v>
      </c>
      <c r="Z209" s="2076">
        <v>10</v>
      </c>
      <c r="AA209" s="2387">
        <v>9.3000000000000007</v>
      </c>
      <c r="AB209" s="2387">
        <v>9.4</v>
      </c>
      <c r="AC209" s="2387">
        <v>9.8000000000000007</v>
      </c>
      <c r="AD209" s="2387">
        <v>9.5</v>
      </c>
      <c r="AE209" s="2386"/>
      <c r="AF209" s="2386"/>
      <c r="AG209" s="2386"/>
      <c r="AH209" s="2386"/>
      <c r="AI209" s="2400"/>
      <c r="AJ209" s="2379">
        <f>AVERAGE(N209:AD209)</f>
        <v>9.6411764705882366</v>
      </c>
    </row>
    <row r="210" spans="1:42" ht="15" customHeight="1" thickBot="1">
      <c r="A210" s="2189">
        <v>22</v>
      </c>
      <c r="B210" s="2196" t="s">
        <v>1625</v>
      </c>
      <c r="C210" s="2197"/>
      <c r="D210" s="2197">
        <v>585</v>
      </c>
      <c r="E210" s="1536" t="str">
        <f>_xlfn.XLOOKUP($D210,  Tabla3[No.],  Tabla3[CURP], " ")</f>
        <v>DICW730114HGGVA00</v>
      </c>
      <c r="F210" s="1402" t="str">
        <f>_xlfn.XLOOKUP($D210,  Tabla3[No.],  Tabla3[Matrícula Of. SEQ], " ")</f>
        <v>64DD07L-01</v>
      </c>
      <c r="G210" s="1778" t="str">
        <f>IFERROR(VLOOKUP(D210,Tabla3[],5,FALSE),"")</f>
        <v>DIVAS CANUZ WALTER ALFONSO</v>
      </c>
      <c r="H210" s="1404" t="str">
        <f t="shared" si="36"/>
        <v>H</v>
      </c>
      <c r="I210" s="1404" t="str">
        <f t="shared" si="37"/>
        <v>73</v>
      </c>
      <c r="J210" s="1404" t="str">
        <f t="shared" si="38"/>
        <v>01</v>
      </c>
      <c r="K210" s="1404" t="str">
        <f t="shared" si="39"/>
        <v>14</v>
      </c>
      <c r="L210" s="1276" t="str">
        <f>_xlfn.XLOOKUP($D210,  Tabla3[No.],  Tabla3[ESTATUS ACADÉMICO], " ")</f>
        <v>VIGENTE</v>
      </c>
      <c r="M210" s="1404" t="s">
        <v>2592</v>
      </c>
      <c r="N210" s="2384">
        <v>9.6999999999999993</v>
      </c>
      <c r="O210" s="2384">
        <v>9.6999999999999993</v>
      </c>
      <c r="P210" s="2384">
        <v>9.3000000000000007</v>
      </c>
      <c r="Q210" s="2388">
        <v>9.4</v>
      </c>
      <c r="R210" s="2383" t="s">
        <v>135</v>
      </c>
      <c r="S210" s="2383" t="s">
        <v>135</v>
      </c>
      <c r="T210" s="2384">
        <v>9.5</v>
      </c>
      <c r="U210" s="2384">
        <v>9.5</v>
      </c>
      <c r="V210" s="1132">
        <v>10</v>
      </c>
      <c r="W210" s="1132">
        <v>10</v>
      </c>
      <c r="X210" s="2384">
        <v>10</v>
      </c>
      <c r="Y210" s="2384">
        <v>9.5</v>
      </c>
      <c r="Z210" s="1132">
        <v>10</v>
      </c>
      <c r="AA210" s="2384">
        <v>9.3000000000000007</v>
      </c>
      <c r="AB210" s="2384">
        <v>9.5</v>
      </c>
      <c r="AC210" s="2384">
        <v>9.8000000000000007</v>
      </c>
      <c r="AD210" s="2384">
        <v>9.5</v>
      </c>
      <c r="AE210" s="2384">
        <v>9.4</v>
      </c>
      <c r="AF210" s="2384">
        <v>9.4</v>
      </c>
      <c r="AG210" s="2384">
        <v>9.5</v>
      </c>
      <c r="AH210" s="2384">
        <v>9.4</v>
      </c>
      <c r="AI210" s="2397"/>
      <c r="AJ210" s="2379">
        <f>(AVERAGE(N210:AH210))</f>
        <v>9.6</v>
      </c>
    </row>
    <row r="211" spans="1:42" ht="15" customHeight="1" thickBot="1">
      <c r="A211" s="2189">
        <v>23</v>
      </c>
      <c r="B211" s="2196" t="s">
        <v>1625</v>
      </c>
      <c r="C211" s="2197"/>
      <c r="D211" s="2197">
        <v>706</v>
      </c>
      <c r="E211" s="1536" t="str">
        <f>_xlfn.XLOOKUP($D211,  Tabla3[No.],  Tabla3[CURP], " ")</f>
        <v>CALA600307HGTBLA00</v>
      </c>
      <c r="F211" s="1402" t="str">
        <f>_xlfn.XLOOKUP($D211,  Tabla3[No.],  Tabla3[Matrícula Of. SEQ], " ")</f>
        <v>64DD07E-03</v>
      </c>
      <c r="G211" s="1778" t="str">
        <f>IFERROR(VLOOKUP(D211,Tabla3[],5,FALSE),"")</f>
        <v>CABRERA LUNA ARMANDO BENJAMIN</v>
      </c>
      <c r="H211" s="1404" t="str">
        <f t="shared" si="36"/>
        <v>H</v>
      </c>
      <c r="I211" s="1404" t="str">
        <f t="shared" si="37"/>
        <v>60</v>
      </c>
      <c r="J211" s="1404" t="str">
        <f t="shared" si="38"/>
        <v>03</v>
      </c>
      <c r="K211" s="1404" t="str">
        <f t="shared" si="39"/>
        <v>07</v>
      </c>
      <c r="L211" s="1276" t="str">
        <f>_xlfn.XLOOKUP($D211,  Tabla3[No.],  Tabla3[ESTATUS ACADÉMICO], " ")</f>
        <v>VIGENTE</v>
      </c>
      <c r="M211" s="1404" t="s">
        <v>2592</v>
      </c>
      <c r="N211" s="2384">
        <v>9.6999999999999993</v>
      </c>
      <c r="O211" s="2384">
        <v>9.6999999999999993</v>
      </c>
      <c r="P211" s="2384">
        <v>9.3000000000000007</v>
      </c>
      <c r="Q211" s="2388">
        <v>9.4</v>
      </c>
      <c r="R211" s="2383" t="s">
        <v>135</v>
      </c>
      <c r="S211" s="2383" t="s">
        <v>135</v>
      </c>
      <c r="T211" s="2384">
        <v>9.5</v>
      </c>
      <c r="U211" s="2384">
        <v>9.5</v>
      </c>
      <c r="V211" s="1132">
        <v>10</v>
      </c>
      <c r="W211" s="1132">
        <v>10</v>
      </c>
      <c r="X211" s="2384">
        <v>10</v>
      </c>
      <c r="Y211" s="2384">
        <v>9.5</v>
      </c>
      <c r="Z211" s="1132">
        <v>10</v>
      </c>
      <c r="AA211" s="2384">
        <v>9.1999999999999993</v>
      </c>
      <c r="AB211" s="2384">
        <v>9.5</v>
      </c>
      <c r="AC211" s="2384">
        <v>9.8000000000000007</v>
      </c>
      <c r="AD211" s="2384">
        <v>9.5</v>
      </c>
      <c r="AE211" s="2384">
        <v>9.4</v>
      </c>
      <c r="AF211" s="2384">
        <v>9.4</v>
      </c>
      <c r="AG211" s="2384">
        <v>9.5</v>
      </c>
      <c r="AH211" s="2384">
        <v>9.4</v>
      </c>
      <c r="AI211" s="2397"/>
      <c r="AJ211" s="2379">
        <f>(AVERAGE(N211:AH211))</f>
        <v>9.594736842105263</v>
      </c>
    </row>
    <row r="212" spans="1:42" ht="15" customHeight="1" thickBot="1">
      <c r="A212" s="2189">
        <v>24</v>
      </c>
      <c r="B212" s="2196" t="s">
        <v>1625</v>
      </c>
      <c r="C212" s="2197"/>
      <c r="D212" s="2197">
        <v>705</v>
      </c>
      <c r="E212" s="1536" t="str">
        <f>_xlfn.XLOOKUP($D212,  Tabla3[No.],  Tabla3[CURP], " ")</f>
        <v>GAFD870804MGGRR00</v>
      </c>
      <c r="F212" s="1402" t="str">
        <f>_xlfn.XLOOKUP($D212,  Tabla3[No.],  Tabla3[Matrícula Of. SEQ], " ")</f>
        <v>64DD07E-04</v>
      </c>
      <c r="G212" s="1778" t="str">
        <f>IFERROR(VLOOKUP(D212,Tabla3[],5,FALSE),"")</f>
        <v>GARCIA FRAATZ DEBORA ESTHER</v>
      </c>
      <c r="H212" s="1404" t="str">
        <f t="shared" si="36"/>
        <v>M</v>
      </c>
      <c r="I212" s="1404" t="str">
        <f t="shared" si="37"/>
        <v>87</v>
      </c>
      <c r="J212" s="1404" t="str">
        <f t="shared" si="38"/>
        <v>08</v>
      </c>
      <c r="K212" s="1404" t="str">
        <f t="shared" si="39"/>
        <v>04</v>
      </c>
      <c r="L212" s="1276" t="str">
        <f>_xlfn.XLOOKUP($D212,  Tabla3[No.],  Tabla3[ESTATUS ACADÉMICO], " ")</f>
        <v>VIGENTE</v>
      </c>
      <c r="M212" s="1404" t="s">
        <v>2592</v>
      </c>
      <c r="N212" s="2384">
        <v>9.6999999999999993</v>
      </c>
      <c r="O212" s="2384">
        <v>9.6999999999999993</v>
      </c>
      <c r="P212" s="2384">
        <v>9.3000000000000007</v>
      </c>
      <c r="Q212" s="2388">
        <v>9.4</v>
      </c>
      <c r="R212" s="2383" t="s">
        <v>135</v>
      </c>
      <c r="S212" s="2383" t="s">
        <v>135</v>
      </c>
      <c r="T212" s="2389">
        <v>9.5</v>
      </c>
      <c r="U212" s="2384">
        <v>9.5</v>
      </c>
      <c r="V212" s="1132">
        <v>10</v>
      </c>
      <c r="W212" s="1132">
        <v>10</v>
      </c>
      <c r="X212" s="2384">
        <v>10</v>
      </c>
      <c r="Y212" s="2384">
        <v>9.5</v>
      </c>
      <c r="Z212" s="1132">
        <v>10</v>
      </c>
      <c r="AA212" s="2384">
        <v>9.3000000000000007</v>
      </c>
      <c r="AB212" s="2384">
        <v>9.5</v>
      </c>
      <c r="AC212" s="2384">
        <v>9.8000000000000007</v>
      </c>
      <c r="AD212" s="2384">
        <v>9.5</v>
      </c>
      <c r="AE212" s="2384">
        <v>9.4</v>
      </c>
      <c r="AF212" s="2384">
        <v>9.4</v>
      </c>
      <c r="AG212" s="2384">
        <v>9.5</v>
      </c>
      <c r="AH212" s="2384">
        <v>9.4</v>
      </c>
      <c r="AI212" s="2397"/>
      <c r="AJ212" s="2379">
        <f>(AVERAGE(N212:AH212))</f>
        <v>9.6</v>
      </c>
    </row>
    <row r="213" spans="1:42" ht="15" customHeight="1" thickBot="1">
      <c r="A213" s="2189">
        <v>25</v>
      </c>
      <c r="B213" s="2196" t="s">
        <v>1625</v>
      </c>
      <c r="C213" s="2197"/>
      <c r="D213" s="2197">
        <v>709</v>
      </c>
      <c r="E213" s="1536" t="str">
        <f>_xlfn.XLOOKUP($D213,  Tabla3[No.],  Tabla3[CURP], " ")</f>
        <v>AJMJ820513HGGAIA00</v>
      </c>
      <c r="F213" s="1402" t="str">
        <f>_xlfn.XLOOKUP($D213,  Tabla3[No.],  Tabla3[Matrícula Of. SEQ], " ")</f>
        <v>64DD07E-01</v>
      </c>
      <c r="G213" s="1778" t="str">
        <f>IFERROR(VLOOKUP(D213,Tabla3[],5,FALSE),"")</f>
        <v>AJIATAZ MARTINEZ JAIRO BENJAMIN</v>
      </c>
      <c r="H213" s="1404" t="str">
        <f t="shared" si="36"/>
        <v>H</v>
      </c>
      <c r="I213" s="1404" t="str">
        <f t="shared" si="37"/>
        <v>82</v>
      </c>
      <c r="J213" s="1404" t="str">
        <f t="shared" si="38"/>
        <v>05</v>
      </c>
      <c r="K213" s="1404" t="str">
        <f t="shared" si="39"/>
        <v>13</v>
      </c>
      <c r="L213" s="1276" t="str">
        <f>_xlfn.XLOOKUP($D213,  Tabla3[No.],  Tabla3[ESTATUS ACADÉMICO], " ")</f>
        <v>VIGENTE</v>
      </c>
      <c r="M213" s="1404" t="s">
        <v>2592</v>
      </c>
      <c r="N213" s="2384">
        <v>9.6999999999999993</v>
      </c>
      <c r="O213" s="2384">
        <v>9.6999999999999993</v>
      </c>
      <c r="P213" s="2384">
        <v>9.3000000000000007</v>
      </c>
      <c r="Q213" s="2388">
        <v>9.4</v>
      </c>
      <c r="R213" s="2383" t="s">
        <v>135</v>
      </c>
      <c r="S213" s="2383" t="s">
        <v>135</v>
      </c>
      <c r="T213" s="2384">
        <v>9.5</v>
      </c>
      <c r="U213" s="2384">
        <v>9.5</v>
      </c>
      <c r="V213" s="1132">
        <v>10</v>
      </c>
      <c r="W213" s="1132">
        <v>10</v>
      </c>
      <c r="X213" s="2384">
        <v>10</v>
      </c>
      <c r="Y213" s="2384">
        <v>9.5</v>
      </c>
      <c r="Z213" s="1132">
        <v>10</v>
      </c>
      <c r="AA213" s="2384">
        <v>9.3000000000000007</v>
      </c>
      <c r="AB213" s="2384">
        <v>9.5</v>
      </c>
      <c r="AC213" s="2384">
        <v>9.8000000000000007</v>
      </c>
      <c r="AD213" s="2384">
        <v>9.5</v>
      </c>
      <c r="AE213" s="2384">
        <v>9.4</v>
      </c>
      <c r="AF213" s="2384">
        <v>9.4</v>
      </c>
      <c r="AG213" s="2384">
        <v>9.5</v>
      </c>
      <c r="AH213" s="2384">
        <v>9.4</v>
      </c>
      <c r="AI213" s="2397"/>
      <c r="AJ213" s="2379">
        <f>(AVERAGE(N213:AH213))</f>
        <v>9.6</v>
      </c>
    </row>
    <row r="214" spans="1:42" ht="15" customHeight="1" thickBot="1">
      <c r="A214" s="2189">
        <v>26</v>
      </c>
      <c r="B214" s="2198" t="s">
        <v>1123</v>
      </c>
      <c r="C214" s="2197"/>
      <c r="D214" s="2197">
        <v>184</v>
      </c>
      <c r="E214" s="1536" t="str">
        <f>_xlfn.XLOOKUP($D214,  Tabla3[No.],  Tabla3[CURP], " ")</f>
        <v>LORM811011MCCPJL02</v>
      </c>
      <c r="F214" s="1402" t="str">
        <f>_xlfn.XLOOKUP($D214,  Tabla3[No.],  Tabla3[Matrícula Of. SEQ], " ")</f>
        <v>64MD04A-15</v>
      </c>
      <c r="G214" s="1778" t="str">
        <f>IFERROR(VLOOKUP(D214,Tabla3[],5,FALSE),"")</f>
        <v>LOPEZ REJON MILDRED</v>
      </c>
      <c r="H214" s="1404" t="str">
        <f t="shared" si="36"/>
        <v>M</v>
      </c>
      <c r="I214" s="1404" t="str">
        <f t="shared" si="37"/>
        <v>81</v>
      </c>
      <c r="J214" s="1404" t="str">
        <f t="shared" si="38"/>
        <v>10</v>
      </c>
      <c r="K214" s="1404" t="str">
        <f t="shared" si="39"/>
        <v>11</v>
      </c>
      <c r="L214" s="1276" t="str">
        <f>_xlfn.XLOOKUP($D214,  Tabla3[No.],  Tabla3[ESTATUS ACADÉMICO], " ")</f>
        <v>EGRESADO</v>
      </c>
      <c r="M214" s="1404" t="s">
        <v>2592</v>
      </c>
      <c r="N214" s="2384">
        <v>9.6999999999999993</v>
      </c>
      <c r="O214" s="2384">
        <v>9.6999999999999993</v>
      </c>
      <c r="P214" s="2384">
        <v>9.3000000000000007</v>
      </c>
      <c r="Q214" s="2388">
        <v>9.4</v>
      </c>
      <c r="R214" s="2383" t="s">
        <v>135</v>
      </c>
      <c r="S214" s="2383" t="s">
        <v>135</v>
      </c>
      <c r="T214" s="2384">
        <v>9.5</v>
      </c>
      <c r="U214" s="2384">
        <v>9.5</v>
      </c>
      <c r="V214" s="1132">
        <v>10</v>
      </c>
      <c r="W214" s="1132">
        <v>10</v>
      </c>
      <c r="X214" s="2384">
        <v>10</v>
      </c>
      <c r="Y214" s="2384">
        <v>9.5</v>
      </c>
      <c r="Z214" s="1132">
        <v>10</v>
      </c>
      <c r="AA214" s="2384">
        <v>9.3000000000000007</v>
      </c>
      <c r="AB214" s="2384">
        <v>9.5</v>
      </c>
      <c r="AC214" s="2384">
        <v>9.8000000000000007</v>
      </c>
      <c r="AD214" s="2384">
        <v>9.5</v>
      </c>
      <c r="AE214" s="2384">
        <v>9.4</v>
      </c>
      <c r="AF214" s="2384">
        <v>9.4</v>
      </c>
      <c r="AG214" s="2384">
        <v>9.5</v>
      </c>
      <c r="AH214" s="2384">
        <v>9.4</v>
      </c>
      <c r="AI214" s="2397"/>
      <c r="AJ214" s="2379">
        <f>(AVERAGE(N214:AH214))</f>
        <v>9.6</v>
      </c>
      <c r="AO214" s="1747"/>
      <c r="AP214" s="1747"/>
    </row>
    <row r="215" spans="1:42" ht="15" customHeight="1" thickBot="1">
      <c r="A215" s="2189">
        <v>27</v>
      </c>
      <c r="B215" s="2198"/>
      <c r="C215" s="2197"/>
      <c r="D215" s="2198">
        <v>754</v>
      </c>
      <c r="E215" s="1536" t="str">
        <f>_xlfn.XLOOKUP($D215,  Tabla3[No.],  Tabla3[CURP], " ")</f>
        <v>LECM530817MGT</v>
      </c>
      <c r="F215" s="1402" t="str">
        <f>_xlfn.XLOOKUP($D215,  Tabla3[No.],  Tabla3[Matrícula Of. SEQ], " ")</f>
        <v>64DD07L-07</v>
      </c>
      <c r="G215" s="1778" t="str">
        <f>IFERROR(VLOOKUP(D215,Tabla3[],5,FALSE),"")</f>
        <v>LEAL CHAVEZ MARIA LESBIA</v>
      </c>
      <c r="H215" s="1404" t="str">
        <f t="shared" si="36"/>
        <v>M</v>
      </c>
      <c r="I215" s="1404" t="str">
        <f t="shared" si="37"/>
        <v>53</v>
      </c>
      <c r="J215" s="1404" t="str">
        <f t="shared" si="38"/>
        <v>08</v>
      </c>
      <c r="K215" s="1404" t="str">
        <f t="shared" si="39"/>
        <v>17</v>
      </c>
      <c r="L215" s="1276" t="str">
        <f>_xlfn.XLOOKUP($D215,  Tabla3[No.],  Tabla3[ESTATUS ACADÉMICO], " ")</f>
        <v>EGRESADO</v>
      </c>
      <c r="M215" s="3105" t="s">
        <v>2592</v>
      </c>
      <c r="N215" s="2384">
        <v>9.6999999999999993</v>
      </c>
      <c r="O215" s="2384">
        <v>9.6999999999999993</v>
      </c>
      <c r="P215" s="2384">
        <v>9.3000000000000007</v>
      </c>
      <c r="Q215" s="2388">
        <v>9.4</v>
      </c>
      <c r="R215" s="2383" t="s">
        <v>135</v>
      </c>
      <c r="S215" s="2383" t="s">
        <v>135</v>
      </c>
      <c r="T215" s="2384">
        <v>9.5</v>
      </c>
      <c r="U215" s="2384">
        <v>9.5</v>
      </c>
      <c r="V215" s="1132">
        <v>10</v>
      </c>
      <c r="W215" s="1132">
        <v>10</v>
      </c>
      <c r="X215" s="2384">
        <v>10</v>
      </c>
      <c r="Y215" s="2384">
        <v>9.5</v>
      </c>
      <c r="Z215" s="1132">
        <v>10</v>
      </c>
      <c r="AA215" s="2384">
        <v>9.3000000000000007</v>
      </c>
      <c r="AB215" s="2384">
        <v>9.5</v>
      </c>
      <c r="AC215" s="2384">
        <v>9.8000000000000007</v>
      </c>
      <c r="AD215" s="2384">
        <v>9.5</v>
      </c>
      <c r="AE215" s="2384">
        <v>9.4</v>
      </c>
      <c r="AF215" s="2384">
        <v>9.4</v>
      </c>
      <c r="AG215" s="2384">
        <v>9.5</v>
      </c>
      <c r="AH215" s="2384">
        <v>9.4</v>
      </c>
      <c r="AI215" s="2397"/>
      <c r="AJ215" s="2379">
        <f>AVERAGE(N215:AH215)</f>
        <v>9.6</v>
      </c>
    </row>
    <row r="216" spans="1:42" ht="15" customHeight="1" thickBot="1">
      <c r="A216" s="2189">
        <v>28</v>
      </c>
      <c r="B216" s="2206"/>
      <c r="C216" s="2207"/>
      <c r="D216" s="2207">
        <v>849</v>
      </c>
      <c r="E216" s="1536" t="str">
        <f>_xlfn.XLOOKUP($D216,  Tabla3[No.],  Tabla3[CURP], " ")</f>
        <v>VAML800101MGT</v>
      </c>
      <c r="F216" s="1402" t="str">
        <f>_xlfn.XLOOKUP($D216,  Tabla3[No.],  Tabla3[Matrícula Of. SEQ], " ")</f>
        <v>SIN DOCUMENTOS</v>
      </c>
      <c r="G216" s="1778" t="str">
        <f>IFERROR(VLOOKUP(D216,Tabla3[],5,FALSE),"")</f>
        <v>VASQUEZ MONTERO LORENA</v>
      </c>
      <c r="H216" s="1404" t="str">
        <f t="shared" si="36"/>
        <v>M</v>
      </c>
      <c r="I216" s="1404" t="str">
        <f t="shared" si="37"/>
        <v>80</v>
      </c>
      <c r="J216" s="1404" t="str">
        <f t="shared" si="38"/>
        <v>01</v>
      </c>
      <c r="K216" s="1404" t="str">
        <f t="shared" si="39"/>
        <v>01</v>
      </c>
      <c r="L216" s="1276" t="str">
        <f>_xlfn.XLOOKUP($D216,  Tabla3[No.],  Tabla3[ESTATUS ACADÉMICO], " ")</f>
        <v>BAJA TEMPORAL</v>
      </c>
      <c r="M216" s="1404" t="s">
        <v>2592</v>
      </c>
      <c r="N216" s="2384">
        <v>9.6999999999999993</v>
      </c>
      <c r="O216" s="2384">
        <v>9.6999999999999993</v>
      </c>
      <c r="P216" s="2384">
        <v>9.3000000000000007</v>
      </c>
      <c r="Q216" s="2388">
        <v>9.4</v>
      </c>
      <c r="R216" s="2383" t="s">
        <v>135</v>
      </c>
      <c r="S216" s="2383" t="s">
        <v>135</v>
      </c>
      <c r="T216" s="2384">
        <v>9.5</v>
      </c>
      <c r="U216" s="2384">
        <v>9.5</v>
      </c>
      <c r="V216" s="1132">
        <v>10</v>
      </c>
      <c r="W216" s="1132">
        <v>10</v>
      </c>
      <c r="X216" s="2384">
        <v>10</v>
      </c>
      <c r="Y216" s="2384">
        <v>9.5</v>
      </c>
      <c r="Z216" s="1132">
        <v>10</v>
      </c>
      <c r="AA216" s="2384">
        <v>9.3000000000000007</v>
      </c>
      <c r="AB216" s="2384">
        <v>9.4</v>
      </c>
      <c r="AC216" s="2384">
        <v>9.8000000000000007</v>
      </c>
      <c r="AD216" s="2384">
        <v>9.5</v>
      </c>
      <c r="AE216" s="2384">
        <v>9.4</v>
      </c>
      <c r="AF216" s="2384">
        <v>9.4</v>
      </c>
      <c r="AG216" s="2384">
        <v>9.5</v>
      </c>
      <c r="AH216" s="2384">
        <v>9.4</v>
      </c>
      <c r="AI216" s="2397"/>
      <c r="AJ216" s="2379"/>
    </row>
    <row r="217" spans="1:42" s="1747" customFormat="1" ht="15" customHeight="1" thickBot="1">
      <c r="A217" s="3106">
        <v>29</v>
      </c>
      <c r="B217" s="3107" t="s">
        <v>1625</v>
      </c>
      <c r="C217" s="3108"/>
      <c r="D217" s="3108">
        <v>678</v>
      </c>
      <c r="E217" s="3109" t="str">
        <f>_xlfn.XLOOKUP($D217,  Tabla3[No.],  Tabla3[CURP], " ")</f>
        <v>AAGJ820309MGGDA00</v>
      </c>
      <c r="F217" s="1402" t="str">
        <f>_xlfn.XLOOKUP($D217,  Tabla3[No.],  Tabla3[Matrícula Of. SEQ], " ")</f>
        <v>64MDP04A-01</v>
      </c>
      <c r="G217" s="3110" t="str">
        <f>IFERROR(VLOOKUP(D217,Tabla3[],5,FALSE),"")</f>
        <v>ALDANA GARCIA JENIFFER ALEJANDRA</v>
      </c>
      <c r="H217" s="1402" t="str">
        <f t="shared" si="36"/>
        <v>M</v>
      </c>
      <c r="I217" s="1402" t="str">
        <f t="shared" si="37"/>
        <v>82</v>
      </c>
      <c r="J217" s="1402" t="str">
        <f t="shared" si="38"/>
        <v>03</v>
      </c>
      <c r="K217" s="1402" t="str">
        <f t="shared" si="39"/>
        <v>09</v>
      </c>
      <c r="L217" s="1385" t="str">
        <f>_xlfn.XLOOKUP($D217,  Tabla3[No.],  Tabla3[ESTATUS ACADÉMICO], " ")</f>
        <v>EGRESADO</v>
      </c>
      <c r="M217" s="1402" t="s">
        <v>2592</v>
      </c>
      <c r="N217" s="3111">
        <v>9.6999999999999993</v>
      </c>
      <c r="O217" s="3111">
        <v>9.6999999999999993</v>
      </c>
      <c r="P217" s="3111">
        <v>9.3000000000000007</v>
      </c>
      <c r="Q217" s="3111">
        <v>9.4</v>
      </c>
      <c r="R217" s="3112" t="s">
        <v>135</v>
      </c>
      <c r="S217" s="3112">
        <v>9.5</v>
      </c>
      <c r="T217" s="3111">
        <v>9.5</v>
      </c>
      <c r="U217" s="3111">
        <v>9.5</v>
      </c>
      <c r="V217" s="2013">
        <v>10</v>
      </c>
      <c r="W217" s="3111">
        <v>10</v>
      </c>
      <c r="X217" s="3111">
        <v>10</v>
      </c>
      <c r="Y217" s="3111">
        <v>9.5</v>
      </c>
      <c r="Z217" s="2013">
        <v>10</v>
      </c>
      <c r="AA217" s="3111">
        <v>9.3000000000000007</v>
      </c>
      <c r="AB217" s="3111">
        <v>9.5</v>
      </c>
      <c r="AC217" s="3111">
        <v>9.8000000000000007</v>
      </c>
      <c r="AD217" s="3111">
        <v>9.5</v>
      </c>
      <c r="AE217" s="3111">
        <v>9.4</v>
      </c>
      <c r="AF217" s="3111">
        <v>9.4</v>
      </c>
      <c r="AG217" s="3111">
        <v>9.5</v>
      </c>
      <c r="AH217" s="3111">
        <v>9.4</v>
      </c>
      <c r="AI217" s="3113">
        <f>AVERAGE(N217:AH217)</f>
        <v>9.5950000000000006</v>
      </c>
      <c r="AJ217" s="3114"/>
      <c r="AO217"/>
      <c r="AP217"/>
    </row>
    <row r="218" spans="1:42" ht="15" customHeight="1" thickBot="1">
      <c r="A218" s="2189">
        <v>30</v>
      </c>
      <c r="B218" s="2196" t="s">
        <v>1625</v>
      </c>
      <c r="C218" s="2197"/>
      <c r="D218" s="2197">
        <v>679</v>
      </c>
      <c r="E218" s="1536" t="str">
        <f>_xlfn.XLOOKUP($D218,  Tabla3[No.],  Tabla3[CURP], " ")</f>
        <v>GAGE821211MGGRO00</v>
      </c>
      <c r="F218" s="1402" t="str">
        <f>_xlfn.XLOOKUP($D218,  Tabla3[No.],  Tabla3[Matrícula Of. SEQ], " ")</f>
        <v>64DD07D-01</v>
      </c>
      <c r="G218" s="1778" t="str">
        <f>IFERROR(VLOOKUP(D218,Tabla3[],5,FALSE),"")</f>
        <v>GARCIA GONZALEZ EMMA LUCRECIA</v>
      </c>
      <c r="H218" s="1404" t="str">
        <f t="shared" si="36"/>
        <v>M</v>
      </c>
      <c r="I218" s="1404" t="str">
        <f t="shared" si="37"/>
        <v>82</v>
      </c>
      <c r="J218" s="1404" t="str">
        <f t="shared" si="38"/>
        <v>12</v>
      </c>
      <c r="K218" s="1404" t="str">
        <f t="shared" si="39"/>
        <v>11</v>
      </c>
      <c r="L218" s="1276" t="str">
        <f>_xlfn.XLOOKUP($D218,  Tabla3[No.],  Tabla3[ESTATUS ACADÉMICO], " ")</f>
        <v>EGRESADO</v>
      </c>
      <c r="M218" s="3105" t="s">
        <v>2592</v>
      </c>
      <c r="N218" s="2384">
        <v>9.6999999999999993</v>
      </c>
      <c r="O218" s="2384">
        <v>9.6999999999999993</v>
      </c>
      <c r="P218" s="2384">
        <v>9.3000000000000007</v>
      </c>
      <c r="Q218" s="2388">
        <v>9.4</v>
      </c>
      <c r="R218" s="2383" t="s">
        <v>135</v>
      </c>
      <c r="S218" s="2383" t="s">
        <v>135</v>
      </c>
      <c r="T218" s="2384">
        <v>9.5</v>
      </c>
      <c r="U218" s="2384">
        <v>9.5</v>
      </c>
      <c r="V218" s="1132">
        <v>10</v>
      </c>
      <c r="W218" s="1132">
        <v>10</v>
      </c>
      <c r="X218" s="2384">
        <v>10</v>
      </c>
      <c r="Y218" s="2384">
        <v>9.5</v>
      </c>
      <c r="Z218" s="1132">
        <v>10</v>
      </c>
      <c r="AA218" s="2384">
        <v>9.1999999999999993</v>
      </c>
      <c r="AB218" s="2384">
        <v>9.5</v>
      </c>
      <c r="AC218" s="2384">
        <v>9.8000000000000007</v>
      </c>
      <c r="AD218" s="2384">
        <v>9.5</v>
      </c>
      <c r="AE218" s="2384">
        <v>9.4</v>
      </c>
      <c r="AF218" s="2384">
        <v>9.4</v>
      </c>
      <c r="AG218" s="2384">
        <v>9.5</v>
      </c>
      <c r="AH218" s="2384">
        <v>9.4</v>
      </c>
      <c r="AI218" s="2397">
        <v>10</v>
      </c>
      <c r="AJ218" s="2379">
        <f t="shared" ref="AJ218:AJ230" si="41">(AVERAGE(N218:AH218))</f>
        <v>9.594736842105263</v>
      </c>
    </row>
    <row r="219" spans="1:42" ht="15" customHeight="1" thickBot="1">
      <c r="A219" s="2189">
        <v>31</v>
      </c>
      <c r="B219" s="2196" t="s">
        <v>1625</v>
      </c>
      <c r="C219" s="2197"/>
      <c r="D219" s="2197">
        <v>674</v>
      </c>
      <c r="E219" s="1536" t="str">
        <f>_xlfn.XLOOKUP($D219,  Tabla3[No.],  Tabla3[CURP], " ")</f>
        <v>NOEG861201HGGRS00</v>
      </c>
      <c r="F219" s="1402" t="str">
        <f>_xlfn.XLOOKUP($D219,  Tabla3[No.],  Tabla3[Matrícula Of. SEQ], " ")</f>
        <v>64DD07D-05</v>
      </c>
      <c r="G219" s="1778" t="str">
        <f>IFERROR(VLOOKUP(D219,Tabla3[],5,FALSE),"")</f>
        <v>NORIEGA ESTRADA GUSTAVO ADOLFO</v>
      </c>
      <c r="H219" s="1404" t="str">
        <f t="shared" si="36"/>
        <v>H</v>
      </c>
      <c r="I219" s="1404" t="str">
        <f t="shared" si="37"/>
        <v>86</v>
      </c>
      <c r="J219" s="1404" t="str">
        <f t="shared" si="38"/>
        <v>12</v>
      </c>
      <c r="K219" s="1404" t="str">
        <f t="shared" si="39"/>
        <v>01</v>
      </c>
      <c r="L219" s="1276" t="str">
        <f>_xlfn.XLOOKUP($D219,  Tabla3[No.],  Tabla3[ESTATUS ACADÉMICO], " ")</f>
        <v>EGRESADO</v>
      </c>
      <c r="M219" s="3105" t="s">
        <v>2592</v>
      </c>
      <c r="N219" s="2384">
        <v>9.6999999999999993</v>
      </c>
      <c r="O219" s="2384">
        <v>9.6999999999999993</v>
      </c>
      <c r="P219" s="2384">
        <v>9.3000000000000007</v>
      </c>
      <c r="Q219" s="2388">
        <v>9.4</v>
      </c>
      <c r="R219" s="2383" t="s">
        <v>135</v>
      </c>
      <c r="S219" s="2383" t="s">
        <v>135</v>
      </c>
      <c r="T219" s="2384">
        <v>9.5</v>
      </c>
      <c r="U219" s="2384">
        <v>9.5</v>
      </c>
      <c r="V219" s="1132">
        <v>10</v>
      </c>
      <c r="W219" s="1132">
        <v>10</v>
      </c>
      <c r="X219" s="2384">
        <v>10</v>
      </c>
      <c r="Y219" s="2384">
        <v>9.5</v>
      </c>
      <c r="Z219" s="1132">
        <v>10</v>
      </c>
      <c r="AA219" s="2384">
        <v>9.3000000000000007</v>
      </c>
      <c r="AB219" s="2384">
        <v>9.5</v>
      </c>
      <c r="AC219" s="2384">
        <v>9.8000000000000007</v>
      </c>
      <c r="AD219" s="2384">
        <v>9.5</v>
      </c>
      <c r="AE219" s="2384">
        <v>9.4</v>
      </c>
      <c r="AF219" s="2384">
        <v>9.4</v>
      </c>
      <c r="AG219" s="2384">
        <v>9.5</v>
      </c>
      <c r="AH219" s="2384">
        <v>9.4</v>
      </c>
      <c r="AI219" s="2397"/>
      <c r="AJ219" s="2379">
        <f t="shared" si="41"/>
        <v>9.6</v>
      </c>
    </row>
    <row r="220" spans="1:42" ht="15" customHeight="1" thickBot="1">
      <c r="A220" s="2189">
        <v>32</v>
      </c>
      <c r="B220" s="2196" t="s">
        <v>1625</v>
      </c>
      <c r="C220" s="2197"/>
      <c r="D220" s="2197">
        <v>708</v>
      </c>
      <c r="E220" s="1536" t="str">
        <f>_xlfn.XLOOKUP($D220,  Tabla3[No.],  Tabla3[CURP], " ")</f>
        <v>GAPM700307HGGRA00</v>
      </c>
      <c r="F220" s="1402" t="str">
        <f>_xlfn.XLOOKUP($D220,  Tabla3[No.],  Tabla3[Matrícula Of. SEQ], " ")</f>
        <v>64DD07E-05</v>
      </c>
      <c r="G220" s="1778" t="str">
        <f>IFERROR(VLOOKUP(D220,Tabla3[],5,FALSE),"")</f>
        <v>GARCIA PAREDES MARTA PATRICIA</v>
      </c>
      <c r="H220" s="1404" t="str">
        <f t="shared" si="36"/>
        <v>H</v>
      </c>
      <c r="I220" s="1404" t="str">
        <f t="shared" si="37"/>
        <v>70</v>
      </c>
      <c r="J220" s="1404" t="str">
        <f t="shared" si="38"/>
        <v>03</v>
      </c>
      <c r="K220" s="1404" t="str">
        <f t="shared" si="39"/>
        <v>07</v>
      </c>
      <c r="L220" s="1276" t="str">
        <f>_xlfn.XLOOKUP($D220,  Tabla3[No.],  Tabla3[ESTATUS ACADÉMICO], " ")</f>
        <v>VIGENTE</v>
      </c>
      <c r="M220" s="1404" t="s">
        <v>2592</v>
      </c>
      <c r="N220" s="2384">
        <v>9.6999999999999993</v>
      </c>
      <c r="O220" s="2384">
        <v>9.6999999999999993</v>
      </c>
      <c r="P220" s="2384">
        <v>9.3000000000000007</v>
      </c>
      <c r="Q220" s="2388">
        <v>9.4</v>
      </c>
      <c r="R220" s="2383" t="s">
        <v>135</v>
      </c>
      <c r="S220" s="2383" t="s">
        <v>135</v>
      </c>
      <c r="T220" s="2384">
        <v>9.1999999999999993</v>
      </c>
      <c r="U220" s="2384">
        <v>9.3000000000000007</v>
      </c>
      <c r="V220" s="2384">
        <v>9.5</v>
      </c>
      <c r="W220" s="2384">
        <v>10</v>
      </c>
      <c r="X220" s="2384">
        <v>10</v>
      </c>
      <c r="Y220" s="2384">
        <v>10</v>
      </c>
      <c r="Z220" s="2384">
        <v>9.5</v>
      </c>
      <c r="AA220" s="2384">
        <v>9.3000000000000007</v>
      </c>
      <c r="AB220" s="2384">
        <v>9.5</v>
      </c>
      <c r="AC220" s="2384">
        <v>9.8000000000000007</v>
      </c>
      <c r="AD220" s="2384">
        <v>9.5</v>
      </c>
      <c r="AE220" s="2384">
        <v>9.4</v>
      </c>
      <c r="AF220" s="2384">
        <v>9.4</v>
      </c>
      <c r="AG220" s="2384">
        <v>9.5</v>
      </c>
      <c r="AH220" s="2384">
        <v>9.4</v>
      </c>
      <c r="AI220" s="2397"/>
      <c r="AJ220" s="2379">
        <f t="shared" si="41"/>
        <v>9.5473684210526315</v>
      </c>
    </row>
    <row r="221" spans="1:42" ht="15" customHeight="1" thickBot="1">
      <c r="A221" s="2189">
        <v>33</v>
      </c>
      <c r="B221" s="2196" t="s">
        <v>1625</v>
      </c>
      <c r="C221" s="2197"/>
      <c r="D221" s="2197">
        <v>680</v>
      </c>
      <c r="E221" s="1536" t="str">
        <f>_xlfn.XLOOKUP($D221,  Tabla3[No.],  Tabla3[CURP], " ")</f>
        <v>MAMB680614MGGKA00</v>
      </c>
      <c r="F221" s="1402" t="str">
        <f>_xlfn.XLOOKUP($D221,  Tabla3[No.],  Tabla3[Matrícula Of. SEQ], " ")</f>
        <v>64DD07D-03</v>
      </c>
      <c r="G221" s="1778" t="str">
        <f>IFERROR(VLOOKUP(D221,Tabla3[],5,FALSE),"")</f>
        <v>MAKEPEACE MAZARIEGOS  BRENDA MAYABEL</v>
      </c>
      <c r="H221" s="1404" t="str">
        <f t="shared" si="36"/>
        <v>M</v>
      </c>
      <c r="I221" s="1404" t="str">
        <f t="shared" si="37"/>
        <v>68</v>
      </c>
      <c r="J221" s="1404" t="str">
        <f t="shared" si="38"/>
        <v>06</v>
      </c>
      <c r="K221" s="1404" t="str">
        <f t="shared" si="39"/>
        <v>14</v>
      </c>
      <c r="L221" s="1276" t="str">
        <f>_xlfn.XLOOKUP($D221,  Tabla3[No.],  Tabla3[ESTATUS ACADÉMICO], " ")</f>
        <v>EGRESADO</v>
      </c>
      <c r="M221" s="1404" t="s">
        <v>2592</v>
      </c>
      <c r="N221" s="2384">
        <v>9.6999999999999993</v>
      </c>
      <c r="O221" s="2384">
        <v>9.6999999999999993</v>
      </c>
      <c r="P221" s="2384">
        <v>9.3000000000000007</v>
      </c>
      <c r="Q221" s="2388">
        <v>9.4</v>
      </c>
      <c r="R221" s="2383" t="s">
        <v>135</v>
      </c>
      <c r="S221" s="2383" t="s">
        <v>135</v>
      </c>
      <c r="T221" s="2383" t="s">
        <v>135</v>
      </c>
      <c r="U221" s="2383" t="s">
        <v>135</v>
      </c>
      <c r="V221" s="2383" t="s">
        <v>135</v>
      </c>
      <c r="W221" s="2384">
        <v>10</v>
      </c>
      <c r="X221" s="2384">
        <v>10</v>
      </c>
      <c r="Y221" s="2384">
        <v>10</v>
      </c>
      <c r="Z221" s="2384">
        <v>9.5</v>
      </c>
      <c r="AA221" s="2384">
        <v>9.3000000000000007</v>
      </c>
      <c r="AB221" s="2384">
        <v>9.5</v>
      </c>
      <c r="AC221" s="2384">
        <v>9.8000000000000007</v>
      </c>
      <c r="AD221" s="2384">
        <v>9.5</v>
      </c>
      <c r="AE221" s="2384">
        <v>9.4</v>
      </c>
      <c r="AF221" s="2384">
        <v>9.4</v>
      </c>
      <c r="AG221" s="2384">
        <v>9.5</v>
      </c>
      <c r="AH221" s="2384">
        <v>9.4</v>
      </c>
      <c r="AI221" s="2397">
        <v>10</v>
      </c>
      <c r="AJ221" s="2379">
        <f t="shared" si="41"/>
        <v>9.5875000000000004</v>
      </c>
    </row>
    <row r="222" spans="1:42" ht="15" customHeight="1" thickBot="1">
      <c r="A222" s="2189">
        <v>34</v>
      </c>
      <c r="B222" s="2200" t="s">
        <v>1123</v>
      </c>
      <c r="C222" s="2197"/>
      <c r="D222" s="2197">
        <v>703</v>
      </c>
      <c r="E222" s="1536" t="str">
        <f>_xlfn.XLOOKUP($D222,  Tabla3[No.],  Tabla3[CURP], " ")</f>
        <v>SACC780518MGGME00</v>
      </c>
      <c r="F222" s="1402" t="str">
        <f>_xlfn.XLOOKUP($D222,  Tabla3[No.],  Tabla3[Matrícula Of. SEQ], " ")</f>
        <v>64DD07E-08</v>
      </c>
      <c r="G222" s="1778" t="str">
        <f>IFERROR(VLOOKUP(D222,Tabla3[],5,FALSE),"")</f>
        <v>SAMAYOA CERMEÑO CLEOTILDE MAGALI</v>
      </c>
      <c r="H222" s="1404" t="str">
        <f t="shared" si="36"/>
        <v>M</v>
      </c>
      <c r="I222" s="1404" t="str">
        <f t="shared" si="37"/>
        <v>78</v>
      </c>
      <c r="J222" s="1404" t="str">
        <f t="shared" si="38"/>
        <v>05</v>
      </c>
      <c r="K222" s="1404" t="str">
        <f t="shared" si="39"/>
        <v>18</v>
      </c>
      <c r="L222" s="1276" t="str">
        <f>_xlfn.XLOOKUP($D222,  Tabla3[No.],  Tabla3[ESTATUS ACADÉMICO], " ")</f>
        <v>VIGENTE</v>
      </c>
      <c r="M222" s="1404" t="s">
        <v>2592</v>
      </c>
      <c r="N222" s="2384">
        <v>9.6999999999999993</v>
      </c>
      <c r="O222" s="2384">
        <v>9.6999999999999993</v>
      </c>
      <c r="P222" s="2384">
        <v>9.3000000000000007</v>
      </c>
      <c r="Q222" s="2388">
        <v>9.4</v>
      </c>
      <c r="R222" s="2383" t="s">
        <v>135</v>
      </c>
      <c r="S222" s="2383" t="s">
        <v>135</v>
      </c>
      <c r="T222" s="2383" t="s">
        <v>135</v>
      </c>
      <c r="U222" s="2383" t="s">
        <v>135</v>
      </c>
      <c r="V222" s="2383" t="s">
        <v>135</v>
      </c>
      <c r="W222" s="2383" t="s">
        <v>135</v>
      </c>
      <c r="X222" s="2384">
        <v>10</v>
      </c>
      <c r="Y222" s="2384">
        <v>10</v>
      </c>
      <c r="Z222" s="2384">
        <v>9.5</v>
      </c>
      <c r="AA222" s="2384">
        <v>9.3000000000000007</v>
      </c>
      <c r="AB222" s="2384">
        <v>9.5</v>
      </c>
      <c r="AC222" s="2384">
        <v>9.8000000000000007</v>
      </c>
      <c r="AD222" s="2384">
        <v>9.5</v>
      </c>
      <c r="AE222" s="2384">
        <v>9.4</v>
      </c>
      <c r="AF222" s="2384">
        <v>9.4</v>
      </c>
      <c r="AG222" s="2384">
        <v>9.5</v>
      </c>
      <c r="AH222" s="2384">
        <v>9.4</v>
      </c>
      <c r="AI222" s="2397"/>
      <c r="AJ222" s="2379">
        <f t="shared" si="41"/>
        <v>9.56</v>
      </c>
    </row>
    <row r="223" spans="1:42" ht="15" customHeight="1" thickBot="1">
      <c r="A223" s="2189">
        <v>35</v>
      </c>
      <c r="B223" s="2200" t="s">
        <v>1123</v>
      </c>
      <c r="C223" s="2197"/>
      <c r="D223" s="2197">
        <v>712</v>
      </c>
      <c r="E223" s="1536" t="str">
        <f>_xlfn.XLOOKUP($D223,  Tabla3[No.],  Tabla3[CURP], " ")</f>
        <v>HEAL661005HGGNR00</v>
      </c>
      <c r="F223" s="1402" t="str">
        <f>_xlfn.XLOOKUP($D223,  Tabla3[No.],  Tabla3[Matrícula Of. SEQ], " ")</f>
        <v>64DD07F-03</v>
      </c>
      <c r="G223" s="1778" t="str">
        <f>IFERROR(VLOOKUP(D223,Tabla3[],5,FALSE),"")</f>
        <v>HERNANDEZ ARRIVILLAGA LUIS ALBERTO</v>
      </c>
      <c r="H223" s="1404" t="str">
        <f t="shared" si="36"/>
        <v>H</v>
      </c>
      <c r="I223" s="1404" t="str">
        <f t="shared" si="37"/>
        <v>66</v>
      </c>
      <c r="J223" s="1404" t="str">
        <f t="shared" si="38"/>
        <v>10</v>
      </c>
      <c r="K223" s="1404" t="str">
        <f t="shared" si="39"/>
        <v>05</v>
      </c>
      <c r="L223" s="1276" t="str">
        <f>_xlfn.XLOOKUP($D223,  Tabla3[No.],  Tabla3[ESTATUS ACADÉMICO], " ")</f>
        <v>EGRESADO</v>
      </c>
      <c r="M223" s="3105" t="s">
        <v>2592</v>
      </c>
      <c r="N223" s="2384">
        <v>9.6999999999999993</v>
      </c>
      <c r="O223" s="2384">
        <v>9.6999999999999993</v>
      </c>
      <c r="P223" s="2384">
        <v>9.3000000000000007</v>
      </c>
      <c r="Q223" s="2388">
        <v>9.4</v>
      </c>
      <c r="R223" s="2383" t="s">
        <v>135</v>
      </c>
      <c r="S223" s="2383" t="s">
        <v>135</v>
      </c>
      <c r="T223" s="2383" t="s">
        <v>135</v>
      </c>
      <c r="U223" s="2383" t="s">
        <v>135</v>
      </c>
      <c r="V223" s="2383" t="s">
        <v>135</v>
      </c>
      <c r="W223" s="2383" t="s">
        <v>135</v>
      </c>
      <c r="X223" s="2384">
        <v>10</v>
      </c>
      <c r="Y223" s="2384">
        <v>10</v>
      </c>
      <c r="Z223" s="2384">
        <v>9.5</v>
      </c>
      <c r="AA223" s="2384">
        <v>9.3000000000000007</v>
      </c>
      <c r="AB223" s="2384">
        <v>9.5</v>
      </c>
      <c r="AC223" s="2384">
        <v>9.8000000000000007</v>
      </c>
      <c r="AD223" s="2384">
        <v>9.5</v>
      </c>
      <c r="AE223" s="2384">
        <v>9.4</v>
      </c>
      <c r="AF223" s="2384">
        <v>9.4</v>
      </c>
      <c r="AG223" s="2384">
        <v>9.5</v>
      </c>
      <c r="AH223" s="2384">
        <v>9.4</v>
      </c>
      <c r="AI223" s="2397"/>
      <c r="AJ223" s="2379">
        <f t="shared" si="41"/>
        <v>9.56</v>
      </c>
    </row>
    <row r="224" spans="1:42" ht="15" customHeight="1" thickBot="1">
      <c r="A224" s="2189">
        <v>36</v>
      </c>
      <c r="B224" s="2200" t="s">
        <v>4160</v>
      </c>
      <c r="C224" s="2197"/>
      <c r="D224" s="2197">
        <v>711</v>
      </c>
      <c r="E224" s="1536" t="str">
        <f>_xlfn.XLOOKUP($D224,  Tabla3[No.],  Tabla3[CURP], " ")</f>
        <v>GAVI830411MGGRS00</v>
      </c>
      <c r="F224" s="1402" t="str">
        <f>_xlfn.XLOOKUP($D224,  Tabla3[No.],  Tabla3[Matrícula Of. SEQ], " ")</f>
        <v>64DD07F-02</v>
      </c>
      <c r="G224" s="1778" t="str">
        <f>IFERROR(VLOOKUP(D224,Tabla3[],5,FALSE),"")</f>
        <v>GARCIA VASQUEZ INGRID VANESSA</v>
      </c>
      <c r="H224" s="1404" t="str">
        <f t="shared" si="36"/>
        <v>M</v>
      </c>
      <c r="I224" s="1404" t="str">
        <f t="shared" si="37"/>
        <v>83</v>
      </c>
      <c r="J224" s="1404" t="str">
        <f t="shared" si="38"/>
        <v>04</v>
      </c>
      <c r="K224" s="1404" t="str">
        <f t="shared" si="39"/>
        <v>11</v>
      </c>
      <c r="L224" s="1276" t="str">
        <f>_xlfn.XLOOKUP($D224,  Tabla3[No.],  Tabla3[ESTATUS ACADÉMICO], " ")</f>
        <v>EGRESADO</v>
      </c>
      <c r="M224" s="3105" t="s">
        <v>2592</v>
      </c>
      <c r="N224" s="2384">
        <v>9.6999999999999993</v>
      </c>
      <c r="O224" s="2384">
        <v>9.6999999999999993</v>
      </c>
      <c r="P224" s="2384">
        <v>9.3000000000000007</v>
      </c>
      <c r="Q224" s="2388">
        <v>9.4</v>
      </c>
      <c r="R224" s="2383" t="s">
        <v>135</v>
      </c>
      <c r="S224" s="2383" t="s">
        <v>135</v>
      </c>
      <c r="T224" s="2383" t="s">
        <v>135</v>
      </c>
      <c r="U224" s="2383" t="s">
        <v>135</v>
      </c>
      <c r="V224" s="2383" t="s">
        <v>135</v>
      </c>
      <c r="W224" s="2383" t="s">
        <v>135</v>
      </c>
      <c r="X224" s="2384">
        <v>10</v>
      </c>
      <c r="Y224" s="2384">
        <v>10</v>
      </c>
      <c r="Z224" s="2384">
        <v>9.5</v>
      </c>
      <c r="AA224" s="2384">
        <v>9.3000000000000007</v>
      </c>
      <c r="AB224" s="2384">
        <v>9.5</v>
      </c>
      <c r="AC224" s="2384">
        <v>9.8000000000000007</v>
      </c>
      <c r="AD224" s="2384">
        <v>9.5</v>
      </c>
      <c r="AE224" s="2384">
        <v>9.4</v>
      </c>
      <c r="AF224" s="2384">
        <v>9.4</v>
      </c>
      <c r="AG224" s="2384">
        <v>9.5</v>
      </c>
      <c r="AH224" s="2384">
        <v>9.4</v>
      </c>
      <c r="AI224" s="2397"/>
      <c r="AJ224" s="2379">
        <f t="shared" si="41"/>
        <v>9.56</v>
      </c>
    </row>
    <row r="225" spans="1:42" ht="15" customHeight="1" thickBot="1">
      <c r="A225" s="2189">
        <v>37</v>
      </c>
      <c r="B225" s="2204"/>
      <c r="C225" s="2205"/>
      <c r="D225" s="2205">
        <v>710</v>
      </c>
      <c r="E225" s="1536" t="str">
        <f>_xlfn.XLOOKUP($D225,  Tabla3[No.],  Tabla3[CURP], " ")</f>
        <v>ESOJ981206MGGCR00</v>
      </c>
      <c r="F225" s="1402" t="str">
        <f>_xlfn.XLOOKUP($D225,  Tabla3[No.],  Tabla3[Matrícula Of. SEQ], " ")</f>
        <v>64DD07F-01</v>
      </c>
      <c r="G225" s="1778" t="str">
        <f>IFERROR(VLOOKUP(D225,Tabla3[],5,FALSE),"")</f>
        <v>ESCOBAR ORDOÑEZ JESSICA PAOLA</v>
      </c>
      <c r="H225" s="1404" t="str">
        <f t="shared" si="36"/>
        <v>M</v>
      </c>
      <c r="I225" s="1404" t="str">
        <f t="shared" si="37"/>
        <v>98</v>
      </c>
      <c r="J225" s="1404" t="str">
        <f t="shared" si="38"/>
        <v>12</v>
      </c>
      <c r="K225" s="1404" t="str">
        <f t="shared" si="39"/>
        <v>06</v>
      </c>
      <c r="L225" s="1276" t="str">
        <f>_xlfn.XLOOKUP($D225,  Tabla3[No.],  Tabla3[ESTATUS ACADÉMICO], " ")</f>
        <v>EGRESADO</v>
      </c>
      <c r="M225" s="3105" t="s">
        <v>2592</v>
      </c>
      <c r="N225" s="2384">
        <v>9.6999999999999993</v>
      </c>
      <c r="O225" s="2384">
        <v>9.6999999999999993</v>
      </c>
      <c r="P225" s="2384">
        <v>9.3000000000000007</v>
      </c>
      <c r="Q225" s="2388">
        <v>9.4</v>
      </c>
      <c r="R225" s="2383" t="s">
        <v>135</v>
      </c>
      <c r="S225" s="2383" t="s">
        <v>135</v>
      </c>
      <c r="T225" s="2383" t="s">
        <v>135</v>
      </c>
      <c r="U225" s="2383" t="s">
        <v>135</v>
      </c>
      <c r="V225" s="2383" t="s">
        <v>135</v>
      </c>
      <c r="W225" s="2383" t="s">
        <v>135</v>
      </c>
      <c r="X225" s="2384">
        <v>10</v>
      </c>
      <c r="Y225" s="2384">
        <v>10</v>
      </c>
      <c r="Z225" s="2384">
        <v>9.5</v>
      </c>
      <c r="AA225" s="2384">
        <v>9.3000000000000007</v>
      </c>
      <c r="AB225" s="2384">
        <v>9.5</v>
      </c>
      <c r="AC225" s="2384">
        <v>9.8000000000000007</v>
      </c>
      <c r="AD225" s="2384">
        <v>9.5</v>
      </c>
      <c r="AE225" s="2384">
        <v>9.4</v>
      </c>
      <c r="AF225" s="2384">
        <v>9.4</v>
      </c>
      <c r="AG225" s="2384">
        <v>9.5</v>
      </c>
      <c r="AH225" s="2384">
        <v>9.4</v>
      </c>
      <c r="AI225" s="2397"/>
      <c r="AJ225" s="2379">
        <f t="shared" si="41"/>
        <v>9.56</v>
      </c>
    </row>
    <row r="226" spans="1:42" ht="15" customHeight="1" thickBot="1">
      <c r="A226" s="2189">
        <v>38</v>
      </c>
      <c r="B226" s="2208"/>
      <c r="C226" s="2197"/>
      <c r="D226" s="2197">
        <v>701</v>
      </c>
      <c r="E226" s="1536" t="str">
        <f>_xlfn.XLOOKUP($D226,  Tabla3[No.],  Tabla3[CURP], " ")</f>
        <v>ALMK791129MGGVU00</v>
      </c>
      <c r="F226" s="1402" t="str">
        <f>_xlfn.XLOOKUP($D226,  Tabla3[No.],  Tabla3[Matrícula Of. SEQ], " ")</f>
        <v>64DD07E-02</v>
      </c>
      <c r="G226" s="1778" t="str">
        <f>IFERROR(VLOOKUP(D226,Tabla3[],5,FALSE),"")</f>
        <v>ALVAREZ MUÑOZ KARLA VERONICA</v>
      </c>
      <c r="H226" s="1404" t="str">
        <f t="shared" si="36"/>
        <v>M</v>
      </c>
      <c r="I226" s="1404" t="str">
        <f t="shared" si="37"/>
        <v>79</v>
      </c>
      <c r="J226" s="1404" t="str">
        <f t="shared" si="38"/>
        <v>11</v>
      </c>
      <c r="K226" s="1404" t="str">
        <f t="shared" si="39"/>
        <v>29</v>
      </c>
      <c r="L226" s="1276" t="str">
        <f>_xlfn.XLOOKUP($D226,  Tabla3[No.],  Tabla3[ESTATUS ACADÉMICO], " ")</f>
        <v>VIGENTE</v>
      </c>
      <c r="M226" s="1402" t="s">
        <v>2592</v>
      </c>
      <c r="N226" s="2386"/>
      <c r="O226" s="2386"/>
      <c r="P226" s="2386" t="s">
        <v>135</v>
      </c>
      <c r="Q226" s="2386"/>
      <c r="R226" s="2386" t="s">
        <v>135</v>
      </c>
      <c r="S226" s="2386" t="s">
        <v>135</v>
      </c>
      <c r="T226" s="2386" t="s">
        <v>135</v>
      </c>
      <c r="U226" s="2386" t="s">
        <v>135</v>
      </c>
      <c r="V226" s="2386" t="s">
        <v>135</v>
      </c>
      <c r="W226" s="2386" t="s">
        <v>135</v>
      </c>
      <c r="X226" s="2387">
        <v>10</v>
      </c>
      <c r="Y226" s="2387">
        <v>10</v>
      </c>
      <c r="Z226" s="2387">
        <v>9.5</v>
      </c>
      <c r="AA226" s="2387">
        <v>9.3000000000000007</v>
      </c>
      <c r="AB226" s="2387">
        <v>9.5</v>
      </c>
      <c r="AC226" s="2387">
        <v>9.8000000000000007</v>
      </c>
      <c r="AD226" s="2386"/>
      <c r="AE226" s="2386"/>
      <c r="AF226" s="2386"/>
      <c r="AG226" s="2386"/>
      <c r="AH226" s="2386"/>
      <c r="AI226" s="2400"/>
      <c r="AJ226" s="2379">
        <f t="shared" si="41"/>
        <v>9.6833333333333318</v>
      </c>
    </row>
    <row r="227" spans="1:42" ht="15" customHeight="1" thickBot="1">
      <c r="A227" s="2189">
        <v>39</v>
      </c>
      <c r="B227" s="2198" t="s">
        <v>1625</v>
      </c>
      <c r="C227" s="2197"/>
      <c r="D227" s="2197">
        <v>670</v>
      </c>
      <c r="E227" s="1536" t="str">
        <f>_xlfn.XLOOKUP($D227,  Tabla3[No.],  Tabla3[CURP], " ")</f>
        <v>MIRA740523HGGRI00</v>
      </c>
      <c r="F227" s="1402" t="str">
        <f>_xlfn.XLOOKUP($D227,  Tabla3[No.],  Tabla3[Matrícula Of. SEQ], " ")</f>
        <v>64DD07D-04</v>
      </c>
      <c r="G227" s="1778" t="str">
        <f>IFERROR(VLOOKUP(D227,Tabla3[],5,FALSE),"")</f>
        <v>MIRANDA RIECKHOF ARTURO</v>
      </c>
      <c r="H227" s="1404" t="str">
        <f t="shared" si="36"/>
        <v>H</v>
      </c>
      <c r="I227" s="1404" t="str">
        <f t="shared" si="37"/>
        <v>74</v>
      </c>
      <c r="J227" s="1404" t="str">
        <f t="shared" si="38"/>
        <v>05</v>
      </c>
      <c r="K227" s="1404" t="str">
        <f t="shared" si="39"/>
        <v>23</v>
      </c>
      <c r="L227" s="1276" t="str">
        <f>_xlfn.XLOOKUP($D227,  Tabla3[No.],  Tabla3[ESTATUS ACADÉMICO], " ")</f>
        <v>VIGENTE</v>
      </c>
      <c r="M227" s="1404" t="s">
        <v>2592</v>
      </c>
      <c r="N227" s="2384">
        <v>9.6999999999999993</v>
      </c>
      <c r="O227" s="2384">
        <v>9.6999999999999993</v>
      </c>
      <c r="P227" s="2384">
        <v>9.3000000000000007</v>
      </c>
      <c r="Q227" s="2388">
        <v>9.4</v>
      </c>
      <c r="R227" s="2383" t="s">
        <v>135</v>
      </c>
      <c r="S227" s="2383" t="s">
        <v>135</v>
      </c>
      <c r="T227" s="2383" t="s">
        <v>135</v>
      </c>
      <c r="U227" s="2383" t="s">
        <v>135</v>
      </c>
      <c r="V227" s="2383" t="s">
        <v>135</v>
      </c>
      <c r="W227" s="2383" t="s">
        <v>135</v>
      </c>
      <c r="X227" s="2384">
        <v>10</v>
      </c>
      <c r="Y227" s="2384">
        <v>10</v>
      </c>
      <c r="Z227" s="2384">
        <v>9.5</v>
      </c>
      <c r="AA227" s="2384">
        <v>9.3000000000000007</v>
      </c>
      <c r="AB227" s="2384">
        <v>9.5</v>
      </c>
      <c r="AC227" s="2384">
        <v>9.8000000000000007</v>
      </c>
      <c r="AD227" s="2384">
        <v>9.5</v>
      </c>
      <c r="AE227" s="2384">
        <v>9.5</v>
      </c>
      <c r="AF227" s="2384">
        <v>9.4</v>
      </c>
      <c r="AG227" s="2384">
        <v>9.5</v>
      </c>
      <c r="AH227" s="2384">
        <v>9.4</v>
      </c>
      <c r="AI227" s="2397">
        <v>10</v>
      </c>
      <c r="AJ227" s="2379">
        <f t="shared" si="41"/>
        <v>9.5666666666666664</v>
      </c>
    </row>
    <row r="228" spans="1:42" ht="15" customHeight="1" thickBot="1">
      <c r="A228" s="2189">
        <v>40</v>
      </c>
      <c r="B228" s="2198"/>
      <c r="C228" s="2197"/>
      <c r="D228" s="2335">
        <v>673</v>
      </c>
      <c r="E228" s="1536" t="str">
        <f>_xlfn.XLOOKUP($D228,  Tabla3[No.],  Tabla3[CURP], " ")</f>
        <v>SAGS961218MGGML00</v>
      </c>
      <c r="F228" s="1402" t="str">
        <f>_xlfn.XLOOKUP($D228,  Tabla3[No.],  Tabla3[Matrícula Of. SEQ], " ")</f>
        <v>64DD07D-07</v>
      </c>
      <c r="G228" s="1778" t="str">
        <f>IFERROR(VLOOKUP(D228,Tabla3[],5,FALSE),"")</f>
        <v>SAMAYOA GALLARDO SHIRLEY MURIEL ARLETTE</v>
      </c>
      <c r="H228" s="1404" t="str">
        <f t="shared" si="36"/>
        <v>M</v>
      </c>
      <c r="I228" s="1404" t="str">
        <f t="shared" si="37"/>
        <v>96</v>
      </c>
      <c r="J228" s="1404" t="str">
        <f t="shared" si="38"/>
        <v>12</v>
      </c>
      <c r="K228" s="1404" t="str">
        <f t="shared" si="39"/>
        <v>18</v>
      </c>
      <c r="L228" s="1276" t="str">
        <f>_xlfn.XLOOKUP($D228,  Tabla3[No.],  Tabla3[ESTATUS ACADÉMICO], " ")</f>
        <v>VIGENTE</v>
      </c>
      <c r="M228" s="1404" t="s">
        <v>2592</v>
      </c>
      <c r="N228" s="2384">
        <v>9.6999999999999993</v>
      </c>
      <c r="O228" s="2384">
        <v>9.6999999999999993</v>
      </c>
      <c r="P228" s="2384">
        <v>9.3000000000000007</v>
      </c>
      <c r="Q228" s="2388">
        <v>9.4</v>
      </c>
      <c r="R228" s="2383" t="s">
        <v>135</v>
      </c>
      <c r="S228" s="2383" t="s">
        <v>135</v>
      </c>
      <c r="T228" s="2383" t="s">
        <v>135</v>
      </c>
      <c r="U228" s="2383" t="s">
        <v>135</v>
      </c>
      <c r="V228" s="2383" t="s">
        <v>135</v>
      </c>
      <c r="W228" s="2383" t="s">
        <v>135</v>
      </c>
      <c r="X228" s="2384">
        <v>10</v>
      </c>
      <c r="Y228" s="2384">
        <v>10</v>
      </c>
      <c r="Z228" s="2384">
        <v>9.5</v>
      </c>
      <c r="AA228" s="2384">
        <v>9.3000000000000007</v>
      </c>
      <c r="AB228" s="2384">
        <v>9.5</v>
      </c>
      <c r="AC228" s="2384">
        <v>9.8000000000000007</v>
      </c>
      <c r="AD228" s="2384">
        <v>9.5</v>
      </c>
      <c r="AE228" s="2384">
        <v>9.4</v>
      </c>
      <c r="AF228" s="2384">
        <v>9.4</v>
      </c>
      <c r="AG228" s="2384">
        <v>9.5</v>
      </c>
      <c r="AH228" s="2384">
        <v>9.4</v>
      </c>
      <c r="AI228" s="2397">
        <v>10</v>
      </c>
      <c r="AJ228" s="2379">
        <f t="shared" si="41"/>
        <v>9.56</v>
      </c>
    </row>
    <row r="229" spans="1:42" ht="15" customHeight="1" thickBot="1">
      <c r="A229" s="2189">
        <v>41</v>
      </c>
      <c r="B229" s="2198"/>
      <c r="C229" s="2197"/>
      <c r="D229" s="2335">
        <v>761</v>
      </c>
      <c r="E229" s="1536" t="str">
        <f>_xlfn.XLOOKUP($D229,  Tabla3[No.],  Tabla3[CURP], " ")</f>
        <v>SAME830605HGT</v>
      </c>
      <c r="F229" s="1402" t="str">
        <f>_xlfn.XLOOKUP($D229,  Tabla3[No.],  Tabla3[Matrícula Of. SEQ], " ")</f>
        <v>64DD07L-15</v>
      </c>
      <c r="G229" s="1778" t="str">
        <f>IFERROR(VLOOKUP(D229,Tabla3[],5,FALSE),"")</f>
        <v>SANTOS MARTINEZ EDUARDO JOSE</v>
      </c>
      <c r="H229" s="1404" t="str">
        <f t="shared" si="36"/>
        <v>H</v>
      </c>
      <c r="I229" s="1404" t="str">
        <f t="shared" si="37"/>
        <v>83</v>
      </c>
      <c r="J229" s="1404" t="str">
        <f t="shared" si="38"/>
        <v>06</v>
      </c>
      <c r="K229" s="1404" t="str">
        <f t="shared" si="39"/>
        <v>05</v>
      </c>
      <c r="L229" s="1276" t="str">
        <f>_xlfn.XLOOKUP($D229,  Tabla3[No.],  Tabla3[ESTATUS ACADÉMICO], " ")</f>
        <v>EGRESADO</v>
      </c>
      <c r="M229" s="1404" t="s">
        <v>2592</v>
      </c>
      <c r="N229" s="2384">
        <v>9.6999999999999993</v>
      </c>
      <c r="O229" s="2390"/>
      <c r="P229" s="2390"/>
      <c r="Q229" s="2388">
        <v>9.4</v>
      </c>
      <c r="R229" s="2390"/>
      <c r="S229" s="2390"/>
      <c r="T229" s="2390"/>
      <c r="U229" s="2390"/>
      <c r="V229" s="2390"/>
      <c r="W229" s="2390"/>
      <c r="X229" s="2390"/>
      <c r="Y229" s="2390"/>
      <c r="Z229" s="2390"/>
      <c r="AA229" s="2390"/>
      <c r="AB229" s="2390"/>
      <c r="AC229" s="2390"/>
      <c r="AD229" s="2390"/>
      <c r="AE229" s="2384">
        <v>9.4</v>
      </c>
      <c r="AF229" s="2384">
        <v>9.4</v>
      </c>
      <c r="AG229" s="2384">
        <v>9.5</v>
      </c>
      <c r="AH229" s="2384">
        <v>9.4</v>
      </c>
      <c r="AI229" s="2397"/>
      <c r="AJ229" s="2379">
        <f t="shared" si="41"/>
        <v>9.4666666666666668</v>
      </c>
    </row>
    <row r="230" spans="1:42" ht="15" customHeight="1" thickBot="1">
      <c r="A230" s="2189">
        <v>42</v>
      </c>
      <c r="B230" s="2209"/>
      <c r="C230" s="2210"/>
      <c r="D230" s="2336">
        <v>776</v>
      </c>
      <c r="E230" s="1536" t="str">
        <f>_xlfn.XLOOKUP($D230,  Tabla3[No.],  Tabla3[CURP], " ")</f>
        <v>MOGF202020HGT</v>
      </c>
      <c r="F230" s="1402" t="str">
        <f>_xlfn.XLOOKUP($D230,  Tabla3[No.],  Tabla3[Matrícula Of. SEQ], " ")</f>
        <v>64DD07L-11</v>
      </c>
      <c r="G230" s="1778" t="str">
        <f>IFERROR(VLOOKUP(D230,Tabla3[],5,FALSE),"")</f>
        <v>MORALES GARCIA FRANCISCO JOSUE</v>
      </c>
      <c r="H230" s="1404" t="str">
        <f t="shared" si="36"/>
        <v>H</v>
      </c>
      <c r="I230" s="1404" t="str">
        <f t="shared" si="37"/>
        <v>20</v>
      </c>
      <c r="J230" s="1404" t="str">
        <f t="shared" si="38"/>
        <v>20</v>
      </c>
      <c r="K230" s="1404" t="str">
        <f t="shared" si="39"/>
        <v>20</v>
      </c>
      <c r="L230" s="1276" t="str">
        <f>_xlfn.XLOOKUP($D230,  Tabla3[No.],  Tabla3[ESTATUS ACADÉMICO], " ")</f>
        <v>VIGENTE</v>
      </c>
      <c r="M230" s="1404" t="s">
        <v>2592</v>
      </c>
      <c r="N230" s="2384">
        <v>9.6999999999999993</v>
      </c>
      <c r="O230" s="2384">
        <v>9.6999999999999993</v>
      </c>
      <c r="P230" s="2384">
        <v>9.3000000000000007</v>
      </c>
      <c r="Q230" s="2384">
        <v>9.4</v>
      </c>
      <c r="R230" s="2383" t="s">
        <v>136</v>
      </c>
      <c r="S230" s="2384" t="s">
        <v>136</v>
      </c>
      <c r="T230" s="2383" t="s">
        <v>136</v>
      </c>
      <c r="U230" s="2383" t="s">
        <v>136</v>
      </c>
      <c r="V230" s="2383" t="s">
        <v>136</v>
      </c>
      <c r="W230" s="2384" t="s">
        <v>136</v>
      </c>
      <c r="X230" s="2383" t="s">
        <v>136</v>
      </c>
      <c r="Y230" s="2383" t="s">
        <v>136</v>
      </c>
      <c r="Z230" s="2383" t="s">
        <v>136</v>
      </c>
      <c r="AA230" s="2384" t="s">
        <v>136</v>
      </c>
      <c r="AB230" s="2383" t="s">
        <v>136</v>
      </c>
      <c r="AC230" s="2383" t="s">
        <v>136</v>
      </c>
      <c r="AD230" s="2383" t="s">
        <v>136</v>
      </c>
      <c r="AE230" s="2384">
        <v>9.4</v>
      </c>
      <c r="AF230" s="2384">
        <v>9.4</v>
      </c>
      <c r="AG230" s="2384">
        <v>9.5</v>
      </c>
      <c r="AH230" s="2384">
        <v>9.4</v>
      </c>
      <c r="AI230" s="2397"/>
      <c r="AJ230" s="2379">
        <f t="shared" si="41"/>
        <v>9.4750000000000014</v>
      </c>
    </row>
    <row r="231" spans="1:42" ht="15" customHeight="1" thickBot="1">
      <c r="A231" s="2189">
        <v>43</v>
      </c>
      <c r="B231" s="2198"/>
      <c r="C231" s="2197"/>
      <c r="D231" s="2335">
        <v>755</v>
      </c>
      <c r="E231" s="1536" t="str">
        <f>_xlfn.XLOOKUP($D231,  Tabla3[No.],  Tabla3[CURP], " ")</f>
        <v>22/02/1983</v>
      </c>
      <c r="F231" s="1402" t="str">
        <f>_xlfn.XLOOKUP($D231,  Tabla3[No.],  Tabla3[Matrícula Of. SEQ], " ")</f>
        <v>BAJA</v>
      </c>
      <c r="G231" s="1778" t="str">
        <f>IFERROR(VLOOKUP(D231,Tabla3[],5,FALSE),"")</f>
        <v>eliminadO por duplicidad</v>
      </c>
      <c r="H231" s="1404" t="str">
        <f t="shared" si="36"/>
        <v/>
      </c>
      <c r="I231" s="1404" t="str">
        <f t="shared" si="37"/>
        <v>2/</v>
      </c>
      <c r="J231" s="1404" t="str">
        <f t="shared" si="38"/>
        <v>19</v>
      </c>
      <c r="K231" s="1404" t="str">
        <f t="shared" si="39"/>
        <v>83</v>
      </c>
      <c r="L231" s="1276" t="str">
        <f>_xlfn.XLOOKUP($D231,  Tabla3[No.],  Tabla3[ESTATUS ACADÉMICO], " ")</f>
        <v>BAJA DEFINITIVA</v>
      </c>
      <c r="M231" s="1404" t="s">
        <v>2592</v>
      </c>
      <c r="N231" s="2392">
        <v>9.6999999999999993</v>
      </c>
      <c r="O231" s="2392">
        <v>9.6999999999999993</v>
      </c>
      <c r="P231" s="2392">
        <v>9.3000000000000007</v>
      </c>
      <c r="Q231" s="2392">
        <v>9.4</v>
      </c>
      <c r="R231" s="2391"/>
      <c r="S231" s="2391"/>
      <c r="T231" s="2391"/>
      <c r="U231" s="2391"/>
      <c r="V231" s="2391"/>
      <c r="W231" s="2391"/>
      <c r="X231" s="2391"/>
      <c r="Y231" s="2391"/>
      <c r="Z231" s="2391"/>
      <c r="AA231" s="2392" t="s">
        <v>136</v>
      </c>
      <c r="AB231" s="2391" t="s">
        <v>136</v>
      </c>
      <c r="AC231" s="2391" t="s">
        <v>136</v>
      </c>
      <c r="AD231" s="2391" t="s">
        <v>136</v>
      </c>
      <c r="AE231" s="2392">
        <v>9.4</v>
      </c>
      <c r="AF231" s="2392">
        <v>9.4</v>
      </c>
      <c r="AG231" s="2392">
        <v>9.5</v>
      </c>
      <c r="AH231" s="2392">
        <v>9.4</v>
      </c>
      <c r="AI231" s="2397"/>
      <c r="AJ231" s="2379">
        <f>AJ221</f>
        <v>9.5875000000000004</v>
      </c>
    </row>
    <row r="232" spans="1:42" ht="15" customHeight="1" thickBot="1">
      <c r="A232" s="2189">
        <v>44</v>
      </c>
      <c r="B232" s="2198"/>
      <c r="C232" s="2198"/>
      <c r="D232" s="2335">
        <v>743</v>
      </c>
      <c r="E232" s="1536" t="str">
        <f>_xlfn.XLOOKUP($D232,  Tabla3[No.],  Tabla3[CURP], " ")</f>
        <v>AEMH680308HGT</v>
      </c>
      <c r="F232" s="1402" t="str">
        <f>_xlfn.XLOOKUP($D232,  Tabla3[No.],  Tabla3[Matrícula Of. SEQ], " ")</f>
        <v>64DD07L-10</v>
      </c>
      <c r="G232" s="1778" t="str">
        <f>IFERROR(VLOOKUP(D232,Tabla3[],5,FALSE),"")</f>
        <v>MENDIZABAL AREVALO HECTOR FEDERICO</v>
      </c>
      <c r="H232" s="1404" t="str">
        <f t="shared" si="36"/>
        <v>H</v>
      </c>
      <c r="I232" s="1404" t="str">
        <f t="shared" si="37"/>
        <v>68</v>
      </c>
      <c r="J232" s="1404" t="str">
        <f t="shared" si="38"/>
        <v>03</v>
      </c>
      <c r="K232" s="1404" t="str">
        <f t="shared" si="39"/>
        <v>08</v>
      </c>
      <c r="L232" s="1276" t="str">
        <f>_xlfn.XLOOKUP($D232,  Tabla3[No.],  Tabla3[ESTATUS ACADÉMICO], " ")</f>
        <v>EGRESADO</v>
      </c>
      <c r="M232" s="1404" t="s">
        <v>2592</v>
      </c>
      <c r="N232" s="2384">
        <v>9.6999999999999993</v>
      </c>
      <c r="O232" s="2390"/>
      <c r="P232" s="2390"/>
      <c r="Q232" s="2388">
        <v>9.4</v>
      </c>
      <c r="R232" s="2390"/>
      <c r="S232" s="2390"/>
      <c r="T232" s="2390"/>
      <c r="U232" s="2390"/>
      <c r="V232" s="2390"/>
      <c r="W232" s="2390"/>
      <c r="X232" s="2390"/>
      <c r="Y232" s="2390"/>
      <c r="Z232" s="2390"/>
      <c r="AA232" s="2390"/>
      <c r="AB232" s="2390"/>
      <c r="AC232" s="2390"/>
      <c r="AD232" s="2384">
        <v>9.5</v>
      </c>
      <c r="AE232" s="2384">
        <v>9.4</v>
      </c>
      <c r="AF232" s="2384">
        <v>9.4</v>
      </c>
      <c r="AG232" s="2384">
        <v>9.5</v>
      </c>
      <c r="AH232" s="2384">
        <v>9.4</v>
      </c>
      <c r="AI232" s="2397"/>
      <c r="AJ232" s="2379">
        <f t="shared" ref="AJ232:AJ243" si="42">(AVERAGE(N232:AH232))</f>
        <v>9.4714285714285715</v>
      </c>
    </row>
    <row r="233" spans="1:42" ht="15" customHeight="1" thickBot="1">
      <c r="A233" s="2189">
        <v>45</v>
      </c>
      <c r="B233" s="2198"/>
      <c r="C233" s="2198"/>
      <c r="D233" s="2336">
        <v>704</v>
      </c>
      <c r="E233" s="1536" t="str">
        <f>_xlfn.XLOOKUP($D233,  Tabla3[No.],  Tabla3[CURP], " ")</f>
        <v>VIDC830125MGGLE00</v>
      </c>
      <c r="F233" s="1402" t="str">
        <f>_xlfn.XLOOKUP($D233,  Tabla3[No.],  Tabla3[Matrícula Of. SEQ], " ")</f>
        <v>64DD07E-09</v>
      </c>
      <c r="G233" s="1778" t="str">
        <f>IFERROR(VLOOKUP(D233,Tabla3[],5,FALSE),"")</f>
        <v>VILLAVICENCIO DELGADO CANDIDA SARAI</v>
      </c>
      <c r="H233" s="1404" t="str">
        <f t="shared" si="36"/>
        <v>M</v>
      </c>
      <c r="I233" s="1404" t="str">
        <f t="shared" si="37"/>
        <v>83</v>
      </c>
      <c r="J233" s="1404" t="str">
        <f t="shared" si="38"/>
        <v>01</v>
      </c>
      <c r="K233" s="1404" t="str">
        <f t="shared" si="39"/>
        <v>25</v>
      </c>
      <c r="L233" s="1276" t="str">
        <f>_xlfn.XLOOKUP($D233,  Tabla3[No.],  Tabla3[ESTATUS ACADÉMICO], " ")</f>
        <v>VIGENTE</v>
      </c>
      <c r="M233" s="1404" t="s">
        <v>2592</v>
      </c>
      <c r="N233" s="2384">
        <v>9.6999999999999993</v>
      </c>
      <c r="O233" s="2384">
        <v>9.6999999999999993</v>
      </c>
      <c r="P233" s="2384">
        <v>9.3000000000000007</v>
      </c>
      <c r="Q233" s="2384">
        <v>9.4</v>
      </c>
      <c r="R233" s="2383" t="s">
        <v>136</v>
      </c>
      <c r="S233" s="2384" t="s">
        <v>136</v>
      </c>
      <c r="T233" s="2383" t="s">
        <v>136</v>
      </c>
      <c r="U233" s="2383" t="s">
        <v>136</v>
      </c>
      <c r="V233" s="2383" t="s">
        <v>136</v>
      </c>
      <c r="W233" s="2384" t="s">
        <v>136</v>
      </c>
      <c r="X233" s="2383" t="s">
        <v>136</v>
      </c>
      <c r="Y233" s="2383" t="s">
        <v>136</v>
      </c>
      <c r="Z233" s="2384">
        <v>9.5</v>
      </c>
      <c r="AA233" s="2384">
        <v>9.3000000000000007</v>
      </c>
      <c r="AB233" s="2384">
        <v>9.5</v>
      </c>
      <c r="AC233" s="2384">
        <v>9.8000000000000007</v>
      </c>
      <c r="AD233" s="2384">
        <v>9.5</v>
      </c>
      <c r="AE233" s="2384">
        <v>9.4</v>
      </c>
      <c r="AF233" s="2384">
        <v>9.4</v>
      </c>
      <c r="AG233" s="2384">
        <v>9.5</v>
      </c>
      <c r="AH233" s="2384">
        <v>9.4</v>
      </c>
      <c r="AI233" s="2397"/>
      <c r="AJ233" s="2379">
        <f t="shared" si="42"/>
        <v>9.4923076923076941</v>
      </c>
    </row>
    <row r="234" spans="1:42" ht="15" customHeight="1" thickBot="1">
      <c r="A234" s="2189">
        <v>46</v>
      </c>
      <c r="B234" s="2198"/>
      <c r="C234" s="2198"/>
      <c r="D234" s="2335">
        <v>675</v>
      </c>
      <c r="E234" s="1536" t="str">
        <f>_xlfn.XLOOKUP($D234,  Tabla3[No.],  Tabla3[CURP], " ")</f>
        <v>SALE730121HGGMO00</v>
      </c>
      <c r="F234" s="1402" t="str">
        <f>_xlfn.XLOOKUP($D234,  Tabla3[No.],  Tabla3[Matrícula Of. SEQ], " ")</f>
        <v>64DD07D-08</v>
      </c>
      <c r="G234" s="1778" t="str">
        <f>IFERROR(VLOOKUP(D234,Tabla3[],5,FALSE),"")</f>
        <v>SAMAYOA LOPEZ ELIOS URIEL</v>
      </c>
      <c r="H234" s="1404" t="str">
        <f t="shared" si="36"/>
        <v>H</v>
      </c>
      <c r="I234" s="1404" t="str">
        <f t="shared" si="37"/>
        <v>73</v>
      </c>
      <c r="J234" s="1404" t="str">
        <f t="shared" si="38"/>
        <v>01</v>
      </c>
      <c r="K234" s="1404" t="str">
        <f t="shared" si="39"/>
        <v>21</v>
      </c>
      <c r="L234" s="1276" t="str">
        <f>_xlfn.XLOOKUP($D234,  Tabla3[No.],  Tabla3[ESTATUS ACADÉMICO], " ")</f>
        <v>VIGENTE</v>
      </c>
      <c r="M234" s="1404" t="s">
        <v>2592</v>
      </c>
      <c r="N234" s="2384">
        <v>9.6999999999999993</v>
      </c>
      <c r="O234" s="2384">
        <v>9.6999999999999993</v>
      </c>
      <c r="P234" s="2384">
        <v>9.3000000000000007</v>
      </c>
      <c r="Q234" s="2384">
        <v>9.4</v>
      </c>
      <c r="R234" s="2384" t="s">
        <v>135</v>
      </c>
      <c r="S234" s="2384" t="s">
        <v>135</v>
      </c>
      <c r="T234" s="2384" t="s">
        <v>135</v>
      </c>
      <c r="U234" s="2384" t="s">
        <v>135</v>
      </c>
      <c r="V234" s="2384" t="s">
        <v>135</v>
      </c>
      <c r="W234" s="2384">
        <v>10</v>
      </c>
      <c r="X234" s="2384">
        <v>10</v>
      </c>
      <c r="Y234" s="2384">
        <v>10</v>
      </c>
      <c r="Z234" s="2384">
        <v>9.5</v>
      </c>
      <c r="AA234" s="2384">
        <v>9.3000000000000007</v>
      </c>
      <c r="AB234" s="2384">
        <v>9.5</v>
      </c>
      <c r="AC234" s="2384">
        <v>9.8000000000000007</v>
      </c>
      <c r="AD234" s="2384">
        <v>9.5</v>
      </c>
      <c r="AE234" s="2384">
        <v>9.4</v>
      </c>
      <c r="AF234" s="2384">
        <v>9.4</v>
      </c>
      <c r="AG234" s="2384">
        <v>9.5</v>
      </c>
      <c r="AH234" s="2384">
        <v>9.4</v>
      </c>
      <c r="AI234" s="2397">
        <v>10</v>
      </c>
      <c r="AJ234" s="2379">
        <f t="shared" si="42"/>
        <v>9.5875000000000004</v>
      </c>
    </row>
    <row r="235" spans="1:42" ht="15" customHeight="1" thickBot="1">
      <c r="A235" s="2189">
        <v>47</v>
      </c>
      <c r="B235" s="2198"/>
      <c r="C235" s="2198"/>
      <c r="D235" s="2336">
        <v>702</v>
      </c>
      <c r="E235" s="1536" t="str">
        <f>_xlfn.XLOOKUP($D235,  Tabla3[No.],  Tabla3[CURP], " ")</f>
        <v>RARB780805MGGMOR00</v>
      </c>
      <c r="F235" s="1402" t="str">
        <f>_xlfn.XLOOKUP($D235,  Tabla3[No.],  Tabla3[Matrícula Of. SEQ], " ")</f>
        <v>64DD07I-02</v>
      </c>
      <c r="G235" s="1778" t="str">
        <f>IFERROR(VLOOKUP(D235,Tabla3[],5,FALSE),"")</f>
        <v>RAMIREZ ROMAN BRENDA LISSETH</v>
      </c>
      <c r="H235" s="1404" t="str">
        <f t="shared" si="36"/>
        <v>M</v>
      </c>
      <c r="I235" s="1404" t="str">
        <f t="shared" si="37"/>
        <v>78</v>
      </c>
      <c r="J235" s="1404" t="str">
        <f t="shared" si="38"/>
        <v>08</v>
      </c>
      <c r="K235" s="1404" t="str">
        <f t="shared" si="39"/>
        <v>05</v>
      </c>
      <c r="L235" s="1276" t="str">
        <f>_xlfn.XLOOKUP($D235,  Tabla3[No.],  Tabla3[ESTATUS ACADÉMICO], " ")</f>
        <v>VIGENTE</v>
      </c>
      <c r="M235" s="1404" t="s">
        <v>2592</v>
      </c>
      <c r="N235" s="2384">
        <v>9.6999999999999993</v>
      </c>
      <c r="O235" s="2384">
        <v>9.6999999999999993</v>
      </c>
      <c r="P235" s="2384">
        <v>9.3000000000000007</v>
      </c>
      <c r="Q235" s="2384">
        <v>9.4</v>
      </c>
      <c r="R235" s="2384" t="s">
        <v>135</v>
      </c>
      <c r="S235" s="2384" t="s">
        <v>135</v>
      </c>
      <c r="T235" s="2384" t="s">
        <v>135</v>
      </c>
      <c r="U235" s="2384" t="s">
        <v>135</v>
      </c>
      <c r="V235" s="2384" t="s">
        <v>135</v>
      </c>
      <c r="W235" s="2384" t="s">
        <v>135</v>
      </c>
      <c r="X235" s="2384" t="s">
        <v>135</v>
      </c>
      <c r="Y235" s="2384" t="s">
        <v>135</v>
      </c>
      <c r="Z235" s="2384">
        <v>9.5</v>
      </c>
      <c r="AA235" s="2384">
        <v>9.3000000000000007</v>
      </c>
      <c r="AB235" s="2384">
        <v>9.5</v>
      </c>
      <c r="AC235" s="2384">
        <v>9.8000000000000007</v>
      </c>
      <c r="AD235" s="2384">
        <v>9.5</v>
      </c>
      <c r="AE235" s="2384">
        <v>9.4</v>
      </c>
      <c r="AF235" s="2384">
        <v>9.4</v>
      </c>
      <c r="AG235" s="2384">
        <v>9.5</v>
      </c>
      <c r="AH235" s="2384">
        <v>9.4</v>
      </c>
      <c r="AI235" s="2397"/>
      <c r="AJ235" s="2379">
        <f t="shared" si="42"/>
        <v>9.4923076923076941</v>
      </c>
      <c r="AO235" s="1747"/>
      <c r="AP235" s="1747"/>
    </row>
    <row r="236" spans="1:42" ht="15" customHeight="1" thickBot="1">
      <c r="A236" s="2189">
        <v>48</v>
      </c>
      <c r="B236" s="2198"/>
      <c r="C236" s="2198"/>
      <c r="D236" s="2335">
        <v>745</v>
      </c>
      <c r="E236" s="1536" t="str">
        <f>_xlfn.XLOOKUP($D236,  Tabla3[No.],  Tabla3[CURP], " ")</f>
        <v>PILA630813HGT</v>
      </c>
      <c r="F236" s="1402" t="str">
        <f>_xlfn.XLOOKUP($D236,  Tabla3[No.],  Tabla3[Matrícula Of. SEQ], " ")</f>
        <v>64DD07J-02</v>
      </c>
      <c r="G236" s="1778" t="str">
        <f>IFERROR(VLOOKUP(D236,Tabla3[],5,FALSE),"")</f>
        <v>PIVARAL DE LEON ANTHONY GIOVANNI</v>
      </c>
      <c r="H236" s="1404" t="str">
        <f t="shared" si="36"/>
        <v>H</v>
      </c>
      <c r="I236" s="1404" t="str">
        <f t="shared" si="37"/>
        <v>63</v>
      </c>
      <c r="J236" s="1404" t="str">
        <f t="shared" si="38"/>
        <v>08</v>
      </c>
      <c r="K236" s="1404" t="str">
        <f t="shared" si="39"/>
        <v>13</v>
      </c>
      <c r="L236" s="1276" t="str">
        <f>_xlfn.XLOOKUP($D236,  Tabla3[No.],  Tabla3[ESTATUS ACADÉMICO], " ")</f>
        <v>VIGENTE</v>
      </c>
      <c r="M236" s="1404" t="s">
        <v>2592</v>
      </c>
      <c r="N236" s="2384">
        <v>9.6999999999999993</v>
      </c>
      <c r="O236" s="2384">
        <v>9.6999999999999993</v>
      </c>
      <c r="P236" s="2384">
        <v>9.3000000000000007</v>
      </c>
      <c r="Q236" s="2384">
        <v>9.4</v>
      </c>
      <c r="R236" s="2384" t="s">
        <v>135</v>
      </c>
      <c r="S236" s="2384" t="s">
        <v>135</v>
      </c>
      <c r="T236" s="2384" t="s">
        <v>135</v>
      </c>
      <c r="U236" s="2384" t="s">
        <v>135</v>
      </c>
      <c r="V236" s="2384" t="s">
        <v>135</v>
      </c>
      <c r="W236" s="2384" t="s">
        <v>135</v>
      </c>
      <c r="X236" s="2384" t="s">
        <v>135</v>
      </c>
      <c r="Y236" s="2384" t="s">
        <v>135</v>
      </c>
      <c r="Z236" s="2384" t="s">
        <v>135</v>
      </c>
      <c r="AA236" s="2384" t="s">
        <v>135</v>
      </c>
      <c r="AB236" s="2384">
        <v>9.5</v>
      </c>
      <c r="AC236" s="2384">
        <v>9.8000000000000007</v>
      </c>
      <c r="AD236" s="2384">
        <v>9.5</v>
      </c>
      <c r="AE236" s="2384">
        <v>9.4</v>
      </c>
      <c r="AF236" s="2384">
        <v>9.4</v>
      </c>
      <c r="AG236" s="2384">
        <v>9.5</v>
      </c>
      <c r="AH236" s="2384">
        <v>9.4</v>
      </c>
      <c r="AI236" s="2397"/>
      <c r="AJ236" s="2379">
        <f t="shared" si="42"/>
        <v>9.5090909090909115</v>
      </c>
    </row>
    <row r="237" spans="1:42" ht="15" customHeight="1" thickBot="1">
      <c r="A237" s="2189">
        <v>49</v>
      </c>
      <c r="B237" s="2198"/>
      <c r="C237" s="2198"/>
      <c r="D237" s="2335">
        <v>792</v>
      </c>
      <c r="E237" s="1536" t="str">
        <f>_xlfn.XLOOKUP($D237,  Tabla3[No.],  Tabla3[CURP], " ")</f>
        <v>GOGY871018MGT00</v>
      </c>
      <c r="F237" s="1402" t="str">
        <f>_xlfn.XLOOKUP($D237,  Tabla3[No.],  Tabla3[Matrícula Of. SEQ], " ")</f>
        <v>64DD07L-02</v>
      </c>
      <c r="G237" s="1778" t="str">
        <f>IFERROR(VLOOKUP(D237,Tabla3[],5,FALSE),"")</f>
        <v>GOMEZ GOMEZ YARELY ELIZABETH</v>
      </c>
      <c r="H237" s="1404" t="str">
        <f t="shared" si="36"/>
        <v>M</v>
      </c>
      <c r="I237" s="1404" t="str">
        <f t="shared" si="37"/>
        <v>87</v>
      </c>
      <c r="J237" s="1404" t="str">
        <f t="shared" si="38"/>
        <v>10</v>
      </c>
      <c r="K237" s="1404" t="str">
        <f t="shared" si="39"/>
        <v>18</v>
      </c>
      <c r="L237" s="1276" t="str">
        <f>_xlfn.XLOOKUP($D237,  Tabla3[No.],  Tabla3[ESTATUS ACADÉMICO], " ")</f>
        <v>EGRESADO</v>
      </c>
      <c r="M237" s="1404" t="s">
        <v>2592</v>
      </c>
      <c r="N237" s="4055">
        <v>9.6999999999999993</v>
      </c>
      <c r="O237" s="4055">
        <v>9.6999999999999993</v>
      </c>
      <c r="P237" s="4055">
        <v>9.3000000000000007</v>
      </c>
      <c r="Q237" s="4055">
        <v>9.4</v>
      </c>
      <c r="R237" s="4056"/>
      <c r="S237" s="4056"/>
      <c r="T237" s="4056"/>
      <c r="U237" s="4056"/>
      <c r="V237" s="4056"/>
      <c r="W237" s="4056"/>
      <c r="X237" s="4056"/>
      <c r="Y237" s="4056"/>
      <c r="Z237" s="4056"/>
      <c r="AA237" s="4056"/>
      <c r="AB237" s="4056"/>
      <c r="AC237" s="4056"/>
      <c r="AD237" s="4056"/>
      <c r="AE237" s="4056"/>
      <c r="AF237" s="4056"/>
      <c r="AG237" s="4055">
        <v>9.5</v>
      </c>
      <c r="AH237" s="4055">
        <v>9.4</v>
      </c>
      <c r="AI237" s="2397"/>
      <c r="AJ237" s="2380">
        <f t="shared" si="42"/>
        <v>9.5</v>
      </c>
    </row>
    <row r="238" spans="1:42" s="1747" customFormat="1" ht="15" customHeight="1" thickBot="1">
      <c r="A238" s="3106">
        <v>50</v>
      </c>
      <c r="B238" s="3116"/>
      <c r="C238" s="3116"/>
      <c r="D238" s="3117">
        <v>778</v>
      </c>
      <c r="E238" s="3109" t="str">
        <f>_xlfn.XLOOKUP($D238,  Tabla3[No.],  Tabla3[CURP], " ")</f>
        <v>REFJ800715HGT</v>
      </c>
      <c r="F238" s="1402" t="str">
        <f>_xlfn.XLOOKUP($D238,  Tabla3[No.],  Tabla3[Matrícula Of. SEQ], " ")</f>
        <v>64DD07L-13</v>
      </c>
      <c r="G238" s="3110" t="str">
        <f>IFERROR(VLOOKUP(D238,Tabla3[],5,FALSE),"")</f>
        <v>RECINOS FABIAN JULIO CESAR</v>
      </c>
      <c r="H238" s="1402" t="str">
        <f t="shared" si="36"/>
        <v>H</v>
      </c>
      <c r="I238" s="1402" t="str">
        <f t="shared" si="37"/>
        <v>80</v>
      </c>
      <c r="J238" s="1402" t="str">
        <f t="shared" si="38"/>
        <v>07</v>
      </c>
      <c r="K238" s="1402" t="str">
        <f t="shared" si="39"/>
        <v>15</v>
      </c>
      <c r="L238" s="1276" t="str">
        <f>_xlfn.XLOOKUP($D238,  Tabla3[No.],  Tabla3[ESTATUS ACADÉMICO], " ")</f>
        <v>VIGENTE</v>
      </c>
      <c r="M238" s="4060" t="s">
        <v>2592</v>
      </c>
      <c r="N238" s="4059">
        <v>9.6999999999999993</v>
      </c>
      <c r="O238" s="4059">
        <v>9.6999999999999993</v>
      </c>
      <c r="P238" s="4059">
        <v>9.3000000000000007</v>
      </c>
      <c r="Q238" s="4059">
        <v>9.4</v>
      </c>
      <c r="R238" s="4059">
        <v>9.4</v>
      </c>
      <c r="S238" s="4059">
        <v>9.4</v>
      </c>
      <c r="T238" s="4059">
        <v>9.4</v>
      </c>
      <c r="U238" s="4059">
        <v>9.3000000000000007</v>
      </c>
      <c r="V238" s="4059">
        <v>9.4</v>
      </c>
      <c r="W238" s="4059">
        <v>9.5</v>
      </c>
      <c r="X238" s="4059">
        <v>9.3000000000000007</v>
      </c>
      <c r="Y238" s="4059" t="s">
        <v>135</v>
      </c>
      <c r="Z238" s="4059" t="s">
        <v>135</v>
      </c>
      <c r="AA238" s="4059" t="s">
        <v>135</v>
      </c>
      <c r="AB238" s="4059" t="s">
        <v>135</v>
      </c>
      <c r="AC238" s="4059" t="s">
        <v>135</v>
      </c>
      <c r="AD238" s="4059" t="s">
        <v>135</v>
      </c>
      <c r="AE238" s="4059" t="s">
        <v>135</v>
      </c>
      <c r="AF238" s="4059">
        <v>9.4</v>
      </c>
      <c r="AG238" s="4059">
        <v>9.5</v>
      </c>
      <c r="AH238" s="4059">
        <v>9.4</v>
      </c>
      <c r="AI238" s="3113"/>
      <c r="AJ238" s="3118">
        <f t="shared" si="42"/>
        <v>9.4357142857142851</v>
      </c>
      <c r="AO238"/>
      <c r="AP238"/>
    </row>
    <row r="239" spans="1:42" ht="15" customHeight="1" thickBot="1">
      <c r="A239" s="2189">
        <v>51</v>
      </c>
      <c r="B239" s="2198"/>
      <c r="C239" s="2198"/>
      <c r="D239" s="2336">
        <v>785</v>
      </c>
      <c r="E239" s="1536" t="str">
        <f>_xlfn.XLOOKUP($D239,  Tabla3[No.],  Tabla3[CURP], " ")</f>
        <v>ROMM860201MGT</v>
      </c>
      <c r="F239" s="1402" t="str">
        <f>_xlfn.XLOOKUP($D239,  Tabla3[No.],  Tabla3[Matrícula Of. SEQ], " ")</f>
        <v>64DD07L-14</v>
      </c>
      <c r="G239" s="1778" t="str">
        <f>IFERROR(VLOOKUP(D239,Tabla3[],5,FALSE),"")</f>
        <v>RODAS MEJIA MARIA JOSE</v>
      </c>
      <c r="H239" s="1404" t="str">
        <f t="shared" si="36"/>
        <v>M</v>
      </c>
      <c r="I239" s="1404" t="str">
        <f t="shared" si="37"/>
        <v>86</v>
      </c>
      <c r="J239" s="1404" t="str">
        <f t="shared" si="38"/>
        <v>02</v>
      </c>
      <c r="K239" s="1404" t="str">
        <f t="shared" si="39"/>
        <v>01</v>
      </c>
      <c r="L239" s="1276" t="str">
        <f>_xlfn.XLOOKUP($D239,  Tabla3[No.],  Tabla3[ESTATUS ACADÉMICO], " ")</f>
        <v>EGRESADO</v>
      </c>
      <c r="M239" s="1404" t="s">
        <v>2592</v>
      </c>
      <c r="N239" s="4061">
        <v>9.6999999999999993</v>
      </c>
      <c r="O239" s="4061">
        <v>9.6999999999999993</v>
      </c>
      <c r="P239" s="4061">
        <v>9.3000000000000007</v>
      </c>
      <c r="Q239" s="4061">
        <v>9.4</v>
      </c>
      <c r="R239" s="4062"/>
      <c r="S239" s="4062"/>
      <c r="T239" s="4062"/>
      <c r="U239" s="4062"/>
      <c r="V239" s="4062"/>
      <c r="W239" s="4062"/>
      <c r="X239" s="4062"/>
      <c r="Y239" s="4062"/>
      <c r="Z239" s="4062"/>
      <c r="AA239" s="4062"/>
      <c r="AB239" s="4062"/>
      <c r="AC239" s="4062"/>
      <c r="AD239" s="4062"/>
      <c r="AE239" s="4062"/>
      <c r="AF239" s="4061">
        <v>9.4</v>
      </c>
      <c r="AG239" s="4061">
        <v>9.5</v>
      </c>
      <c r="AH239" s="4061">
        <v>9.4</v>
      </c>
      <c r="AI239" s="2397"/>
      <c r="AJ239" s="1118">
        <f t="shared" si="42"/>
        <v>9.4857142857142858</v>
      </c>
    </row>
    <row r="240" spans="1:42" ht="15" customHeight="1" thickBot="1">
      <c r="A240" s="2189">
        <v>52</v>
      </c>
      <c r="B240" s="2198"/>
      <c r="C240" s="2198"/>
      <c r="D240" s="2336">
        <v>793</v>
      </c>
      <c r="E240" s="1536" t="str">
        <f>_xlfn.XLOOKUP($D240,  Tabla3[No.],  Tabla3[CURP], " ")</f>
        <v>HEGJ800612MGT12</v>
      </c>
      <c r="F240" s="1402" t="str">
        <f>_xlfn.XLOOKUP($D240,  Tabla3[No.],  Tabla3[Matrícula Of. SEQ], " ")</f>
        <v>64DD07L-06</v>
      </c>
      <c r="G240" s="1778" t="str">
        <f>IFERROR(VLOOKUP(D240,Tabla3[],5,FALSE),"")</f>
        <v>HERRERA GUALIM JANALI GUADALUPE</v>
      </c>
      <c r="H240" s="1404" t="str">
        <f t="shared" si="36"/>
        <v>M</v>
      </c>
      <c r="I240" s="1404" t="str">
        <f t="shared" si="37"/>
        <v>80</v>
      </c>
      <c r="J240" s="1404" t="str">
        <f t="shared" si="38"/>
        <v>06</v>
      </c>
      <c r="K240" s="1404" t="str">
        <f t="shared" si="39"/>
        <v>12</v>
      </c>
      <c r="L240" s="1276" t="str">
        <f>_xlfn.XLOOKUP($D240,  Tabla3[No.],  Tabla3[ESTATUS ACADÉMICO], " ")</f>
        <v>VIGENTE</v>
      </c>
      <c r="M240" s="4054" t="s">
        <v>2592</v>
      </c>
      <c r="N240" s="4059">
        <v>9.6999999999999993</v>
      </c>
      <c r="O240" s="4059">
        <v>9.6999999999999993</v>
      </c>
      <c r="P240" s="4059">
        <v>9.3000000000000007</v>
      </c>
      <c r="Q240" s="4059">
        <v>9.4</v>
      </c>
      <c r="R240" s="4059">
        <v>9.4</v>
      </c>
      <c r="S240" s="4059">
        <v>9.4</v>
      </c>
      <c r="T240" s="4059">
        <v>9.4</v>
      </c>
      <c r="U240" s="4059">
        <v>9.3000000000000007</v>
      </c>
      <c r="V240" s="4059">
        <v>9.4</v>
      </c>
      <c r="W240" s="4059">
        <v>9.5</v>
      </c>
      <c r="X240" s="4059">
        <v>9.3000000000000007</v>
      </c>
      <c r="Y240" s="4059" t="s">
        <v>135</v>
      </c>
      <c r="Z240" s="4059" t="s">
        <v>135</v>
      </c>
      <c r="AA240" s="4059" t="s">
        <v>135</v>
      </c>
      <c r="AB240" s="4059" t="s">
        <v>135</v>
      </c>
      <c r="AC240" s="4059" t="s">
        <v>135</v>
      </c>
      <c r="AD240" s="4059" t="s">
        <v>135</v>
      </c>
      <c r="AE240" s="4059" t="s">
        <v>135</v>
      </c>
      <c r="AF240" s="4059" t="s">
        <v>135</v>
      </c>
      <c r="AG240" s="4059" t="s">
        <v>4796</v>
      </c>
      <c r="AH240" s="4059">
        <v>9.4</v>
      </c>
      <c r="AI240" s="2397"/>
      <c r="AJ240" s="1118">
        <f t="shared" si="42"/>
        <v>9.4333333333333336</v>
      </c>
    </row>
    <row r="241" spans="1:42" ht="15" customHeight="1" thickBot="1">
      <c r="A241" s="2189">
        <v>53</v>
      </c>
      <c r="B241" s="2198"/>
      <c r="C241" s="2198"/>
      <c r="D241" s="2335">
        <v>799</v>
      </c>
      <c r="E241" s="1536" t="str">
        <f>_xlfn.XLOOKUP($D241,  Tabla3[No.],  Tabla3[CURP], " ")</f>
        <v>BAGB660517MGT</v>
      </c>
      <c r="F241" s="1402" t="str">
        <f>_xlfn.XLOOKUP($D241,  Tabla3[No.],  Tabla3[Matrícula Of. SEQ], " ")</f>
        <v>64DD08C-01</v>
      </c>
      <c r="G241" s="1778" t="str">
        <f>IFERROR(VLOOKUP(D241,Tabla3[],5,FALSE),"")</f>
        <v>BARRIOS GUTIERREZ BRENDA BEATRIZ</v>
      </c>
      <c r="H241" s="1404" t="str">
        <f t="shared" si="36"/>
        <v>M</v>
      </c>
      <c r="I241" s="1404" t="str">
        <f t="shared" si="37"/>
        <v>66</v>
      </c>
      <c r="J241" s="1404" t="str">
        <f t="shared" si="38"/>
        <v>05</v>
      </c>
      <c r="K241" s="1404" t="str">
        <f t="shared" si="39"/>
        <v>17</v>
      </c>
      <c r="L241" s="1276" t="str">
        <f>_xlfn.XLOOKUP($D241,  Tabla3[No.],  Tabla3[ESTATUS ACADÉMICO], " ")</f>
        <v>EGRESADO</v>
      </c>
      <c r="M241" s="1404" t="s">
        <v>2592</v>
      </c>
      <c r="N241" s="4057">
        <v>9.6999999999999993</v>
      </c>
      <c r="O241" s="4057">
        <v>9.6999999999999993</v>
      </c>
      <c r="P241" s="4057">
        <v>9.3000000000000007</v>
      </c>
      <c r="Q241" s="4057">
        <v>9.4</v>
      </c>
      <c r="R241" s="4057" t="s">
        <v>4797</v>
      </c>
      <c r="S241" s="4058"/>
      <c r="T241" s="4058"/>
      <c r="U241" s="4058"/>
      <c r="V241" s="4058"/>
      <c r="W241" s="4058"/>
      <c r="X241" s="4058"/>
      <c r="Y241" s="4058"/>
      <c r="Z241" s="4058"/>
      <c r="AA241" s="4058"/>
      <c r="AB241" s="4058"/>
      <c r="AC241" s="4058"/>
      <c r="AD241" s="4058"/>
      <c r="AE241" s="4058"/>
      <c r="AF241" s="4058"/>
      <c r="AG241" s="4058"/>
      <c r="AH241" s="4057">
        <v>9.4</v>
      </c>
      <c r="AI241" s="2397"/>
      <c r="AJ241" s="1118">
        <f t="shared" si="42"/>
        <v>9.5</v>
      </c>
    </row>
    <row r="242" spans="1:42" ht="15" customHeight="1" thickBot="1">
      <c r="A242" s="2189">
        <v>54</v>
      </c>
      <c r="B242" s="2198"/>
      <c r="C242" s="2198"/>
      <c r="D242" s="2336">
        <v>794</v>
      </c>
      <c r="E242" s="1536" t="str">
        <f>_xlfn.XLOOKUP($D242,  Tabla3[No.],  Tabla3[CURP], " ")</f>
        <v>VEPL851229HGT00</v>
      </c>
      <c r="F242" s="1402" t="str">
        <f>_xlfn.XLOOKUP($D242,  Tabla3[No.],  Tabla3[Matrícula Of. SEQ], " ")</f>
        <v>64DD07L-16</v>
      </c>
      <c r="G242" s="1778" t="str">
        <f>IFERROR(VLOOKUP(D242,Tabla3[],5,FALSE),"")</f>
        <v>VELARDE PEREZ LUIS ESTUARDO</v>
      </c>
      <c r="H242" s="1404" t="str">
        <f t="shared" si="36"/>
        <v>H</v>
      </c>
      <c r="I242" s="1404" t="str">
        <f t="shared" si="37"/>
        <v>85</v>
      </c>
      <c r="J242" s="1404" t="str">
        <f t="shared" si="38"/>
        <v>12</v>
      </c>
      <c r="K242" s="1404" t="str">
        <f t="shared" si="39"/>
        <v>29</v>
      </c>
      <c r="L242" s="1276" t="str">
        <f>_xlfn.XLOOKUP($D242,  Tabla3[No.],  Tabla3[ESTATUS ACADÉMICO], " ")</f>
        <v>VIGENTE</v>
      </c>
      <c r="M242" s="1404" t="s">
        <v>2592</v>
      </c>
      <c r="N242" s="2384">
        <v>9.6999999999999993</v>
      </c>
      <c r="O242" s="2384">
        <v>9.6999999999999993</v>
      </c>
      <c r="P242" s="2384">
        <v>9.3000000000000007</v>
      </c>
      <c r="Q242" s="2384">
        <v>9.4</v>
      </c>
      <c r="R242" s="2384">
        <v>9.4</v>
      </c>
      <c r="S242" s="2384">
        <v>9.4</v>
      </c>
      <c r="T242" s="2384">
        <v>9.4</v>
      </c>
      <c r="U242" s="2384">
        <v>9.3000000000000007</v>
      </c>
      <c r="V242" s="2384">
        <v>9.4</v>
      </c>
      <c r="W242" s="2384">
        <v>9.5</v>
      </c>
      <c r="X242" s="2384">
        <v>9.3000000000000007</v>
      </c>
      <c r="Y242" s="2384" t="s">
        <v>135</v>
      </c>
      <c r="Z242" s="2384" t="s">
        <v>135</v>
      </c>
      <c r="AA242" s="2384" t="s">
        <v>135</v>
      </c>
      <c r="AB242" s="2384" t="s">
        <v>135</v>
      </c>
      <c r="AC242" s="2384" t="s">
        <v>135</v>
      </c>
      <c r="AD242" s="2384" t="s">
        <v>135</v>
      </c>
      <c r="AE242" s="2384" t="s">
        <v>135</v>
      </c>
      <c r="AF242" s="2384" t="s">
        <v>135</v>
      </c>
      <c r="AG242" s="2384" t="s">
        <v>135</v>
      </c>
      <c r="AH242" s="2384">
        <v>9.4</v>
      </c>
      <c r="AI242" s="2397"/>
      <c r="AJ242" s="1118">
        <f t="shared" si="42"/>
        <v>9.4333333333333336</v>
      </c>
    </row>
    <row r="243" spans="1:42" ht="15" customHeight="1" thickBot="1">
      <c r="A243" s="2189">
        <v>55</v>
      </c>
      <c r="B243" s="2198"/>
      <c r="C243" s="2198"/>
      <c r="D243" s="2198">
        <v>795</v>
      </c>
      <c r="E243" s="1536" t="str">
        <f>_xlfn.XLOOKUP($D243,  Tabla3[No.],  Tabla3[CURP], " ")</f>
        <v>HEAD911205HGT</v>
      </c>
      <c r="F243" s="1402" t="str">
        <f>_xlfn.XLOOKUP($D243,  Tabla3[No.],  Tabla3[Matrícula Of. SEQ], " ")</f>
        <v>64DD07L-05</v>
      </c>
      <c r="G243" s="1778" t="str">
        <f>IFERROR(VLOOKUP(D243,Tabla3[],5,FALSE),"")</f>
        <v>HERRERA ARITA DOUGLAS EDUARDO</v>
      </c>
      <c r="H243" s="1404" t="str">
        <f t="shared" si="36"/>
        <v>H</v>
      </c>
      <c r="I243" s="1404" t="str">
        <f t="shared" si="37"/>
        <v>91</v>
      </c>
      <c r="J243" s="1404" t="str">
        <f t="shared" si="38"/>
        <v>12</v>
      </c>
      <c r="K243" s="1404" t="str">
        <f t="shared" si="39"/>
        <v>05</v>
      </c>
      <c r="L243" s="1276" t="str">
        <f>_xlfn.XLOOKUP($D243,  Tabla3[No.],  Tabla3[ESTATUS ACADÉMICO], " ")</f>
        <v>EGRESADO</v>
      </c>
      <c r="M243" s="1404" t="s">
        <v>2592</v>
      </c>
      <c r="N243" s="2384">
        <v>9.6999999999999993</v>
      </c>
      <c r="O243" s="2384">
        <v>9.6999999999999993</v>
      </c>
      <c r="P243" s="2384">
        <v>9.3000000000000007</v>
      </c>
      <c r="Q243" s="2384">
        <v>9.4</v>
      </c>
      <c r="R243" s="2384" t="s">
        <v>135</v>
      </c>
      <c r="S243" s="2390"/>
      <c r="T243" s="2390"/>
      <c r="U243" s="2390"/>
      <c r="V243" s="2390"/>
      <c r="W243" s="2390"/>
      <c r="X243" s="2390"/>
      <c r="Y243" s="2390"/>
      <c r="Z243" s="2390"/>
      <c r="AA243" s="2390"/>
      <c r="AB243" s="2390"/>
      <c r="AC243" s="2390"/>
      <c r="AD243" s="2390"/>
      <c r="AE243" s="2390"/>
      <c r="AF243" s="2390"/>
      <c r="AG243" s="2390"/>
      <c r="AH243" s="2384">
        <v>9.4</v>
      </c>
      <c r="AI243" s="2397"/>
      <c r="AJ243" s="1118">
        <f t="shared" si="42"/>
        <v>9.5</v>
      </c>
    </row>
    <row r="244" spans="1:42" ht="15" customHeight="1" thickBot="1">
      <c r="A244" s="2189"/>
      <c r="B244" s="2198"/>
      <c r="C244" s="2198"/>
      <c r="D244" s="2198">
        <v>786</v>
      </c>
      <c r="E244" s="1536" t="str">
        <f>_xlfn.XLOOKUP($D244,  Tabla3[No.],  Tabla3[CURP], " ")</f>
        <v>HEMG890121HGT</v>
      </c>
      <c r="F244" s="1402" t="str">
        <f>_xlfn.XLOOKUP($D244,  Tabla3[No.],  Tabla3[Matrícula Of. SEQ], " ")</f>
        <v>64DD07L-04</v>
      </c>
      <c r="G244" s="1778" t="str">
        <f>IFERROR(VLOOKUP(D244,Tabla3[],5,FALSE),"")</f>
        <v>HERNANDEZ MARROQUIN GUSTAVO ADOLFO</v>
      </c>
      <c r="H244" s="1404" t="str">
        <f t="shared" si="36"/>
        <v>H</v>
      </c>
      <c r="I244" s="1404" t="str">
        <f t="shared" si="37"/>
        <v>89</v>
      </c>
      <c r="J244" s="1404" t="str">
        <f t="shared" si="38"/>
        <v>01</v>
      </c>
      <c r="K244" s="1404" t="str">
        <f t="shared" si="39"/>
        <v>21</v>
      </c>
      <c r="L244" s="1276" t="str">
        <f>_xlfn.XLOOKUP($D244,  Tabla3[No.],  Tabla3[ESTATUS ACADÉMICO], " ")</f>
        <v>VIGENTE</v>
      </c>
      <c r="M244" s="1404" t="s">
        <v>2592</v>
      </c>
      <c r="N244" s="2384">
        <v>9.6999999999999993</v>
      </c>
      <c r="O244" s="2384">
        <v>9.6999999999999993</v>
      </c>
      <c r="P244" s="2384">
        <v>9.3000000000000007</v>
      </c>
      <c r="Q244" s="2384">
        <v>9.4</v>
      </c>
      <c r="R244" s="2384" t="s">
        <v>135</v>
      </c>
      <c r="S244" s="2384" t="s">
        <v>135</v>
      </c>
      <c r="T244" s="2384" t="s">
        <v>135</v>
      </c>
      <c r="U244" s="2384" t="s">
        <v>135</v>
      </c>
      <c r="V244" s="2384" t="s">
        <v>135</v>
      </c>
      <c r="W244" s="2384" t="s">
        <v>135</v>
      </c>
      <c r="X244" s="2384" t="s">
        <v>135</v>
      </c>
      <c r="Y244" s="2384" t="s">
        <v>135</v>
      </c>
      <c r="Z244" s="2384" t="s">
        <v>135</v>
      </c>
      <c r="AA244" s="2384" t="s">
        <v>135</v>
      </c>
      <c r="AB244" s="2384" t="s">
        <v>135</v>
      </c>
      <c r="AC244" s="2384" t="s">
        <v>135</v>
      </c>
      <c r="AD244" s="2384" t="s">
        <v>135</v>
      </c>
      <c r="AE244" s="2384" t="s">
        <v>135</v>
      </c>
      <c r="AF244" s="2384">
        <v>9.5</v>
      </c>
      <c r="AG244" s="2384">
        <v>9.5</v>
      </c>
      <c r="AH244" s="2384">
        <v>9.4</v>
      </c>
      <c r="AI244" s="2398"/>
      <c r="AJ244" s="700">
        <f>AVERAGE(N244:AH244)</f>
        <v>9.5</v>
      </c>
    </row>
    <row r="245" spans="1:42" ht="15" customHeight="1">
      <c r="A245" s="2239"/>
      <c r="B245" s="2239"/>
      <c r="C245" s="2239"/>
      <c r="D245" s="2198"/>
      <c r="E245" s="1536" t="str">
        <f>_xlfn.XLOOKUP($D245,  Tabla3[No.],  Tabla3[CURP], " ")</f>
        <v xml:space="preserve"> </v>
      </c>
      <c r="F245" s="1402" t="str">
        <f>_xlfn.XLOOKUP($D245,  Tabla3[No.],  Tabla3[Matrícula Of. SEQ], " ")</f>
        <v xml:space="preserve"> </v>
      </c>
      <c r="G245" s="1778" t="str">
        <f>IFERROR(VLOOKUP(D245,Tabla3[],5,FALSE),"")</f>
        <v/>
      </c>
      <c r="H245" s="1404" t="str">
        <f t="shared" si="36"/>
        <v/>
      </c>
      <c r="I245" s="1404" t="str">
        <f t="shared" si="37"/>
        <v/>
      </c>
      <c r="J245" s="1404" t="str">
        <f t="shared" si="38"/>
        <v/>
      </c>
      <c r="K245" s="1404" t="str">
        <f t="shared" si="39"/>
        <v/>
      </c>
      <c r="L245" s="1276" t="str">
        <f>_xlfn.XLOOKUP($D245,  Tabla3[No.],  Tabla3[ESTATUS ACADÉMICO], " ")</f>
        <v xml:space="preserve"> </v>
      </c>
      <c r="M245" s="2320"/>
      <c r="N245" s="2239"/>
      <c r="O245" s="2239"/>
      <c r="P245" s="2239"/>
      <c r="Q245" s="2239"/>
      <c r="R245" s="2239"/>
      <c r="S245" s="2239"/>
      <c r="T245" s="2239"/>
      <c r="U245" s="2239"/>
      <c r="V245" s="2239"/>
      <c r="W245" s="2239"/>
      <c r="X245" s="2239"/>
      <c r="Y245" s="2239"/>
      <c r="Z245" s="2239"/>
      <c r="AA245" s="2239"/>
      <c r="AB245" s="2239"/>
      <c r="AC245" s="2239"/>
    </row>
    <row r="246" spans="1:42" ht="15" customHeight="1">
      <c r="A246" s="3"/>
      <c r="B246" s="1227"/>
      <c r="C246" s="2128"/>
      <c r="D246" s="2129"/>
      <c r="E246" s="2129"/>
      <c r="F246" s="2129"/>
      <c r="G246" s="1758"/>
      <c r="H246" s="1758"/>
      <c r="I246" s="1758"/>
      <c r="J246" s="1758"/>
      <c r="K246" s="1758"/>
      <c r="L246" s="1758"/>
      <c r="M246" s="1758"/>
      <c r="N246" s="1758"/>
      <c r="O246" s="1758"/>
      <c r="P246" s="1758"/>
      <c r="Q246" s="1758"/>
      <c r="R246" s="1758"/>
      <c r="S246" s="1758"/>
      <c r="T246" s="1758"/>
      <c r="U246" s="1758"/>
      <c r="V246" s="1758"/>
      <c r="W246" s="1758"/>
      <c r="X246" s="1758"/>
      <c r="Y246" s="1758"/>
      <c r="Z246" s="1758"/>
      <c r="AA246" s="1758"/>
      <c r="AB246" s="1758"/>
      <c r="AC246" s="1758"/>
    </row>
    <row r="247" spans="1:42" ht="15" customHeight="1">
      <c r="A247" s="2130"/>
      <c r="B247" s="4420" t="s">
        <v>1623</v>
      </c>
      <c r="C247" s="4421"/>
      <c r="D247" s="4421"/>
      <c r="E247" s="4421"/>
      <c r="F247" s="4421"/>
      <c r="G247" s="2131"/>
      <c r="H247" s="2131"/>
      <c r="I247" s="2131"/>
      <c r="J247" s="2131"/>
      <c r="K247" s="2131"/>
      <c r="L247" s="2131"/>
      <c r="M247" s="2131"/>
      <c r="N247" s="2131"/>
      <c r="O247" s="2131"/>
      <c r="P247" s="2131"/>
      <c r="Q247" s="2131"/>
      <c r="R247" s="2131"/>
      <c r="S247" s="2131"/>
      <c r="T247" s="2131"/>
      <c r="U247" s="2131"/>
      <c r="V247" s="2131"/>
      <c r="W247" s="2131"/>
      <c r="X247" s="2131"/>
      <c r="Y247" s="2131"/>
      <c r="Z247" s="2131"/>
      <c r="AA247" s="2131"/>
      <c r="AB247" s="2131"/>
      <c r="AC247" s="2131"/>
    </row>
    <row r="248" spans="1:42" ht="15" customHeight="1">
      <c r="A248" s="2132"/>
      <c r="B248" s="4422"/>
      <c r="C248" s="4422"/>
      <c r="D248" s="4422"/>
      <c r="E248" s="4422"/>
      <c r="F248" s="4422"/>
      <c r="G248" s="2133"/>
      <c r="H248" s="2133"/>
      <c r="I248" s="2133"/>
      <c r="J248" s="2133"/>
      <c r="K248" s="2133"/>
      <c r="L248" s="2133"/>
      <c r="M248" s="2133"/>
      <c r="N248" s="2133"/>
      <c r="O248" s="2133"/>
      <c r="P248" s="2133"/>
      <c r="Q248" s="2133"/>
      <c r="R248" s="2133"/>
      <c r="S248" s="2133"/>
      <c r="T248" s="2133"/>
      <c r="U248" s="2133"/>
      <c r="V248" s="2133"/>
      <c r="W248" s="2133"/>
      <c r="X248" s="2133"/>
      <c r="Y248" s="2133"/>
      <c r="Z248" s="2133"/>
      <c r="AA248" s="2133"/>
      <c r="AB248" s="2133"/>
      <c r="AC248" s="2133"/>
    </row>
    <row r="249" spans="1:42" ht="15" customHeight="1" thickBot="1">
      <c r="A249" s="643"/>
      <c r="B249" s="1362"/>
      <c r="C249" s="2128"/>
      <c r="D249" s="1983"/>
      <c r="E249" s="2249"/>
      <c r="F249" s="1265"/>
      <c r="G249" s="2250"/>
      <c r="H249" s="2251"/>
      <c r="I249" s="2251"/>
      <c r="J249" s="2251"/>
      <c r="K249" s="2251"/>
      <c r="L249" s="1361"/>
      <c r="M249" s="2252"/>
      <c r="N249" s="1268"/>
      <c r="O249" s="1268"/>
      <c r="P249" s="1268"/>
      <c r="Q249" s="1268"/>
      <c r="R249" s="1268"/>
      <c r="S249" s="1268"/>
      <c r="T249" s="1268"/>
      <c r="U249" s="1268"/>
      <c r="V249" s="1268"/>
      <c r="W249" s="1268"/>
      <c r="X249" s="643"/>
      <c r="Y249" s="643"/>
      <c r="Z249" s="643"/>
      <c r="AA249" s="643"/>
      <c r="AB249" s="643"/>
      <c r="AC249" s="643"/>
    </row>
    <row r="250" spans="1:42" ht="15" customHeight="1" thickBot="1">
      <c r="A250" s="643"/>
      <c r="B250" s="4478" t="s">
        <v>5</v>
      </c>
      <c r="C250" s="645"/>
      <c r="D250" s="4091" t="s">
        <v>3866</v>
      </c>
      <c r="E250" s="4364" t="s">
        <v>6</v>
      </c>
      <c r="F250" s="4364" t="s">
        <v>7</v>
      </c>
      <c r="G250" s="4367" t="s">
        <v>8</v>
      </c>
      <c r="H250" s="4369" t="s">
        <v>9</v>
      </c>
      <c r="I250" s="4481" t="s">
        <v>10</v>
      </c>
      <c r="J250" s="4482"/>
      <c r="K250" s="4483"/>
      <c r="L250" s="4127"/>
      <c r="M250" s="4490" t="s">
        <v>1149</v>
      </c>
      <c r="N250" s="3238">
        <v>45658</v>
      </c>
      <c r="O250" s="3239">
        <v>45689</v>
      </c>
      <c r="P250" s="3239">
        <v>45717</v>
      </c>
      <c r="Q250" s="3239">
        <v>45748</v>
      </c>
      <c r="R250" s="3240">
        <v>45778</v>
      </c>
      <c r="S250" s="3240">
        <v>45809</v>
      </c>
      <c r="T250" s="3240">
        <v>45839</v>
      </c>
      <c r="U250" s="3240">
        <v>45870</v>
      </c>
      <c r="V250" s="3241">
        <v>45901</v>
      </c>
      <c r="W250" s="3241">
        <v>45931</v>
      </c>
      <c r="X250" s="3241">
        <v>45962</v>
      </c>
      <c r="Y250" s="3241">
        <v>45992</v>
      </c>
      <c r="Z250" s="3242">
        <v>46023</v>
      </c>
      <c r="AA250" s="3242">
        <v>46054</v>
      </c>
      <c r="AB250" s="3242">
        <v>46082</v>
      </c>
      <c r="AC250" s="3242">
        <v>46113</v>
      </c>
      <c r="AD250" s="3243">
        <v>46143</v>
      </c>
      <c r="AE250" s="3243">
        <v>46174</v>
      </c>
      <c r="AF250" s="3243">
        <v>46204</v>
      </c>
      <c r="AG250" s="3244">
        <v>46235</v>
      </c>
    </row>
    <row r="251" spans="1:42" ht="27" customHeight="1" thickBot="1">
      <c r="A251" s="643"/>
      <c r="B251" s="4479"/>
      <c r="C251" s="645" t="s">
        <v>1843</v>
      </c>
      <c r="D251" s="4092"/>
      <c r="E251" s="4365"/>
      <c r="F251" s="4365"/>
      <c r="G251" s="4417"/>
      <c r="H251" s="4370"/>
      <c r="I251" s="4484"/>
      <c r="J251" s="4485"/>
      <c r="K251" s="4486"/>
      <c r="L251" s="4492"/>
      <c r="M251" s="4491"/>
      <c r="N251" s="3245" t="s">
        <v>4943</v>
      </c>
      <c r="O251" s="1291" t="s">
        <v>4944</v>
      </c>
      <c r="P251" s="2976" t="s">
        <v>4947</v>
      </c>
      <c r="Q251" s="2977"/>
      <c r="R251" s="2977"/>
      <c r="S251" s="2977"/>
      <c r="T251" s="1324"/>
      <c r="U251" s="1324"/>
      <c r="V251" s="1324"/>
      <c r="W251" s="1324"/>
      <c r="X251" s="1324"/>
      <c r="Y251" s="1324"/>
      <c r="Z251" s="1291"/>
      <c r="AA251" s="1291"/>
      <c r="AB251" s="1324"/>
      <c r="AC251" s="1324"/>
      <c r="AD251" s="744"/>
      <c r="AE251" s="744"/>
      <c r="AF251" s="744"/>
      <c r="AG251" s="3246"/>
      <c r="AO251" s="3399"/>
      <c r="AP251" s="3399"/>
    </row>
    <row r="252" spans="1:42" ht="31.5" customHeight="1" thickBot="1">
      <c r="A252" s="1189" t="s">
        <v>27</v>
      </c>
      <c r="B252" s="4479"/>
      <c r="C252" s="663"/>
      <c r="D252" s="4092"/>
      <c r="E252" s="4365"/>
      <c r="F252" s="4365"/>
      <c r="G252" s="4368"/>
      <c r="H252" s="4370"/>
      <c r="I252" s="4487"/>
      <c r="J252" s="4488"/>
      <c r="K252" s="4489"/>
      <c r="L252" s="4128"/>
      <c r="M252" s="3251" t="s">
        <v>1728</v>
      </c>
      <c r="N252" s="3247" t="s">
        <v>4424</v>
      </c>
      <c r="O252" s="2978" t="s">
        <v>4426</v>
      </c>
      <c r="P252" s="2978" t="s">
        <v>4946</v>
      </c>
      <c r="Q252" s="2978" t="s">
        <v>4949</v>
      </c>
      <c r="R252" s="2978" t="s">
        <v>4951</v>
      </c>
      <c r="S252" s="2978" t="s">
        <v>4953</v>
      </c>
      <c r="T252" s="2978" t="s">
        <v>4953</v>
      </c>
      <c r="U252" s="2978" t="s">
        <v>4956</v>
      </c>
      <c r="V252" s="2978" t="s">
        <v>4422</v>
      </c>
      <c r="W252" s="2978" t="s">
        <v>4418</v>
      </c>
      <c r="X252" s="2978" t="s">
        <v>4421</v>
      </c>
      <c r="Y252" s="2978" t="s">
        <v>4960</v>
      </c>
      <c r="Z252" s="2978" t="s">
        <v>4420</v>
      </c>
      <c r="AA252" s="2978" t="s">
        <v>4420</v>
      </c>
      <c r="AB252" s="2978" t="s">
        <v>4422</v>
      </c>
      <c r="AC252" s="2978" t="s">
        <v>4964</v>
      </c>
      <c r="AD252" s="2978" t="s">
        <v>4453</v>
      </c>
      <c r="AE252" s="2978" t="s">
        <v>4967</v>
      </c>
      <c r="AF252" s="2978" t="s">
        <v>4969</v>
      </c>
      <c r="AG252" s="3248" t="s">
        <v>2568</v>
      </c>
      <c r="AO252" s="3399"/>
      <c r="AP252" s="3399"/>
    </row>
    <row r="253" spans="1:42" ht="51.75" customHeight="1" thickBot="1">
      <c r="A253" s="1663" t="s">
        <v>4512</v>
      </c>
      <c r="B253" s="4480"/>
      <c r="C253" s="659" t="s">
        <v>3882</v>
      </c>
      <c r="D253" s="4155"/>
      <c r="E253" s="4366"/>
      <c r="F253" s="4366"/>
      <c r="G253" s="699" t="s">
        <v>78</v>
      </c>
      <c r="H253" s="4371"/>
      <c r="I253" s="664" t="s">
        <v>79</v>
      </c>
      <c r="J253" s="664" t="s">
        <v>80</v>
      </c>
      <c r="K253" s="664" t="s">
        <v>81</v>
      </c>
      <c r="L253" s="1126" t="s">
        <v>1759</v>
      </c>
      <c r="M253" s="3255" t="s">
        <v>27</v>
      </c>
      <c r="N253" s="3259" t="s">
        <v>3710</v>
      </c>
      <c r="O253" s="3260" t="s">
        <v>4904</v>
      </c>
      <c r="P253" s="3260" t="s">
        <v>4945</v>
      </c>
      <c r="Q253" s="3260" t="s">
        <v>4948</v>
      </c>
      <c r="R253" s="3261" t="s">
        <v>4950</v>
      </c>
      <c r="S253" s="3261" t="s">
        <v>4952</v>
      </c>
      <c r="T253" s="3262" t="s">
        <v>4954</v>
      </c>
      <c r="U253" s="3263" t="s">
        <v>4955</v>
      </c>
      <c r="V253" s="3264" t="s">
        <v>5465</v>
      </c>
      <c r="W253" s="3264" t="s">
        <v>4957</v>
      </c>
      <c r="X253" s="3264" t="s">
        <v>4958</v>
      </c>
      <c r="Y253" s="3264" t="s">
        <v>5530</v>
      </c>
      <c r="Z253" s="3265" t="s">
        <v>4959</v>
      </c>
      <c r="AA253" s="3265" t="s">
        <v>4961</v>
      </c>
      <c r="AB253" s="3265" t="s">
        <v>4962</v>
      </c>
      <c r="AC253" s="3265" t="s">
        <v>4963</v>
      </c>
      <c r="AD253" s="3266" t="s">
        <v>4965</v>
      </c>
      <c r="AE253" s="3266" t="s">
        <v>4966</v>
      </c>
      <c r="AF253" s="3266" t="s">
        <v>4968</v>
      </c>
      <c r="AG253" s="3267" t="s">
        <v>4970</v>
      </c>
      <c r="AO253" s="3399"/>
      <c r="AP253" s="3399"/>
    </row>
    <row r="254" spans="1:42" s="3399" customFormat="1" ht="15" customHeight="1">
      <c r="A254" s="3660" t="s">
        <v>1623</v>
      </c>
      <c r="B254" s="3676">
        <v>1</v>
      </c>
      <c r="C254" s="3677">
        <v>45839</v>
      </c>
      <c r="D254" s="3603">
        <v>866</v>
      </c>
      <c r="E254" s="3603" t="str">
        <f>_xlfn.XLOOKUP($D254,  Tabla3[No.],  Tabla3[CURP], " ")</f>
        <v>SAFM810812MCC</v>
      </c>
      <c r="F254" s="3678" t="str">
        <f>_xlfn.XLOOKUP($D254,  Tabla3[No.],  Tabla3[Matrícula Of. SEQ], " ")</f>
        <v xml:space="preserve">SIN INSCRIBIR </v>
      </c>
      <c r="G254" s="3679" t="str">
        <f>IFERROR(VLOOKUP(D254,Tabla3[],5,FALSE),"")</f>
        <v>SANCHEZ FALLA MONICA</v>
      </c>
      <c r="H254" s="3679" t="str">
        <f>MID($E254,11,1)</f>
        <v>M</v>
      </c>
      <c r="I254" s="3679" t="str">
        <f>MID($E254,5,2)</f>
        <v>81</v>
      </c>
      <c r="J254" s="3679" t="str">
        <f>MID($E254,7,2)</f>
        <v>08</v>
      </c>
      <c r="K254" s="3679" t="str">
        <f>MID($E254,9,2)</f>
        <v>12</v>
      </c>
      <c r="L254" s="3680" t="str">
        <f>_xlfn.XLOOKUP($E254,Tabla3[CURP],Tabla3[ESTATUS ACADÉMICO]," ")</f>
        <v>VIGENTE</v>
      </c>
      <c r="M254" s="3681" t="s">
        <v>2821</v>
      </c>
      <c r="N254" s="3671" t="s">
        <v>136</v>
      </c>
      <c r="O254" s="3537" t="s">
        <v>136</v>
      </c>
      <c r="P254" s="3537" t="s">
        <v>136</v>
      </c>
      <c r="Q254" s="3537" t="s">
        <v>136</v>
      </c>
      <c r="R254" s="3537" t="s">
        <v>136</v>
      </c>
      <c r="S254" s="3537" t="s">
        <v>136</v>
      </c>
      <c r="T254" s="3537">
        <v>9.5</v>
      </c>
      <c r="U254" s="3539">
        <v>9</v>
      </c>
      <c r="V254" s="3537">
        <v>10</v>
      </c>
      <c r="W254" s="3537">
        <v>10</v>
      </c>
      <c r="X254" s="3537"/>
      <c r="Y254" s="3537"/>
      <c r="Z254" s="3537"/>
      <c r="AA254" s="3537"/>
      <c r="AB254" s="3537"/>
      <c r="AC254" s="3537"/>
      <c r="AD254" s="3537"/>
      <c r="AE254" s="3537"/>
      <c r="AF254" s="3537"/>
      <c r="AG254" s="3540"/>
    </row>
    <row r="255" spans="1:42" s="3399" customFormat="1" ht="15" customHeight="1">
      <c r="A255" s="3661" t="s">
        <v>1623</v>
      </c>
      <c r="B255" s="3548">
        <v>2</v>
      </c>
      <c r="C255" s="3554">
        <v>45778</v>
      </c>
      <c r="D255" s="3537">
        <v>859</v>
      </c>
      <c r="E255" s="3537" t="str">
        <f>_xlfn.XLOOKUP($D255,  Tabla3[No.],  Tabla3[CURP], " ")</f>
        <v>SAHD750804MCC</v>
      </c>
      <c r="F255" s="3538" t="str">
        <f>_xlfn.XLOOKUP($D255,  Tabla3[No.],  Tabla3[Matrícula Of. SEQ], " ")</f>
        <v>64DIA05B-01</v>
      </c>
      <c r="G255" s="3549" t="str">
        <f>IFERROR(VLOOKUP(D255,Tabla3[],5,FALSE),"")</f>
        <v>SANABRIA HERRERA DORAISY</v>
      </c>
      <c r="H255" s="3549" t="str">
        <f>MID($E255,11,1)</f>
        <v>M</v>
      </c>
      <c r="I255" s="3549" t="str">
        <f>MID($E255,5,2)</f>
        <v>75</v>
      </c>
      <c r="J255" s="3549" t="str">
        <f>MID($E255,7,2)</f>
        <v>08</v>
      </c>
      <c r="K255" s="3549" t="str">
        <f>MID($E255,9,2)</f>
        <v>04</v>
      </c>
      <c r="L255" s="3663" t="str">
        <f>_xlfn.XLOOKUP($E255,Tabla3[CURP],Tabla3[ESTATUS ACADÉMICO]," ")</f>
        <v>VIGENTE</v>
      </c>
      <c r="M255" s="3550" t="s">
        <v>2821</v>
      </c>
      <c r="N255" s="3671" t="s">
        <v>135</v>
      </c>
      <c r="O255" s="3537" t="s">
        <v>135</v>
      </c>
      <c r="P255" s="3537" t="s">
        <v>135</v>
      </c>
      <c r="Q255" s="3537" t="s">
        <v>135</v>
      </c>
      <c r="R255" s="3537">
        <v>9.6999999999999993</v>
      </c>
      <c r="S255" s="3537">
        <v>9.5</v>
      </c>
      <c r="T255" s="3537">
        <v>9</v>
      </c>
      <c r="U255" s="3541">
        <v>9.6999999999999993</v>
      </c>
      <c r="V255" s="3537">
        <v>10</v>
      </c>
      <c r="W255" s="3537">
        <v>10</v>
      </c>
      <c r="X255" s="3537"/>
      <c r="Y255" s="3537"/>
      <c r="Z255" s="3537"/>
      <c r="AA255" s="3537"/>
      <c r="AB255" s="3537"/>
      <c r="AC255" s="3537"/>
      <c r="AD255" s="3537"/>
      <c r="AE255" s="3537"/>
      <c r="AF255" s="3537"/>
      <c r="AG255" s="3540"/>
    </row>
    <row r="256" spans="1:42" s="3399" customFormat="1" ht="15" customHeight="1">
      <c r="A256" s="3661" t="s">
        <v>1623</v>
      </c>
      <c r="B256" s="3555">
        <v>3</v>
      </c>
      <c r="C256" s="3556">
        <f>_xlfn.XLOOKUP($D256, Tabla3[No.], Tabla3[FECHA DE INICIO (PRIMERA CLASE CALENDARIO)]," ")</f>
        <v>45703</v>
      </c>
      <c r="D256" s="3557">
        <v>816</v>
      </c>
      <c r="E256" s="3558" t="str">
        <f>_xlfn.XLOOKUP($D256,  Tabla3[No.],  Tabla3[CURP], " ")</f>
        <v>DIRJ751019HGRZMV01</v>
      </c>
      <c r="F256" s="3558" t="str">
        <f>_xlfn.XLOOKUP($D256,  Tabla3[No.],  Tabla3[Matrícula Of. SEQ], " ")</f>
        <v>64DIA05A-03</v>
      </c>
      <c r="G256" s="3559" t="str">
        <f>IFERROR(VLOOKUP(D256,Tabla3[],5,FALSE),"")</f>
        <v>DIAZ RAMON JAVIER</v>
      </c>
      <c r="H256" s="3559" t="str">
        <f>MID($E256,11,1)</f>
        <v>H</v>
      </c>
      <c r="I256" s="3559" t="str">
        <f>MID($E256,5,2)</f>
        <v>75</v>
      </c>
      <c r="J256" s="3559" t="str">
        <f>MID($E256,7,2)</f>
        <v>10</v>
      </c>
      <c r="K256" s="3559" t="str">
        <f>MID($E256,9,2)</f>
        <v>19</v>
      </c>
      <c r="L256" s="3664" t="str">
        <f>_xlfn.XLOOKUP($E256,Tabla3[CURP],Tabla3[ESTATUS ACADÉMICO]," ")</f>
        <v>BAJA TEMPORAL</v>
      </c>
      <c r="M256" s="3560" t="s">
        <v>2821</v>
      </c>
      <c r="N256" s="3672">
        <v>0</v>
      </c>
      <c r="O256" s="4013">
        <v>7.1</v>
      </c>
      <c r="P256" s="3557" t="s">
        <v>1616</v>
      </c>
      <c r="Q256" s="3557" t="s">
        <v>5140</v>
      </c>
      <c r="R256" s="3557"/>
      <c r="S256" s="3557"/>
      <c r="T256" s="3557"/>
      <c r="U256" s="3557"/>
      <c r="V256" s="3557"/>
      <c r="W256" s="3557"/>
      <c r="X256" s="3557"/>
      <c r="Y256" s="3557"/>
      <c r="Z256" s="3558"/>
      <c r="AA256" s="3557"/>
      <c r="AB256" s="3557"/>
      <c r="AC256" s="3557"/>
      <c r="AD256" s="3558"/>
      <c r="AE256" s="3558"/>
      <c r="AF256" s="3558"/>
      <c r="AG256" s="3561"/>
    </row>
    <row r="257" spans="1:44" s="3399" customFormat="1" ht="15" customHeight="1">
      <c r="A257" s="3661" t="s">
        <v>1623</v>
      </c>
      <c r="B257" s="3548">
        <v>4</v>
      </c>
      <c r="C257" s="3554">
        <f>_xlfn.XLOOKUP($D257, Tabla3[No.], Tabla3[FECHA DE INICIO (PRIMERA CLASE CALENDARIO)]," ")</f>
        <v>45675</v>
      </c>
      <c r="D257" s="3543">
        <v>817</v>
      </c>
      <c r="E257" s="3544" t="str">
        <f>_xlfn.XLOOKUP($D257,  Tabla3[No.],  Tabla3[CURP], " ")</f>
        <v>BARM770313MCC</v>
      </c>
      <c r="F257" s="3545" t="str">
        <f>_xlfn.XLOOKUP($D257,  Tabla3[No.],  Tabla3[Matrícula Of. SEQ], " ")</f>
        <v>64DIA05A-02</v>
      </c>
      <c r="G257" s="3551" t="str">
        <f>IFERROR(VLOOKUP(D257,Tabla3[],5,FALSE),"")</f>
        <v>BAENA RESTREPO MARGARITA MARIA</v>
      </c>
      <c r="H257" s="3551" t="str">
        <f t="shared" ref="H257:H261" si="43">MID($E257,11,1)</f>
        <v>M</v>
      </c>
      <c r="I257" s="3551" t="str">
        <f t="shared" ref="I257:I261" si="44">MID($E257,5,2)</f>
        <v>77</v>
      </c>
      <c r="J257" s="3551" t="str">
        <f t="shared" ref="J257:J261" si="45">MID($E257,7,2)</f>
        <v>03</v>
      </c>
      <c r="K257" s="3551" t="str">
        <f t="shared" ref="K257:K261" si="46">MID($E257,9,2)</f>
        <v>13</v>
      </c>
      <c r="L257" s="3665" t="str">
        <f>_xlfn.XLOOKUP($E257,Tabla3[CURP],Tabla3[ESTATUS ACADÉMICO]," ")</f>
        <v>VIGENTE</v>
      </c>
      <c r="M257" s="3552" t="s">
        <v>2821</v>
      </c>
      <c r="N257" s="3673">
        <v>10</v>
      </c>
      <c r="O257" s="3543">
        <v>10</v>
      </c>
      <c r="P257" s="3543">
        <v>9.5</v>
      </c>
      <c r="Q257" s="3543">
        <v>10</v>
      </c>
      <c r="R257" s="3543">
        <v>9.6</v>
      </c>
      <c r="S257" s="3543">
        <v>9.5</v>
      </c>
      <c r="T257" s="3543">
        <v>9.5</v>
      </c>
      <c r="U257" s="3541">
        <v>9.6999999999999993</v>
      </c>
      <c r="V257" s="3543">
        <v>10</v>
      </c>
      <c r="W257" s="3543">
        <v>10</v>
      </c>
      <c r="X257" s="3543"/>
      <c r="Y257" s="3543"/>
      <c r="Z257" s="3546"/>
      <c r="AA257" s="3543"/>
      <c r="AB257" s="3543"/>
      <c r="AC257" s="3543"/>
      <c r="AD257" s="3544"/>
      <c r="AE257" s="3544"/>
      <c r="AF257" s="3544"/>
      <c r="AG257" s="3547"/>
    </row>
    <row r="258" spans="1:44" s="3399" customFormat="1" ht="15" customHeight="1">
      <c r="A258" s="3661" t="s">
        <v>1623</v>
      </c>
      <c r="B258" s="3548">
        <v>5</v>
      </c>
      <c r="C258" s="3554">
        <f>_xlfn.XLOOKUP($D258, Tabla3[No.], Tabla3[FECHA DE INICIO (PRIMERA CLASE CALENDARIO)]," ")</f>
        <v>45675</v>
      </c>
      <c r="D258" s="3543">
        <v>818</v>
      </c>
      <c r="E258" s="3544" t="str">
        <f>_xlfn.XLOOKUP($D258,  Tabla3[No.],  Tabla3[CURP], " ")</f>
        <v>VAOG721006HOCSRL01</v>
      </c>
      <c r="F258" s="3545" t="str">
        <f>_xlfn.XLOOKUP($D258,  Tabla3[No.],  Tabla3[Matrícula Of. SEQ], " ")</f>
        <v>64DIA05A-07</v>
      </c>
      <c r="G258" s="3551" t="str">
        <f>IFERROR(VLOOKUP(D258,Tabla3[],5,FALSE),"")</f>
        <v>VASQUEZ ORTIZ GUILLERMO ALFREDO</v>
      </c>
      <c r="H258" s="3551" t="str">
        <f t="shared" si="43"/>
        <v>H</v>
      </c>
      <c r="I258" s="3551" t="str">
        <f t="shared" si="44"/>
        <v>72</v>
      </c>
      <c r="J258" s="3551" t="str">
        <f t="shared" si="45"/>
        <v>10</v>
      </c>
      <c r="K258" s="3551" t="str">
        <f t="shared" si="46"/>
        <v>06</v>
      </c>
      <c r="L258" s="3665" t="str">
        <f>_xlfn.XLOOKUP($E258,Tabla3[CURP],Tabla3[ESTATUS ACADÉMICO]," ")</f>
        <v>VIGENTE</v>
      </c>
      <c r="M258" s="3552" t="s">
        <v>2821</v>
      </c>
      <c r="N258" s="3674">
        <v>9.8000000000000007</v>
      </c>
      <c r="O258" s="3543">
        <v>10</v>
      </c>
      <c r="P258" s="3543">
        <v>10</v>
      </c>
      <c r="Q258" s="3543">
        <v>10</v>
      </c>
      <c r="R258" s="3543">
        <v>9.8000000000000007</v>
      </c>
      <c r="S258" s="3543">
        <v>9.5</v>
      </c>
      <c r="T258" s="3543">
        <v>10</v>
      </c>
      <c r="U258" s="3543">
        <v>9.6999999999999993</v>
      </c>
      <c r="V258" s="3543">
        <v>10</v>
      </c>
      <c r="W258" s="3543">
        <v>10</v>
      </c>
      <c r="X258" s="3543"/>
      <c r="Y258" s="3543"/>
      <c r="Z258" s="3544"/>
      <c r="AA258" s="3543"/>
      <c r="AB258" s="3543"/>
      <c r="AC258" s="3543"/>
      <c r="AD258" s="3544"/>
      <c r="AE258" s="3544"/>
      <c r="AF258" s="3544"/>
      <c r="AG258" s="3547"/>
    </row>
    <row r="259" spans="1:44" s="3399" customFormat="1" ht="15" customHeight="1">
      <c r="A259" s="3661" t="s">
        <v>1623</v>
      </c>
      <c r="B259" s="3553">
        <v>6</v>
      </c>
      <c r="C259" s="3554">
        <f>_xlfn.XLOOKUP($D259, Tabla3[No.], Tabla3[FECHA DE INICIO (PRIMERA CLASE CALENDARIO)]," ")</f>
        <v>45675</v>
      </c>
      <c r="D259" s="3543">
        <v>819</v>
      </c>
      <c r="E259" s="3544" t="str">
        <f>_xlfn.XLOOKUP($D259,  Tabla3[No.],  Tabla3[CURP], " ")</f>
        <v>JADR830216MCLSMC08</v>
      </c>
      <c r="F259" s="3545" t="str">
        <f>_xlfn.XLOOKUP($D259,  Tabla3[No.],  Tabla3[Matrícula Of. SEQ], " ")</f>
        <v>64DIA05A-04</v>
      </c>
      <c r="G259" s="3551" t="str">
        <f>IFERROR(VLOOKUP(D259,Tabla3[],5,FALSE),"")</f>
        <v>JASSO DOMINGUEZ ROCIO MIRASOL</v>
      </c>
      <c r="H259" s="3551" t="str">
        <f t="shared" si="43"/>
        <v>M</v>
      </c>
      <c r="I259" s="3551" t="str">
        <f t="shared" si="44"/>
        <v>83</v>
      </c>
      <c r="J259" s="3551" t="str">
        <f t="shared" si="45"/>
        <v>02</v>
      </c>
      <c r="K259" s="3551" t="str">
        <f t="shared" si="46"/>
        <v>16</v>
      </c>
      <c r="L259" s="3665" t="str">
        <f>_xlfn.XLOOKUP($E259,Tabla3[CURP],Tabla3[ESTATUS ACADÉMICO]," ")</f>
        <v>VIGENTE</v>
      </c>
      <c r="M259" s="3552" t="s">
        <v>2821</v>
      </c>
      <c r="N259" s="3674">
        <v>9.1</v>
      </c>
      <c r="O259" s="3543">
        <v>9.6999999999999993</v>
      </c>
      <c r="P259" s="3543">
        <v>10</v>
      </c>
      <c r="Q259" s="3543">
        <v>10</v>
      </c>
      <c r="R259" s="3543">
        <v>9.5</v>
      </c>
      <c r="S259" s="3543">
        <v>9.4</v>
      </c>
      <c r="T259" s="3543">
        <v>9.5</v>
      </c>
      <c r="U259" s="3543">
        <v>9.6999999999999993</v>
      </c>
      <c r="V259" s="3543">
        <v>10</v>
      </c>
      <c r="W259" s="3543">
        <v>10</v>
      </c>
      <c r="X259" s="3543"/>
      <c r="Y259" s="3543"/>
      <c r="Z259" s="3544"/>
      <c r="AA259" s="3543"/>
      <c r="AB259" s="3543"/>
      <c r="AC259" s="3543"/>
      <c r="AD259" s="3544"/>
      <c r="AE259" s="3544"/>
      <c r="AF259" s="3544"/>
      <c r="AG259" s="3547"/>
      <c r="AO259" s="3670"/>
      <c r="AP259" s="3670"/>
    </row>
    <row r="260" spans="1:44" s="3399" customFormat="1" ht="15" customHeight="1">
      <c r="A260" s="3661" t="s">
        <v>1623</v>
      </c>
      <c r="B260" s="3555">
        <v>7</v>
      </c>
      <c r="C260" s="3556">
        <f>_xlfn.XLOOKUP($D260, Tabla3[No.], Tabla3[FECHA DE INICIO (PRIMERA CLASE CALENDARIO)]," ")</f>
        <v>45675</v>
      </c>
      <c r="D260" s="3557">
        <v>821</v>
      </c>
      <c r="E260" s="3558" t="str">
        <f>_xlfn.XLOOKUP($D260,  Tabla3[No.],  Tabla3[CURP], " ")</f>
        <v>HEGF761015HCC</v>
      </c>
      <c r="F260" s="3558" t="str">
        <f>_xlfn.XLOOKUP($D260,  Tabla3[No.],  Tabla3[Matrícula Of. SEQ], " ")</f>
        <v>64DIA05A-05</v>
      </c>
      <c r="G260" s="3559" t="str">
        <f>IFERROR(VLOOKUP(D260,Tabla3[],5,FALSE),"")</f>
        <v>HERNANDEZ GONZALEZ FABIAN ANDRES</v>
      </c>
      <c r="H260" s="3559" t="str">
        <f t="shared" si="43"/>
        <v>H</v>
      </c>
      <c r="I260" s="3559" t="str">
        <f t="shared" si="44"/>
        <v>76</v>
      </c>
      <c r="J260" s="3559" t="str">
        <f t="shared" si="45"/>
        <v>10</v>
      </c>
      <c r="K260" s="3559" t="str">
        <f t="shared" si="46"/>
        <v>15</v>
      </c>
      <c r="L260" s="3664" t="str">
        <f>_xlfn.XLOOKUP($E260,Tabla3[CURP],Tabla3[ESTATUS ACADÉMICO]," ")</f>
        <v>BAJA TEMPORAL</v>
      </c>
      <c r="M260" s="3560" t="s">
        <v>2821</v>
      </c>
      <c r="N260" s="3672">
        <v>4</v>
      </c>
      <c r="O260" s="3542">
        <v>0</v>
      </c>
      <c r="P260" s="3557" t="s">
        <v>1616</v>
      </c>
      <c r="Q260" s="3557" t="s">
        <v>5140</v>
      </c>
      <c r="R260" s="3557" t="s">
        <v>5140</v>
      </c>
      <c r="S260" s="3557"/>
      <c r="T260" s="3557"/>
      <c r="U260" s="3557"/>
      <c r="V260" s="3557"/>
      <c r="W260" s="3557"/>
      <c r="X260" s="3557"/>
      <c r="Y260" s="3557"/>
      <c r="Z260" s="3558"/>
      <c r="AA260" s="3557"/>
      <c r="AB260" s="3557"/>
      <c r="AC260" s="3557"/>
      <c r="AD260" s="3558"/>
      <c r="AE260" s="3558"/>
      <c r="AF260" s="3558"/>
      <c r="AG260" s="3561"/>
      <c r="AO260"/>
      <c r="AP260"/>
    </row>
    <row r="261" spans="1:44" s="3399" customFormat="1" ht="15" customHeight="1">
      <c r="A261" s="3661" t="s">
        <v>1623</v>
      </c>
      <c r="B261" s="3553">
        <v>8</v>
      </c>
      <c r="C261" s="3554">
        <f>_xlfn.XLOOKUP($D261, Tabla3[No.], Tabla3[FECHA DE INICIO (PRIMERA CLASE CALENDARIO)]," ")</f>
        <v>45675</v>
      </c>
      <c r="D261" s="3543">
        <v>822</v>
      </c>
      <c r="E261" s="3544" t="str">
        <f>_xlfn.XLOOKUP($D261,  Tabla3[No.],  Tabla3[CURP], " ")</f>
        <v>SACL640107HVZLNC02</v>
      </c>
      <c r="F261" s="3545" t="str">
        <f>_xlfn.XLOOKUP($D261,  Tabla3[No.],  Tabla3[Matrícula Of. SEQ], " ")</f>
        <v>64DIA05A-06</v>
      </c>
      <c r="G261" s="3551" t="str">
        <f>IFERROR(VLOOKUP(D261,Tabla3[],5,FALSE),"")</f>
        <v>SALAS CONTRERAS LUCIANO</v>
      </c>
      <c r="H261" s="3551" t="str">
        <f t="shared" si="43"/>
        <v>H</v>
      </c>
      <c r="I261" s="3551" t="str">
        <f t="shared" si="44"/>
        <v>64</v>
      </c>
      <c r="J261" s="3551" t="str">
        <f t="shared" si="45"/>
        <v>01</v>
      </c>
      <c r="K261" s="3551" t="str">
        <f t="shared" si="46"/>
        <v>07</v>
      </c>
      <c r="L261" s="3665" t="str">
        <f>_xlfn.XLOOKUP($E261,Tabla3[CURP],Tabla3[ESTATUS ACADÉMICO]," ")</f>
        <v>EGRESADO</v>
      </c>
      <c r="M261" s="3552" t="s">
        <v>2821</v>
      </c>
      <c r="N261" s="3674">
        <v>8.1999999999999993</v>
      </c>
      <c r="O261" s="3543">
        <v>7.7</v>
      </c>
      <c r="P261" s="3543">
        <v>10</v>
      </c>
      <c r="Q261" s="3543">
        <v>10</v>
      </c>
      <c r="R261" s="3543">
        <v>9.6999999999999993</v>
      </c>
      <c r="S261" s="3543">
        <v>9.4</v>
      </c>
      <c r="T261" s="3543">
        <v>9.5</v>
      </c>
      <c r="U261" s="3543">
        <v>9.6999999999999993</v>
      </c>
      <c r="V261" s="3543">
        <v>10</v>
      </c>
      <c r="W261" s="3543">
        <v>10</v>
      </c>
      <c r="X261" s="3543"/>
      <c r="Y261" s="3543"/>
      <c r="Z261" s="3544"/>
      <c r="AA261" s="3543"/>
      <c r="AB261" s="3543"/>
      <c r="AC261" s="3543"/>
      <c r="AD261" s="3544"/>
      <c r="AE261" s="3544"/>
      <c r="AF261" s="3544"/>
      <c r="AG261" s="3547"/>
      <c r="AO261"/>
      <c r="AP261"/>
    </row>
    <row r="262" spans="1:44" s="3670" customFormat="1" ht="15" customHeight="1">
      <c r="A262" s="3667" t="s">
        <v>1623</v>
      </c>
      <c r="B262" s="3585">
        <v>9</v>
      </c>
      <c r="C262" s="3201">
        <f>_xlfn.XLOOKUP($E262,Tabla3[CURP],Tabla3[FECHA DE INICIO (PRIMERA CLASE CALENDARIO)]," ")</f>
        <v>45703</v>
      </c>
      <c r="D262" s="1601">
        <v>832</v>
      </c>
      <c r="E262" s="3374" t="str">
        <f>_xlfn.XLOOKUP($D262,  Tabla3[No.],  Tabla3[CURP], " ")</f>
        <v>CISV670608HGT</v>
      </c>
      <c r="F262" s="739" t="str">
        <f>_xlfn.XLOOKUP($D262,  Tabla3[No.],  Tabla3[Matrícula Of. SEQ], " ")</f>
        <v>64DD08D-02</v>
      </c>
      <c r="G262" s="1605" t="str">
        <f>IFERROR(VLOOKUP(D262,Tabla3[],5,FALSE),"")</f>
        <v>CIFUENTES SANDOVAL VICTOR MANUEL</v>
      </c>
      <c r="H262" s="3668" t="str">
        <f>MID($E262,11,1)</f>
        <v>H</v>
      </c>
      <c r="I262" s="3669" t="str">
        <f>MID($E262,5,2)</f>
        <v>67</v>
      </c>
      <c r="J262" s="3669" t="str">
        <f>MID($E262,7,2)</f>
        <v>06</v>
      </c>
      <c r="K262" s="3669" t="str">
        <f>MID($E262,9,2)</f>
        <v>08</v>
      </c>
      <c r="L262" s="3929" t="str">
        <f>_xlfn.XLOOKUP($D262,  Tabla3[No.],  Tabla3[ESTATUS ACADÉMICO], " ")</f>
        <v>VIGENTE</v>
      </c>
      <c r="M262" s="3682" t="str">
        <f>_xlfn.XLOOKUP($D262,  Tabla3[No.],  Tabla3[Grupo de clase], " ")</f>
        <v>DD07A</v>
      </c>
      <c r="N262" s="3675" t="s">
        <v>135</v>
      </c>
      <c r="O262" s="3257">
        <v>10</v>
      </c>
      <c r="P262" s="3257">
        <v>10</v>
      </c>
      <c r="Q262" s="3257">
        <v>10</v>
      </c>
      <c r="R262" s="3257">
        <v>10</v>
      </c>
      <c r="S262" s="3257">
        <v>10</v>
      </c>
      <c r="T262" s="3257">
        <v>10</v>
      </c>
      <c r="U262" s="3257">
        <v>10</v>
      </c>
      <c r="V262" s="3257">
        <v>10</v>
      </c>
      <c r="W262" s="3257">
        <v>10</v>
      </c>
      <c r="X262" s="3257"/>
      <c r="Y262" s="3257"/>
      <c r="Z262" s="3257"/>
      <c r="AA262" s="3257"/>
      <c r="AB262" s="3257"/>
      <c r="AC262" s="3257"/>
      <c r="AD262" s="3257"/>
      <c r="AE262" s="3257"/>
      <c r="AF262" s="3257"/>
      <c r="AG262" s="3257"/>
      <c r="AH262" s="3257"/>
      <c r="AI262" s="3257"/>
      <c r="AJ262" s="3257"/>
      <c r="AO262"/>
      <c r="AP262"/>
    </row>
    <row r="263" spans="1:44" ht="15" customHeight="1" thickBot="1">
      <c r="A263" s="3662" t="s">
        <v>1623</v>
      </c>
      <c r="B263" s="774">
        <v>9</v>
      </c>
      <c r="C263" s="3571">
        <f>_xlfn.XLOOKUP($E263,Tabla3[CURP],Tabla3[FECHA DE INICIO (PRIMERA CLASE CALENDARIO)]," ")</f>
        <v>45927</v>
      </c>
      <c r="D263" s="1647">
        <v>881</v>
      </c>
      <c r="E263" s="3595" t="str">
        <f>_xlfn.XLOOKUP($D263,  Tabla3[No.],  Tabla3[CURP], " ")</f>
        <v>JITE270925HG</v>
      </c>
      <c r="F263" s="775" t="str">
        <f>_xlfn.XLOOKUP($D263,  Tabla3[No.],  Tabla3[Matrícula Of. SEQ], " ")</f>
        <v xml:space="preserve">SIN INSCRIBIR </v>
      </c>
      <c r="G263" s="1650" t="str">
        <f>IFERROR(VLOOKUP(D263,Tabla3[],5,FALSE),"")</f>
        <v xml:space="preserve">JIMENEZ TRACHTENBERG ELIAS NEHEMIAS
</v>
      </c>
      <c r="H263" s="4020" t="str">
        <f>MID($E263,11,1)</f>
        <v>H</v>
      </c>
      <c r="I263" s="4021" t="str">
        <f>MID($E263,5,2)</f>
        <v>27</v>
      </c>
      <c r="J263" s="4021" t="str">
        <f>MID($E263,7,2)</f>
        <v>09</v>
      </c>
      <c r="K263" s="4021" t="str">
        <f>MID($E263,9,2)</f>
        <v>25</v>
      </c>
      <c r="L263" s="3930" t="str">
        <f>_xlfn.XLOOKUP($D263,  Tabla3[No.],  Tabla3[ESTATUS ACADÉMICO], " ")</f>
        <v>VIGENTE</v>
      </c>
      <c r="M263" s="4022" t="str">
        <f>_xlfn.XLOOKUP($D263,  Tabla3[No.],  Tabla3[Grupo de clase], " ")</f>
        <v>DIAP04C</v>
      </c>
      <c r="N263" s="4023" t="s">
        <v>135</v>
      </c>
      <c r="O263" s="4023" t="s">
        <v>135</v>
      </c>
      <c r="P263" s="4023" t="s">
        <v>135</v>
      </c>
      <c r="Q263" s="4023" t="s">
        <v>135</v>
      </c>
      <c r="R263" s="4023" t="s">
        <v>135</v>
      </c>
      <c r="S263" s="4023" t="s">
        <v>135</v>
      </c>
      <c r="T263" s="4023" t="s">
        <v>135</v>
      </c>
      <c r="U263" s="4023" t="s">
        <v>135</v>
      </c>
      <c r="V263" s="3254">
        <v>10</v>
      </c>
      <c r="W263" s="3254">
        <v>10</v>
      </c>
      <c r="X263" s="3254"/>
      <c r="Y263" s="3254"/>
      <c r="Z263" s="3254"/>
      <c r="AA263" s="3254"/>
      <c r="AB263" s="3254"/>
      <c r="AC263" s="3254"/>
      <c r="AD263" s="3252"/>
      <c r="AE263" s="3252"/>
      <c r="AF263" s="3252"/>
      <c r="AG263" s="3253"/>
    </row>
    <row r="264" spans="1:44" ht="15" customHeight="1">
      <c r="A264" s="1758"/>
      <c r="B264" s="2254"/>
      <c r="C264" s="2254"/>
      <c r="D264" s="2254"/>
      <c r="E264" s="2254"/>
      <c r="F264" s="2254"/>
      <c r="G264" s="1758"/>
      <c r="H264" s="1758"/>
      <c r="I264" s="1758"/>
      <c r="J264" s="1758"/>
      <c r="K264" s="1758"/>
      <c r="L264" s="1758"/>
      <c r="M264" s="1758"/>
      <c r="N264" s="1758"/>
      <c r="O264" s="1758"/>
      <c r="P264" s="1758"/>
      <c r="Q264" s="1758"/>
      <c r="R264" s="1758"/>
      <c r="S264" s="1758"/>
      <c r="T264" s="1758"/>
      <c r="U264" s="1758"/>
      <c r="V264" s="1758"/>
      <c r="W264" s="1758"/>
      <c r="X264" s="1758"/>
      <c r="Y264" s="1758"/>
      <c r="Z264" s="1758"/>
      <c r="AA264" s="1758"/>
      <c r="AB264" s="1758"/>
      <c r="AC264" s="1758"/>
    </row>
    <row r="265" spans="1:44" ht="15" customHeight="1">
      <c r="A265" s="1758"/>
      <c r="B265" s="2254"/>
      <c r="C265" s="2254"/>
      <c r="D265" s="2254"/>
      <c r="E265" s="2254"/>
      <c r="F265" s="2254"/>
      <c r="G265" s="1758"/>
      <c r="H265" s="1758"/>
      <c r="I265" s="1758"/>
      <c r="J265" s="1758"/>
      <c r="K265" s="1758"/>
      <c r="L265" s="1758"/>
      <c r="M265" s="1758"/>
      <c r="N265" s="1758"/>
      <c r="O265" s="1758"/>
      <c r="P265" s="1758"/>
      <c r="Q265" s="1758"/>
      <c r="R265" s="1758"/>
      <c r="S265" s="1758"/>
      <c r="T265" s="1758"/>
      <c r="U265" s="1758"/>
      <c r="V265" s="1758"/>
      <c r="W265" s="1758"/>
      <c r="X265" s="1758"/>
      <c r="Y265" s="1758"/>
      <c r="Z265" s="1758"/>
      <c r="AA265" s="1758"/>
      <c r="AB265" s="1758"/>
      <c r="AC265" s="1758"/>
    </row>
    <row r="266" spans="1:44" ht="15" customHeight="1">
      <c r="A266" s="1758"/>
      <c r="B266" s="2254"/>
      <c r="C266" s="2254"/>
      <c r="D266" s="2254"/>
      <c r="E266" s="2254"/>
      <c r="F266" s="2254"/>
      <c r="G266" s="1758"/>
      <c r="H266" s="1758"/>
      <c r="I266" s="1758"/>
      <c r="J266" s="1758"/>
      <c r="K266" s="1758"/>
      <c r="L266" s="1758"/>
      <c r="M266" s="1758"/>
      <c r="N266" s="1758"/>
      <c r="O266" s="1758"/>
      <c r="P266" s="1758"/>
      <c r="Q266" s="1758"/>
      <c r="R266" s="1758"/>
      <c r="S266" s="1758"/>
      <c r="T266" s="1758"/>
      <c r="U266" s="1758"/>
      <c r="V266" s="1758"/>
      <c r="W266" s="1758"/>
      <c r="X266" s="1758"/>
      <c r="Y266" s="1758"/>
      <c r="Z266" s="1758"/>
      <c r="AA266" s="1758"/>
      <c r="AB266" s="1758"/>
      <c r="AC266" s="1758"/>
    </row>
    <row r="267" spans="1:44" ht="15" customHeight="1">
      <c r="A267" s="1758"/>
      <c r="B267" s="2254"/>
      <c r="C267" s="2254"/>
      <c r="D267" s="2254"/>
      <c r="E267" s="2254"/>
      <c r="F267" s="2254"/>
      <c r="G267" s="1758"/>
      <c r="H267" s="1758"/>
      <c r="I267" s="1758"/>
      <c r="J267" s="1758"/>
      <c r="K267" s="1758"/>
      <c r="L267" s="1758"/>
      <c r="M267" s="1758"/>
      <c r="N267" s="1758"/>
      <c r="O267" s="1758"/>
      <c r="P267" s="1758"/>
      <c r="Q267" s="1758"/>
      <c r="R267" s="1758"/>
      <c r="S267" s="1758"/>
      <c r="T267" s="1758"/>
      <c r="U267" s="1758"/>
      <c r="V267" s="1758"/>
      <c r="W267" s="1758"/>
      <c r="X267" s="1758"/>
      <c r="Y267" s="1758"/>
      <c r="Z267" s="1758"/>
      <c r="AA267" s="1758"/>
      <c r="AB267" s="1758"/>
      <c r="AC267" s="1758"/>
    </row>
    <row r="268" spans="1:44" ht="15" customHeight="1">
      <c r="A268" s="1758"/>
      <c r="B268" s="2254"/>
      <c r="C268" s="2254"/>
      <c r="D268" s="2254"/>
      <c r="E268" s="2254"/>
      <c r="F268" s="2254"/>
      <c r="G268" s="1758"/>
      <c r="H268" s="1758"/>
      <c r="I268" s="1758" t="s">
        <v>173</v>
      </c>
      <c r="J268" s="1758"/>
      <c r="K268" s="1758"/>
      <c r="L268" s="1758"/>
      <c r="M268" s="1758"/>
      <c r="N268" s="1758"/>
      <c r="O268" s="1758"/>
      <c r="P268" s="1758"/>
      <c r="Q268" s="1758"/>
      <c r="R268" s="1758"/>
      <c r="S268" s="1758"/>
      <c r="T268" s="1758"/>
      <c r="U268" s="1758"/>
      <c r="V268" s="1758"/>
      <c r="W268" s="1758"/>
      <c r="X268" s="1758"/>
      <c r="Y268" s="1758"/>
      <c r="Z268" s="1758"/>
      <c r="AA268" s="1758"/>
      <c r="AB268" s="1758"/>
      <c r="AC268" s="1758"/>
    </row>
    <row r="269" spans="1:44" ht="15" customHeight="1" thickBot="1">
      <c r="A269" s="3"/>
      <c r="B269" s="3"/>
      <c r="C269" s="3"/>
      <c r="D269" s="3"/>
      <c r="E269" s="701"/>
      <c r="F269" s="3"/>
      <c r="G269" s="3"/>
      <c r="H269" s="3"/>
      <c r="I269" s="3"/>
      <c r="J269" s="3"/>
      <c r="K269" s="3"/>
      <c r="L269" s="3"/>
      <c r="M269" s="3"/>
      <c r="N269" s="193"/>
      <c r="O269" s="193"/>
      <c r="P269" s="193"/>
      <c r="Q269" s="193"/>
      <c r="R269" s="3"/>
      <c r="S269" s="3"/>
      <c r="T269" s="3"/>
      <c r="U269" s="3"/>
      <c r="V269" s="193"/>
      <c r="W269" s="193"/>
      <c r="X269" s="193"/>
      <c r="Y269" s="193"/>
      <c r="Z269" s="3"/>
      <c r="AA269" s="3"/>
      <c r="AB269" s="3"/>
      <c r="AC269" s="3"/>
    </row>
    <row r="270" spans="1:44" ht="15" customHeight="1" thickBot="1">
      <c r="A270" s="643"/>
      <c r="B270" s="4119" t="s">
        <v>5</v>
      </c>
      <c r="C270" s="645"/>
      <c r="D270" s="4091" t="s">
        <v>3866</v>
      </c>
      <c r="E270" s="4364" t="s">
        <v>6</v>
      </c>
      <c r="F270" s="4364" t="s">
        <v>7</v>
      </c>
      <c r="G270" s="4367" t="s">
        <v>8</v>
      </c>
      <c r="H270" s="4418" t="s">
        <v>9</v>
      </c>
      <c r="I270" s="4408" t="s">
        <v>10</v>
      </c>
      <c r="J270" s="4409"/>
      <c r="K270" s="4410"/>
      <c r="L270" s="4432"/>
      <c r="M270" s="4493" t="s">
        <v>1149</v>
      </c>
      <c r="N270" s="3268">
        <v>45323</v>
      </c>
      <c r="O270" s="3269">
        <v>45352</v>
      </c>
      <c r="P270" s="3269">
        <v>45383</v>
      </c>
      <c r="Q270" s="3269">
        <v>45413</v>
      </c>
      <c r="R270" s="3270">
        <v>45444</v>
      </c>
      <c r="S270" s="3271">
        <v>45474</v>
      </c>
      <c r="T270" s="3271">
        <v>45505</v>
      </c>
      <c r="U270" s="3271">
        <v>45536</v>
      </c>
      <c r="V270" s="3272">
        <v>45566</v>
      </c>
      <c r="W270" s="3272">
        <v>45597</v>
      </c>
      <c r="X270" s="3272">
        <v>45627</v>
      </c>
      <c r="Y270" s="3272">
        <v>45658</v>
      </c>
      <c r="Z270" s="3273">
        <v>45689</v>
      </c>
      <c r="AA270" s="3273">
        <v>45717</v>
      </c>
      <c r="AB270" s="3273">
        <v>45748</v>
      </c>
      <c r="AC270" s="3273">
        <v>45778</v>
      </c>
      <c r="AD270" s="3274">
        <v>45809</v>
      </c>
      <c r="AE270" s="3274">
        <v>45839</v>
      </c>
      <c r="AF270" s="3274">
        <v>45870</v>
      </c>
      <c r="AG270" s="3909">
        <v>45901</v>
      </c>
      <c r="AH270" s="4018">
        <v>45931</v>
      </c>
      <c r="AI270" s="4018">
        <v>45962</v>
      </c>
      <c r="AJ270" s="4018">
        <v>45992</v>
      </c>
      <c r="AK270" s="4018">
        <v>46023</v>
      </c>
      <c r="AL270" s="4019">
        <v>46054</v>
      </c>
      <c r="AM270" s="4019">
        <v>46082</v>
      </c>
      <c r="AN270" s="4019">
        <v>46113</v>
      </c>
      <c r="AO270" s="4019">
        <v>46143</v>
      </c>
      <c r="AP270" s="700"/>
      <c r="AQ270" s="700"/>
      <c r="AR270" s="700"/>
    </row>
    <row r="271" spans="1:44" ht="51.75" customHeight="1" thickBot="1">
      <c r="A271" s="643"/>
      <c r="B271" s="4310"/>
      <c r="C271" s="645" t="s">
        <v>1843</v>
      </c>
      <c r="D271" s="4092"/>
      <c r="E271" s="4365"/>
      <c r="F271" s="4365"/>
      <c r="G271" s="4417"/>
      <c r="H271" s="4419"/>
      <c r="I271" s="4411"/>
      <c r="J271" s="4412"/>
      <c r="K271" s="4413"/>
      <c r="L271" s="4433"/>
      <c r="M271" s="4494"/>
      <c r="N271" s="3285" t="s">
        <v>3989</v>
      </c>
      <c r="O271" s="3286"/>
      <c r="P271" s="3286"/>
      <c r="Q271" s="3286"/>
      <c r="R271" s="3286"/>
      <c r="S271" s="2986" t="s">
        <v>3989</v>
      </c>
      <c r="T271" s="2986" t="s">
        <v>3989</v>
      </c>
      <c r="U271" s="2986" t="s">
        <v>3989</v>
      </c>
      <c r="V271" s="2986" t="s">
        <v>3989</v>
      </c>
      <c r="W271" s="2986" t="s">
        <v>3989</v>
      </c>
      <c r="X271" s="2986" t="s">
        <v>3989</v>
      </c>
      <c r="Y271" s="2986" t="s">
        <v>3989</v>
      </c>
      <c r="Z271" s="2986" t="s">
        <v>3989</v>
      </c>
      <c r="AA271" s="2987" t="s">
        <v>5017</v>
      </c>
      <c r="AB271" s="1324" t="s">
        <v>5016</v>
      </c>
      <c r="AC271" s="1442"/>
      <c r="AD271" s="1442"/>
      <c r="AE271" s="1442"/>
      <c r="AF271" s="1442"/>
      <c r="AG271" s="3910" t="s">
        <v>5466</v>
      </c>
      <c r="AH271" s="744"/>
      <c r="AI271" s="744"/>
      <c r="AJ271" s="744"/>
      <c r="AK271" s="744"/>
      <c r="AL271" s="744"/>
      <c r="AM271" s="744"/>
      <c r="AN271" s="744"/>
      <c r="AO271" s="744"/>
      <c r="AP271" s="4014"/>
      <c r="AQ271" s="700"/>
      <c r="AR271" s="700"/>
    </row>
    <row r="272" spans="1:44" ht="31.5" customHeight="1" thickBot="1">
      <c r="A272" s="1189" t="s">
        <v>27</v>
      </c>
      <c r="B272" s="4310"/>
      <c r="C272" s="663"/>
      <c r="D272" s="4092"/>
      <c r="E272" s="4365"/>
      <c r="F272" s="4365"/>
      <c r="G272" s="4368"/>
      <c r="H272" s="4419"/>
      <c r="I272" s="4414"/>
      <c r="J272" s="4415"/>
      <c r="K272" s="4416"/>
      <c r="L272" s="978"/>
      <c r="M272" s="1124" t="s">
        <v>1728</v>
      </c>
      <c r="N272" s="2988" t="s">
        <v>4418</v>
      </c>
      <c r="O272" s="2988" t="s">
        <v>4419</v>
      </c>
      <c r="P272" s="2988" t="s">
        <v>4420</v>
      </c>
      <c r="Q272" s="2988" t="s">
        <v>4420</v>
      </c>
      <c r="R272" s="2988" t="s">
        <v>4421</v>
      </c>
      <c r="S272" s="2988" t="s">
        <v>4422</v>
      </c>
      <c r="T272" s="2988"/>
      <c r="U272" s="2988" t="s">
        <v>4423</v>
      </c>
      <c r="V272" s="2988" t="s">
        <v>4423</v>
      </c>
      <c r="W272" s="2988" t="s">
        <v>894</v>
      </c>
      <c r="X272" s="2988" t="s">
        <v>1745</v>
      </c>
      <c r="Y272" s="2988" t="s">
        <v>4424</v>
      </c>
      <c r="Z272" s="2988" t="s">
        <v>4426</v>
      </c>
      <c r="AA272" s="2989" t="s">
        <v>4946</v>
      </c>
      <c r="AB272" s="2282" t="s">
        <v>4949</v>
      </c>
      <c r="AC272" s="2282" t="s">
        <v>4425</v>
      </c>
      <c r="AD272" s="2282" t="s">
        <v>4427</v>
      </c>
      <c r="AE272" s="2282" t="s">
        <v>4427</v>
      </c>
      <c r="AF272" s="2282" t="s">
        <v>4977</v>
      </c>
      <c r="AG272" s="3911" t="s">
        <v>4422</v>
      </c>
      <c r="AH272" s="2978" t="s">
        <v>4418</v>
      </c>
      <c r="AI272" s="2978" t="s">
        <v>4421</v>
      </c>
      <c r="AJ272" s="2978" t="s">
        <v>4960</v>
      </c>
      <c r="AK272" s="2978" t="s">
        <v>4420</v>
      </c>
      <c r="AL272" s="2978" t="s">
        <v>4420</v>
      </c>
      <c r="AM272" s="2978" t="s">
        <v>4422</v>
      </c>
      <c r="AN272" s="2978" t="s">
        <v>4964</v>
      </c>
      <c r="AO272" s="2978" t="s">
        <v>4453</v>
      </c>
      <c r="AP272" s="4015"/>
      <c r="AQ272" s="4015"/>
      <c r="AR272" s="4015"/>
    </row>
    <row r="273" spans="1:44" ht="60.75" thickBot="1">
      <c r="A273" s="1663" t="s">
        <v>3991</v>
      </c>
      <c r="B273" s="4311"/>
      <c r="C273" s="729" t="s">
        <v>3719</v>
      </c>
      <c r="D273" s="4092"/>
      <c r="E273" s="4365"/>
      <c r="F273" s="4365"/>
      <c r="G273" s="730" t="s">
        <v>78</v>
      </c>
      <c r="H273" s="4419"/>
      <c r="I273" s="1235" t="s">
        <v>79</v>
      </c>
      <c r="J273" s="1235" t="s">
        <v>80</v>
      </c>
      <c r="K273" s="1235" t="s">
        <v>81</v>
      </c>
      <c r="L273" s="1235" t="s">
        <v>1759</v>
      </c>
      <c r="M273" s="1236" t="s">
        <v>27</v>
      </c>
      <c r="N273" s="3275" t="s">
        <v>3714</v>
      </c>
      <c r="O273" s="3276" t="s">
        <v>5464</v>
      </c>
      <c r="P273" s="3277" t="s">
        <v>3716</v>
      </c>
      <c r="Q273" s="3278" t="s">
        <v>3717</v>
      </c>
      <c r="R273" s="3278" t="s">
        <v>4313</v>
      </c>
      <c r="S273" s="3279" t="s">
        <v>4314</v>
      </c>
      <c r="T273" s="3280" t="s">
        <v>910</v>
      </c>
      <c r="U273" s="3281" t="s">
        <v>3705</v>
      </c>
      <c r="V273" s="3281" t="s">
        <v>3706</v>
      </c>
      <c r="W273" s="3281" t="s">
        <v>1752</v>
      </c>
      <c r="X273" s="3258" t="s">
        <v>900</v>
      </c>
      <c r="Y273" s="3258" t="s">
        <v>3710</v>
      </c>
      <c r="Z273" s="3258" t="s">
        <v>4904</v>
      </c>
      <c r="AA273" s="3282" t="s">
        <v>4972</v>
      </c>
      <c r="AB273" s="3283" t="s">
        <v>4948</v>
      </c>
      <c r="AC273" s="3283" t="s">
        <v>4973</v>
      </c>
      <c r="AD273" s="3284" t="s">
        <v>4974</v>
      </c>
      <c r="AE273" s="3284" t="s">
        <v>4975</v>
      </c>
      <c r="AF273" s="3284" t="s">
        <v>4976</v>
      </c>
      <c r="AG273" s="3912" t="s">
        <v>5465</v>
      </c>
      <c r="AH273" s="3264" t="s">
        <v>4957</v>
      </c>
      <c r="AI273" s="3264" t="s">
        <v>4958</v>
      </c>
      <c r="AJ273" s="3264" t="s">
        <v>5530</v>
      </c>
      <c r="AK273" s="3265" t="s">
        <v>4959</v>
      </c>
      <c r="AL273" s="3265" t="s">
        <v>4961</v>
      </c>
      <c r="AM273" s="3265" t="s">
        <v>4962</v>
      </c>
      <c r="AN273" s="3265" t="s">
        <v>4963</v>
      </c>
      <c r="AO273" s="3266" t="s">
        <v>4965</v>
      </c>
      <c r="AP273" s="4016"/>
      <c r="AQ273" s="4016"/>
      <c r="AR273" s="4016"/>
    </row>
    <row r="274" spans="1:44" s="3599" customFormat="1" ht="15" customHeight="1">
      <c r="A274" s="1776"/>
      <c r="B274" s="3572">
        <v>1</v>
      </c>
      <c r="C274" s="3562">
        <f>_xlfn.XLOOKUP($E274,Tabla3[CURP],Tabla3[FECHA DE INICIO (PRIMERA CLASE CALENDARIO)]," ")</f>
        <v>45339</v>
      </c>
      <c r="D274" s="3563">
        <v>662</v>
      </c>
      <c r="E274" s="3573" t="str">
        <f>_xlfn.XLOOKUP($D274,  Tabla3[No.],  Tabla3[CURP], " ")</f>
        <v>RACS820401MQRMSN00</v>
      </c>
      <c r="F274" s="3573" t="str">
        <f>_xlfn.XLOOKUP($D274,  Tabla3[No.],  Tabla3[Matrícula Of. SEQ], " ")</f>
        <v>64DIA04A-01</v>
      </c>
      <c r="G274" s="3574" t="str">
        <f>IFERROR(VLOOKUP(D274,Tabla3[],5,FALSE),"")</f>
        <v>RAMIREZ CASTRO SANDRA</v>
      </c>
      <c r="H274" s="3575" t="str">
        <f t="shared" ref="H274:H280" si="47">MID($E274,11,1)</f>
        <v>M</v>
      </c>
      <c r="I274" s="3575" t="str">
        <f t="shared" ref="I274:I280" si="48">MID($E274,5,2)</f>
        <v>82</v>
      </c>
      <c r="J274" s="3575" t="str">
        <f t="shared" ref="J274:J280" si="49">MID($E274,7,2)</f>
        <v>04</v>
      </c>
      <c r="K274" s="3575" t="str">
        <f t="shared" ref="K274:K280" si="50">MID($E274,9,2)</f>
        <v>01</v>
      </c>
      <c r="L274" s="3576" t="str">
        <f>_xlfn.XLOOKUP($E274,Tabla3[CURP],Tabla3[ESTATUS ACADÉMICO]," ")</f>
        <v>EGRESADO</v>
      </c>
      <c r="M274" s="3577" t="s">
        <v>2821</v>
      </c>
      <c r="N274" s="3578">
        <v>10</v>
      </c>
      <c r="O274" s="3578">
        <v>10</v>
      </c>
      <c r="P274" s="3578">
        <v>10</v>
      </c>
      <c r="Q274" s="3578">
        <v>10</v>
      </c>
      <c r="R274" s="3578">
        <v>10</v>
      </c>
      <c r="S274" s="3598">
        <v>9.8000000000000007</v>
      </c>
      <c r="T274" s="3598">
        <v>9.8000000000000007</v>
      </c>
      <c r="U274" s="3598">
        <v>10</v>
      </c>
      <c r="V274" s="3598">
        <v>10</v>
      </c>
      <c r="W274" s="3598">
        <v>9.9</v>
      </c>
      <c r="X274" s="3598">
        <v>10</v>
      </c>
      <c r="Y274" s="3598">
        <v>9.6999999999999993</v>
      </c>
      <c r="Z274" s="3598">
        <v>10</v>
      </c>
      <c r="AA274" s="3598">
        <v>9.6999999999999993</v>
      </c>
      <c r="AB274" s="3598">
        <v>10</v>
      </c>
      <c r="AC274" s="3598">
        <v>9.9</v>
      </c>
      <c r="AD274" s="3598">
        <v>9.8000000000000007</v>
      </c>
      <c r="AE274" s="3598">
        <v>10</v>
      </c>
      <c r="AF274" s="3598">
        <v>9</v>
      </c>
      <c r="AG274" s="3913">
        <v>10</v>
      </c>
      <c r="AH274" s="3370"/>
      <c r="AI274" s="3370"/>
      <c r="AJ274" s="3370"/>
      <c r="AK274" s="3370"/>
      <c r="AL274" s="3370"/>
      <c r="AM274" s="3370"/>
      <c r="AN274" s="3370"/>
      <c r="AO274" s="3370"/>
      <c r="AP274" s="4014"/>
      <c r="AQ274" s="4014"/>
      <c r="AR274" s="4014"/>
    </row>
    <row r="275" spans="1:44" s="3602" customFormat="1" ht="15" customHeight="1">
      <c r="A275" s="3600"/>
      <c r="B275" s="3579">
        <v>2</v>
      </c>
      <c r="C275" s="3564">
        <f>_xlfn.XLOOKUP($E275,Tabla3[CURP],Tabla3[FECHA DE INICIO (PRIMERA CLASE CALENDARIO)]," ")</f>
        <v>45360</v>
      </c>
      <c r="D275" s="3565">
        <v>689</v>
      </c>
      <c r="E275" s="3566" t="str">
        <f>_xlfn.XLOOKUP($D275,  Tabla3[No.],  Tabla3[CURP], " ")</f>
        <v>LECL900822MMCMMZ07</v>
      </c>
      <c r="F275" s="3566" t="str">
        <f>_xlfn.XLOOKUP($D275,  Tabla3[No.],  Tabla3[Matrícula Of. SEQ], " ")</f>
        <v>64DIA04B-02</v>
      </c>
      <c r="G275" s="3567" t="str">
        <f>IFERROR(VLOOKUP(D275,Tabla3[],5,FALSE),"")</f>
        <v>LEMUS CAMPUZANO LUZ MARIA</v>
      </c>
      <c r="H275" s="3580" t="str">
        <f t="shared" si="47"/>
        <v>M</v>
      </c>
      <c r="I275" s="3580" t="str">
        <f t="shared" si="48"/>
        <v>90</v>
      </c>
      <c r="J275" s="3580" t="str">
        <f t="shared" si="49"/>
        <v>08</v>
      </c>
      <c r="K275" s="3580" t="str">
        <f t="shared" si="50"/>
        <v>22</v>
      </c>
      <c r="L275" s="3581" t="str">
        <f>_xlfn.XLOOKUP($E275,Tabla3[CURP],Tabla3[ESTATUS ACADÉMICO]," ")</f>
        <v>EGRESADO</v>
      </c>
      <c r="M275" s="3582" t="s">
        <v>2821</v>
      </c>
      <c r="N275" s="3583">
        <v>10</v>
      </c>
      <c r="O275" s="3583">
        <v>10</v>
      </c>
      <c r="P275" s="3583">
        <v>10</v>
      </c>
      <c r="Q275" s="3583">
        <v>10</v>
      </c>
      <c r="R275" s="3583">
        <v>10</v>
      </c>
      <c r="S275" s="3607" t="s">
        <v>135</v>
      </c>
      <c r="T275" s="3607" t="s">
        <v>135</v>
      </c>
      <c r="U275" s="3584"/>
      <c r="V275" s="3584"/>
      <c r="W275" s="3584"/>
      <c r="X275" s="3584"/>
      <c r="Y275" s="3584"/>
      <c r="Z275" s="3584"/>
      <c r="AA275" s="3584"/>
      <c r="AB275" s="3584"/>
      <c r="AC275" s="3601"/>
      <c r="AD275" s="3601"/>
      <c r="AE275" s="3601"/>
      <c r="AF275" s="3601"/>
      <c r="AG275" s="3914"/>
      <c r="AH275" s="3917"/>
      <c r="AI275" s="3917"/>
      <c r="AJ275" s="3917"/>
      <c r="AK275" s="3917"/>
      <c r="AL275" s="3917"/>
      <c r="AM275" s="3917"/>
      <c r="AN275" s="3917"/>
      <c r="AO275" s="3917"/>
      <c r="AP275" s="4014"/>
      <c r="AQ275" s="4017"/>
      <c r="AR275" s="4017"/>
    </row>
    <row r="276" spans="1:44" s="3599" customFormat="1" ht="15" customHeight="1">
      <c r="A276" s="1776"/>
      <c r="B276" s="3585">
        <v>3</v>
      </c>
      <c r="C276" s="3201">
        <f>_xlfn.XLOOKUP($E276,Tabla3[CURP],Tabla3[FECHA DE INICIO (PRIMERA CLASE CALENDARIO)]," ")</f>
        <v>45402</v>
      </c>
      <c r="D276" s="1605">
        <v>700</v>
      </c>
      <c r="E276" s="3370" t="str">
        <f>_xlfn.XLOOKUP($D276,  Tabla3[No.],  Tabla3[CURP], " ")</f>
        <v>TUCJ800421HYNZMS15</v>
      </c>
      <c r="F276" s="3586" t="str">
        <f>_xlfn.XLOOKUP($D276,  Tabla3[No.],  Tabla3[Matrícula Of. SEQ], " ")</f>
        <v>64DIA04B-04</v>
      </c>
      <c r="G276" s="3587" t="str">
        <f>IFERROR(VLOOKUP(D276,Tabla3[],5,FALSE),"")</f>
        <v>TUZ CAAMAL JESUS CARLOS ANTONIO</v>
      </c>
      <c r="H276" s="739" t="str">
        <f t="shared" si="47"/>
        <v>H</v>
      </c>
      <c r="I276" s="739" t="str">
        <f t="shared" si="48"/>
        <v>80</v>
      </c>
      <c r="J276" s="739" t="str">
        <f t="shared" si="49"/>
        <v>04</v>
      </c>
      <c r="K276" s="739" t="str">
        <f t="shared" si="50"/>
        <v>21</v>
      </c>
      <c r="L276" s="3588" t="str">
        <f>_xlfn.XLOOKUP($E276,Tabla3[CURP],Tabla3[ESTATUS ACADÉMICO]," ")</f>
        <v>VIGENTE</v>
      </c>
      <c r="M276" s="3589" t="s">
        <v>2821</v>
      </c>
      <c r="N276" s="3609" t="s">
        <v>135</v>
      </c>
      <c r="O276" s="3609" t="s">
        <v>135</v>
      </c>
      <c r="P276" s="3551">
        <v>10</v>
      </c>
      <c r="Q276" s="3551">
        <v>10</v>
      </c>
      <c r="R276" s="3544">
        <v>10</v>
      </c>
      <c r="S276" s="3544">
        <v>9.6</v>
      </c>
      <c r="T276" s="3544">
        <v>9.6</v>
      </c>
      <c r="U276" s="3544">
        <v>10</v>
      </c>
      <c r="V276" s="3544">
        <v>9.3000000000000007</v>
      </c>
      <c r="W276" s="3544">
        <v>9.6999999999999993</v>
      </c>
      <c r="X276" s="3544">
        <v>10</v>
      </c>
      <c r="Y276" s="3544">
        <v>9.4</v>
      </c>
      <c r="Z276" s="3544">
        <v>10</v>
      </c>
      <c r="AA276" s="3544">
        <v>9.5</v>
      </c>
      <c r="AB276" s="3544">
        <v>10</v>
      </c>
      <c r="AC276" s="3544">
        <v>9.3000000000000007</v>
      </c>
      <c r="AD276" s="3544">
        <v>9.8000000000000007</v>
      </c>
      <c r="AE276" s="3544">
        <v>9.6999999999999993</v>
      </c>
      <c r="AF276" s="3537">
        <v>9.6999999999999993</v>
      </c>
      <c r="AG276" s="3915">
        <v>10</v>
      </c>
      <c r="AH276" s="3370"/>
      <c r="AI276" s="3370"/>
      <c r="AJ276" s="3370"/>
      <c r="AK276" s="3370"/>
      <c r="AL276" s="3370"/>
      <c r="AM276" s="3370"/>
      <c r="AN276" s="3370"/>
      <c r="AO276" s="3370"/>
      <c r="AP276" s="4014"/>
      <c r="AQ276" s="4014"/>
      <c r="AR276" s="4014"/>
    </row>
    <row r="277" spans="1:44" s="3599" customFormat="1" ht="15" customHeight="1">
      <c r="A277" s="1776"/>
      <c r="B277" s="3585">
        <v>4</v>
      </c>
      <c r="C277" s="3201">
        <f>_xlfn.XLOOKUP($E277,Tabla3[CURP],Tabla3[FECHA DE INICIO (PRIMERA CLASE CALENDARIO)]," ")</f>
        <v>45402</v>
      </c>
      <c r="D277" s="1605">
        <v>718</v>
      </c>
      <c r="E277" s="3370" t="str">
        <f>_xlfn.XLOOKUP($D277,  Tabla3[No.],  Tabla3[CURP], " ")</f>
        <v>RUJC700108HDFBRH09</v>
      </c>
      <c r="F277" s="3586" t="str">
        <f>_xlfn.XLOOKUP($D277,  Tabla3[No.],  Tabla3[Matrícula Of. SEQ], " ")</f>
        <v>64DIA04B-03</v>
      </c>
      <c r="G277" s="3587" t="str">
        <f>IFERROR(VLOOKUP(D277,Tabla3[],5,FALSE),"")</f>
        <v>RUBIO JUAREZ CUAUHTEMOC</v>
      </c>
      <c r="H277" s="739" t="str">
        <f t="shared" si="47"/>
        <v>H</v>
      </c>
      <c r="I277" s="739" t="str">
        <f t="shared" si="48"/>
        <v>70</v>
      </c>
      <c r="J277" s="739" t="str">
        <f t="shared" si="49"/>
        <v>01</v>
      </c>
      <c r="K277" s="739" t="str">
        <f t="shared" si="50"/>
        <v>08</v>
      </c>
      <c r="L277" s="3588" t="str">
        <f>_xlfn.XLOOKUP($E277,Tabla3[CURP],Tabla3[ESTATUS ACADÉMICO]," ")</f>
        <v>VIGENTE</v>
      </c>
      <c r="M277" s="3589" t="s">
        <v>2821</v>
      </c>
      <c r="N277" s="3609" t="s">
        <v>135</v>
      </c>
      <c r="O277" s="3609" t="s">
        <v>135</v>
      </c>
      <c r="P277" s="3551">
        <v>10</v>
      </c>
      <c r="Q277" s="3551">
        <v>10</v>
      </c>
      <c r="R277" s="3544">
        <v>10</v>
      </c>
      <c r="S277" s="3544">
        <v>9.8000000000000007</v>
      </c>
      <c r="T277" s="3544">
        <v>9.8000000000000007</v>
      </c>
      <c r="U277" s="3544">
        <v>10</v>
      </c>
      <c r="V277" s="3544">
        <v>10</v>
      </c>
      <c r="W277" s="3544">
        <v>9.9</v>
      </c>
      <c r="X277" s="3544">
        <v>10</v>
      </c>
      <c r="Y277" s="3544">
        <v>9.8000000000000007</v>
      </c>
      <c r="Z277" s="3544">
        <v>10</v>
      </c>
      <c r="AA277" s="3544">
        <v>10</v>
      </c>
      <c r="AB277" s="3544">
        <v>10</v>
      </c>
      <c r="AC277" s="3544">
        <v>9.6999999999999993</v>
      </c>
      <c r="AD277" s="3544">
        <v>9.8000000000000007</v>
      </c>
      <c r="AE277" s="3544">
        <v>10</v>
      </c>
      <c r="AF277" s="3544">
        <v>9.6999999999999993</v>
      </c>
      <c r="AG277" s="3915">
        <v>10</v>
      </c>
      <c r="AH277" s="3370"/>
      <c r="AI277" s="3370"/>
      <c r="AJ277" s="3370"/>
      <c r="AK277" s="3370"/>
      <c r="AL277" s="3370"/>
      <c r="AM277" s="3370"/>
      <c r="AN277" s="3370"/>
      <c r="AO277" s="3370"/>
      <c r="AP277" s="4014"/>
      <c r="AQ277" s="4014"/>
      <c r="AR277" s="4014"/>
    </row>
    <row r="278" spans="1:44" s="3599" customFormat="1" ht="15" customHeight="1">
      <c r="A278" s="1776"/>
      <c r="B278" s="3585">
        <v>5</v>
      </c>
      <c r="C278" s="3201">
        <f>_xlfn.XLOOKUP($E278,Tabla3[CURP],Tabla3[FECHA DE INICIO (PRIMERA CLASE CALENDARIO)]," ")</f>
        <v>45423</v>
      </c>
      <c r="D278" s="1350">
        <v>724</v>
      </c>
      <c r="E278" s="3370" t="str">
        <f>_xlfn.XLOOKUP($D278,  Tabla3[No.],  Tabla3[CURP], " ")</f>
        <v>BAML750727MMCRLS09</v>
      </c>
      <c r="F278" s="3586" t="str">
        <f>_xlfn.XLOOKUP($D278,  Tabla3[No.],  Tabla3[Matrícula Of. SEQ], " ")</f>
        <v>64DIA04B-01</v>
      </c>
      <c r="G278" s="3587" t="str">
        <f>IFERROR(VLOOKUP(D278,Tabla3[],5,FALSE),"")</f>
        <v>BARRON MALDONADO MARIA LUISA</v>
      </c>
      <c r="H278" s="739" t="str">
        <f t="shared" si="47"/>
        <v>M</v>
      </c>
      <c r="I278" s="739" t="str">
        <f t="shared" si="48"/>
        <v>75</v>
      </c>
      <c r="J278" s="739" t="str">
        <f t="shared" si="49"/>
        <v>07</v>
      </c>
      <c r="K278" s="739" t="str">
        <f t="shared" si="50"/>
        <v>27</v>
      </c>
      <c r="L278" s="3588" t="str">
        <f>_xlfn.XLOOKUP($E278,Tabla3[CURP],Tabla3[ESTATUS ACADÉMICO]," ")</f>
        <v>VIGENTE</v>
      </c>
      <c r="M278" s="3589" t="s">
        <v>2821</v>
      </c>
      <c r="N278" s="3610" t="s">
        <v>135</v>
      </c>
      <c r="O278" s="3849" t="s">
        <v>135</v>
      </c>
      <c r="P278" s="3850" t="s">
        <v>135</v>
      </c>
      <c r="Q278" s="3551">
        <v>10</v>
      </c>
      <c r="R278" s="3544">
        <v>10</v>
      </c>
      <c r="S278" s="3544">
        <v>9.4</v>
      </c>
      <c r="T278" s="3544">
        <v>9.4</v>
      </c>
      <c r="U278" s="3544">
        <v>10</v>
      </c>
      <c r="V278" s="3544">
        <v>9.8000000000000007</v>
      </c>
      <c r="W278" s="3544">
        <v>10</v>
      </c>
      <c r="X278" s="3544">
        <v>10</v>
      </c>
      <c r="Y278" s="3544">
        <v>9.3000000000000007</v>
      </c>
      <c r="Z278" s="3544">
        <v>9.4</v>
      </c>
      <c r="AA278" s="3544">
        <v>10</v>
      </c>
      <c r="AB278" s="3544">
        <v>10</v>
      </c>
      <c r="AC278" s="3544">
        <v>9.3000000000000007</v>
      </c>
      <c r="AD278" s="3544">
        <v>9.8000000000000007</v>
      </c>
      <c r="AE278" s="3544">
        <v>9.6999999999999993</v>
      </c>
      <c r="AF278" s="3544">
        <v>9.6999999999999993</v>
      </c>
      <c r="AG278" s="3915">
        <v>10</v>
      </c>
      <c r="AH278" s="3370"/>
      <c r="AI278" s="3370"/>
      <c r="AJ278" s="3370"/>
      <c r="AK278" s="3370"/>
      <c r="AL278" s="3370"/>
      <c r="AM278" s="3370"/>
      <c r="AN278" s="3370"/>
      <c r="AO278" s="3370"/>
      <c r="AP278" s="700"/>
      <c r="AQ278" s="4014"/>
      <c r="AR278" s="4014"/>
    </row>
    <row r="279" spans="1:44" s="3599" customFormat="1" ht="15" customHeight="1">
      <c r="A279" s="1776"/>
      <c r="B279" s="3590">
        <v>6</v>
      </c>
      <c r="C279" s="3568">
        <v>45521</v>
      </c>
      <c r="D279" s="1432">
        <v>789</v>
      </c>
      <c r="E279" s="3382" t="str">
        <f>_xlfn.XLOOKUP($D279,  Tabla3[No.],  Tabla3[CURP], " ")</f>
        <v>NALJ810126HVZTPN06</v>
      </c>
      <c r="F279" s="3382" t="str">
        <f>_xlfn.XLOOKUP($D279,  Tabla3[No.],  Tabla3[Matrícula Of. SEQ], " ")</f>
        <v>64DIA04C-01</v>
      </c>
      <c r="G279" s="3591" t="str">
        <f>IFERROR(VLOOKUP(D279,Tabla3[],5,FALSE),"")</f>
        <v>NATALE LOPEZ JUAN CARLOS</v>
      </c>
      <c r="H279" s="3592" t="str">
        <f t="shared" si="47"/>
        <v>H</v>
      </c>
      <c r="I279" s="3592" t="str">
        <f t="shared" si="48"/>
        <v>81</v>
      </c>
      <c r="J279" s="3592" t="str">
        <f t="shared" si="49"/>
        <v>01</v>
      </c>
      <c r="K279" s="3592" t="str">
        <f t="shared" si="50"/>
        <v>26</v>
      </c>
      <c r="L279" s="3593" t="str">
        <f>_xlfn.XLOOKUP($E279,Tabla3[CURP],Tabla3[ESTATUS ACADÉMICO]," ")</f>
        <v>EGRESADO</v>
      </c>
      <c r="M279" s="3589" t="s">
        <v>2821</v>
      </c>
      <c r="N279" s="3607" t="s">
        <v>135</v>
      </c>
      <c r="O279" s="3607" t="s">
        <v>135</v>
      </c>
      <c r="P279" s="3607" t="s">
        <v>135</v>
      </c>
      <c r="Q279" s="3607" t="s">
        <v>135</v>
      </c>
      <c r="R279" s="3607" t="s">
        <v>135</v>
      </c>
      <c r="S279" s="3607" t="s">
        <v>135</v>
      </c>
      <c r="T279" s="3607" t="s">
        <v>135</v>
      </c>
      <c r="U279" s="3604">
        <v>10</v>
      </c>
      <c r="V279" s="3604">
        <v>8.5</v>
      </c>
      <c r="W279" s="3604">
        <v>8.5</v>
      </c>
      <c r="X279" s="3604">
        <v>10</v>
      </c>
      <c r="Y279" s="3604" t="s">
        <v>173</v>
      </c>
      <c r="Z279" s="3604"/>
      <c r="AA279" s="3604"/>
      <c r="AB279" s="3604">
        <v>10</v>
      </c>
      <c r="AC279" s="3604"/>
      <c r="AD279" s="3604"/>
      <c r="AE279" s="3604"/>
      <c r="AF279" s="3604"/>
      <c r="AG279" s="3914"/>
      <c r="AH279" s="3370"/>
      <c r="AI279" s="3370"/>
      <c r="AJ279" s="3370"/>
      <c r="AK279" s="3370"/>
      <c r="AL279" s="3370"/>
      <c r="AM279" s="3370"/>
      <c r="AN279" s="3370"/>
      <c r="AO279" s="3370"/>
      <c r="AP279"/>
    </row>
    <row r="280" spans="1:44" s="3599" customFormat="1" ht="15" customHeight="1" thickBot="1">
      <c r="A280" s="1776"/>
      <c r="B280" s="774">
        <v>7</v>
      </c>
      <c r="C280" s="3571">
        <v>45626</v>
      </c>
      <c r="D280" s="1647">
        <v>800</v>
      </c>
      <c r="E280" s="3594" t="str">
        <f>_xlfn.XLOOKUP($D280,  Tabla3[No.],  Tabla3[CURP], " ")</f>
        <v>AEGJ590712MDFBRN06</v>
      </c>
      <c r="F280" s="3594" t="str">
        <f>_xlfn.XLOOKUP($D280,  Tabla3[No.],  Tabla3[Matrícula Of. SEQ], " ")</f>
        <v>64DIA05A-01</v>
      </c>
      <c r="G280" s="3595" t="str">
        <f>IFERROR(VLOOKUP(D280,Tabla3[],5,FALSE),"")</f>
        <v>ABREU GIRALT JUANA  MARIA</v>
      </c>
      <c r="H280" s="775" t="str">
        <f t="shared" si="47"/>
        <v>M</v>
      </c>
      <c r="I280" s="775" t="str">
        <f t="shared" si="48"/>
        <v>59</v>
      </c>
      <c r="J280" s="775" t="str">
        <f t="shared" si="49"/>
        <v>07</v>
      </c>
      <c r="K280" s="775" t="str">
        <f t="shared" si="50"/>
        <v>12</v>
      </c>
      <c r="L280" s="3596" t="s">
        <v>1761</v>
      </c>
      <c r="M280" s="3597" t="s">
        <v>4946</v>
      </c>
      <c r="N280" s="3608" t="s">
        <v>135</v>
      </c>
      <c r="O280" s="3608" t="s">
        <v>135</v>
      </c>
      <c r="P280" s="3608" t="s">
        <v>135</v>
      </c>
      <c r="Q280" s="3608" t="s">
        <v>135</v>
      </c>
      <c r="R280" s="3608" t="s">
        <v>135</v>
      </c>
      <c r="S280" s="3608" t="s">
        <v>135</v>
      </c>
      <c r="T280" s="3608" t="s">
        <v>135</v>
      </c>
      <c r="U280" s="3608" t="s">
        <v>135</v>
      </c>
      <c r="V280" s="3608" t="s">
        <v>135</v>
      </c>
      <c r="W280" s="3605">
        <v>9</v>
      </c>
      <c r="X280" s="3605">
        <v>9.4</v>
      </c>
      <c r="Y280" s="3605">
        <v>9.4</v>
      </c>
      <c r="Z280" s="3605">
        <v>9.4</v>
      </c>
      <c r="AA280" s="3605">
        <v>9.4</v>
      </c>
      <c r="AB280" s="3605">
        <v>10</v>
      </c>
      <c r="AC280" s="3605">
        <v>9.4</v>
      </c>
      <c r="AD280" s="3605">
        <v>9.4</v>
      </c>
      <c r="AE280" s="3605">
        <v>9</v>
      </c>
      <c r="AF280" s="3606">
        <v>9.6999999999999993</v>
      </c>
      <c r="AG280" s="3916">
        <v>9</v>
      </c>
      <c r="AH280" s="3370"/>
      <c r="AI280" s="3370"/>
      <c r="AJ280" s="3370"/>
      <c r="AK280" s="3370"/>
      <c r="AL280" s="3370"/>
      <c r="AM280" s="3370"/>
      <c r="AN280" s="3370"/>
      <c r="AO280" s="3370"/>
      <c r="AP280"/>
    </row>
    <row r="281" spans="1:44" ht="15" customHeight="1">
      <c r="A281" s="643"/>
      <c r="B281" s="1362"/>
      <c r="C281" s="2128"/>
      <c r="D281" s="1983"/>
      <c r="E281" s="2249"/>
      <c r="F281" s="1265"/>
      <c r="G281" s="2250"/>
      <c r="H281" s="2251"/>
      <c r="I281" s="2251"/>
      <c r="J281" s="2251"/>
      <c r="K281" s="2251"/>
      <c r="L281" s="1361"/>
      <c r="M281" s="2252"/>
      <c r="N281" s="1268"/>
      <c r="O281" s="1268"/>
      <c r="P281" s="1268"/>
      <c r="Q281" s="1268"/>
      <c r="R281" s="1268"/>
      <c r="S281" s="1268"/>
      <c r="T281" s="1268"/>
      <c r="U281" s="1268"/>
      <c r="V281" s="1268"/>
      <c r="W281" s="643"/>
      <c r="X281" s="643"/>
      <c r="Y281" s="643"/>
      <c r="Z281" s="643"/>
      <c r="AA281" s="643"/>
      <c r="AB281" s="643"/>
    </row>
    <row r="282" spans="1:44" ht="15" customHeight="1">
      <c r="A282" s="643"/>
      <c r="B282" s="1362"/>
      <c r="C282" s="2128"/>
      <c r="D282" s="1983"/>
      <c r="E282" s="2249"/>
      <c r="F282" s="1265"/>
      <c r="G282" s="2250"/>
      <c r="H282" s="2251"/>
      <c r="I282" s="2251"/>
      <c r="J282" s="2251"/>
      <c r="K282" s="2251"/>
      <c r="L282" s="1361"/>
      <c r="M282" s="2252"/>
      <c r="N282" s="1268"/>
      <c r="O282" s="1268"/>
      <c r="P282" s="1268"/>
      <c r="Q282" s="1268"/>
      <c r="R282" s="1268"/>
      <c r="S282" s="1268"/>
      <c r="T282" s="1268"/>
      <c r="U282" s="1268"/>
      <c r="V282" s="1268"/>
      <c r="W282" s="643"/>
      <c r="X282" s="643"/>
      <c r="Y282" s="643"/>
      <c r="Z282" s="643"/>
      <c r="AA282" s="643"/>
      <c r="AB282" s="643"/>
    </row>
    <row r="283" spans="1:44" ht="15" customHeight="1">
      <c r="A283" s="3"/>
      <c r="B283" s="3"/>
      <c r="C283" s="3"/>
      <c r="D283" s="3"/>
      <c r="E283" s="701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1:44" ht="15" customHeight="1" thickBot="1">
      <c r="A284" s="3"/>
      <c r="B284" s="3"/>
      <c r="C284" s="3"/>
      <c r="D284" s="3"/>
      <c r="E284" s="701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1:44" ht="15" customHeight="1" thickBot="1">
      <c r="A285" s="4505" t="s">
        <v>27</v>
      </c>
      <c r="B285" s="4119" t="s">
        <v>5</v>
      </c>
      <c r="C285" s="645" t="s">
        <v>3688</v>
      </c>
      <c r="D285" s="645"/>
      <c r="E285" s="4364" t="s">
        <v>6</v>
      </c>
      <c r="F285" s="4404" t="s">
        <v>3689</v>
      </c>
      <c r="G285" s="4367"/>
      <c r="H285" s="4448" t="s">
        <v>1748</v>
      </c>
      <c r="I285" s="4395" t="s">
        <v>10</v>
      </c>
      <c r="J285" s="4396"/>
      <c r="K285" s="4397"/>
      <c r="L285" s="654"/>
      <c r="M285" s="667"/>
      <c r="N285" s="1311">
        <v>44947</v>
      </c>
      <c r="O285" s="1312" t="s">
        <v>3690</v>
      </c>
      <c r="P285" s="1313">
        <v>45010</v>
      </c>
      <c r="Q285" s="1314">
        <v>45017</v>
      </c>
      <c r="R285" s="1125">
        <v>45047</v>
      </c>
      <c r="S285" s="1125"/>
      <c r="T285" s="1315">
        <v>37773</v>
      </c>
      <c r="U285" s="1315">
        <v>45108</v>
      </c>
      <c r="V285" s="1316">
        <v>45192</v>
      </c>
      <c r="W285" s="1316">
        <v>45200</v>
      </c>
      <c r="X285" s="1316">
        <v>45231</v>
      </c>
      <c r="Y285" s="1316">
        <v>45261</v>
      </c>
      <c r="Z285" s="1316">
        <v>45304</v>
      </c>
      <c r="AA285" s="1316">
        <v>45332</v>
      </c>
      <c r="AB285" s="1316"/>
      <c r="AC285" s="1316">
        <v>45395</v>
      </c>
    </row>
    <row r="286" spans="1:44" ht="51.75" thickBot="1">
      <c r="A286" s="4505"/>
      <c r="B286" s="4310"/>
      <c r="C286" s="645"/>
      <c r="D286" s="645"/>
      <c r="E286" s="4365"/>
      <c r="F286" s="4405"/>
      <c r="G286" s="4417"/>
      <c r="H286" s="4449"/>
      <c r="I286" s="4398"/>
      <c r="J286" s="4399"/>
      <c r="K286" s="4400"/>
      <c r="L286" s="978" t="s">
        <v>173</v>
      </c>
      <c r="N286" s="1317" t="s">
        <v>3691</v>
      </c>
      <c r="O286" s="1317" t="s">
        <v>3692</v>
      </c>
      <c r="P286" s="1317" t="s">
        <v>3692</v>
      </c>
      <c r="Q286" s="1318" t="s">
        <v>3693</v>
      </c>
      <c r="R286" s="1318" t="s">
        <v>3694</v>
      </c>
      <c r="S286" s="1318"/>
      <c r="T286" s="1319" t="s">
        <v>3695</v>
      </c>
      <c r="U286" s="1320" t="s">
        <v>3696</v>
      </c>
      <c r="V286" s="638" t="s">
        <v>3697</v>
      </c>
      <c r="W286" s="638" t="s">
        <v>3698</v>
      </c>
      <c r="X286" s="638"/>
      <c r="Y286" s="638" t="s">
        <v>3699</v>
      </c>
      <c r="Z286" s="638" t="s">
        <v>3700</v>
      </c>
      <c r="AA286" s="638"/>
      <c r="AB286" s="638"/>
      <c r="AC286" s="637"/>
    </row>
    <row r="287" spans="1:44" ht="75.75" thickBot="1">
      <c r="A287" s="4506"/>
      <c r="B287" s="4310"/>
      <c r="C287" s="647"/>
      <c r="D287" s="4507"/>
      <c r="E287" s="4365"/>
      <c r="F287" s="4406"/>
      <c r="G287" s="4368"/>
      <c r="H287" s="4449"/>
      <c r="I287" s="4401"/>
      <c r="J287" s="4402"/>
      <c r="K287" s="4403"/>
      <c r="L287" s="978"/>
      <c r="M287" s="1321" t="s">
        <v>1149</v>
      </c>
      <c r="N287" s="1322" t="s">
        <v>3701</v>
      </c>
      <c r="O287" s="1322" t="s">
        <v>3702</v>
      </c>
      <c r="P287" s="1322" t="s">
        <v>3702</v>
      </c>
      <c r="Q287" s="1323" t="s">
        <v>3703</v>
      </c>
      <c r="R287" s="1323" t="s">
        <v>3703</v>
      </c>
      <c r="S287" s="1323"/>
      <c r="T287" s="1323" t="s">
        <v>3703</v>
      </c>
      <c r="U287" s="1323" t="s">
        <v>3704</v>
      </c>
      <c r="V287" s="1323" t="s">
        <v>3704</v>
      </c>
      <c r="W287" s="1323" t="s">
        <v>3703</v>
      </c>
      <c r="X287" s="1323" t="s">
        <v>3703</v>
      </c>
      <c r="Y287" s="1323" t="s">
        <v>3703</v>
      </c>
      <c r="Z287" s="1323" t="s">
        <v>3703</v>
      </c>
      <c r="AA287" s="1323" t="s">
        <v>3703</v>
      </c>
      <c r="AB287" s="1323"/>
      <c r="AC287" s="1291" t="s">
        <v>3703</v>
      </c>
    </row>
    <row r="288" spans="1:44" ht="57" thickBot="1">
      <c r="A288" s="1325" t="s">
        <v>3688</v>
      </c>
      <c r="B288" s="4310"/>
      <c r="C288" s="1326" t="s">
        <v>263</v>
      </c>
      <c r="D288" s="4508"/>
      <c r="E288" s="4365"/>
      <c r="F288" s="1327" t="s">
        <v>7</v>
      </c>
      <c r="G288" s="1089" t="s">
        <v>78</v>
      </c>
      <c r="H288" s="4504"/>
      <c r="I288" s="731" t="s">
        <v>79</v>
      </c>
      <c r="J288" s="731" t="s">
        <v>1749</v>
      </c>
      <c r="K288" s="731" t="s">
        <v>81</v>
      </c>
      <c r="L288" s="1131" t="s">
        <v>1759</v>
      </c>
      <c r="M288" s="1328" t="s">
        <v>27</v>
      </c>
      <c r="N288" s="1829" t="s">
        <v>3723</v>
      </c>
      <c r="O288" s="1329" t="s">
        <v>3705</v>
      </c>
      <c r="P288" s="1329" t="s">
        <v>3706</v>
      </c>
      <c r="Q288" s="1330" t="s">
        <v>3707</v>
      </c>
      <c r="R288" s="1830" t="s">
        <v>1752</v>
      </c>
      <c r="S288" s="2141"/>
      <c r="T288" s="1331" t="s">
        <v>3708</v>
      </c>
      <c r="U288" s="1331" t="s">
        <v>900</v>
      </c>
      <c r="V288" s="1831" t="s">
        <v>3710</v>
      </c>
      <c r="W288" s="1332" t="s">
        <v>3711</v>
      </c>
      <c r="X288" s="1332" t="s">
        <v>903</v>
      </c>
      <c r="Y288" s="1333" t="s">
        <v>3712</v>
      </c>
      <c r="Z288" s="1832" t="s">
        <v>3713</v>
      </c>
      <c r="AA288" s="1334" t="s">
        <v>3714</v>
      </c>
      <c r="AB288" s="1334"/>
      <c r="AC288" s="1336" t="s">
        <v>3716</v>
      </c>
    </row>
    <row r="289" spans="1:29" ht="23.1" customHeight="1" thickBot="1">
      <c r="A289" s="1340"/>
      <c r="B289" s="1141">
        <v>1</v>
      </c>
      <c r="C289" s="1229">
        <f>_xlfn.XLOOKUP($E289,Tabla3[CURP],Tabla3[FECHA DE INICIO (PRIMERA CLASE CALENDARIO)]," ")</f>
        <v>45031</v>
      </c>
      <c r="D289" s="1362">
        <v>496</v>
      </c>
      <c r="E289" s="1536" t="str">
        <f>_xlfn.XLOOKUP($D289,  Tabla3[No.],  Tabla3[CURP], " ")</f>
        <v>MEGI710505HDFNNG07</v>
      </c>
      <c r="F289" s="1402" t="str">
        <f>_xlfn.XLOOKUP($D289,  Tabla3[No.],  Tabla3[Matrícula Of. SEQ], " ")</f>
        <v>64DIA03B-01</v>
      </c>
      <c r="G289" s="1806" t="str">
        <f>IFERROR(VLOOKUP(D289,Tabla3[],5,FALSE),"")</f>
        <v>MENDOZA GANDARIA IGNACIO</v>
      </c>
      <c r="H289" s="737" t="str">
        <f t="shared" ref="H289" si="51">MID($E289,11,1)</f>
        <v>H</v>
      </c>
      <c r="I289" s="737" t="str">
        <f t="shared" ref="I289" si="52">MID($E289,5,2)</f>
        <v>71</v>
      </c>
      <c r="J289" s="737" t="str">
        <f t="shared" ref="J289" si="53">MID($E289,7,2)</f>
        <v>05</v>
      </c>
      <c r="K289" s="737" t="str">
        <f t="shared" ref="K289" si="54">MID($E289,9,2)</f>
        <v>05</v>
      </c>
      <c r="L289" s="1232" t="str">
        <f>_xlfn.XLOOKUP($E289,Tabla3[CURP],Tabla3[ESTATUS ACADÉMICO]," ")</f>
        <v>EGRESADO</v>
      </c>
      <c r="M289" s="1233" t="s">
        <v>2821</v>
      </c>
      <c r="N289" s="1977" t="s">
        <v>4448</v>
      </c>
      <c r="O289" s="927" t="s">
        <v>4416</v>
      </c>
      <c r="P289" s="927" t="s">
        <v>4417</v>
      </c>
      <c r="Q289" s="1354">
        <v>10</v>
      </c>
      <c r="R289" s="1976">
        <v>10</v>
      </c>
      <c r="S289" s="2142"/>
      <c r="T289" s="24">
        <v>10</v>
      </c>
      <c r="U289" s="24">
        <v>10</v>
      </c>
      <c r="V289" s="1730">
        <v>9.4</v>
      </c>
      <c r="W289" s="1731">
        <v>10</v>
      </c>
      <c r="X289" s="1732">
        <v>10</v>
      </c>
      <c r="Y289" s="1729">
        <v>9.4</v>
      </c>
      <c r="Z289" s="1734">
        <v>10</v>
      </c>
      <c r="AA289" s="1344">
        <v>10</v>
      </c>
      <c r="AB289" s="1344"/>
      <c r="AC289" s="1686">
        <v>10</v>
      </c>
    </row>
    <row r="290" spans="1:29" ht="15" customHeight="1" thickBot="1">
      <c r="A290" s="1348"/>
      <c r="B290" s="637">
        <v>2</v>
      </c>
      <c r="C290" s="1229">
        <f>_xlfn.XLOOKUP($E290,Tabla3[CURP],Tabla3[FECHA DE INICIO (PRIMERA CLASE CALENDARIO)]," ")</f>
        <v>44947</v>
      </c>
      <c r="D290" s="1362">
        <v>461</v>
      </c>
      <c r="E290" s="1536" t="str">
        <f>_xlfn.XLOOKUP($D290,  Tabla3[No.],  Tabla3[CURP], " ")</f>
        <v>RAHE781001HDFMRR08</v>
      </c>
      <c r="F290" s="1402" t="str">
        <f>_xlfn.XLOOKUP($D290,  Tabla3[No.],  Tabla3[Matrícula Of. SEQ], " ")</f>
        <v>64DIA03B-01</v>
      </c>
      <c r="G290" s="1806" t="str">
        <f>IFERROR(VLOOKUP(D290,Tabla3[],5,FALSE),"")</f>
        <v>RAMIREZ HUERTA ERNESTO EDUARDO</v>
      </c>
      <c r="H290" s="737" t="str">
        <f t="shared" ref="H290" si="55">MID($E290,11,1)</f>
        <v>H</v>
      </c>
      <c r="I290" s="737" t="str">
        <f t="shared" ref="I290" si="56">MID($E290,5,2)</f>
        <v>78</v>
      </c>
      <c r="J290" s="737" t="str">
        <f t="shared" ref="J290" si="57">MID($E290,7,2)</f>
        <v>10</v>
      </c>
      <c r="K290" s="737" t="str">
        <f t="shared" ref="K290" si="58">MID($E290,9,2)</f>
        <v>01</v>
      </c>
      <c r="L290" s="1232" t="str">
        <f>_xlfn.XLOOKUP($E290,Tabla3[CURP],Tabla3[ESTATUS ACADÉMICO]," ")</f>
        <v>EGRESADO</v>
      </c>
      <c r="M290" s="1233" t="s">
        <v>2821</v>
      </c>
      <c r="N290" s="1349">
        <v>10</v>
      </c>
      <c r="O290" s="1827">
        <v>10</v>
      </c>
      <c r="P290" s="1141">
        <v>10</v>
      </c>
      <c r="Q290" s="1141">
        <v>10</v>
      </c>
      <c r="R290" s="1141">
        <v>10</v>
      </c>
      <c r="S290" s="643"/>
      <c r="T290" s="27">
        <v>10</v>
      </c>
      <c r="U290" s="27">
        <v>10</v>
      </c>
      <c r="V290" s="1730">
        <v>9.6999999999999993</v>
      </c>
      <c r="W290" s="1730">
        <v>9</v>
      </c>
      <c r="X290" s="1732">
        <v>10</v>
      </c>
      <c r="Y290" s="1729">
        <v>10</v>
      </c>
      <c r="Z290" s="1735">
        <v>9.6999999999999993</v>
      </c>
      <c r="AA290" s="1344">
        <v>10</v>
      </c>
      <c r="AB290" s="1344"/>
      <c r="AC290" s="1686">
        <v>10</v>
      </c>
    </row>
    <row r="291" spans="1:29" ht="15" customHeight="1" thickBot="1">
      <c r="A291" s="643"/>
      <c r="B291" s="637">
        <v>3</v>
      </c>
      <c r="C291" s="1229">
        <f>_xlfn.XLOOKUP($E291,Tabla3[CURP],Tabla3[FECHA DE INICIO (PRIMERA CLASE CALENDARIO)]," ")</f>
        <v>44891</v>
      </c>
      <c r="D291" s="1362">
        <v>431</v>
      </c>
      <c r="E291" s="1536" t="str">
        <f>_xlfn.XLOOKUP($D291,  Tabla3[No.],  Tabla3[CURP], " ")</f>
        <v>YAGD681010HJCXNN07</v>
      </c>
      <c r="F291" s="1402" t="str">
        <f>_xlfn.XLOOKUP($D291,  Tabla3[No.],  Tabla3[Matrícula Of. SEQ], " ")</f>
        <v>64DIAP03-02</v>
      </c>
      <c r="G291" s="1806" t="str">
        <f>IFERROR(VLOOKUP(D291,Tabla3[],5,FALSE),"")</f>
        <v>YAÑEZ GONZALEZ DANIEL PAUL</v>
      </c>
      <c r="H291" s="737" t="str">
        <f t="shared" ref="H291" si="59">MID($E291,11,1)</f>
        <v>H</v>
      </c>
      <c r="I291" s="737" t="str">
        <f t="shared" ref="I291" si="60">MID($E291,5,2)</f>
        <v>68</v>
      </c>
      <c r="J291" s="737" t="str">
        <f t="shared" ref="J291" si="61">MID($E291,7,2)</f>
        <v>10</v>
      </c>
      <c r="K291" s="737" t="str">
        <f t="shared" ref="K291" si="62">MID($E291,9,2)</f>
        <v>10</v>
      </c>
      <c r="L291" s="1232" t="str">
        <f>_xlfn.XLOOKUP($E291,Tabla3[CURP],Tabla3[ESTATUS ACADÉMICO]," ")</f>
        <v>EGRESADO</v>
      </c>
      <c r="M291" s="1233" t="s">
        <v>2821</v>
      </c>
      <c r="N291" s="1352">
        <v>9.1999999999999993</v>
      </c>
      <c r="O291" s="1352">
        <v>8.9</v>
      </c>
      <c r="P291" s="1352">
        <v>8.9</v>
      </c>
      <c r="Q291" s="637">
        <v>9.1</v>
      </c>
      <c r="R291" s="637">
        <v>8.8000000000000007</v>
      </c>
      <c r="S291" s="643"/>
      <c r="T291" s="27">
        <v>9.6999999999999993</v>
      </c>
      <c r="U291" s="27">
        <v>10</v>
      </c>
      <c r="V291" s="1350">
        <v>8</v>
      </c>
      <c r="W291" s="1350">
        <v>10</v>
      </c>
      <c r="X291" s="1732">
        <v>10</v>
      </c>
      <c r="Y291" s="1729">
        <v>10</v>
      </c>
      <c r="Z291" s="1736">
        <v>9.6999999999999993</v>
      </c>
      <c r="AA291" s="1344">
        <v>10</v>
      </c>
      <c r="AB291" s="1344"/>
      <c r="AC291" s="1686">
        <v>10</v>
      </c>
    </row>
    <row r="292" spans="1:29" ht="15" customHeight="1" thickBot="1">
      <c r="A292" s="3"/>
      <c r="B292" s="927">
        <v>4</v>
      </c>
      <c r="C292" s="1229">
        <f>_xlfn.XLOOKUP($E292,Tabla3[CURP],Tabla3[FECHA DE INICIO (PRIMERA CLASE CALENDARIO)]," ")</f>
        <v>44968</v>
      </c>
      <c r="D292" s="1362">
        <v>466</v>
      </c>
      <c r="E292" s="1536" t="str">
        <f>_xlfn.XLOOKUP($D292,  Tabla3[No.],  Tabla3[CURP], " ")</f>
        <v>ZAMD890216HNLMRV09</v>
      </c>
      <c r="F292" s="1402" t="str">
        <f>_xlfn.XLOOKUP($D292,  Tabla3[No.],  Tabla3[Matrícula Of. SEQ], " ")</f>
        <v>64DIA03B-02</v>
      </c>
      <c r="G292" s="1806" t="str">
        <f>IFERROR(VLOOKUP(D292,Tabla3[],5,FALSE),"")</f>
        <v>ZAMBRANO MORALES DAVID ADRIAN</v>
      </c>
      <c r="H292" s="737" t="str">
        <f t="shared" ref="H292:H297" si="63">MID($E292,11,1)</f>
        <v>H</v>
      </c>
      <c r="I292" s="737" t="str">
        <f t="shared" ref="I292:I297" si="64">MID($E292,5,2)</f>
        <v>89</v>
      </c>
      <c r="J292" s="737" t="str">
        <f t="shared" ref="J292:J297" si="65">MID($E292,7,2)</f>
        <v>02</v>
      </c>
      <c r="K292" s="737" t="str">
        <f t="shared" ref="K292:K297" si="66">MID($E292,9,2)</f>
        <v>16</v>
      </c>
      <c r="L292" s="1232" t="str">
        <f>_xlfn.XLOOKUP($E292,Tabla3[CURP],Tabla3[ESTATUS ACADÉMICO]," ")</f>
        <v>EGRESADO</v>
      </c>
      <c r="M292" s="1233" t="s">
        <v>2821</v>
      </c>
      <c r="N292" s="1343">
        <v>10</v>
      </c>
      <c r="O292" s="637">
        <v>10</v>
      </c>
      <c r="P292" s="637">
        <v>10</v>
      </c>
      <c r="Q292" s="637">
        <v>9.6999999999999993</v>
      </c>
      <c r="R292" s="637">
        <v>10</v>
      </c>
      <c r="S292" s="643"/>
      <c r="T292" s="27">
        <v>10</v>
      </c>
      <c r="U292" s="27">
        <v>10</v>
      </c>
      <c r="V292" s="1350">
        <v>10</v>
      </c>
      <c r="W292" s="1350">
        <v>10</v>
      </c>
      <c r="X292" s="1732">
        <v>10</v>
      </c>
      <c r="Y292" s="1729">
        <v>9.4</v>
      </c>
      <c r="Z292" s="1737">
        <v>9.8000000000000007</v>
      </c>
      <c r="AA292" s="1344">
        <v>10</v>
      </c>
      <c r="AB292" s="1344"/>
      <c r="AC292" s="1686">
        <v>10</v>
      </c>
    </row>
    <row r="293" spans="1:29" ht="15" customHeight="1" thickBot="1">
      <c r="A293" s="3" t="s">
        <v>3156</v>
      </c>
      <c r="B293" s="927">
        <v>5</v>
      </c>
      <c r="C293" s="1229">
        <f>_xlfn.XLOOKUP($E293,Tabla3[CURP],Tabla3[FECHA DE INICIO (PRIMERA CLASE CALENDARIO)]," ")</f>
        <v>45122</v>
      </c>
      <c r="D293" s="1362">
        <v>568</v>
      </c>
      <c r="E293" s="1536" t="str">
        <f>_xlfn.XLOOKUP($D293,  Tabla3[No.],  Tabla3[CURP], " ")</f>
        <v>LOTK800101MGT</v>
      </c>
      <c r="F293" s="1402" t="str">
        <f>_xlfn.XLOOKUP($D293,  Tabla3[No.],  Tabla3[Matrícula Of. SEQ], " ")</f>
        <v>64DIA03C-02</v>
      </c>
      <c r="G293" s="1806" t="str">
        <f>IFERROR(VLOOKUP(D293,Tabla3[],5,FALSE),"")</f>
        <v>LOPEZ TROCCOLI KARLA PATRICIA</v>
      </c>
      <c r="H293" s="737" t="str">
        <f t="shared" ref="H293" si="67">MID($E293,11,1)</f>
        <v>M</v>
      </c>
      <c r="I293" s="737" t="str">
        <f t="shared" ref="I293" si="68">MID($E293,5,2)</f>
        <v>80</v>
      </c>
      <c r="J293" s="737" t="str">
        <f t="shared" ref="J293" si="69">MID($E293,7,2)</f>
        <v>01</v>
      </c>
      <c r="K293" s="737" t="str">
        <f t="shared" ref="K293" si="70">MID($E293,9,2)</f>
        <v>01</v>
      </c>
      <c r="L293" s="1232" t="str">
        <f>_xlfn.XLOOKUP($E293,Tabla3[CURP],Tabla3[ESTATUS ACADÉMICO]," ")</f>
        <v>EGRESADO</v>
      </c>
      <c r="M293" s="1233" t="s">
        <v>4946</v>
      </c>
      <c r="N293" s="1343" t="s">
        <v>135</v>
      </c>
      <c r="O293" s="1343" t="s">
        <v>135</v>
      </c>
      <c r="P293" s="1343" t="s">
        <v>135</v>
      </c>
      <c r="Q293" s="1343" t="s">
        <v>135</v>
      </c>
      <c r="R293" s="1343" t="s">
        <v>135</v>
      </c>
      <c r="S293" s="1343"/>
      <c r="T293" s="1343" t="s">
        <v>135</v>
      </c>
      <c r="U293" s="27">
        <v>10</v>
      </c>
      <c r="V293" s="1350">
        <v>9.1</v>
      </c>
      <c r="W293" s="1350">
        <v>10</v>
      </c>
      <c r="X293" s="1732">
        <v>10</v>
      </c>
      <c r="Y293" s="1729">
        <v>9.4</v>
      </c>
      <c r="Z293" s="1727"/>
      <c r="AA293" s="1687"/>
      <c r="AB293" s="1687"/>
      <c r="AC293" s="1687"/>
    </row>
    <row r="294" spans="1:29" ht="15" customHeight="1">
      <c r="A294" s="3" t="s">
        <v>3156</v>
      </c>
      <c r="B294" s="1296">
        <v>6</v>
      </c>
      <c r="C294" s="1229">
        <f>_xlfn.XLOOKUP($E294,Tabla3[CURP],Tabla3[FECHA DE INICIO (PRIMERA CLASE CALENDARIO)]," ")</f>
        <v>45122</v>
      </c>
      <c r="D294" s="1362">
        <v>569</v>
      </c>
      <c r="E294" s="1536" t="str">
        <f>_xlfn.XLOOKUP($D294,  Tabla3[No.],  Tabla3[CURP], " ")</f>
        <v>VAGM800101HGT</v>
      </c>
      <c r="F294" s="1402" t="str">
        <f>_xlfn.XLOOKUP($D294,  Tabla3[No.],  Tabla3[Matrícula Of. SEQ], " ")</f>
        <v>64DIA03C-04</v>
      </c>
      <c r="G294" s="1806" t="str">
        <f>IFERROR(VLOOKUP(D294,Tabla3[],5,FALSE),"")</f>
        <v>VALENZUELA GALVEZ MARVIN ENRIQUE</v>
      </c>
      <c r="H294" s="737" t="str">
        <f t="shared" si="63"/>
        <v>H</v>
      </c>
      <c r="I294" s="737" t="str">
        <f t="shared" si="64"/>
        <v>80</v>
      </c>
      <c r="J294" s="737" t="str">
        <f t="shared" si="65"/>
        <v>01</v>
      </c>
      <c r="K294" s="737" t="str">
        <f t="shared" si="66"/>
        <v>01</v>
      </c>
      <c r="L294" s="1232" t="str">
        <f>_xlfn.XLOOKUP($E294,Tabla3[CURP],Tabla3[ESTATUS ACADÉMICO]," ")</f>
        <v>EGRESADO</v>
      </c>
      <c r="M294" s="1233" t="s">
        <v>2821</v>
      </c>
      <c r="N294" s="1354">
        <v>10</v>
      </c>
      <c r="O294" s="1354">
        <v>10</v>
      </c>
      <c r="P294" s="1354">
        <v>10</v>
      </c>
      <c r="Q294" s="1354">
        <v>10</v>
      </c>
      <c r="R294" s="1354">
        <v>10</v>
      </c>
      <c r="S294" s="1354"/>
      <c r="T294" s="1354">
        <v>10</v>
      </c>
      <c r="U294" s="1356">
        <v>10</v>
      </c>
      <c r="V294" s="1350">
        <v>8.5</v>
      </c>
      <c r="W294" s="1350">
        <v>10</v>
      </c>
      <c r="X294" s="1732">
        <v>10</v>
      </c>
      <c r="Y294" s="1729">
        <v>9.6999999999999993</v>
      </c>
      <c r="Z294" s="1727"/>
      <c r="AA294" s="1687"/>
      <c r="AB294" s="1687"/>
      <c r="AC294" s="1687"/>
    </row>
    <row r="295" spans="1:29" ht="15" customHeight="1">
      <c r="A295" s="3" t="s">
        <v>3156</v>
      </c>
      <c r="B295" s="744">
        <v>7</v>
      </c>
      <c r="C295" s="1229">
        <f>_xlfn.XLOOKUP($E295,Tabla3[CURP],Tabla3[FECHA DE INICIO (PRIMERA CLASE CALENDARIO)]," ")</f>
        <v>45122</v>
      </c>
      <c r="D295" s="1362">
        <v>570</v>
      </c>
      <c r="E295" s="1536" t="str">
        <f>_xlfn.XLOOKUP($D295,  Tabla3[No.],  Tabla3[CURP], " ")</f>
        <v>PESR800101HGT</v>
      </c>
      <c r="F295" s="1402" t="str">
        <f>_xlfn.XLOOKUP($D295,  Tabla3[No.],  Tabla3[Matrícula Of. SEQ], " ")</f>
        <v>64DIA03C-03</v>
      </c>
      <c r="G295" s="1806" t="str">
        <f>IFERROR(VLOOKUP(D295,Tabla3[],5,FALSE),"")</f>
        <v>PERNILLO SIN ROLANDO ANTONIO</v>
      </c>
      <c r="H295" s="737" t="str">
        <f t="shared" si="63"/>
        <v>H</v>
      </c>
      <c r="I295" s="737" t="str">
        <f t="shared" si="64"/>
        <v>80</v>
      </c>
      <c r="J295" s="737" t="str">
        <f t="shared" si="65"/>
        <v>01</v>
      </c>
      <c r="K295" s="737" t="str">
        <f t="shared" si="66"/>
        <v>01</v>
      </c>
      <c r="L295" s="1232" t="str">
        <f>_xlfn.XLOOKUP($E295,Tabla3[CURP],Tabla3[ESTATUS ACADÉMICO]," ")</f>
        <v>EGRESADO</v>
      </c>
      <c r="M295" s="1233" t="s">
        <v>2821</v>
      </c>
      <c r="N295" s="1350">
        <v>10</v>
      </c>
      <c r="O295" s="1350">
        <v>10</v>
      </c>
      <c r="P295" s="1350">
        <v>10</v>
      </c>
      <c r="Q295" s="1350">
        <v>10</v>
      </c>
      <c r="R295" s="1350">
        <v>10</v>
      </c>
      <c r="S295" s="1350"/>
      <c r="T295" s="1350">
        <v>10</v>
      </c>
      <c r="U295" s="1357">
        <v>10</v>
      </c>
      <c r="V295" s="1350">
        <v>8</v>
      </c>
      <c r="W295" s="1350">
        <v>10</v>
      </c>
      <c r="X295" s="1350">
        <v>10</v>
      </c>
      <c r="Y295" s="1729">
        <v>8.8000000000000007</v>
      </c>
      <c r="Z295" s="1728"/>
      <c r="AA295" s="1685"/>
      <c r="AB295" s="1685"/>
      <c r="AC295" s="1685"/>
    </row>
    <row r="296" spans="1:29" ht="15" customHeight="1">
      <c r="A296" s="3" t="s">
        <v>3156</v>
      </c>
      <c r="B296" s="637">
        <v>8</v>
      </c>
      <c r="C296" s="1229">
        <f>_xlfn.XLOOKUP($E296,Tabla3[CURP],Tabla3[FECHA DE INICIO (PRIMERA CLASE CALENDARIO)]," ")</f>
        <v>45122</v>
      </c>
      <c r="D296" s="1362">
        <v>571</v>
      </c>
      <c r="E296" s="1536" t="str">
        <f>_xlfn.XLOOKUP($D296,  Tabla3[No.],  Tabla3[CURP], " ")</f>
        <v>JUSA800101HGT</v>
      </c>
      <c r="F296" s="1402" t="str">
        <f>_xlfn.XLOOKUP($D296,  Tabla3[No.],  Tabla3[Matrícula Of. SEQ], " ")</f>
        <v>64DIA03C-01</v>
      </c>
      <c r="G296" s="1806" t="str">
        <f>IFERROR(VLOOKUP(D296,Tabla3[],5,FALSE),"")</f>
        <v>JUAREZ SALAZAR ALEXIS ANTONIO</v>
      </c>
      <c r="H296" s="737" t="str">
        <f t="shared" si="63"/>
        <v>H</v>
      </c>
      <c r="I296" s="737" t="str">
        <f t="shared" si="64"/>
        <v>80</v>
      </c>
      <c r="J296" s="737" t="str">
        <f t="shared" si="65"/>
        <v>01</v>
      </c>
      <c r="K296" s="737" t="str">
        <f t="shared" si="66"/>
        <v>01</v>
      </c>
      <c r="L296" s="1232" t="str">
        <f>_xlfn.XLOOKUP($E296,Tabla3[CURP],Tabla3[ESTATUS ACADÉMICO]," ")</f>
        <v>EGRESADO</v>
      </c>
      <c r="M296" s="1233" t="s">
        <v>2821</v>
      </c>
      <c r="N296" s="1350">
        <v>10</v>
      </c>
      <c r="O296" s="1350">
        <v>10</v>
      </c>
      <c r="P296" s="1350">
        <v>10</v>
      </c>
      <c r="Q296" s="1350">
        <v>10</v>
      </c>
      <c r="R296" s="1350">
        <v>10</v>
      </c>
      <c r="S296" s="1350"/>
      <c r="T296" s="1350">
        <v>10</v>
      </c>
      <c r="U296" s="637">
        <v>10</v>
      </c>
      <c r="V296" s="1350">
        <v>8.8000000000000007</v>
      </c>
      <c r="W296" s="1350">
        <v>10</v>
      </c>
      <c r="X296" s="1350">
        <v>10</v>
      </c>
      <c r="Y296" s="1729">
        <v>10</v>
      </c>
      <c r="Z296" s="1728"/>
      <c r="AA296" s="1685"/>
      <c r="AB296" s="1685"/>
      <c r="AC296" s="1685"/>
    </row>
    <row r="297" spans="1:29" ht="15" customHeight="1">
      <c r="A297" s="3"/>
      <c r="B297" s="637">
        <v>9</v>
      </c>
      <c r="C297" s="1229">
        <f>_xlfn.XLOOKUP($E297,Tabla3[CURP],Tabla3[FECHA DE INICIO (PRIMERA CLASE CALENDARIO)]," ")</f>
        <v>44458</v>
      </c>
      <c r="D297" s="1362">
        <v>499</v>
      </c>
      <c r="E297" s="1536" t="str">
        <f>_xlfn.XLOOKUP($D297,  Tabla3[No.],  Tabla3[CURP], " ")</f>
        <v>BALR750424HQRSNN04</v>
      </c>
      <c r="F297" s="1402" t="str">
        <f>_xlfn.XLOOKUP($D297,  Tabla3[No.],  Tabla3[Matrícula Of. SEQ], " ")</f>
        <v>BAJA</v>
      </c>
      <c r="G297" s="1806" t="str">
        <f>IFERROR(VLOOKUP(D297,Tabla3[],5,FALSE),"")</f>
        <v>BASTARRACHEA DE LEON RANDY SALVADOR</v>
      </c>
      <c r="H297" s="737" t="str">
        <f t="shared" si="63"/>
        <v>H</v>
      </c>
      <c r="I297" s="737" t="str">
        <f t="shared" si="64"/>
        <v>75</v>
      </c>
      <c r="J297" s="737" t="str">
        <f t="shared" si="65"/>
        <v>04</v>
      </c>
      <c r="K297" s="737" t="str">
        <f t="shared" si="66"/>
        <v>24</v>
      </c>
      <c r="L297" s="1232" t="str">
        <f>_xlfn.XLOOKUP($E297,Tabla3[CURP],Tabla3[ESTATUS ACADÉMICO]," ")</f>
        <v>EGRESADO</v>
      </c>
      <c r="M297" s="1233" t="s">
        <v>4946</v>
      </c>
      <c r="N297" s="1351" t="s">
        <v>135</v>
      </c>
      <c r="O297" s="1351" t="s">
        <v>135</v>
      </c>
      <c r="P297" s="1351" t="s">
        <v>135</v>
      </c>
      <c r="Q297" s="637">
        <v>9</v>
      </c>
      <c r="R297" s="1351" t="s">
        <v>135</v>
      </c>
      <c r="S297" s="1351"/>
      <c r="T297" s="1351" t="s">
        <v>135</v>
      </c>
      <c r="U297" s="1351" t="s">
        <v>135</v>
      </c>
      <c r="V297" s="1350"/>
      <c r="W297" s="1350">
        <v>10</v>
      </c>
      <c r="X297" s="1350"/>
      <c r="Y297" s="1733"/>
      <c r="Z297" s="1728"/>
      <c r="AA297" s="1685"/>
      <c r="AB297" s="1685"/>
      <c r="AC297" s="1685"/>
    </row>
    <row r="298" spans="1:29" ht="15" customHeight="1">
      <c r="A298" s="3"/>
      <c r="B298" s="3"/>
      <c r="C298" s="3"/>
      <c r="D298" s="3"/>
      <c r="E298" s="701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>
        <v>1</v>
      </c>
      <c r="AA298" s="3">
        <v>2</v>
      </c>
      <c r="AB298" s="3"/>
      <c r="AC298" s="3">
        <v>4</v>
      </c>
    </row>
    <row r="299" spans="1:29" ht="1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1:29" ht="15.75" thickBo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1:29" ht="21.75" customHeight="1" thickBot="1">
      <c r="A301" s="643"/>
      <c r="B301" s="4119" t="s">
        <v>5</v>
      </c>
      <c r="C301" s="645" t="s">
        <v>894</v>
      </c>
      <c r="D301" s="645"/>
      <c r="E301" s="4364" t="s">
        <v>6</v>
      </c>
      <c r="F301" s="4404" t="s">
        <v>1772</v>
      </c>
      <c r="G301" s="4367" t="s">
        <v>8</v>
      </c>
      <c r="H301" s="4369" t="s">
        <v>9</v>
      </c>
      <c r="I301" s="4395" t="s">
        <v>10</v>
      </c>
      <c r="J301" s="4396"/>
      <c r="K301" s="4397"/>
      <c r="L301" s="647"/>
      <c r="M301" s="4393" t="s">
        <v>1149</v>
      </c>
      <c r="N301" s="1095">
        <v>44527</v>
      </c>
      <c r="O301" s="1095">
        <v>44548</v>
      </c>
      <c r="P301" s="1095">
        <v>44576</v>
      </c>
      <c r="Q301" s="1095">
        <v>44611</v>
      </c>
      <c r="R301" s="1095">
        <v>44646</v>
      </c>
      <c r="S301" s="1095"/>
      <c r="T301" s="1096">
        <v>44681</v>
      </c>
      <c r="U301" s="1098" t="s">
        <v>448</v>
      </c>
      <c r="V301" s="1098" t="s">
        <v>562</v>
      </c>
      <c r="W301" s="654"/>
      <c r="X301" s="654"/>
      <c r="Y301" s="654"/>
      <c r="Z301" s="654"/>
      <c r="AA301" s="654"/>
      <c r="AB301" s="654"/>
      <c r="AC301" s="654"/>
    </row>
    <row r="302" spans="1:29" ht="63" customHeight="1" thickBot="1">
      <c r="A302" s="643"/>
      <c r="B302" s="4310"/>
      <c r="C302" s="645" t="s">
        <v>5053</v>
      </c>
      <c r="D302" s="645"/>
      <c r="E302" s="4365"/>
      <c r="F302" s="4405"/>
      <c r="G302" s="4417"/>
      <c r="H302" s="4370"/>
      <c r="I302" s="4398"/>
      <c r="J302" s="4399"/>
      <c r="K302" s="4400"/>
      <c r="L302" s="647"/>
      <c r="M302" s="4394"/>
      <c r="N302" s="1099" t="s">
        <v>890</v>
      </c>
      <c r="O302" s="1099" t="s">
        <v>891</v>
      </c>
      <c r="P302" s="1097" t="s">
        <v>892</v>
      </c>
      <c r="Q302" s="1100" t="s">
        <v>893</v>
      </c>
      <c r="R302" s="670" t="s">
        <v>1700</v>
      </c>
      <c r="S302" s="670"/>
      <c r="T302" s="670" t="s">
        <v>1701</v>
      </c>
      <c r="U302" s="670" t="s">
        <v>1774</v>
      </c>
      <c r="V302" s="647"/>
      <c r="W302" s="654"/>
      <c r="X302" s="654"/>
      <c r="Y302" s="654"/>
      <c r="Z302" s="654"/>
      <c r="AA302" s="654"/>
      <c r="AB302" s="654"/>
      <c r="AC302" s="654"/>
    </row>
    <row r="303" spans="1:29" ht="35.25" customHeight="1" thickBot="1">
      <c r="A303" s="1091" t="s">
        <v>27</v>
      </c>
      <c r="B303" s="4310"/>
      <c r="C303" s="647"/>
      <c r="D303" s="647"/>
      <c r="E303" s="4365"/>
      <c r="F303" s="4406"/>
      <c r="G303" s="4368"/>
      <c r="H303" s="4370"/>
      <c r="I303" s="4401"/>
      <c r="J303" s="4402"/>
      <c r="K303" s="4403"/>
      <c r="L303" s="647"/>
      <c r="M303" s="660"/>
      <c r="N303" s="1101" t="s">
        <v>895</v>
      </c>
      <c r="O303" s="1101" t="s">
        <v>896</v>
      </c>
      <c r="P303" s="1101" t="s">
        <v>897</v>
      </c>
      <c r="Q303" s="651" t="s">
        <v>898</v>
      </c>
      <c r="R303" s="1090" t="s">
        <v>1703</v>
      </c>
      <c r="S303" s="1090"/>
      <c r="T303" s="651" t="s">
        <v>1702</v>
      </c>
      <c r="U303" s="651" t="s">
        <v>1776</v>
      </c>
      <c r="V303" s="654"/>
      <c r="W303" s="654"/>
      <c r="X303" s="654"/>
      <c r="Y303" s="654"/>
      <c r="Z303" s="654"/>
      <c r="AA303" s="654"/>
      <c r="AB303" s="654"/>
      <c r="AC303" s="654"/>
    </row>
    <row r="304" spans="1:29" ht="81" customHeight="1" thickBot="1">
      <c r="A304" s="668" t="s">
        <v>894</v>
      </c>
      <c r="B304" s="4311"/>
      <c r="C304" s="1094" t="s">
        <v>263</v>
      </c>
      <c r="D304" s="1094"/>
      <c r="E304" s="4366"/>
      <c r="F304" s="1068" t="s">
        <v>7</v>
      </c>
      <c r="G304" s="892" t="s">
        <v>78</v>
      </c>
      <c r="H304" s="4371"/>
      <c r="I304" s="664" t="s">
        <v>79</v>
      </c>
      <c r="J304" s="664" t="s">
        <v>80</v>
      </c>
      <c r="K304" s="664" t="s">
        <v>81</v>
      </c>
      <c r="L304" s="1131" t="s">
        <v>1759</v>
      </c>
      <c r="M304" s="1131" t="s">
        <v>27</v>
      </c>
      <c r="N304" s="1103" t="s">
        <v>899</v>
      </c>
      <c r="O304" s="1103" t="s">
        <v>900</v>
      </c>
      <c r="P304" s="1103" t="s">
        <v>901</v>
      </c>
      <c r="Q304" s="1103" t="s">
        <v>902</v>
      </c>
      <c r="R304" s="1103" t="s">
        <v>903</v>
      </c>
      <c r="S304" s="2143"/>
      <c r="T304" s="1145" t="s">
        <v>904</v>
      </c>
      <c r="U304" s="1146" t="s">
        <v>1775</v>
      </c>
      <c r="V304" s="1105" t="s">
        <v>1751</v>
      </c>
      <c r="W304" s="1105" t="s">
        <v>1750</v>
      </c>
      <c r="X304" s="1136" t="s">
        <v>905</v>
      </c>
      <c r="Y304" s="1136" t="s">
        <v>906</v>
      </c>
      <c r="Z304" s="1136" t="s">
        <v>907</v>
      </c>
      <c r="AA304" s="1137" t="s">
        <v>908</v>
      </c>
      <c r="AB304" s="1137"/>
      <c r="AC304" s="1137" t="s">
        <v>909</v>
      </c>
    </row>
    <row r="305" spans="1:36" ht="23.25" customHeight="1" thickBot="1">
      <c r="A305" s="3"/>
      <c r="B305" s="1092">
        <v>1</v>
      </c>
      <c r="C305" s="1093">
        <v>44501</v>
      </c>
      <c r="D305" s="1034">
        <v>283</v>
      </c>
      <c r="E305" s="1536" t="str">
        <f>_xlfn.XLOOKUP($D305,  Tabla3[No.],  Tabla3[CURP], " ")</f>
        <v>BAFA910604MASLLL09</v>
      </c>
      <c r="F305" s="1402" t="str">
        <f>_xlfn.XLOOKUP($D305,  Tabla3[No.],  Tabla3[Matrícula Of. SEQ], " ")</f>
        <v>64DIA02-02</v>
      </c>
      <c r="G305" s="1806" t="str">
        <f>IFERROR(VLOOKUP(D305,Tabla3[],5,FALSE),"")</f>
        <v>BALDERAS FLORES ALEJANDRA</v>
      </c>
      <c r="H305" s="737" t="str">
        <f t="shared" ref="H305:H307" si="71">MID($E305,11,1)</f>
        <v>M</v>
      </c>
      <c r="I305" s="737" t="str">
        <f t="shared" ref="I305:I307" si="72">MID($E305,5,2)</f>
        <v>91</v>
      </c>
      <c r="J305" s="737" t="str">
        <f t="shared" ref="J305:J307" si="73">MID($E305,7,2)</f>
        <v>06</v>
      </c>
      <c r="K305" s="737" t="str">
        <f t="shared" ref="K305:K307" si="74">MID($E305,9,2)</f>
        <v>04</v>
      </c>
      <c r="L305" s="1232" t="str">
        <f>_xlfn.XLOOKUP($E305,Tabla3[CURP],Tabla3[ESTATUS ACADÉMICO]," ")</f>
        <v>EGRESADO</v>
      </c>
      <c r="M305" s="1233" t="s">
        <v>4946</v>
      </c>
      <c r="N305" s="1034">
        <v>9.3000000000000007</v>
      </c>
      <c r="O305" s="896">
        <v>9.5</v>
      </c>
      <c r="P305" s="896">
        <v>9.6</v>
      </c>
      <c r="Q305" s="896">
        <v>9.8000000000000007</v>
      </c>
      <c r="R305" s="1143">
        <v>9.8000000000000007</v>
      </c>
      <c r="S305" s="1408"/>
      <c r="T305" s="1132">
        <v>10</v>
      </c>
      <c r="U305" s="637">
        <v>9</v>
      </c>
      <c r="V305" s="896"/>
      <c r="W305" s="1135"/>
      <c r="X305" s="637"/>
      <c r="Y305" s="637"/>
      <c r="Z305" s="637"/>
      <c r="AA305" s="637"/>
      <c r="AB305" s="637"/>
      <c r="AC305" s="637"/>
    </row>
    <row r="306" spans="1:36" ht="15.75" customHeight="1" thickBot="1">
      <c r="A306" s="3"/>
      <c r="B306" s="228">
        <v>2</v>
      </c>
      <c r="C306" s="22">
        <v>44501</v>
      </c>
      <c r="D306" s="336">
        <v>305</v>
      </c>
      <c r="E306" s="1536" t="str">
        <f>_xlfn.XLOOKUP($D306,  Tabla3[No.],  Tabla3[CURP], " ")</f>
        <v>CACY751015MSLMHS07</v>
      </c>
      <c r="F306" s="1402" t="str">
        <f>_xlfn.XLOOKUP($D306,  Tabla3[No.],  Tabla3[Matrícula Of. SEQ], " ")</f>
        <v>64DIA01-08</v>
      </c>
      <c r="G306" s="1806" t="str">
        <f>IFERROR(VLOOKUP(D306,Tabla3[],5,FALSE),"")</f>
        <v>CAMPOS COHUO YASMIN RUBI</v>
      </c>
      <c r="H306" s="737" t="str">
        <f t="shared" si="71"/>
        <v>M</v>
      </c>
      <c r="I306" s="737" t="str">
        <f t="shared" si="72"/>
        <v>75</v>
      </c>
      <c r="J306" s="737" t="str">
        <f t="shared" si="73"/>
        <v>10</v>
      </c>
      <c r="K306" s="737" t="str">
        <f t="shared" si="74"/>
        <v>15</v>
      </c>
      <c r="L306" s="1232" t="str">
        <f>_xlfn.XLOOKUP($E306,Tabla3[CURP],Tabla3[ESTATUS ACADÉMICO]," ")</f>
        <v>EGRESADO</v>
      </c>
      <c r="M306" s="1233" t="s">
        <v>4946</v>
      </c>
      <c r="N306" s="336">
        <v>9.3000000000000007</v>
      </c>
      <c r="O306" s="20">
        <v>9.5</v>
      </c>
      <c r="P306" s="20">
        <v>9.8000000000000007</v>
      </c>
      <c r="Q306" s="20">
        <v>9.8000000000000007</v>
      </c>
      <c r="R306" s="1144">
        <v>9.8000000000000007</v>
      </c>
      <c r="S306" s="1408"/>
      <c r="T306" s="1147">
        <v>9.5449999999999999</v>
      </c>
      <c r="U306" s="637">
        <v>9.15</v>
      </c>
      <c r="V306" s="20"/>
      <c r="W306" s="1108"/>
      <c r="X306" s="637"/>
      <c r="Y306" s="637"/>
      <c r="Z306" s="637"/>
      <c r="AA306" s="637"/>
      <c r="AB306" s="637"/>
      <c r="AC306" s="637"/>
    </row>
    <row r="307" spans="1:36" ht="15.75" customHeight="1" thickBot="1">
      <c r="A307" s="3"/>
      <c r="B307" s="228">
        <v>3</v>
      </c>
      <c r="C307" s="22">
        <v>44501</v>
      </c>
      <c r="D307" s="336">
        <v>306</v>
      </c>
      <c r="E307" s="1536" t="str">
        <f>_xlfn.XLOOKUP($D307,  Tabla3[No.],  Tabla3[CURP], " ")</f>
        <v>DIOP570627HGRZRB09</v>
      </c>
      <c r="F307" s="1402" t="str">
        <f>_xlfn.XLOOKUP($D307,  Tabla3[No.],  Tabla3[Matrícula Of. SEQ], " ")</f>
        <v>64DIA01-03</v>
      </c>
      <c r="G307" s="1806" t="str">
        <f>IFERROR(VLOOKUP(D307,Tabla3[],5,FALSE),"")</f>
        <v>DIAZ OROPEZA PABLO</v>
      </c>
      <c r="H307" s="737" t="str">
        <f t="shared" si="71"/>
        <v>H</v>
      </c>
      <c r="I307" s="737" t="str">
        <f t="shared" si="72"/>
        <v>57</v>
      </c>
      <c r="J307" s="737" t="str">
        <f t="shared" si="73"/>
        <v>06</v>
      </c>
      <c r="K307" s="737" t="str">
        <f t="shared" si="74"/>
        <v>27</v>
      </c>
      <c r="L307" s="1232" t="str">
        <f>_xlfn.XLOOKUP($E307,Tabla3[CURP],Tabla3[ESTATUS ACADÉMICO]," ")</f>
        <v>EGRESADO</v>
      </c>
      <c r="M307" s="1233" t="s">
        <v>4946</v>
      </c>
      <c r="N307" s="336">
        <v>9.1999999999999993</v>
      </c>
      <c r="O307" s="20">
        <v>9.5</v>
      </c>
      <c r="P307" s="20">
        <v>9.8000000000000007</v>
      </c>
      <c r="Q307" s="20">
        <v>9.8000000000000007</v>
      </c>
      <c r="R307" s="1144">
        <v>9.8000000000000007</v>
      </c>
      <c r="S307" s="1408"/>
      <c r="T307" s="1147">
        <v>9.6750000000000007</v>
      </c>
      <c r="U307" s="637">
        <v>9.1999999999999993</v>
      </c>
      <c r="V307" s="20"/>
      <c r="W307" s="1108"/>
      <c r="X307" s="637"/>
      <c r="Y307" s="637"/>
      <c r="Z307" s="637"/>
      <c r="AA307" s="637"/>
      <c r="AB307" s="637"/>
      <c r="AC307" s="637"/>
    </row>
    <row r="308" spans="1:36" ht="15.75" customHeight="1" thickBot="1">
      <c r="A308" s="1218" t="s">
        <v>920</v>
      </c>
      <c r="B308" s="228">
        <v>4</v>
      </c>
      <c r="C308" s="22">
        <v>44501</v>
      </c>
      <c r="D308" s="336"/>
      <c r="E308" s="233" t="s">
        <v>918</v>
      </c>
      <c r="F308" s="229" t="s">
        <v>919</v>
      </c>
      <c r="G308" s="1217" t="str">
        <f>IFERROR(VLOOKUP(D308,Tabla3[],5,FALSE),"")</f>
        <v/>
      </c>
      <c r="H308" s="230" t="str">
        <f t="shared" ref="H308" si="75">MID(E308,11,1)</f>
        <v>H</v>
      </c>
      <c r="I308" s="231" t="str">
        <f t="shared" ref="I308" si="76">MID(E308,5,2)</f>
        <v>76</v>
      </c>
      <c r="J308" s="30" t="str">
        <f t="shared" ref="J308" si="77">MID(E308,7,2)</f>
        <v>04</v>
      </c>
      <c r="K308" s="232" t="str">
        <f t="shared" ref="K308" si="78">MID(E308,9,2)</f>
        <v>24</v>
      </c>
      <c r="L308" s="744"/>
      <c r="M308" s="1721" t="s">
        <v>1746</v>
      </c>
      <c r="N308" s="336">
        <v>9</v>
      </c>
      <c r="O308" s="20">
        <v>9.5</v>
      </c>
      <c r="P308" s="138"/>
      <c r="Q308" s="20">
        <v>8</v>
      </c>
      <c r="R308" s="1104" t="s">
        <v>135</v>
      </c>
      <c r="S308" s="2144"/>
      <c r="T308" s="1133" t="s">
        <v>135</v>
      </c>
      <c r="U308" s="1133" t="s">
        <v>135</v>
      </c>
      <c r="V308" s="20"/>
      <c r="W308" s="1108"/>
      <c r="X308" s="637"/>
      <c r="Y308" s="637"/>
      <c r="Z308" s="637"/>
      <c r="AA308" s="637"/>
      <c r="AB308" s="637"/>
      <c r="AC308" s="637"/>
    </row>
    <row r="309" spans="1:36" ht="15.75" customHeight="1" thickBot="1">
      <c r="A309" s="3"/>
      <c r="B309" s="228">
        <v>5</v>
      </c>
      <c r="C309" s="22">
        <v>44501</v>
      </c>
      <c r="D309" s="336">
        <v>309</v>
      </c>
      <c r="E309" s="1536" t="str">
        <f>_xlfn.XLOOKUP($D309,  Tabla3[No.],  Tabla3[CURP], " ")</f>
        <v>GARJ710624HSPRCN04</v>
      </c>
      <c r="F309" s="1402" t="str">
        <f>_xlfn.XLOOKUP($D309,  Tabla3[No.],  Tabla3[Matrícula Of. SEQ], " ")</f>
        <v>64DIA01-05</v>
      </c>
      <c r="G309" s="1806" t="str">
        <f>IFERROR(VLOOKUP(D309,Tabla3[],5,FALSE),"")</f>
        <v>GARCIA ROCHA JUAN ANTONIO</v>
      </c>
      <c r="H309" s="737" t="str">
        <f t="shared" ref="H309:H311" si="79">MID($E309,11,1)</f>
        <v>H</v>
      </c>
      <c r="I309" s="737" t="str">
        <f t="shared" ref="I309:I311" si="80">MID($E309,5,2)</f>
        <v>71</v>
      </c>
      <c r="J309" s="737" t="str">
        <f t="shared" ref="J309:J311" si="81">MID($E309,7,2)</f>
        <v>06</v>
      </c>
      <c r="K309" s="737" t="str">
        <f t="shared" ref="K309:K311" si="82">MID($E309,9,2)</f>
        <v>24</v>
      </c>
      <c r="L309" s="1232" t="str">
        <f>_xlfn.XLOOKUP($E309,Tabla3[CURP],Tabla3[ESTATUS ACADÉMICO]," ")</f>
        <v>BAJA TEMPORAL</v>
      </c>
      <c r="M309" s="1233" t="s">
        <v>4946</v>
      </c>
      <c r="N309" s="336"/>
      <c r="O309" s="20">
        <v>9.5</v>
      </c>
      <c r="P309" s="20"/>
      <c r="Q309" s="20" t="s">
        <v>923</v>
      </c>
      <c r="R309" s="1144">
        <v>9.8000000000000007</v>
      </c>
      <c r="S309" s="1408"/>
      <c r="T309" s="1133" t="s">
        <v>135</v>
      </c>
      <c r="U309" s="1133" t="s">
        <v>135</v>
      </c>
      <c r="V309" s="20"/>
      <c r="W309" s="1108"/>
      <c r="X309" s="637"/>
      <c r="Y309" s="637"/>
      <c r="Z309" s="637"/>
      <c r="AA309" s="637"/>
      <c r="AB309" s="637"/>
      <c r="AC309" s="637"/>
    </row>
    <row r="310" spans="1:36" ht="15.75" customHeight="1" thickBot="1">
      <c r="A310" s="3"/>
      <c r="B310" s="228">
        <v>6</v>
      </c>
      <c r="C310" s="22">
        <v>44562</v>
      </c>
      <c r="D310" s="336">
        <v>319</v>
      </c>
      <c r="E310" s="1536" t="str">
        <f>_xlfn.XLOOKUP($D310,  Tabla3[No.],  Tabla3[CURP], " ")</f>
        <v>GULY811203HCSLPN06</v>
      </c>
      <c r="F310" s="1402" t="str">
        <f>_xlfn.XLOOKUP($D310,  Tabla3[No.],  Tabla3[Matrícula Of. SEQ], " ")</f>
        <v>64DIA01-06</v>
      </c>
      <c r="G310" s="1806" t="str">
        <f>IFERROR(VLOOKUP(D310,Tabla3[],5,FALSE),"")</f>
        <v>GUILLEN LOPEZ YONNI JOSUE</v>
      </c>
      <c r="H310" s="737" t="str">
        <f t="shared" si="79"/>
        <v>H</v>
      </c>
      <c r="I310" s="737" t="str">
        <f t="shared" si="80"/>
        <v>81</v>
      </c>
      <c r="J310" s="737" t="str">
        <f t="shared" si="81"/>
        <v>12</v>
      </c>
      <c r="K310" s="737" t="str">
        <f t="shared" si="82"/>
        <v>03</v>
      </c>
      <c r="L310" s="1232" t="str">
        <f>_xlfn.XLOOKUP($E310,Tabla3[CURP],Tabla3[ESTATUS ACADÉMICO]," ")</f>
        <v>EGRESADO</v>
      </c>
      <c r="M310" s="1233" t="s">
        <v>4946</v>
      </c>
      <c r="N310" s="1088"/>
      <c r="O310" s="138"/>
      <c r="P310" s="20">
        <v>10</v>
      </c>
      <c r="Q310" s="20">
        <v>9.8000000000000007</v>
      </c>
      <c r="R310" s="1144">
        <v>9.8000000000000007</v>
      </c>
      <c r="S310" s="1408"/>
      <c r="T310" s="637"/>
      <c r="U310" s="637"/>
      <c r="V310" s="20"/>
      <c r="W310" s="1108"/>
      <c r="X310" s="637"/>
      <c r="Y310" s="637"/>
      <c r="Z310" s="637"/>
      <c r="AA310" s="637"/>
      <c r="AB310" s="637"/>
      <c r="AC310" s="637"/>
    </row>
    <row r="311" spans="1:36" ht="15.75" customHeight="1" thickBot="1">
      <c r="A311" s="3"/>
      <c r="B311" s="228"/>
      <c r="C311" s="22">
        <v>44562</v>
      </c>
      <c r="D311" s="20">
        <v>312</v>
      </c>
      <c r="E311" s="1536" t="str">
        <f>_xlfn.XLOOKUP($D311,  Tabla3[No.],  Tabla3[CURP], " ")</f>
        <v>MEPL870813MTSNNZ02</v>
      </c>
      <c r="F311" s="1402" t="str">
        <f>_xlfn.XLOOKUP($D311,  Tabla3[No.],  Tabla3[Matrícula Of. SEQ], " ")</f>
        <v>64DIA01-07</v>
      </c>
      <c r="G311" s="1806" t="str">
        <f>IFERROR(VLOOKUP(D311,Tabla3[],5,FALSE),"")</f>
        <v>MENDEZ PINEDA LIZETH NAYELLI</v>
      </c>
      <c r="H311" s="737" t="str">
        <f t="shared" si="79"/>
        <v>M</v>
      </c>
      <c r="I311" s="737" t="str">
        <f t="shared" si="80"/>
        <v>87</v>
      </c>
      <c r="J311" s="737" t="str">
        <f t="shared" si="81"/>
        <v>08</v>
      </c>
      <c r="K311" s="737" t="str">
        <f t="shared" si="82"/>
        <v>13</v>
      </c>
      <c r="L311" s="1232" t="str">
        <f>_xlfn.XLOOKUP($E311,Tabla3[CURP],Tabla3[ESTATUS ACADÉMICO]," ")</f>
        <v>BAJA TEMPORAL</v>
      </c>
      <c r="M311" s="1233" t="s">
        <v>4425</v>
      </c>
      <c r="N311" s="1088"/>
      <c r="O311" s="138"/>
      <c r="P311" s="1104" t="s">
        <v>135</v>
      </c>
      <c r="Q311" s="1104" t="s">
        <v>135</v>
      </c>
      <c r="R311" s="1104" t="s">
        <v>135</v>
      </c>
      <c r="S311" s="2144"/>
      <c r="T311" s="1133" t="s">
        <v>135</v>
      </c>
      <c r="U311" s="1133" t="s">
        <v>135</v>
      </c>
      <c r="V311" s="20"/>
      <c r="W311" s="1108"/>
      <c r="X311" s="637"/>
      <c r="Y311" s="637"/>
      <c r="Z311" s="637"/>
      <c r="AA311" s="637"/>
      <c r="AB311" s="637"/>
      <c r="AC311" s="637"/>
      <c r="AD311" s="2"/>
      <c r="AE311" s="2"/>
      <c r="AF311" s="2"/>
      <c r="AG311" s="2"/>
      <c r="AH311" s="2"/>
      <c r="AI311" s="2"/>
      <c r="AJ311" s="2"/>
    </row>
    <row r="312" spans="1:36" ht="15.75" customHeight="1" thickBot="1">
      <c r="A312" s="3"/>
      <c r="B312" s="228">
        <v>7</v>
      </c>
      <c r="C312" s="22">
        <v>44501</v>
      </c>
      <c r="D312" s="336">
        <v>304</v>
      </c>
      <c r="E312" s="1536" t="str">
        <f>_xlfn.XLOOKUP($D312,  Tabla3[No.],  Tabla3[CURP], " ")</f>
        <v>MUSE800201MMCXLR00</v>
      </c>
      <c r="F312" s="1402" t="str">
        <f>_xlfn.XLOOKUP($D312,  Tabla3[No.],  Tabla3[Matrícula Of. SEQ], " ")</f>
        <v>64DIA01-08</v>
      </c>
      <c r="G312" s="1806" t="str">
        <f>IFERROR(VLOOKUP(D312,Tabla3[],5,FALSE),"")</f>
        <v xml:space="preserve">MUÑOZ SALAZAR ERIKA DEL ROCIO </v>
      </c>
      <c r="H312" s="737" t="str">
        <f t="shared" ref="H312:H315" si="83">MID($E312,11,1)</f>
        <v>M</v>
      </c>
      <c r="I312" s="737" t="str">
        <f t="shared" ref="I312:I315" si="84">MID($E312,5,2)</f>
        <v>80</v>
      </c>
      <c r="J312" s="737" t="str">
        <f t="shared" ref="J312:J315" si="85">MID($E312,7,2)</f>
        <v>02</v>
      </c>
      <c r="K312" s="737" t="str">
        <f t="shared" ref="K312:K315" si="86">MID($E312,9,2)</f>
        <v>01</v>
      </c>
      <c r="L312" s="1232" t="str">
        <f>_xlfn.XLOOKUP($E312,Tabla3[CURP],Tabla3[ESTATUS ACADÉMICO]," ")</f>
        <v>EGRESADO</v>
      </c>
      <c r="M312" s="1233" t="s">
        <v>4946</v>
      </c>
      <c r="N312" s="336">
        <v>9.3000000000000007</v>
      </c>
      <c r="O312" s="20">
        <v>9.5</v>
      </c>
      <c r="P312" s="20">
        <v>9.8000000000000007</v>
      </c>
      <c r="Q312" s="20">
        <v>9.8000000000000007</v>
      </c>
      <c r="R312" s="1144">
        <v>9.6999999999999993</v>
      </c>
      <c r="S312" s="1408"/>
      <c r="T312" s="1133" t="s">
        <v>135</v>
      </c>
      <c r="U312" s="1133" t="s">
        <v>135</v>
      </c>
      <c r="V312" s="20"/>
      <c r="W312" s="1108"/>
      <c r="X312" s="637"/>
      <c r="Y312" s="637"/>
      <c r="Z312" s="637"/>
      <c r="AA312" s="637"/>
      <c r="AB312" s="637"/>
      <c r="AC312" s="637"/>
    </row>
    <row r="313" spans="1:36" ht="15.75" customHeight="1" thickBot="1">
      <c r="A313" s="3"/>
      <c r="B313" s="228">
        <v>8</v>
      </c>
      <c r="C313" s="22">
        <v>44501</v>
      </c>
      <c r="D313" s="336">
        <v>112</v>
      </c>
      <c r="E313" s="1536" t="str">
        <f>_xlfn.XLOOKUP($D313,  Tabla3[No.],  Tabla3[CURP], " ")</f>
        <v>ROCK680816MTCDNR00</v>
      </c>
      <c r="F313" s="1402" t="str">
        <f>_xlfn.XLOOKUP($D313,  Tabla3[No.],  Tabla3[Matrícula Of. SEQ], " ")</f>
        <v>64DIA01-09</v>
      </c>
      <c r="G313" s="1806" t="str">
        <f>IFERROR(VLOOKUP(D313,Tabla3[],5,FALSE),"")</f>
        <v xml:space="preserve">RODRIGUEZ CONTRERAS KRINAGEMMA </v>
      </c>
      <c r="H313" s="737" t="str">
        <f t="shared" si="83"/>
        <v>M</v>
      </c>
      <c r="I313" s="737" t="str">
        <f t="shared" si="84"/>
        <v>68</v>
      </c>
      <c r="J313" s="737" t="str">
        <f t="shared" si="85"/>
        <v>08</v>
      </c>
      <c r="K313" s="737" t="str">
        <f t="shared" si="86"/>
        <v>16</v>
      </c>
      <c r="L313" s="1232" t="str">
        <f>_xlfn.XLOOKUP($E313,Tabla3[CURP],Tabla3[ESTATUS ACADÉMICO]," ")</f>
        <v>BAJA TEMPORAL</v>
      </c>
      <c r="M313" s="1233" t="s">
        <v>4946</v>
      </c>
      <c r="N313" s="336">
        <v>9.3000000000000007</v>
      </c>
      <c r="O313" s="20">
        <v>9.5</v>
      </c>
      <c r="P313" s="138"/>
      <c r="Q313" s="20">
        <v>9</v>
      </c>
      <c r="R313" s="1144">
        <v>9.4</v>
      </c>
      <c r="S313" s="1408"/>
      <c r="T313" s="967">
        <v>0</v>
      </c>
      <c r="U313" s="1133" t="s">
        <v>135</v>
      </c>
      <c r="V313" s="20"/>
      <c r="W313" s="1108"/>
      <c r="X313" s="637"/>
      <c r="Y313" s="637"/>
      <c r="Z313" s="637"/>
      <c r="AA313" s="637"/>
      <c r="AB313" s="637"/>
      <c r="AC313" s="637"/>
    </row>
    <row r="314" spans="1:36" ht="15.75" customHeight="1" thickBot="1">
      <c r="A314" s="3"/>
      <c r="B314" s="228">
        <v>9</v>
      </c>
      <c r="C314" s="22">
        <v>44501</v>
      </c>
      <c r="D314" s="336">
        <v>98</v>
      </c>
      <c r="E314" s="1536" t="str">
        <f>_xlfn.XLOOKUP($D314,  Tabla3[No.],  Tabla3[CURP], " ")</f>
        <v>ROSE820911MVZJRR04</v>
      </c>
      <c r="F314" s="1402" t="str">
        <f>_xlfn.XLOOKUP($D314,  Tabla3[No.],  Tabla3[Matrícula Of. SEQ], " ")</f>
        <v>64DIA01-11</v>
      </c>
      <c r="G314" s="1806" t="str">
        <f>IFERROR(VLOOKUP(D314,Tabla3[],5,FALSE),"")</f>
        <v>ROJAS SORIA ERIKA</v>
      </c>
      <c r="H314" s="737" t="str">
        <f t="shared" si="83"/>
        <v>M</v>
      </c>
      <c r="I314" s="737" t="str">
        <f t="shared" si="84"/>
        <v>82</v>
      </c>
      <c r="J314" s="737" t="str">
        <f t="shared" si="85"/>
        <v>09</v>
      </c>
      <c r="K314" s="737" t="str">
        <f t="shared" si="86"/>
        <v>11</v>
      </c>
      <c r="L314" s="1232" t="str">
        <f>_xlfn.XLOOKUP($E314,Tabla3[CURP],Tabla3[ESTATUS ACADÉMICO]," ")</f>
        <v>BAJA TEMPORAL</v>
      </c>
      <c r="M314" s="1233" t="s">
        <v>4946</v>
      </c>
      <c r="N314" s="336">
        <v>9.3000000000000007</v>
      </c>
      <c r="O314" s="20">
        <v>9.5</v>
      </c>
      <c r="P314" s="20"/>
      <c r="Q314" s="20">
        <v>9</v>
      </c>
      <c r="R314" s="1144">
        <v>9.6</v>
      </c>
      <c r="S314" s="1408"/>
      <c r="T314" s="967">
        <v>0</v>
      </c>
      <c r="U314" s="637">
        <v>0</v>
      </c>
      <c r="V314" s="20"/>
      <c r="W314" s="1108"/>
      <c r="X314" s="637"/>
      <c r="Y314" s="637"/>
      <c r="Z314" s="637"/>
      <c r="AA314" s="637"/>
      <c r="AB314" s="637"/>
      <c r="AC314" s="637"/>
    </row>
    <row r="315" spans="1:36" ht="15.75" customHeight="1" thickBot="1">
      <c r="A315" s="3"/>
      <c r="B315" s="1142"/>
      <c r="C315" s="22">
        <v>44501</v>
      </c>
      <c r="D315" s="336">
        <v>299</v>
      </c>
      <c r="E315" s="1536" t="str">
        <f>_xlfn.XLOOKUP($D315,  Tabla3[No.],  Tabla3[CURP], " ")</f>
        <v>VITA851202MQRLNR05</v>
      </c>
      <c r="F315" s="1402" t="str">
        <f>_xlfn.XLOOKUP($D315,  Tabla3[No.],  Tabla3[Matrícula Of. SEQ], " ")</f>
        <v>64DIA01-11</v>
      </c>
      <c r="G315" s="1806" t="str">
        <f>IFERROR(VLOOKUP(D315,Tabla3[],5,FALSE),"")</f>
        <v>VILLANUEVA TUN ARACELI GUADALUPE</v>
      </c>
      <c r="H315" s="737" t="str">
        <f t="shared" si="83"/>
        <v>M</v>
      </c>
      <c r="I315" s="737" t="str">
        <f t="shared" si="84"/>
        <v>85</v>
      </c>
      <c r="J315" s="737" t="str">
        <f t="shared" si="85"/>
        <v>12</v>
      </c>
      <c r="K315" s="737" t="str">
        <f t="shared" si="86"/>
        <v>02</v>
      </c>
      <c r="L315" s="1232" t="str">
        <f>_xlfn.XLOOKUP($E315,Tabla3[CURP],Tabla3[ESTATUS ACADÉMICO]," ")</f>
        <v>EGRESADO</v>
      </c>
      <c r="M315" s="1233" t="s">
        <v>4946</v>
      </c>
      <c r="N315" s="336">
        <v>9.3000000000000007</v>
      </c>
      <c r="O315" s="20">
        <v>9.5</v>
      </c>
      <c r="P315" s="138"/>
      <c r="Q315" s="20">
        <v>9.8000000000000007</v>
      </c>
      <c r="R315" s="1144">
        <v>9.5</v>
      </c>
      <c r="S315" s="1408"/>
      <c r="T315" s="1148">
        <v>9.35</v>
      </c>
      <c r="U315" s="637">
        <v>8.8000000000000007</v>
      </c>
      <c r="V315" s="20"/>
      <c r="W315" s="1108"/>
      <c r="X315" s="637"/>
      <c r="Y315" s="637"/>
      <c r="Z315" s="637"/>
      <c r="AA315" s="637"/>
      <c r="AB315" s="637"/>
      <c r="AC315" s="637"/>
    </row>
    <row r="316" spans="1:36" ht="15.75" customHeight="1"/>
    <row r="317" spans="1:36" ht="15.75" customHeight="1"/>
    <row r="318" spans="1:36" ht="15.75" customHeight="1"/>
    <row r="319" spans="1:36" ht="15.75" customHeight="1" thickBot="1">
      <c r="A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1:36" ht="15.75" customHeight="1" thickBot="1">
      <c r="A320" s="3"/>
      <c r="B320" s="4119" t="s">
        <v>5</v>
      </c>
      <c r="C320" s="645" t="s">
        <v>1745</v>
      </c>
      <c r="D320" s="645"/>
      <c r="E320" s="4364" t="s">
        <v>6</v>
      </c>
      <c r="F320" s="4404" t="s">
        <v>1771</v>
      </c>
      <c r="G320" s="4367" t="s">
        <v>8</v>
      </c>
      <c r="H320" s="4448" t="s">
        <v>1748</v>
      </c>
      <c r="I320" s="4395" t="s">
        <v>10</v>
      </c>
      <c r="J320" s="4396"/>
      <c r="K320" s="4397"/>
      <c r="L320" s="654"/>
      <c r="M320" s="654"/>
      <c r="N320" s="1096">
        <v>44681</v>
      </c>
      <c r="O320" s="654"/>
      <c r="P320" s="654"/>
      <c r="Q320" s="654"/>
      <c r="R320" s="647"/>
      <c r="S320" s="647"/>
      <c r="T320" s="654"/>
      <c r="U320" s="654"/>
      <c r="V320" s="654"/>
      <c r="W320" s="654"/>
      <c r="X320" s="3"/>
      <c r="Y320" s="3"/>
      <c r="Z320" s="3"/>
      <c r="AA320" s="3"/>
      <c r="AB320" s="3"/>
      <c r="AC320" s="3"/>
    </row>
    <row r="321" spans="1:29" ht="60" customHeight="1" thickBot="1">
      <c r="A321" s="3"/>
      <c r="B321" s="4310"/>
      <c r="C321" s="645"/>
      <c r="D321" s="645"/>
      <c r="E321" s="4365"/>
      <c r="F321" s="4405"/>
      <c r="G321" s="4417"/>
      <c r="H321" s="4449"/>
      <c r="I321" s="4398"/>
      <c r="J321" s="4399"/>
      <c r="K321" s="4400"/>
      <c r="L321" s="978"/>
      <c r="M321" s="1149" t="s">
        <v>1149</v>
      </c>
      <c r="N321" s="670" t="s">
        <v>1701</v>
      </c>
      <c r="O321" s="670" t="s">
        <v>1774</v>
      </c>
      <c r="P321" s="670" t="s">
        <v>1778</v>
      </c>
      <c r="Q321" s="654"/>
      <c r="R321" s="647"/>
      <c r="S321" s="647"/>
      <c r="T321" s="654"/>
      <c r="U321" s="654"/>
      <c r="V321" s="654"/>
      <c r="W321" s="654"/>
      <c r="X321" s="3"/>
      <c r="Y321" s="3"/>
      <c r="Z321" s="3"/>
      <c r="AA321" s="3"/>
      <c r="AB321" s="3"/>
      <c r="AC321" s="3"/>
    </row>
    <row r="322" spans="1:29" ht="25.35" customHeight="1" thickBot="1">
      <c r="A322" s="1091" t="s">
        <v>27</v>
      </c>
      <c r="B322" s="4310"/>
      <c r="C322" s="647"/>
      <c r="D322" s="647"/>
      <c r="E322" s="4365"/>
      <c r="F322" s="4406"/>
      <c r="G322" s="4368"/>
      <c r="H322" s="4449"/>
      <c r="I322" s="4401"/>
      <c r="J322" s="4402"/>
      <c r="K322" s="4403"/>
      <c r="L322" s="978"/>
      <c r="M322" s="978"/>
      <c r="N322" s="1130" t="s">
        <v>1702</v>
      </c>
      <c r="O322" s="654"/>
      <c r="P322" s="654"/>
      <c r="Q322" s="654"/>
      <c r="R322" s="647"/>
      <c r="S322" s="647"/>
      <c r="T322" s="654"/>
      <c r="U322" s="654"/>
      <c r="V322" s="654"/>
      <c r="W322" s="654"/>
      <c r="X322" s="3"/>
      <c r="Y322" s="3"/>
      <c r="Z322" s="3"/>
      <c r="AA322" s="3"/>
      <c r="AB322" s="3"/>
      <c r="AC322" s="3"/>
    </row>
    <row r="323" spans="1:29" ht="60" customHeight="1" thickBot="1">
      <c r="A323" s="668" t="s">
        <v>894</v>
      </c>
      <c r="B323" s="4311"/>
      <c r="C323" s="1094" t="s">
        <v>263</v>
      </c>
      <c r="D323" s="1094"/>
      <c r="E323" s="4366"/>
      <c r="F323" s="1129" t="s">
        <v>7</v>
      </c>
      <c r="G323" s="892" t="s">
        <v>78</v>
      </c>
      <c r="H323" s="4450"/>
      <c r="I323" s="664" t="s">
        <v>79</v>
      </c>
      <c r="J323" s="664" t="s">
        <v>1749</v>
      </c>
      <c r="K323" s="664" t="s">
        <v>81</v>
      </c>
      <c r="L323" s="1102" t="s">
        <v>1759</v>
      </c>
      <c r="M323" s="664" t="s">
        <v>27</v>
      </c>
      <c r="N323" s="1366" t="s">
        <v>3712</v>
      </c>
      <c r="O323" s="1366" t="s">
        <v>1777</v>
      </c>
      <c r="P323" s="1367" t="s">
        <v>3714</v>
      </c>
      <c r="Q323" s="1367" t="s">
        <v>3720</v>
      </c>
      <c r="R323" s="1368" t="s">
        <v>3721</v>
      </c>
      <c r="S323" s="1368"/>
      <c r="T323" s="1368" t="s">
        <v>1752</v>
      </c>
      <c r="U323" s="1368" t="s">
        <v>1750</v>
      </c>
      <c r="V323" s="1369" t="s">
        <v>3722</v>
      </c>
      <c r="W323" s="1370" t="s">
        <v>3723</v>
      </c>
      <c r="X323" s="1370" t="s">
        <v>3724</v>
      </c>
      <c r="Y323" s="1370" t="s">
        <v>3725</v>
      </c>
      <c r="Z323" s="1371" t="s">
        <v>3707</v>
      </c>
      <c r="AA323" s="1372" t="s">
        <v>1751</v>
      </c>
      <c r="AB323" s="2265"/>
      <c r="AC323" s="1373" t="s">
        <v>900</v>
      </c>
    </row>
    <row r="324" spans="1:29" ht="15.75" customHeight="1" thickBot="1">
      <c r="A324" s="3"/>
      <c r="B324" s="1138">
        <v>1</v>
      </c>
      <c r="C324" s="1139">
        <v>44652</v>
      </c>
      <c r="D324" s="1140">
        <v>378</v>
      </c>
      <c r="E324" s="1536" t="str">
        <f>_xlfn.XLOOKUP($D324,  Tabla3[No.],  Tabla3[CURP], " ")</f>
        <v>AUEJ720619HVZGSL08</v>
      </c>
      <c r="F324" s="1402" t="str">
        <f>_xlfn.XLOOKUP($D324,  Tabla3[No.],  Tabla3[Matrícula Of. SEQ], " ")</f>
        <v>64DIA02-01</v>
      </c>
      <c r="G324" s="1806" t="str">
        <f>IFERROR(VLOOKUP(D324,Tabla3[],5,FALSE),"")</f>
        <v>AGUILAR ESTRADA JULIAN</v>
      </c>
      <c r="H324" s="737" t="str">
        <f t="shared" ref="H324:H330" si="87">MID($E324,11,1)</f>
        <v>H</v>
      </c>
      <c r="I324" s="737" t="str">
        <f t="shared" ref="I324:I330" si="88">MID($E324,5,2)</f>
        <v>72</v>
      </c>
      <c r="J324" s="737" t="str">
        <f t="shared" ref="J324:J330" si="89">MID($E324,7,2)</f>
        <v>06</v>
      </c>
      <c r="K324" s="737" t="str">
        <f t="shared" ref="K324:K330" si="90">MID($E324,9,2)</f>
        <v>19</v>
      </c>
      <c r="L324" s="1232" t="str">
        <f>_xlfn.XLOOKUP($E324,Tabla3[CURP],Tabla3[ESTATUS ACADÉMICO]," ")</f>
        <v>EGRESADO</v>
      </c>
      <c r="M324" s="1233" t="s">
        <v>4946</v>
      </c>
      <c r="N324" s="1147">
        <v>10</v>
      </c>
      <c r="O324" s="637">
        <v>9.1999999999999993</v>
      </c>
      <c r="P324" s="637">
        <v>10</v>
      </c>
      <c r="Q324" s="1363">
        <v>10</v>
      </c>
      <c r="R324" s="744">
        <v>10</v>
      </c>
      <c r="S324" s="744"/>
      <c r="T324" s="637">
        <v>10</v>
      </c>
      <c r="U324" s="1148">
        <v>10</v>
      </c>
      <c r="V324" s="637">
        <v>10</v>
      </c>
      <c r="W324" s="637">
        <v>10</v>
      </c>
      <c r="X324" s="24">
        <v>10</v>
      </c>
      <c r="Y324" s="637">
        <v>10</v>
      </c>
      <c r="Z324" s="637">
        <v>10</v>
      </c>
      <c r="AA324" s="24">
        <v>10</v>
      </c>
      <c r="AB324" s="24"/>
      <c r="AC324" s="24">
        <v>10</v>
      </c>
    </row>
    <row r="325" spans="1:29" ht="15.75" customHeight="1" thickBot="1">
      <c r="A325" s="3"/>
      <c r="B325" s="910">
        <v>2</v>
      </c>
      <c r="C325" s="907">
        <v>44652</v>
      </c>
      <c r="D325" s="744">
        <v>772</v>
      </c>
      <c r="E325" s="1536" t="str">
        <f>_xlfn.XLOOKUP($D325,  Tabla3[No.],  Tabla3[CURP], " ")</f>
        <v>MAHJ860808HCLTRS02</v>
      </c>
      <c r="F325" s="1402" t="str">
        <f>_xlfn.XLOOKUP($D325,  Tabla3[No.],  Tabla3[Matrícula Of. SEQ], " ")</f>
        <v>64DD07K-11</v>
      </c>
      <c r="G325" s="1806" t="str">
        <f>IFERROR(VLOOKUP(D325,Tabla3[],5,FALSE),"")</f>
        <v>MATA HERRERA JESUS</v>
      </c>
      <c r="H325" s="737" t="str">
        <f t="shared" si="87"/>
        <v>H</v>
      </c>
      <c r="I325" s="737" t="str">
        <f t="shared" si="88"/>
        <v>86</v>
      </c>
      <c r="J325" s="737" t="str">
        <f t="shared" si="89"/>
        <v>08</v>
      </c>
      <c r="K325" s="737" t="str">
        <f t="shared" si="90"/>
        <v>08</v>
      </c>
      <c r="L325" s="1232" t="str">
        <f>_xlfn.XLOOKUP($E325,Tabla3[CURP],Tabla3[ESTATUS ACADÉMICO]," ")</f>
        <v>EGRESADO</v>
      </c>
      <c r="M325" s="1233" t="s">
        <v>4946</v>
      </c>
      <c r="N325" s="1132">
        <v>10</v>
      </c>
      <c r="O325" s="637">
        <v>9.1999999999999993</v>
      </c>
      <c r="P325" s="637">
        <v>9.1</v>
      </c>
      <c r="Q325" s="637">
        <v>10</v>
      </c>
      <c r="R325" s="637">
        <v>10</v>
      </c>
      <c r="S325" s="637"/>
      <c r="T325" s="637">
        <v>10</v>
      </c>
      <c r="U325" s="637">
        <v>10</v>
      </c>
      <c r="V325" s="637">
        <v>9.4</v>
      </c>
      <c r="W325" s="637">
        <v>10</v>
      </c>
      <c r="X325" s="27">
        <v>10</v>
      </c>
      <c r="Y325" s="637">
        <v>10</v>
      </c>
      <c r="Z325" s="637">
        <v>9.6999999999999993</v>
      </c>
      <c r="AA325" s="170">
        <v>9.65</v>
      </c>
      <c r="AB325" s="170"/>
      <c r="AC325" s="27">
        <v>10</v>
      </c>
    </row>
    <row r="326" spans="1:29" ht="15.75" customHeight="1" thickBot="1">
      <c r="A326" s="3"/>
      <c r="B326" s="910">
        <v>3</v>
      </c>
      <c r="C326" s="907">
        <v>44682</v>
      </c>
      <c r="D326" s="744">
        <v>383</v>
      </c>
      <c r="E326" s="1536" t="str">
        <f>_xlfn.XLOOKUP($D326,  Tabla3[No.],  Tabla3[CURP], " ")</f>
        <v>CAMM710629MMNZRR00</v>
      </c>
      <c r="F326" s="1402" t="str">
        <f>_xlfn.XLOOKUP($D326,  Tabla3[No.],  Tabla3[Matrícula Of. SEQ], " ")</f>
        <v>64DIA02-03</v>
      </c>
      <c r="G326" s="1806" t="str">
        <f>IFERROR(VLOOKUP(D326,Tabla3[],5,FALSE),"")</f>
        <v>CAZARES MORAN MARTHA ALICIA</v>
      </c>
      <c r="H326" s="737" t="str">
        <f t="shared" si="87"/>
        <v>M</v>
      </c>
      <c r="I326" s="737" t="str">
        <f t="shared" si="88"/>
        <v>71</v>
      </c>
      <c r="J326" s="737" t="str">
        <f t="shared" si="89"/>
        <v>06</v>
      </c>
      <c r="K326" s="737" t="str">
        <f t="shared" si="90"/>
        <v>29</v>
      </c>
      <c r="L326" s="1232" t="str">
        <f>_xlfn.XLOOKUP($E326,Tabla3[CURP],Tabla3[ESTATUS ACADÉMICO]," ")</f>
        <v>EGRESADO</v>
      </c>
      <c r="M326" s="1233" t="s">
        <v>4946</v>
      </c>
      <c r="N326" s="1133">
        <v>9.6</v>
      </c>
      <c r="O326" s="637">
        <v>9.35</v>
      </c>
      <c r="P326" s="637">
        <v>10</v>
      </c>
      <c r="Q326" s="637">
        <v>10</v>
      </c>
      <c r="R326" s="637">
        <v>10</v>
      </c>
      <c r="S326" s="637"/>
      <c r="T326" s="637">
        <v>10</v>
      </c>
      <c r="U326" s="1134">
        <v>10</v>
      </c>
      <c r="V326" s="637">
        <v>10</v>
      </c>
      <c r="W326" s="637">
        <v>10</v>
      </c>
      <c r="X326" s="27">
        <v>10</v>
      </c>
      <c r="Y326" s="637">
        <v>10</v>
      </c>
      <c r="Z326" s="1364">
        <v>9.6</v>
      </c>
      <c r="AA326" s="27">
        <v>10</v>
      </c>
      <c r="AB326" s="27"/>
      <c r="AC326" s="27">
        <v>10</v>
      </c>
    </row>
    <row r="327" spans="1:29" ht="15.75" customHeight="1" thickBot="1">
      <c r="A327" s="3"/>
      <c r="B327" s="910">
        <v>4</v>
      </c>
      <c r="C327" s="907">
        <v>44652</v>
      </c>
      <c r="D327" s="744">
        <v>374</v>
      </c>
      <c r="E327" s="1536" t="str">
        <f>_xlfn.XLOOKUP($D327,  Tabla3[No.],  Tabla3[CURP], " ")</f>
        <v>DIGD740815HDFZRN08</v>
      </c>
      <c r="F327" s="1402" t="str">
        <f>_xlfn.XLOOKUP($D327,  Tabla3[No.],  Tabla3[Matrícula Of. SEQ], " ")</f>
        <v>64DIA02-03</v>
      </c>
      <c r="G327" s="1806" t="str">
        <f>IFERROR(VLOOKUP(D327,Tabla3[],5,FALSE),"")</f>
        <v>DIAZ GARCIA DANIEL</v>
      </c>
      <c r="H327" s="737" t="str">
        <f t="shared" si="87"/>
        <v>H</v>
      </c>
      <c r="I327" s="737" t="str">
        <f t="shared" si="88"/>
        <v>74</v>
      </c>
      <c r="J327" s="737" t="str">
        <f t="shared" si="89"/>
        <v>08</v>
      </c>
      <c r="K327" s="737" t="str">
        <f t="shared" si="90"/>
        <v>15</v>
      </c>
      <c r="L327" s="1232" t="str">
        <f>_xlfn.XLOOKUP($E327,Tabla3[CURP],Tabla3[ESTATUS ACADÉMICO]," ")</f>
        <v>EGRESADO</v>
      </c>
      <c r="M327" s="1233" t="s">
        <v>4946</v>
      </c>
      <c r="N327" s="1132">
        <v>10</v>
      </c>
      <c r="O327" s="637">
        <v>9.15</v>
      </c>
      <c r="P327" s="637">
        <v>9.1999999999999993</v>
      </c>
      <c r="Q327" s="637">
        <v>10</v>
      </c>
      <c r="R327" s="637">
        <v>10</v>
      </c>
      <c r="S327" s="637"/>
      <c r="T327" s="637">
        <v>10</v>
      </c>
      <c r="U327" s="637">
        <v>10</v>
      </c>
      <c r="V327" s="637">
        <v>10</v>
      </c>
      <c r="W327" s="637">
        <v>10</v>
      </c>
      <c r="X327" s="27">
        <v>10</v>
      </c>
      <c r="Y327" s="637">
        <v>10</v>
      </c>
      <c r="Z327" s="637">
        <v>10</v>
      </c>
      <c r="AA327" s="27">
        <v>10</v>
      </c>
      <c r="AB327" s="27"/>
      <c r="AC327" s="27">
        <v>10</v>
      </c>
    </row>
    <row r="328" spans="1:29" ht="15.75" customHeight="1" thickBot="1">
      <c r="A328" s="3"/>
      <c r="B328" s="910">
        <v>5</v>
      </c>
      <c r="C328" s="907">
        <v>44652</v>
      </c>
      <c r="D328" s="744">
        <v>375</v>
      </c>
      <c r="E328" s="1536" t="str">
        <f>_xlfn.XLOOKUP($D328,  Tabla3[No.],  Tabla3[CURP], " ")</f>
        <v>MAAC650331MNLRYR06</v>
      </c>
      <c r="F328" s="1402" t="str">
        <f>_xlfn.XLOOKUP($D328,  Tabla3[No.],  Tabla3[Matrícula Of. SEQ], " ")</f>
        <v>64DIA02-04</v>
      </c>
      <c r="G328" s="1806" t="str">
        <f>IFERROR(VLOOKUP(D328,Tabla3[],5,FALSE),"")</f>
        <v>MARTINEZ AYALA MA CRISTINA</v>
      </c>
      <c r="H328" s="737" t="str">
        <f t="shared" si="87"/>
        <v>M</v>
      </c>
      <c r="I328" s="737" t="str">
        <f t="shared" si="88"/>
        <v>65</v>
      </c>
      <c r="J328" s="737" t="str">
        <f t="shared" si="89"/>
        <v>03</v>
      </c>
      <c r="K328" s="737" t="str">
        <f t="shared" si="90"/>
        <v>31</v>
      </c>
      <c r="L328" s="1232" t="str">
        <f>_xlfn.XLOOKUP($E328,Tabla3[CURP],Tabla3[ESTATUS ACADÉMICO]," ")</f>
        <v>BAJA TEMPORAL</v>
      </c>
      <c r="M328" s="1233" t="s">
        <v>4946</v>
      </c>
      <c r="N328" s="1133" t="s">
        <v>135</v>
      </c>
      <c r="O328" s="637">
        <v>9</v>
      </c>
      <c r="P328" s="637">
        <v>9</v>
      </c>
      <c r="Q328" s="637">
        <v>10</v>
      </c>
      <c r="R328" s="637">
        <v>10</v>
      </c>
      <c r="S328" s="637"/>
      <c r="T328" s="637">
        <v>10</v>
      </c>
      <c r="U328" s="637">
        <v>10</v>
      </c>
      <c r="V328" s="637">
        <v>9.1</v>
      </c>
      <c r="W328" s="637">
        <v>9.5</v>
      </c>
      <c r="X328" s="27">
        <v>10</v>
      </c>
      <c r="Y328" s="637">
        <v>10</v>
      </c>
      <c r="Z328" s="637">
        <v>8.5</v>
      </c>
      <c r="AA328" s="27">
        <v>10</v>
      </c>
      <c r="AB328" s="27"/>
      <c r="AC328" s="27">
        <v>10</v>
      </c>
    </row>
    <row r="329" spans="1:29" ht="15.75" customHeight="1" thickBot="1">
      <c r="A329" s="3"/>
      <c r="B329" s="910">
        <v>6</v>
      </c>
      <c r="C329" s="907">
        <v>44709</v>
      </c>
      <c r="D329" s="744">
        <v>381</v>
      </c>
      <c r="E329" s="1536" t="str">
        <f>_xlfn.XLOOKUP($D329,  Tabla3[No.],  Tabla3[CURP], " ")</f>
        <v>VEOP581026MCSRCT04</v>
      </c>
      <c r="F329" s="1402" t="str">
        <f>_xlfn.XLOOKUP($D329,  Tabla3[No.],  Tabla3[Matrícula Of. SEQ], " ")</f>
        <v>64DIA02-05</v>
      </c>
      <c r="G329" s="1806" t="str">
        <f>IFERROR(VLOOKUP(D329,Tabla3[],5,FALSE),"")</f>
        <v>VERA OCHOA PATRICIA ROMANA</v>
      </c>
      <c r="H329" s="737" t="str">
        <f t="shared" si="87"/>
        <v>M</v>
      </c>
      <c r="I329" s="737" t="str">
        <f t="shared" si="88"/>
        <v>58</v>
      </c>
      <c r="J329" s="737" t="str">
        <f t="shared" si="89"/>
        <v>10</v>
      </c>
      <c r="K329" s="737" t="str">
        <f t="shared" si="90"/>
        <v>26</v>
      </c>
      <c r="L329" s="1232" t="str">
        <f>_xlfn.XLOOKUP($E329,Tabla3[CURP],Tabla3[ESTATUS ACADÉMICO]," ")</f>
        <v>EGRESADO</v>
      </c>
      <c r="M329" s="1233" t="s">
        <v>4946</v>
      </c>
      <c r="N329" s="1365">
        <v>9</v>
      </c>
      <c r="O329" s="1365">
        <v>9</v>
      </c>
      <c r="P329" s="1365">
        <v>9</v>
      </c>
      <c r="Q329" s="637">
        <v>10</v>
      </c>
      <c r="R329" s="637">
        <v>10</v>
      </c>
      <c r="S329" s="637"/>
      <c r="T329" s="637">
        <v>10</v>
      </c>
      <c r="U329" s="637">
        <v>9.1</v>
      </c>
      <c r="V329" s="637">
        <v>9.4</v>
      </c>
      <c r="W329" s="637">
        <v>9.5</v>
      </c>
      <c r="X329" s="27">
        <v>10</v>
      </c>
      <c r="Y329" s="637">
        <v>10</v>
      </c>
      <c r="Z329" s="637">
        <v>8.3000000000000007</v>
      </c>
      <c r="AA329" s="27">
        <v>9.3000000000000007</v>
      </c>
      <c r="AB329" s="1408"/>
      <c r="AC329" s="637">
        <v>10</v>
      </c>
    </row>
    <row r="330" spans="1:29" ht="15.75" customHeight="1" thickBot="1">
      <c r="A330" s="3"/>
      <c r="B330" s="910">
        <v>6</v>
      </c>
      <c r="C330" s="1403">
        <v>44743</v>
      </c>
      <c r="D330" s="1404">
        <v>426</v>
      </c>
      <c r="E330" s="1536" t="str">
        <f>_xlfn.XLOOKUP($D330,  Tabla3[No.],  Tabla3[CURP], " ")</f>
        <v>AAMP810914HDFBRD05</v>
      </c>
      <c r="F330" s="1402" t="str">
        <f>_xlfn.XLOOKUP($D330,  Tabla3[No.],  Tabla3[Matrícula Of. SEQ], " ")</f>
        <v>64DIAP03-01</v>
      </c>
      <c r="G330" s="1806" t="str">
        <f>IFERROR(VLOOKUP(D330,Tabla3[],5,FALSE),"")</f>
        <v>ABAD MARTINEZ PEDRO DANIEL</v>
      </c>
      <c r="H330" s="737" t="str">
        <f t="shared" si="87"/>
        <v>H</v>
      </c>
      <c r="I330" s="737" t="str">
        <f t="shared" si="88"/>
        <v>81</v>
      </c>
      <c r="J330" s="737" t="str">
        <f t="shared" si="89"/>
        <v>09</v>
      </c>
      <c r="K330" s="737" t="str">
        <f t="shared" si="90"/>
        <v>14</v>
      </c>
      <c r="L330" s="1232" t="str">
        <f>_xlfn.XLOOKUP($E330,Tabla3[CURP],Tabla3[ESTATUS ACADÉMICO]," ")</f>
        <v>EGRESADO</v>
      </c>
      <c r="M330" s="1233" t="s">
        <v>4946</v>
      </c>
      <c r="N330" s="1365">
        <v>9</v>
      </c>
      <c r="O330" s="1365">
        <v>10</v>
      </c>
      <c r="P330" s="1365">
        <v>10</v>
      </c>
      <c r="Q330" s="637">
        <v>10</v>
      </c>
      <c r="R330" s="637">
        <v>10</v>
      </c>
      <c r="S330" s="637"/>
      <c r="T330" s="637">
        <v>10</v>
      </c>
      <c r="U330" s="637">
        <v>9.1</v>
      </c>
      <c r="V330" s="637">
        <v>9.4</v>
      </c>
      <c r="W330" s="637">
        <v>9.5</v>
      </c>
      <c r="X330" s="27">
        <v>10</v>
      </c>
      <c r="Y330" s="637">
        <v>10</v>
      </c>
      <c r="Z330" s="637">
        <v>8.3000000000000007</v>
      </c>
      <c r="AA330" s="27">
        <v>9.3000000000000007</v>
      </c>
      <c r="AB330" s="1408"/>
      <c r="AC330" s="637">
        <v>10</v>
      </c>
    </row>
    <row r="331" spans="1:29" ht="15.75" customHeight="1">
      <c r="A331" s="3"/>
      <c r="L331" s="3"/>
      <c r="M331" s="3"/>
      <c r="N331" s="643"/>
      <c r="O331" s="3"/>
      <c r="P331" s="3"/>
      <c r="Q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1:29" ht="15.75" customHeight="1">
      <c r="A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1:29" ht="15.75" customHeight="1">
      <c r="A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1:29" ht="15.75" customHeight="1">
      <c r="A334" s="3"/>
      <c r="L334" s="3"/>
      <c r="M334" s="3"/>
    </row>
    <row r="335" spans="1:29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4386" t="s">
        <v>405</v>
      </c>
      <c r="X335" s="4386"/>
      <c r="Y335" s="4386"/>
      <c r="Z335" s="3"/>
      <c r="AC335" s="2"/>
    </row>
    <row r="336" spans="1:29" ht="15.75" thickBot="1">
      <c r="A336" s="3"/>
      <c r="B336" s="3"/>
      <c r="C336" s="3"/>
      <c r="D336" s="3"/>
      <c r="E336" s="3"/>
      <c r="F336" s="3"/>
      <c r="G336" s="643"/>
      <c r="H336" s="3"/>
      <c r="I336" s="3"/>
      <c r="J336" s="3"/>
      <c r="K336" s="3"/>
      <c r="L336" s="3"/>
      <c r="M336" s="3"/>
      <c r="N336" s="226" t="s">
        <v>454</v>
      </c>
      <c r="O336" s="226" t="s">
        <v>937</v>
      </c>
      <c r="P336" s="226" t="s">
        <v>674</v>
      </c>
      <c r="Q336" s="226" t="s">
        <v>445</v>
      </c>
      <c r="R336" s="226" t="s">
        <v>446</v>
      </c>
      <c r="S336" s="226"/>
      <c r="T336" s="226" t="s">
        <v>765</v>
      </c>
      <c r="U336" s="226" t="s">
        <v>448</v>
      </c>
      <c r="V336" s="226" t="s">
        <v>562</v>
      </c>
      <c r="W336" s="226" t="s">
        <v>451</v>
      </c>
      <c r="X336" s="226" t="s">
        <v>452</v>
      </c>
      <c r="Y336" s="226" t="s">
        <v>453</v>
      </c>
      <c r="Z336" s="226" t="s">
        <v>454</v>
      </c>
      <c r="AA336" s="226" t="s">
        <v>937</v>
      </c>
      <c r="AB336" s="226"/>
      <c r="AC336" s="226" t="s">
        <v>445</v>
      </c>
    </row>
    <row r="337" spans="1:29" ht="15.75" thickBo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643"/>
      <c r="L337" s="647"/>
      <c r="M337" s="647"/>
      <c r="N337" s="895" t="s">
        <v>939</v>
      </c>
      <c r="O337" s="895" t="s">
        <v>940</v>
      </c>
      <c r="P337" s="895" t="s">
        <v>941</v>
      </c>
      <c r="Q337" s="895" t="s">
        <v>942</v>
      </c>
      <c r="R337" s="895" t="s">
        <v>943</v>
      </c>
      <c r="S337" s="895"/>
      <c r="T337" s="1155" t="s">
        <v>944</v>
      </c>
      <c r="U337" s="901" t="s">
        <v>647</v>
      </c>
      <c r="V337" s="901" t="s">
        <v>945</v>
      </c>
      <c r="W337" s="901" t="s">
        <v>946</v>
      </c>
      <c r="X337" s="901" t="s">
        <v>946</v>
      </c>
      <c r="Y337" s="901" t="s">
        <v>947</v>
      </c>
      <c r="Z337" s="901" t="s">
        <v>948</v>
      </c>
      <c r="AA337" s="901" t="s">
        <v>948</v>
      </c>
      <c r="AB337" s="901"/>
      <c r="AC337" s="901" t="s">
        <v>949</v>
      </c>
    </row>
    <row r="338" spans="1:29" ht="56.1" customHeight="1" thickBot="1">
      <c r="A338" s="175" t="s">
        <v>580</v>
      </c>
      <c r="B338" s="4166" t="s">
        <v>5</v>
      </c>
      <c r="C338" s="198" t="s">
        <v>938</v>
      </c>
      <c r="D338" s="1670"/>
      <c r="E338" s="4161" t="s">
        <v>6</v>
      </c>
      <c r="F338" s="4161" t="s">
        <v>7</v>
      </c>
      <c r="G338" s="4467" t="s">
        <v>8</v>
      </c>
      <c r="H338" s="4445" t="s">
        <v>9</v>
      </c>
      <c r="I338" s="4387" t="s">
        <v>10</v>
      </c>
      <c r="J338" s="4388"/>
      <c r="K338" s="4389"/>
      <c r="L338" s="647"/>
      <c r="M338" s="1149" t="s">
        <v>1149</v>
      </c>
      <c r="N338" s="647"/>
      <c r="O338" s="647"/>
      <c r="P338" s="647"/>
      <c r="Q338" s="647"/>
      <c r="R338" s="647"/>
      <c r="S338" s="647"/>
      <c r="T338" s="647"/>
      <c r="U338" s="647"/>
      <c r="V338" s="647"/>
      <c r="W338" s="647"/>
      <c r="X338" s="647"/>
      <c r="Y338" s="647"/>
      <c r="Z338" s="647"/>
      <c r="AA338" s="647"/>
      <c r="AB338" s="647"/>
      <c r="AC338" s="647"/>
    </row>
    <row r="339" spans="1:29" ht="15.75" thickBot="1">
      <c r="A339" s="3"/>
      <c r="B339" s="4451"/>
      <c r="C339" s="35"/>
      <c r="D339" s="888"/>
      <c r="E339" s="4453"/>
      <c r="F339" s="4453"/>
      <c r="G339" s="4473"/>
      <c r="H339" s="4446"/>
      <c r="I339" s="4390"/>
      <c r="J339" s="4391"/>
      <c r="K339" s="4392"/>
      <c r="L339" s="647"/>
      <c r="M339" s="647"/>
      <c r="N339" s="677" t="s">
        <v>950</v>
      </c>
      <c r="O339" s="677" t="s">
        <v>951</v>
      </c>
      <c r="P339" s="677" t="s">
        <v>952</v>
      </c>
      <c r="Q339" s="677" t="s">
        <v>953</v>
      </c>
      <c r="R339" s="677" t="s">
        <v>954</v>
      </c>
      <c r="S339" s="677"/>
      <c r="T339" s="677" t="s">
        <v>955</v>
      </c>
      <c r="U339" s="677" t="s">
        <v>955</v>
      </c>
      <c r="V339" s="677" t="s">
        <v>957</v>
      </c>
      <c r="W339" s="677" t="s">
        <v>958</v>
      </c>
      <c r="X339" s="677" t="s">
        <v>958</v>
      </c>
      <c r="Y339" s="677" t="s">
        <v>959</v>
      </c>
      <c r="Z339" s="677" t="s">
        <v>960</v>
      </c>
      <c r="AA339" s="677" t="s">
        <v>960</v>
      </c>
      <c r="AB339" s="677"/>
      <c r="AC339" s="677" t="s">
        <v>962</v>
      </c>
    </row>
    <row r="340" spans="1:29" ht="96.75" thickBot="1">
      <c r="A340" s="3"/>
      <c r="B340" s="4452"/>
      <c r="C340" s="11" t="s">
        <v>263</v>
      </c>
      <c r="D340" s="888"/>
      <c r="E340" s="4454"/>
      <c r="F340" s="4453"/>
      <c r="G340" s="200" t="s">
        <v>78</v>
      </c>
      <c r="H340" s="4447"/>
      <c r="I340" s="12" t="s">
        <v>79</v>
      </c>
      <c r="J340" s="12" t="s">
        <v>80</v>
      </c>
      <c r="K340" s="12" t="s">
        <v>81</v>
      </c>
      <c r="L340" s="1150" t="s">
        <v>1759</v>
      </c>
      <c r="M340" s="897" t="s">
        <v>409</v>
      </c>
      <c r="N340" s="239" t="s">
        <v>966</v>
      </c>
      <c r="O340" s="240" t="s">
        <v>967</v>
      </c>
      <c r="P340" s="241" t="s">
        <v>968</v>
      </c>
      <c r="Q340" s="241" t="s">
        <v>969</v>
      </c>
      <c r="R340" s="242" t="s">
        <v>970</v>
      </c>
      <c r="S340" s="242"/>
      <c r="T340" s="243" t="s">
        <v>971</v>
      </c>
      <c r="U340" s="243" t="s">
        <v>972</v>
      </c>
      <c r="V340" s="1151" t="s">
        <v>974</v>
      </c>
      <c r="W340" s="1152" t="s">
        <v>975</v>
      </c>
      <c r="X340" s="1152" t="s">
        <v>976</v>
      </c>
      <c r="Y340" s="1152" t="s">
        <v>977</v>
      </c>
      <c r="Z340" s="1153" t="s">
        <v>978</v>
      </c>
      <c r="AA340" s="1153" t="s">
        <v>979</v>
      </c>
      <c r="AB340" s="1153"/>
      <c r="AC340" s="1154" t="s">
        <v>981</v>
      </c>
    </row>
    <row r="341" spans="1:29" ht="15.75" thickBot="1">
      <c r="A341" s="1066" t="s">
        <v>1625</v>
      </c>
      <c r="B341" s="20">
        <v>1</v>
      </c>
      <c r="C341" s="252">
        <v>43831</v>
      </c>
      <c r="D341" s="41">
        <v>138</v>
      </c>
      <c r="E341" s="1536" t="str">
        <f>_xlfn.XLOOKUP($D341,  Tabla3[No.],  Tabla3[CURP], " ")</f>
        <v>AUGJ730206HCCZTR03</v>
      </c>
      <c r="F341" s="1402" t="str">
        <f>_xlfn.XLOOKUP($D341,  Tabla3[No.],  Tabla3[Matrícula Of. SEQ], " ")</f>
        <v>64DD03A-01</v>
      </c>
      <c r="G341" s="1806" t="str">
        <f>IFERROR(VLOOKUP(D341,Tabla3[],5,FALSE),"")</f>
        <v xml:space="preserve">AZCUAGA GUTIERREZ JORGE ARTURO </v>
      </c>
      <c r="H341" s="737" t="str">
        <f t="shared" ref="H341:H370" si="91">MID($E341,11,1)</f>
        <v>H</v>
      </c>
      <c r="I341" s="737" t="str">
        <f t="shared" ref="I341:I370" si="92">MID($E341,5,2)</f>
        <v>73</v>
      </c>
      <c r="J341" s="737" t="str">
        <f t="shared" ref="J341:J370" si="93">MID($E341,7,2)</f>
        <v>02</v>
      </c>
      <c r="K341" s="737" t="str">
        <f t="shared" ref="K341:K370" si="94">MID($E341,9,2)</f>
        <v>06</v>
      </c>
      <c r="L341" s="1232" t="str">
        <f>_xlfn.XLOOKUP($E341,Tabla3[CURP],Tabla3[ESTATUS ACADÉMICO]," ")</f>
        <v>EGRESADO</v>
      </c>
      <c r="M341" s="1233" t="s">
        <v>4946</v>
      </c>
      <c r="N341" s="253">
        <v>10</v>
      </c>
      <c r="O341" s="215">
        <v>10</v>
      </c>
      <c r="P341" s="217">
        <v>9</v>
      </c>
      <c r="Q341" s="254">
        <v>10</v>
      </c>
      <c r="R341" s="255">
        <v>9.1999999999999993</v>
      </c>
      <c r="S341" s="255"/>
      <c r="T341" s="215">
        <v>10</v>
      </c>
      <c r="U341" s="256" t="e">
        <f>(R341+T341+#REF!)/3</f>
        <v>#REF!</v>
      </c>
      <c r="V341" s="50">
        <v>8.85</v>
      </c>
      <c r="W341" s="41">
        <v>10</v>
      </c>
      <c r="X341" s="41">
        <v>10</v>
      </c>
      <c r="Y341" s="41">
        <v>9.6</v>
      </c>
      <c r="Z341" s="132">
        <v>9.4</v>
      </c>
      <c r="AA341" s="132">
        <v>9.4</v>
      </c>
      <c r="AB341" s="132"/>
      <c r="AC341" s="41">
        <v>10</v>
      </c>
    </row>
    <row r="342" spans="1:29" ht="15.75" thickBot="1">
      <c r="A342" s="1066" t="s">
        <v>1625</v>
      </c>
      <c r="B342" s="20">
        <v>2</v>
      </c>
      <c r="C342" s="252">
        <v>43831</v>
      </c>
      <c r="D342" s="41">
        <v>139</v>
      </c>
      <c r="E342" s="1536" t="str">
        <f>_xlfn.XLOOKUP($D342,  Tabla3[No.],  Tabla3[CURP], " ")</f>
        <v>BOPJ760722HCCLRN07</v>
      </c>
      <c r="F342" s="1402" t="str">
        <f>_xlfn.XLOOKUP($D342,  Tabla3[No.],  Tabla3[Matrícula Of. SEQ], " ")</f>
        <v>64DD03A-02</v>
      </c>
      <c r="G342" s="1806" t="str">
        <f>IFERROR(VLOOKUP(D342,Tabla3[],5,FALSE),"")</f>
        <v>BOLON PEREZ JUAN ALBERTO</v>
      </c>
      <c r="H342" s="737" t="str">
        <f t="shared" si="91"/>
        <v>H</v>
      </c>
      <c r="I342" s="737" t="str">
        <f t="shared" si="92"/>
        <v>76</v>
      </c>
      <c r="J342" s="737" t="str">
        <f t="shared" si="93"/>
        <v>07</v>
      </c>
      <c r="K342" s="737" t="str">
        <f t="shared" si="94"/>
        <v>22</v>
      </c>
      <c r="L342" s="1232" t="str">
        <f>_xlfn.XLOOKUP($E342,Tabla3[CURP],Tabla3[ESTATUS ACADÉMICO]," ")</f>
        <v>EGRESADO</v>
      </c>
      <c r="M342" s="1233" t="s">
        <v>4425</v>
      </c>
      <c r="N342" s="253">
        <v>9</v>
      </c>
      <c r="O342" s="217">
        <v>9</v>
      </c>
      <c r="P342" s="215">
        <v>8</v>
      </c>
      <c r="Q342" s="258">
        <v>9</v>
      </c>
      <c r="R342" s="255">
        <v>8.9</v>
      </c>
      <c r="S342" s="255"/>
      <c r="T342" s="215">
        <v>9.5</v>
      </c>
      <c r="U342" s="215">
        <v>8</v>
      </c>
      <c r="V342" s="205">
        <v>9</v>
      </c>
      <c r="W342" s="205">
        <v>8</v>
      </c>
      <c r="X342" s="205">
        <v>8</v>
      </c>
      <c r="Y342" s="50">
        <v>9</v>
      </c>
      <c r="Z342" s="132">
        <v>9.1999999999999993</v>
      </c>
      <c r="AA342" s="132">
        <v>9.1999999999999993</v>
      </c>
      <c r="AB342" s="132"/>
      <c r="AC342" s="50">
        <v>9</v>
      </c>
    </row>
    <row r="343" spans="1:29" ht="15.75" thickBot="1">
      <c r="A343" s="1066" t="s">
        <v>1625</v>
      </c>
      <c r="B343" s="20">
        <v>3</v>
      </c>
      <c r="C343" s="252">
        <v>43831</v>
      </c>
      <c r="D343" s="41">
        <v>140</v>
      </c>
      <c r="E343" s="1536" t="str">
        <f>_xlfn.XLOOKUP($D343,  Tabla3[No.],  Tabla3[CURP], " ")</f>
        <v>CIZE680827HCCCVR09</v>
      </c>
      <c r="F343" s="1402" t="str">
        <f>_xlfn.XLOOKUP($D343,  Tabla3[No.],  Tabla3[Matrícula Of. SEQ], " ")</f>
        <v>64DD03A-04</v>
      </c>
      <c r="G343" s="1806" t="str">
        <f>IFERROR(VLOOKUP(D343,Tabla3[],5,FALSE),"")</f>
        <v>CICLER ZAVALA ERIC UVENCE MARTIN</v>
      </c>
      <c r="H343" s="737" t="str">
        <f t="shared" si="91"/>
        <v>H</v>
      </c>
      <c r="I343" s="737" t="str">
        <f t="shared" si="92"/>
        <v>68</v>
      </c>
      <c r="J343" s="737" t="str">
        <f t="shared" si="93"/>
        <v>08</v>
      </c>
      <c r="K343" s="737" t="str">
        <f t="shared" si="94"/>
        <v>27</v>
      </c>
      <c r="L343" s="1232" t="str">
        <f>_xlfn.XLOOKUP($E343,Tabla3[CURP],Tabla3[ESTATUS ACADÉMICO]," ")</f>
        <v>EGRESADO</v>
      </c>
      <c r="M343" s="1233" t="s">
        <v>4428</v>
      </c>
      <c r="N343" s="253">
        <v>10</v>
      </c>
      <c r="O343" s="215">
        <v>10</v>
      </c>
      <c r="P343" s="217">
        <v>9</v>
      </c>
      <c r="Q343" s="259">
        <v>8</v>
      </c>
      <c r="R343" s="255">
        <v>9.1999999999999993</v>
      </c>
      <c r="S343" s="255"/>
      <c r="T343" s="217">
        <v>9</v>
      </c>
      <c r="U343" s="256" t="e">
        <f>(R343+T343+#REF!)/3</f>
        <v>#REF!</v>
      </c>
      <c r="V343" s="50">
        <v>8.4500000000000011</v>
      </c>
      <c r="W343" s="41">
        <v>10</v>
      </c>
      <c r="X343" s="41">
        <v>10</v>
      </c>
      <c r="Y343" s="41">
        <v>9.5</v>
      </c>
      <c r="Z343" s="132">
        <v>9.8000000000000007</v>
      </c>
      <c r="AA343" s="132">
        <v>9.8000000000000007</v>
      </c>
      <c r="AB343" s="132"/>
      <c r="AC343" s="41">
        <v>10</v>
      </c>
    </row>
    <row r="344" spans="1:29" ht="15.75" thickBot="1">
      <c r="A344" s="1066" t="s">
        <v>1625</v>
      </c>
      <c r="B344" s="20">
        <v>4</v>
      </c>
      <c r="C344" s="252">
        <v>43831</v>
      </c>
      <c r="D344" s="41">
        <v>141</v>
      </c>
      <c r="E344" s="1536" t="str">
        <f>_xlfn.XLOOKUP($D344,  Tabla3[No.],  Tabla3[CURP], " ")</f>
        <v>CUMM720408HCCRNR07</v>
      </c>
      <c r="F344" s="1402" t="str">
        <f>_xlfn.XLOOKUP($D344,  Tabla3[No.],  Tabla3[Matrícula Of. SEQ], " ")</f>
        <v>64DD03A-06</v>
      </c>
      <c r="G344" s="1806" t="str">
        <f>IFERROR(VLOOKUP(D344,Tabla3[],5,FALSE),"")</f>
        <v>CRUZ MENDEZ JOSE MARIA</v>
      </c>
      <c r="H344" s="737" t="str">
        <f t="shared" si="91"/>
        <v>H</v>
      </c>
      <c r="I344" s="737" t="str">
        <f t="shared" si="92"/>
        <v>72</v>
      </c>
      <c r="J344" s="737" t="str">
        <f t="shared" si="93"/>
        <v>04</v>
      </c>
      <c r="K344" s="737" t="str">
        <f t="shared" si="94"/>
        <v>08</v>
      </c>
      <c r="L344" s="1232" t="str">
        <f>_xlfn.XLOOKUP($E344,Tabla3[CURP],Tabla3[ESTATUS ACADÉMICO]," ")</f>
        <v>EGRESADO</v>
      </c>
      <c r="M344" s="1233" t="s">
        <v>4419</v>
      </c>
      <c r="N344" s="253">
        <v>10</v>
      </c>
      <c r="O344" s="217">
        <v>9</v>
      </c>
      <c r="P344" s="217">
        <v>8</v>
      </c>
      <c r="Q344" s="258">
        <v>8</v>
      </c>
      <c r="R344" s="255">
        <v>8.9</v>
      </c>
      <c r="S344" s="255"/>
      <c r="T344" s="217">
        <v>9</v>
      </c>
      <c r="U344" s="256" t="e">
        <f>(R344+T344+#REF!)/3</f>
        <v>#REF!</v>
      </c>
      <c r="V344" s="54">
        <v>8</v>
      </c>
      <c r="W344" s="54">
        <v>9</v>
      </c>
      <c r="X344" s="54">
        <v>9.5</v>
      </c>
      <c r="Y344" s="41">
        <v>9.5</v>
      </c>
      <c r="Z344" s="132">
        <v>9.1999999999999993</v>
      </c>
      <c r="AA344" s="132">
        <v>9.1999999999999993</v>
      </c>
      <c r="AB344" s="132"/>
      <c r="AC344" s="41">
        <v>9</v>
      </c>
    </row>
    <row r="345" spans="1:29" ht="15.75" thickBot="1">
      <c r="A345" s="1066" t="s">
        <v>1625</v>
      </c>
      <c r="B345" s="20">
        <v>5</v>
      </c>
      <c r="C345" s="252">
        <v>43831</v>
      </c>
      <c r="D345" s="41">
        <v>237</v>
      </c>
      <c r="E345" s="1536" t="str">
        <f>_xlfn.XLOOKUP($D345,  Tabla3[No.],  Tabla3[CURP], " ")</f>
        <v>DIVM760820MTCZGR08</v>
      </c>
      <c r="F345" s="1402" t="str">
        <f>_xlfn.XLOOKUP($D345,  Tabla3[No.],  Tabla3[Matrícula Of. SEQ], " ")</f>
        <v>64DD03A-07</v>
      </c>
      <c r="G345" s="1806" t="str">
        <f>IFERROR(VLOOKUP(D345,Tabla3[],5,FALSE),"")</f>
        <v>DIAZ VEGA MARLY ELIZABETH</v>
      </c>
      <c r="H345" s="737" t="str">
        <f t="shared" si="91"/>
        <v>M</v>
      </c>
      <c r="I345" s="737" t="str">
        <f t="shared" si="92"/>
        <v>76</v>
      </c>
      <c r="J345" s="737" t="str">
        <f t="shared" si="93"/>
        <v>08</v>
      </c>
      <c r="K345" s="737" t="str">
        <f t="shared" si="94"/>
        <v>20</v>
      </c>
      <c r="L345" s="1232" t="str">
        <f>_xlfn.XLOOKUP($E345,Tabla3[CURP],Tabla3[ESTATUS ACADÉMICO]," ")</f>
        <v>EGRESADO</v>
      </c>
      <c r="M345" s="1233" t="s">
        <v>4426</v>
      </c>
      <c r="N345" s="253">
        <v>10</v>
      </c>
      <c r="O345" s="215">
        <v>9.5</v>
      </c>
      <c r="P345" s="217">
        <v>9</v>
      </c>
      <c r="Q345" s="258">
        <v>9</v>
      </c>
      <c r="R345" s="255">
        <v>9.1999999999999993</v>
      </c>
      <c r="S345" s="255"/>
      <c r="T345" s="215">
        <v>10</v>
      </c>
      <c r="U345" s="256" t="e">
        <f>(R345+T345+#REF!)/3</f>
        <v>#REF!</v>
      </c>
      <c r="V345" s="50">
        <v>8.15</v>
      </c>
      <c r="W345" s="41">
        <v>10</v>
      </c>
      <c r="X345" s="41">
        <v>10</v>
      </c>
      <c r="Y345" s="41">
        <v>9.6</v>
      </c>
      <c r="Z345" s="132">
        <v>9.3000000000000007</v>
      </c>
      <c r="AA345" s="132">
        <v>9.3000000000000007</v>
      </c>
      <c r="AB345" s="132"/>
      <c r="AC345" s="41">
        <v>10</v>
      </c>
    </row>
    <row r="346" spans="1:29" ht="15.75" thickBot="1">
      <c r="A346" s="1066" t="s">
        <v>1625</v>
      </c>
      <c r="B346" s="20">
        <v>6</v>
      </c>
      <c r="C346" s="252">
        <v>43831</v>
      </c>
      <c r="D346" s="41">
        <v>228</v>
      </c>
      <c r="E346" s="1536" t="str">
        <f>_xlfn.XLOOKUP($D346,  Tabla3[No.],  Tabla3[CURP], " ")</f>
        <v>DURS850922MCCRMG04</v>
      </c>
      <c r="F346" s="1402" t="str">
        <f>_xlfn.XLOOKUP($D346,  Tabla3[No.],  Tabla3[Matrícula Of. SEQ], " ")</f>
        <v>64DD03A-08</v>
      </c>
      <c r="G346" s="1806" t="str">
        <f>IFERROR(VLOOKUP(D346,Tabla3[],5,FALSE),"")</f>
        <v>DURAN RAMOS SAGRARIO ALEJANDRA</v>
      </c>
      <c r="H346" s="737" t="str">
        <f t="shared" si="91"/>
        <v>M</v>
      </c>
      <c r="I346" s="737" t="str">
        <f t="shared" si="92"/>
        <v>85</v>
      </c>
      <c r="J346" s="737" t="str">
        <f t="shared" si="93"/>
        <v>09</v>
      </c>
      <c r="K346" s="737" t="str">
        <f t="shared" si="94"/>
        <v>22</v>
      </c>
      <c r="L346" s="1232" t="str">
        <f>_xlfn.XLOOKUP($E346,Tabla3[CURP],Tabla3[ESTATUS ACADÉMICO]," ")</f>
        <v>EGRESADO</v>
      </c>
      <c r="M346" s="1233" t="s">
        <v>4427</v>
      </c>
      <c r="N346" s="253">
        <v>10</v>
      </c>
      <c r="O346" s="215">
        <v>9.1999999999999993</v>
      </c>
      <c r="P346" s="217">
        <v>9</v>
      </c>
      <c r="Q346" s="259">
        <v>8</v>
      </c>
      <c r="R346" s="255">
        <v>9.1999999999999993</v>
      </c>
      <c r="S346" s="255"/>
      <c r="T346" s="215">
        <v>9</v>
      </c>
      <c r="U346" s="256" t="e">
        <f>(R346+T346+#REF!)/3</f>
        <v>#REF!</v>
      </c>
      <c r="V346" s="50">
        <v>8.16</v>
      </c>
      <c r="W346" s="41">
        <v>10</v>
      </c>
      <c r="X346" s="41">
        <v>10</v>
      </c>
      <c r="Y346" s="41">
        <v>9.9</v>
      </c>
      <c r="Z346" s="132">
        <v>9.4</v>
      </c>
      <c r="AA346" s="132">
        <v>9.4</v>
      </c>
      <c r="AB346" s="132"/>
      <c r="AC346" s="50">
        <v>9</v>
      </c>
    </row>
    <row r="347" spans="1:29">
      <c r="A347" s="20" t="s">
        <v>1001</v>
      </c>
      <c r="C347" s="252">
        <v>44348</v>
      </c>
      <c r="D347" s="41">
        <v>245</v>
      </c>
      <c r="E347" s="1536" t="str">
        <f>_xlfn.XLOOKUP($D347,  Tabla3[No.],  Tabla3[CURP], " ")</f>
        <v>GILC840706MYNLPR03</v>
      </c>
      <c r="F347" s="1402" t="str">
        <f>_xlfn.XLOOKUP($D347,  Tabla3[No.],  Tabla3[Matrícula Of. SEQ], " ")</f>
        <v>64DD03A-09</v>
      </c>
      <c r="G347" s="1806" t="str">
        <f>IFERROR(VLOOKUP(D347,Tabla3[],5,FALSE),"")</f>
        <v>GIL LOPEZ CRISTINA GUADALUPE</v>
      </c>
      <c r="H347" s="737" t="str">
        <f t="shared" si="91"/>
        <v>M</v>
      </c>
      <c r="I347" s="737" t="str">
        <f t="shared" si="92"/>
        <v>84</v>
      </c>
      <c r="J347" s="737" t="str">
        <f t="shared" si="93"/>
        <v>07</v>
      </c>
      <c r="K347" s="737" t="str">
        <f t="shared" si="94"/>
        <v>06</v>
      </c>
      <c r="L347" s="1232" t="str">
        <f>_xlfn.XLOOKUP($E347,Tabla3[CURP],Tabla3[ESTATUS ACADÉMICO]," ")</f>
        <v>EGRESADO</v>
      </c>
      <c r="M347" s="1233" t="s">
        <v>4453</v>
      </c>
      <c r="N347" s="253">
        <v>10</v>
      </c>
      <c r="O347" s="204">
        <v>10</v>
      </c>
      <c r="P347" s="204">
        <v>10</v>
      </c>
      <c r="Q347" s="204">
        <v>10</v>
      </c>
      <c r="R347" s="204">
        <v>10</v>
      </c>
      <c r="S347" s="204"/>
      <c r="T347" s="204">
        <v>10</v>
      </c>
      <c r="U347" s="204">
        <v>10</v>
      </c>
      <c r="V347" s="204">
        <v>10</v>
      </c>
      <c r="W347" s="204">
        <v>10</v>
      </c>
      <c r="X347" s="204">
        <v>10</v>
      </c>
      <c r="Y347" s="204">
        <v>10</v>
      </c>
      <c r="Z347" s="204">
        <v>10</v>
      </c>
      <c r="AA347" s="204">
        <v>10</v>
      </c>
      <c r="AB347" s="204"/>
      <c r="AC347" s="204">
        <v>10</v>
      </c>
    </row>
    <row r="348" spans="1:29">
      <c r="A348" s="20" t="s">
        <v>1001</v>
      </c>
      <c r="C348" s="252">
        <v>44348</v>
      </c>
      <c r="D348" s="41">
        <v>243</v>
      </c>
      <c r="E348" s="1536" t="str">
        <f>_xlfn.XLOOKUP($D348,  Tabla3[No.],  Tabla3[CURP], " ")</f>
        <v>GILD870205MYNLPR03</v>
      </c>
      <c r="F348" s="1402" t="str">
        <f>_xlfn.XLOOKUP($D348,  Tabla3[No.],  Tabla3[Matrícula Of. SEQ], " ")</f>
        <v>64DD03A-10</v>
      </c>
      <c r="G348" s="1806" t="str">
        <f>IFERROR(VLOOKUP(D348,Tabla3[],5,FALSE),"")</f>
        <v>GIL LOPEZ DORIS MARIA</v>
      </c>
      <c r="H348" s="737" t="str">
        <f t="shared" si="91"/>
        <v>M</v>
      </c>
      <c r="I348" s="737" t="str">
        <f t="shared" si="92"/>
        <v>87</v>
      </c>
      <c r="J348" s="737" t="str">
        <f t="shared" si="93"/>
        <v>02</v>
      </c>
      <c r="K348" s="737" t="str">
        <f t="shared" si="94"/>
        <v>05</v>
      </c>
      <c r="L348" s="1232" t="str">
        <f>_xlfn.XLOOKUP($E348,Tabla3[CURP],Tabla3[ESTATUS ACADÉMICO]," ")</f>
        <v>EGRESADO</v>
      </c>
      <c r="M348" s="1233" t="s">
        <v>4418</v>
      </c>
      <c r="N348" s="253">
        <v>10</v>
      </c>
      <c r="O348" s="204">
        <v>10</v>
      </c>
      <c r="P348" s="204">
        <v>10</v>
      </c>
      <c r="Q348" s="204">
        <v>10</v>
      </c>
      <c r="R348" s="204">
        <v>10</v>
      </c>
      <c r="S348" s="204"/>
      <c r="T348" s="204">
        <v>10</v>
      </c>
      <c r="U348" s="204">
        <v>10</v>
      </c>
      <c r="V348" s="204">
        <v>10</v>
      </c>
      <c r="W348" s="204">
        <v>10</v>
      </c>
      <c r="X348" s="204">
        <v>10</v>
      </c>
      <c r="Y348" s="204">
        <v>10</v>
      </c>
      <c r="Z348" s="204">
        <v>10</v>
      </c>
      <c r="AA348" s="204">
        <v>10</v>
      </c>
      <c r="AB348" s="204"/>
      <c r="AC348" s="204">
        <v>10</v>
      </c>
    </row>
    <row r="349" spans="1:29">
      <c r="A349" s="20" t="s">
        <v>1001</v>
      </c>
      <c r="C349" s="252">
        <v>44348</v>
      </c>
      <c r="D349" s="41">
        <v>244</v>
      </c>
      <c r="E349" s="1536" t="str">
        <f>_xlfn.XLOOKUP($D349,  Tabla3[No.],  Tabla3[CURP], " ")</f>
        <v>GITA551202HYNLNN04</v>
      </c>
      <c r="F349" s="1402" t="str">
        <f>_xlfn.XLOOKUP($D349,  Tabla3[No.],  Tabla3[Matrícula Of. SEQ], " ")</f>
        <v>64DD03A-11</v>
      </c>
      <c r="G349" s="1806" t="str">
        <f>IFERROR(VLOOKUP(D349,Tabla3[],5,FALSE),"")</f>
        <v>GIL TUN ANGEL ARMANDO</v>
      </c>
      <c r="H349" s="737" t="str">
        <f t="shared" si="91"/>
        <v>H</v>
      </c>
      <c r="I349" s="737" t="str">
        <f t="shared" si="92"/>
        <v>55</v>
      </c>
      <c r="J349" s="737" t="str">
        <f t="shared" si="93"/>
        <v>12</v>
      </c>
      <c r="K349" s="737" t="str">
        <f t="shared" si="94"/>
        <v>02</v>
      </c>
      <c r="L349" s="1232" t="str">
        <f>_xlfn.XLOOKUP($E349,Tabla3[CURP],Tabla3[ESTATUS ACADÉMICO]," ")</f>
        <v>EGRESADO</v>
      </c>
      <c r="M349" s="1233" t="s">
        <v>4420</v>
      </c>
      <c r="N349" s="253">
        <v>10</v>
      </c>
      <c r="O349" s="204">
        <v>10</v>
      </c>
      <c r="P349" s="204">
        <v>10</v>
      </c>
      <c r="Q349" s="204">
        <v>10</v>
      </c>
      <c r="R349" s="204">
        <v>10</v>
      </c>
      <c r="S349" s="204"/>
      <c r="T349" s="204">
        <v>10</v>
      </c>
      <c r="U349" s="204">
        <v>10</v>
      </c>
      <c r="V349" s="204">
        <v>10</v>
      </c>
      <c r="W349" s="204">
        <v>10</v>
      </c>
      <c r="X349" s="204">
        <v>10</v>
      </c>
      <c r="Y349" s="204">
        <v>10</v>
      </c>
      <c r="Z349" s="204">
        <v>10</v>
      </c>
      <c r="AA349" s="204">
        <v>10</v>
      </c>
      <c r="AB349" s="204"/>
      <c r="AC349" s="204">
        <v>10</v>
      </c>
    </row>
    <row r="350" spans="1:29" ht="15.75" thickBot="1">
      <c r="A350" s="20" t="s">
        <v>1001</v>
      </c>
      <c r="C350" s="252">
        <v>44348</v>
      </c>
      <c r="D350" s="41">
        <v>197</v>
      </c>
      <c r="E350" s="1536" t="str">
        <f>_xlfn.XLOOKUP($D350,  Tabla3[No.],  Tabla3[CURP], " ")</f>
        <v>GUGS740115HGRVRR06</v>
      </c>
      <c r="F350" s="1402" t="str">
        <f>_xlfn.XLOOKUP($D350,  Tabla3[No.],  Tabla3[Matrícula Of. SEQ], " ")</f>
        <v>64DD03A-12</v>
      </c>
      <c r="G350" s="1806" t="str">
        <f>IFERROR(VLOOKUP(D350,Tabla3[],5,FALSE),"")</f>
        <v>GUEVARA GUERRERO SERGIO</v>
      </c>
      <c r="H350" s="737" t="str">
        <f t="shared" si="91"/>
        <v>H</v>
      </c>
      <c r="I350" s="737" t="str">
        <f t="shared" si="92"/>
        <v>74</v>
      </c>
      <c r="J350" s="737" t="str">
        <f t="shared" si="93"/>
        <v>01</v>
      </c>
      <c r="K350" s="737" t="str">
        <f t="shared" si="94"/>
        <v>15</v>
      </c>
      <c r="L350" s="1232" t="str">
        <f>_xlfn.XLOOKUP($E350,Tabla3[CURP],Tabla3[ESTATUS ACADÉMICO]," ")</f>
        <v>EGRESADO</v>
      </c>
      <c r="M350" s="1233" t="s">
        <v>4451</v>
      </c>
      <c r="N350" s="253">
        <v>10</v>
      </c>
      <c r="O350" s="204">
        <v>10</v>
      </c>
      <c r="P350" s="204">
        <v>10</v>
      </c>
      <c r="Q350" s="204">
        <v>10</v>
      </c>
      <c r="R350" s="204">
        <v>10</v>
      </c>
      <c r="S350" s="204"/>
      <c r="T350" s="204">
        <v>10</v>
      </c>
      <c r="U350" s="204">
        <v>10</v>
      </c>
      <c r="V350" s="204">
        <v>10</v>
      </c>
      <c r="W350" s="204">
        <v>10</v>
      </c>
      <c r="X350" s="204">
        <v>10</v>
      </c>
      <c r="Y350" s="204">
        <v>10</v>
      </c>
      <c r="Z350" s="204">
        <v>10</v>
      </c>
      <c r="AA350" s="204">
        <v>10</v>
      </c>
      <c r="AB350" s="204"/>
      <c r="AC350" s="204">
        <v>10</v>
      </c>
    </row>
    <row r="351" spans="1:29" ht="15.75" thickBot="1">
      <c r="A351" s="1066" t="s">
        <v>1625</v>
      </c>
      <c r="B351" s="20">
        <v>7</v>
      </c>
      <c r="C351" s="252">
        <v>43831</v>
      </c>
      <c r="D351" s="41">
        <v>144</v>
      </c>
      <c r="E351" s="1536" t="str">
        <f>_xlfn.XLOOKUP($D351,  Tabla3[No.],  Tabla3[CURP], " ")</f>
        <v>GOHD790705HHGNRN06</v>
      </c>
      <c r="F351" s="1402" t="str">
        <f>_xlfn.XLOOKUP($D351,  Tabla3[No.],  Tabla3[Matrícula Of. SEQ], " ")</f>
        <v>64DD03A-13</v>
      </c>
      <c r="G351" s="1806" t="str">
        <f>IFERROR(VLOOKUP(D351,Tabla3[],5,FALSE),"")</f>
        <v>GONZALEZ HERNANDEZ DANIEL ANTONIO</v>
      </c>
      <c r="H351" s="737" t="str">
        <f t="shared" si="91"/>
        <v>H</v>
      </c>
      <c r="I351" s="737" t="str">
        <f t="shared" si="92"/>
        <v>79</v>
      </c>
      <c r="J351" s="737" t="str">
        <f t="shared" si="93"/>
        <v>07</v>
      </c>
      <c r="K351" s="737" t="str">
        <f t="shared" si="94"/>
        <v>05</v>
      </c>
      <c r="L351" s="1232" t="str">
        <f>_xlfn.XLOOKUP($E351,Tabla3[CURP],Tabla3[ESTATUS ACADÉMICO]," ")</f>
        <v>EGRESADO</v>
      </c>
      <c r="M351" s="1233" t="s">
        <v>4422</v>
      </c>
      <c r="N351" s="253">
        <v>10</v>
      </c>
      <c r="O351" s="215">
        <v>9.5</v>
      </c>
      <c r="P351" s="217">
        <v>9</v>
      </c>
      <c r="Q351" s="258">
        <v>9</v>
      </c>
      <c r="R351" s="255">
        <v>9.3000000000000007</v>
      </c>
      <c r="S351" s="255"/>
      <c r="T351" s="215">
        <v>10</v>
      </c>
      <c r="U351" s="256" t="e">
        <f>(R351+T351+#REF!)/3</f>
        <v>#REF!</v>
      </c>
      <c r="V351" s="41">
        <v>8.6999999999999993</v>
      </c>
      <c r="W351" s="41">
        <v>10</v>
      </c>
      <c r="X351" s="41">
        <v>10</v>
      </c>
      <c r="Y351" s="50">
        <v>9</v>
      </c>
      <c r="Z351" s="132">
        <v>9.5</v>
      </c>
      <c r="AA351" s="132">
        <v>9.5</v>
      </c>
      <c r="AB351" s="132"/>
      <c r="AC351" s="41">
        <v>10</v>
      </c>
    </row>
    <row r="352" spans="1:29" ht="15.75" thickBot="1">
      <c r="A352" s="1066" t="s">
        <v>1625</v>
      </c>
      <c r="B352" s="20">
        <v>8</v>
      </c>
      <c r="C352" s="252">
        <v>43831</v>
      </c>
      <c r="D352" s="41">
        <v>145</v>
      </c>
      <c r="E352" s="1536" t="str">
        <f>_xlfn.XLOOKUP($D352,  Tabla3[No.],  Tabla3[CURP], " ")</f>
        <v>JUVI851024HDFRRR01</v>
      </c>
      <c r="F352" s="1402" t="str">
        <f>_xlfn.XLOOKUP($D352,  Tabla3[No.],  Tabla3[Matrícula Of. SEQ], " ")</f>
        <v>64DD03A-14</v>
      </c>
      <c r="G352" s="1806" t="str">
        <f>IFERROR(VLOOKUP(D352,Tabla3[],5,FALSE),"")</f>
        <v xml:space="preserve">JUAREZ VERA IRVING RAYMUNDO </v>
      </c>
      <c r="H352" s="737" t="str">
        <f t="shared" si="91"/>
        <v>H</v>
      </c>
      <c r="I352" s="737" t="str">
        <f t="shared" si="92"/>
        <v>85</v>
      </c>
      <c r="J352" s="737" t="str">
        <f t="shared" si="93"/>
        <v>10</v>
      </c>
      <c r="K352" s="737" t="str">
        <f t="shared" si="94"/>
        <v>24</v>
      </c>
      <c r="L352" s="1232" t="str">
        <f>_xlfn.XLOOKUP($E352,Tabla3[CURP],Tabla3[ESTATUS ACADÉMICO]," ")</f>
        <v>EGRESADO</v>
      </c>
      <c r="M352" s="1233" t="s">
        <v>5060</v>
      </c>
      <c r="N352" s="253">
        <v>10</v>
      </c>
      <c r="O352" s="215">
        <v>10</v>
      </c>
      <c r="P352" s="217">
        <v>9</v>
      </c>
      <c r="Q352" s="259">
        <v>8</v>
      </c>
      <c r="R352" s="255">
        <v>9.3000000000000007</v>
      </c>
      <c r="S352" s="255"/>
      <c r="T352" s="215">
        <v>9</v>
      </c>
      <c r="U352" s="256" t="e">
        <f>(R352+T352+#REF!)/3</f>
        <v>#REF!</v>
      </c>
      <c r="V352" s="41">
        <v>8.4</v>
      </c>
      <c r="W352" s="41">
        <v>10</v>
      </c>
      <c r="X352" s="41">
        <v>10</v>
      </c>
      <c r="Y352" s="50">
        <v>9.4400000000000013</v>
      </c>
      <c r="Z352" s="132">
        <v>9.5</v>
      </c>
      <c r="AA352" s="132">
        <v>9.5</v>
      </c>
      <c r="AB352" s="132"/>
      <c r="AC352" s="41">
        <v>10</v>
      </c>
    </row>
    <row r="353" spans="1:29" ht="15.75" thickBot="1">
      <c r="A353" s="1066" t="s">
        <v>1625</v>
      </c>
      <c r="B353" s="20">
        <v>9</v>
      </c>
      <c r="C353" s="252">
        <v>43831</v>
      </c>
      <c r="D353" s="41">
        <v>146</v>
      </c>
      <c r="E353" s="1536" t="str">
        <f>_xlfn.XLOOKUP($D353,  Tabla3[No.],  Tabla3[CURP], " ")</f>
        <v>KIRR871015HCCDMB08</v>
      </c>
      <c r="F353" s="1402" t="str">
        <f>_xlfn.XLOOKUP($D353,  Tabla3[No.],  Tabla3[Matrícula Of. SEQ], " ")</f>
        <v>64DD03A-15</v>
      </c>
      <c r="G353" s="1806" t="str">
        <f>IFERROR(VLOOKUP(D353,Tabla3[],5,FALSE),"")</f>
        <v>KIDNIE RAMOS ROBERTO DE JESUS</v>
      </c>
      <c r="H353" s="737" t="str">
        <f t="shared" si="91"/>
        <v>H</v>
      </c>
      <c r="I353" s="737" t="str">
        <f t="shared" si="92"/>
        <v>87</v>
      </c>
      <c r="J353" s="737" t="str">
        <f t="shared" si="93"/>
        <v>10</v>
      </c>
      <c r="K353" s="737" t="str">
        <f t="shared" si="94"/>
        <v>15</v>
      </c>
      <c r="L353" s="1232" t="str">
        <f>_xlfn.XLOOKUP($E353,Tabla3[CURP],Tabla3[ESTATUS ACADÉMICO]," ")</f>
        <v>EGRESADO</v>
      </c>
      <c r="M353" s="1233" t="s">
        <v>5061</v>
      </c>
      <c r="N353" s="253">
        <v>10</v>
      </c>
      <c r="O353" s="215">
        <v>9.1999999999999993</v>
      </c>
      <c r="P353" s="217">
        <v>8</v>
      </c>
      <c r="Q353" s="259">
        <v>8</v>
      </c>
      <c r="R353" s="255">
        <v>9.1</v>
      </c>
      <c r="S353" s="255"/>
      <c r="T353" s="215">
        <v>9</v>
      </c>
      <c r="U353" s="256" t="e">
        <f>(R353+T353+#REF!)/3</f>
        <v>#REF!</v>
      </c>
      <c r="V353" s="41">
        <v>8.5</v>
      </c>
      <c r="W353" s="41">
        <v>10</v>
      </c>
      <c r="X353" s="41">
        <v>10</v>
      </c>
      <c r="Y353" s="50">
        <v>9.64</v>
      </c>
      <c r="Z353" s="132">
        <v>9.6999999999999993</v>
      </c>
      <c r="AA353" s="132">
        <v>9.6999999999999993</v>
      </c>
      <c r="AB353" s="132"/>
      <c r="AC353" s="41">
        <v>10</v>
      </c>
    </row>
    <row r="354" spans="1:29" ht="15.75" customHeight="1" thickBot="1">
      <c r="A354" s="1066" t="s">
        <v>1625</v>
      </c>
      <c r="B354" s="20">
        <v>10</v>
      </c>
      <c r="C354" s="252">
        <v>43831</v>
      </c>
      <c r="D354" s="41">
        <v>147</v>
      </c>
      <c r="E354" s="1536" t="str">
        <f>_xlfn.XLOOKUP($D354,  Tabla3[No.],  Tabla3[CURP], " ")</f>
        <v>LACM880925MCCGRR02</v>
      </c>
      <c r="F354" s="1402" t="str">
        <f>_xlfn.XLOOKUP($D354,  Tabla3[No.],  Tabla3[Matrícula Of. SEQ], " ")</f>
        <v>64DD03A-16</v>
      </c>
      <c r="G354" s="1806" t="str">
        <f>IFERROR(VLOOKUP(D354,Tabla3[],5,FALSE),"")</f>
        <v>LAGUNA CRUZ MARCELINA</v>
      </c>
      <c r="H354" s="737" t="str">
        <f t="shared" si="91"/>
        <v>M</v>
      </c>
      <c r="I354" s="737" t="str">
        <f t="shared" si="92"/>
        <v>88</v>
      </c>
      <c r="J354" s="737" t="str">
        <f t="shared" si="93"/>
        <v>09</v>
      </c>
      <c r="K354" s="737" t="str">
        <f t="shared" si="94"/>
        <v>25</v>
      </c>
      <c r="L354" s="1232" t="str">
        <f>_xlfn.XLOOKUP($E354,Tabla3[CURP],Tabla3[ESTATUS ACADÉMICO]," ")</f>
        <v>EGRESADO</v>
      </c>
      <c r="M354" s="1233" t="s">
        <v>5062</v>
      </c>
      <c r="N354" s="253">
        <v>10</v>
      </c>
      <c r="O354" s="217">
        <v>9</v>
      </c>
      <c r="P354" s="217">
        <v>8</v>
      </c>
      <c r="Q354" s="259">
        <v>8</v>
      </c>
      <c r="R354" s="255">
        <v>9.4</v>
      </c>
      <c r="S354" s="255"/>
      <c r="T354" s="215">
        <v>9</v>
      </c>
      <c r="U354" s="256" t="e">
        <f>(R354+T354+#REF!)/3</f>
        <v>#REF!</v>
      </c>
      <c r="V354" s="41">
        <v>8</v>
      </c>
      <c r="W354" s="41">
        <v>10</v>
      </c>
      <c r="X354" s="41">
        <v>10</v>
      </c>
      <c r="Y354" s="50">
        <v>9.85</v>
      </c>
      <c r="Z354" s="132">
        <v>9.5</v>
      </c>
      <c r="AA354" s="132">
        <v>9.5</v>
      </c>
      <c r="AB354" s="132"/>
      <c r="AC354" s="41">
        <v>9</v>
      </c>
    </row>
    <row r="355" spans="1:29" ht="15.75" customHeight="1" thickBot="1">
      <c r="A355" s="1066" t="s">
        <v>1625</v>
      </c>
      <c r="B355" s="20">
        <v>11</v>
      </c>
      <c r="C355" s="252">
        <v>43831</v>
      </c>
      <c r="D355" s="41">
        <v>148</v>
      </c>
      <c r="E355" s="1536" t="str">
        <f>_xlfn.XLOOKUP($D355,  Tabla3[No.],  Tabla3[CURP], " ")</f>
        <v>LUCD820913HCCNHV03</v>
      </c>
      <c r="F355" s="1402" t="str">
        <f>_xlfn.XLOOKUP($D355,  Tabla3[No.],  Tabla3[Matrícula Of. SEQ], " ")</f>
        <v>64DD03A-17</v>
      </c>
      <c r="G355" s="1806" t="str">
        <f>IFERROR(VLOOKUP(D355,Tabla3[],5,FALSE),"")</f>
        <v>LUNA CHI DAVID GIBRAN</v>
      </c>
      <c r="H355" s="737" t="str">
        <f t="shared" si="91"/>
        <v>H</v>
      </c>
      <c r="I355" s="737" t="str">
        <f t="shared" si="92"/>
        <v>82</v>
      </c>
      <c r="J355" s="737" t="str">
        <f t="shared" si="93"/>
        <v>09</v>
      </c>
      <c r="K355" s="737" t="str">
        <f t="shared" si="94"/>
        <v>13</v>
      </c>
      <c r="L355" s="1232" t="str">
        <f>_xlfn.XLOOKUP($E355,Tabla3[CURP],Tabla3[ESTATUS ACADÉMICO]," ")</f>
        <v>EGRESADO</v>
      </c>
      <c r="M355" s="1233" t="s">
        <v>5063</v>
      </c>
      <c r="N355" s="253">
        <v>10</v>
      </c>
      <c r="O355" s="215">
        <v>9.5</v>
      </c>
      <c r="P355" s="217">
        <v>9</v>
      </c>
      <c r="Q355" s="259">
        <v>10</v>
      </c>
      <c r="R355" s="255">
        <v>9.4</v>
      </c>
      <c r="S355" s="255"/>
      <c r="T355" s="215">
        <v>10</v>
      </c>
      <c r="U355" s="256" t="e">
        <f>(R355+T355+#REF!)/3</f>
        <v>#REF!</v>
      </c>
      <c r="V355" s="50">
        <v>9.25</v>
      </c>
      <c r="W355" s="41">
        <v>10</v>
      </c>
      <c r="X355" s="41">
        <v>10</v>
      </c>
      <c r="Y355" s="50">
        <v>9.3000000000000007</v>
      </c>
      <c r="Z355" s="132">
        <v>9.6999999999999993</v>
      </c>
      <c r="AA355" s="132">
        <v>9.6999999999999993</v>
      </c>
      <c r="AB355" s="132"/>
      <c r="AC355" s="41">
        <v>10</v>
      </c>
    </row>
    <row r="356" spans="1:29" ht="15.75" customHeight="1" thickBot="1">
      <c r="A356" s="1066" t="s">
        <v>1625</v>
      </c>
      <c r="B356" s="20"/>
      <c r="C356" s="252" t="s">
        <v>1020</v>
      </c>
      <c r="D356" s="41">
        <v>149</v>
      </c>
      <c r="E356" s="1536" t="str">
        <f>_xlfn.XLOOKUP($D356,  Tabla3[No.],  Tabla3[CURP], " ")</f>
        <v>NASA710608HDFVNR00</v>
      </c>
      <c r="F356" s="1402" t="str">
        <f>_xlfn.XLOOKUP($D356,  Tabla3[No.],  Tabla3[Matrícula Of. SEQ], " ")</f>
        <v>64DD03A-18</v>
      </c>
      <c r="G356" s="1806" t="str">
        <f>IFERROR(VLOOKUP(D356,Tabla3[],5,FALSE),"")</f>
        <v xml:space="preserve">NAVARRETE SANCHEZ JOSE ARTEMIO </v>
      </c>
      <c r="H356" s="737" t="str">
        <f t="shared" si="91"/>
        <v>H</v>
      </c>
      <c r="I356" s="737" t="str">
        <f t="shared" si="92"/>
        <v>71</v>
      </c>
      <c r="J356" s="737" t="str">
        <f t="shared" si="93"/>
        <v>06</v>
      </c>
      <c r="K356" s="737" t="str">
        <f t="shared" si="94"/>
        <v>08</v>
      </c>
      <c r="L356" s="1232" t="str">
        <f>_xlfn.XLOOKUP($E356,Tabla3[CURP],Tabla3[ESTATUS ACADÉMICO]," ")</f>
        <v>EGRESADO</v>
      </c>
      <c r="M356" s="1233" t="s">
        <v>5064</v>
      </c>
      <c r="N356" s="253"/>
      <c r="O356" s="215"/>
      <c r="P356" s="217"/>
      <c r="Q356" s="259"/>
      <c r="R356" s="255"/>
      <c r="S356" s="255"/>
      <c r="T356" s="215"/>
      <c r="U356" s="256"/>
      <c r="V356" s="50"/>
      <c r="W356" s="41"/>
      <c r="X356" s="41"/>
      <c r="Y356" s="50"/>
      <c r="Z356" s="132"/>
      <c r="AA356" s="132"/>
      <c r="AB356" s="132"/>
      <c r="AC356" s="41"/>
    </row>
    <row r="357" spans="1:29" ht="15.75" customHeight="1" thickBot="1">
      <c r="A357" s="1066" t="s">
        <v>1625</v>
      </c>
      <c r="B357" s="20">
        <v>12</v>
      </c>
      <c r="C357" s="252">
        <v>44136</v>
      </c>
      <c r="D357" s="41">
        <v>150</v>
      </c>
      <c r="E357" s="1536" t="str">
        <f>_xlfn.XLOOKUP($D357,  Tabla3[No.],  Tabla3[CURP], " ")</f>
        <v>MOZM691110HCCRVN00</v>
      </c>
      <c r="F357" s="1402" t="str">
        <f>_xlfn.XLOOKUP($D357,  Tabla3[No.],  Tabla3[Matrícula Of. SEQ], " ")</f>
        <v>64DD03A-19</v>
      </c>
      <c r="G357" s="1806" t="str">
        <f>IFERROR(VLOOKUP(D357,Tabla3[],5,FALSE),"")</f>
        <v xml:space="preserve">MORENO ZAVALA MANUEL JESUS </v>
      </c>
      <c r="H357" s="737" t="str">
        <f t="shared" si="91"/>
        <v>H</v>
      </c>
      <c r="I357" s="737" t="str">
        <f t="shared" si="92"/>
        <v>69</v>
      </c>
      <c r="J357" s="737" t="str">
        <f t="shared" si="93"/>
        <v>11</v>
      </c>
      <c r="K357" s="737" t="str">
        <f t="shared" si="94"/>
        <v>10</v>
      </c>
      <c r="L357" s="1232" t="str">
        <f>_xlfn.XLOOKUP($E357,Tabla3[CURP],Tabla3[ESTATUS ACADÉMICO]," ")</f>
        <v>EGRESADO</v>
      </c>
      <c r="M357" s="1233" t="s">
        <v>5065</v>
      </c>
      <c r="N357" s="253">
        <v>10</v>
      </c>
      <c r="O357" s="256">
        <v>9</v>
      </c>
      <c r="P357" s="215">
        <v>10</v>
      </c>
      <c r="Q357" s="259">
        <v>8</v>
      </c>
      <c r="R357" s="255">
        <v>8.9</v>
      </c>
      <c r="S357" s="255"/>
      <c r="T357" s="215">
        <v>9</v>
      </c>
      <c r="U357" s="256" t="e">
        <f>(R357+T357+#REF!)/3</f>
        <v>#REF!</v>
      </c>
      <c r="V357" s="50">
        <v>8.67</v>
      </c>
      <c r="W357" s="205">
        <v>8</v>
      </c>
      <c r="X357" s="205">
        <v>8</v>
      </c>
      <c r="Y357" s="50">
        <v>9.8800000000000008</v>
      </c>
      <c r="Z357" s="261">
        <v>9.8000000000000007</v>
      </c>
      <c r="AA357" s="261">
        <v>9.8000000000000007</v>
      </c>
      <c r="AB357" s="261"/>
      <c r="AC357" s="41">
        <v>9</v>
      </c>
    </row>
    <row r="358" spans="1:29" ht="15.75" customHeight="1" thickBot="1">
      <c r="A358" s="1066" t="s">
        <v>1625</v>
      </c>
      <c r="B358" s="20">
        <v>13</v>
      </c>
      <c r="C358" s="252">
        <v>43831</v>
      </c>
      <c r="D358" s="41">
        <v>156</v>
      </c>
      <c r="E358" s="1536" t="str">
        <f>_xlfn.XLOOKUP($D358,  Tabla3[No.],  Tabla3[CURP], " ")</f>
        <v>MUNM750703HCCGVG04</v>
      </c>
      <c r="F358" s="1402" t="str">
        <f>_xlfn.XLOOKUP($D358,  Tabla3[No.],  Tabla3[Matrícula Of. SEQ], " ")</f>
        <v>64DD03A-20</v>
      </c>
      <c r="G358" s="1806" t="str">
        <f>IFERROR(VLOOKUP(D358,Tabla3[],5,FALSE),"")</f>
        <v>MUGARTEGUI NEVERO MIGUEL ANGEL</v>
      </c>
      <c r="H358" s="737" t="str">
        <f t="shared" si="91"/>
        <v>H</v>
      </c>
      <c r="I358" s="737" t="str">
        <f t="shared" si="92"/>
        <v>75</v>
      </c>
      <c r="J358" s="737" t="str">
        <f t="shared" si="93"/>
        <v>07</v>
      </c>
      <c r="K358" s="737" t="str">
        <f t="shared" si="94"/>
        <v>03</v>
      </c>
      <c r="L358" s="1232" t="str">
        <f>_xlfn.XLOOKUP($E358,Tabla3[CURP],Tabla3[ESTATUS ACADÉMICO]," ")</f>
        <v>EGRESADO</v>
      </c>
      <c r="M358" s="1233" t="s">
        <v>5066</v>
      </c>
      <c r="N358" s="253">
        <v>10</v>
      </c>
      <c r="O358" s="217">
        <v>9</v>
      </c>
      <c r="P358" s="215">
        <v>10</v>
      </c>
      <c r="Q358" s="259">
        <v>8</v>
      </c>
      <c r="R358" s="255">
        <v>9.1999999999999993</v>
      </c>
      <c r="S358" s="255"/>
      <c r="T358" s="215">
        <v>10</v>
      </c>
      <c r="U358" s="256" t="e">
        <f>(R358+T358+#REF!)/3</f>
        <v>#REF!</v>
      </c>
      <c r="V358" s="50">
        <v>8.18</v>
      </c>
      <c r="W358" s="50">
        <v>10</v>
      </c>
      <c r="X358" s="50">
        <v>10</v>
      </c>
      <c r="Y358" s="50">
        <v>9.86</v>
      </c>
      <c r="Z358" s="261">
        <v>9.6999999999999993</v>
      </c>
      <c r="AA358" s="261">
        <v>9.6999999999999993</v>
      </c>
      <c r="AB358" s="261"/>
      <c r="AC358" s="41">
        <v>10</v>
      </c>
    </row>
    <row r="359" spans="1:29" ht="15.75" customHeight="1" thickBot="1">
      <c r="A359" s="1066" t="s">
        <v>1625</v>
      </c>
      <c r="B359" s="20">
        <v>14</v>
      </c>
      <c r="C359" s="252">
        <v>43831</v>
      </c>
      <c r="D359" s="41">
        <v>152</v>
      </c>
      <c r="E359" s="1536" t="str">
        <f>_xlfn.XLOOKUP($D359,  Tabla3[No.],  Tabla3[CURP], " ")</f>
        <v>PALO870411HOCLPM07</v>
      </c>
      <c r="F359" s="1402" t="str">
        <f>_xlfn.XLOOKUP($D359,  Tabla3[No.],  Tabla3[Matrícula Of. SEQ], " ")</f>
        <v>64DD03A-21</v>
      </c>
      <c r="G359" s="1806" t="str">
        <f>IFERROR(VLOOKUP(D359,Tabla3[],5,FALSE),"")</f>
        <v>PALESTINO LOPEZ OMAR FRANCISCO</v>
      </c>
      <c r="H359" s="737" t="str">
        <f t="shared" si="91"/>
        <v>H</v>
      </c>
      <c r="I359" s="737" t="str">
        <f t="shared" si="92"/>
        <v>87</v>
      </c>
      <c r="J359" s="737" t="str">
        <f t="shared" si="93"/>
        <v>04</v>
      </c>
      <c r="K359" s="737" t="str">
        <f t="shared" si="94"/>
        <v>11</v>
      </c>
      <c r="L359" s="1232" t="str">
        <f>_xlfn.XLOOKUP($E359,Tabla3[CURP],Tabla3[ESTATUS ACADÉMICO]," ")</f>
        <v>EGRESADO</v>
      </c>
      <c r="M359" s="1233" t="s">
        <v>5067</v>
      </c>
      <c r="N359" s="253">
        <v>10</v>
      </c>
      <c r="O359" s="217">
        <v>9</v>
      </c>
      <c r="P359" s="215">
        <v>9.6</v>
      </c>
      <c r="Q359" s="259">
        <v>8</v>
      </c>
      <c r="R359" s="255">
        <v>9.4</v>
      </c>
      <c r="S359" s="255"/>
      <c r="T359" s="215">
        <v>9</v>
      </c>
      <c r="U359" s="256" t="e">
        <f>(R359+T359+#REF!)/3</f>
        <v>#REF!</v>
      </c>
      <c r="V359" s="50">
        <v>8.5499999999999989</v>
      </c>
      <c r="W359" s="50">
        <v>9.6999999999999993</v>
      </c>
      <c r="X359" s="50">
        <v>9.6999999999999993</v>
      </c>
      <c r="Y359" s="50">
        <v>9.3000000000000007</v>
      </c>
      <c r="Z359" s="261">
        <v>9.4</v>
      </c>
      <c r="AA359" s="261">
        <v>9.4</v>
      </c>
      <c r="AB359" s="261"/>
      <c r="AC359" s="41">
        <v>10</v>
      </c>
    </row>
    <row r="360" spans="1:29" ht="15.75" customHeight="1" thickBot="1">
      <c r="A360" s="1066" t="s">
        <v>1625</v>
      </c>
      <c r="B360" s="20">
        <v>15</v>
      </c>
      <c r="C360" s="252">
        <v>44136</v>
      </c>
      <c r="D360" s="41">
        <v>127</v>
      </c>
      <c r="E360" s="1536" t="str">
        <f>_xlfn.XLOOKUP($D360,  Tabla3[No.],  Tabla3[CURP], " ")</f>
        <v>PEHJ910714HCCRRS04</v>
      </c>
      <c r="F360" s="1402" t="str">
        <f>_xlfn.XLOOKUP($D360,  Tabla3[No.],  Tabla3[Matrícula Of. SEQ], " ")</f>
        <v>64DD03A-22</v>
      </c>
      <c r="G360" s="1806" t="str">
        <f>IFERROR(VLOOKUP(D360,Tabla3[],5,FALSE),"")</f>
        <v>PEREZ HERNANDEZ JESUS ALBERTO</v>
      </c>
      <c r="H360" s="737" t="str">
        <f t="shared" si="91"/>
        <v>H</v>
      </c>
      <c r="I360" s="737" t="str">
        <f t="shared" si="92"/>
        <v>91</v>
      </c>
      <c r="J360" s="737" t="str">
        <f t="shared" si="93"/>
        <v>07</v>
      </c>
      <c r="K360" s="737" t="str">
        <f t="shared" si="94"/>
        <v>14</v>
      </c>
      <c r="L360" s="1232" t="str">
        <f>_xlfn.XLOOKUP($E360,Tabla3[CURP],Tabla3[ESTATUS ACADÉMICO]," ")</f>
        <v>EGRESADO</v>
      </c>
      <c r="M360" s="1233" t="s">
        <v>5068</v>
      </c>
      <c r="N360" s="253">
        <v>9</v>
      </c>
      <c r="O360" s="217">
        <v>9</v>
      </c>
      <c r="P360" s="217">
        <v>9.1999999999999993</v>
      </c>
      <c r="Q360" s="259">
        <v>8</v>
      </c>
      <c r="R360" s="255">
        <v>9.3000000000000007</v>
      </c>
      <c r="S360" s="255"/>
      <c r="T360" s="215">
        <v>9</v>
      </c>
      <c r="U360" s="256" t="e">
        <f>(R360+T360+#REF!)/3</f>
        <v>#REF!</v>
      </c>
      <c r="V360" s="50">
        <v>9.25</v>
      </c>
      <c r="W360" s="50">
        <v>10</v>
      </c>
      <c r="X360" s="50">
        <v>10</v>
      </c>
      <c r="Y360" s="50">
        <v>9.48</v>
      </c>
      <c r="Z360" s="261">
        <v>9.1999999999999993</v>
      </c>
      <c r="AA360" s="261">
        <v>9.1999999999999993</v>
      </c>
      <c r="AB360" s="261"/>
      <c r="AC360" s="41">
        <v>9</v>
      </c>
    </row>
    <row r="361" spans="1:29" ht="15.75" customHeight="1" thickBot="1">
      <c r="A361" s="1066" t="s">
        <v>1625</v>
      </c>
      <c r="B361" s="20">
        <v>16</v>
      </c>
      <c r="C361" s="252">
        <v>43831</v>
      </c>
      <c r="D361" s="41">
        <v>155</v>
      </c>
      <c r="E361" s="1536" t="str">
        <f>_xlfn.XLOOKUP($D361,  Tabla3[No.],  Tabla3[CURP], " ")</f>
        <v>PEJS910415MCCRVB04</v>
      </c>
      <c r="F361" s="1402" t="str">
        <f>_xlfn.XLOOKUP($D361,  Tabla3[No.],  Tabla3[Matrícula Of. SEQ], " ")</f>
        <v>64DD03A-23</v>
      </c>
      <c r="G361" s="1806" t="str">
        <f>IFERROR(VLOOKUP(D361,Tabla3[],5,FALSE),"")</f>
        <v>PEREZ JAVIER SABRINA DEL CARMEN</v>
      </c>
      <c r="H361" s="737" t="str">
        <f t="shared" si="91"/>
        <v>M</v>
      </c>
      <c r="I361" s="737" t="str">
        <f t="shared" si="92"/>
        <v>91</v>
      </c>
      <c r="J361" s="737" t="str">
        <f t="shared" si="93"/>
        <v>04</v>
      </c>
      <c r="K361" s="737" t="str">
        <f t="shared" si="94"/>
        <v>15</v>
      </c>
      <c r="L361" s="1232" t="str">
        <f>_xlfn.XLOOKUP($E361,Tabla3[CURP],Tabla3[ESTATUS ACADÉMICO]," ")</f>
        <v>EGRESADO</v>
      </c>
      <c r="M361" s="1233" t="s">
        <v>5069</v>
      </c>
      <c r="N361" s="253">
        <v>10</v>
      </c>
      <c r="O361" s="217">
        <v>9</v>
      </c>
      <c r="P361" s="217">
        <v>9.5</v>
      </c>
      <c r="Q361" s="258">
        <v>9</v>
      </c>
      <c r="R361" s="255">
        <v>9.3000000000000007</v>
      </c>
      <c r="S361" s="255"/>
      <c r="T361" s="217">
        <v>9.5</v>
      </c>
      <c r="U361" s="256" t="e">
        <f>(R361+T361+#REF!)/3</f>
        <v>#REF!</v>
      </c>
      <c r="V361" s="50">
        <v>8.3000000000000007</v>
      </c>
      <c r="W361" s="50">
        <v>10</v>
      </c>
      <c r="X361" s="50">
        <v>10</v>
      </c>
      <c r="Y361" s="50">
        <v>9.59</v>
      </c>
      <c r="Z361" s="261">
        <v>9.3000000000000007</v>
      </c>
      <c r="AA361" s="261">
        <v>9.3000000000000007</v>
      </c>
      <c r="AB361" s="261"/>
      <c r="AC361" s="41">
        <v>10</v>
      </c>
    </row>
    <row r="362" spans="1:29" ht="15.75" customHeight="1" thickBot="1">
      <c r="A362" s="1066" t="s">
        <v>1625</v>
      </c>
      <c r="B362" s="20">
        <v>17</v>
      </c>
      <c r="C362" s="252">
        <v>44136</v>
      </c>
      <c r="D362" s="41">
        <v>122</v>
      </c>
      <c r="E362" s="1536" t="str">
        <f>_xlfn.XLOOKUP($D362,  Tabla3[No.],  Tabla3[CURP], " ")</f>
        <v>ROCK680816MTCDNR00</v>
      </c>
      <c r="F362" s="1402" t="str">
        <f>_xlfn.XLOOKUP($D362,  Tabla3[No.],  Tabla3[Matrícula Of. SEQ], " ")</f>
        <v>64DD02C-05</v>
      </c>
      <c r="G362" s="1806" t="str">
        <f>IFERROR(VLOOKUP(D362,Tabla3[],5,FALSE),"")</f>
        <v xml:space="preserve">RODRIGUEZ CONTRERAS KRINAGEMMA </v>
      </c>
      <c r="H362" s="737" t="str">
        <f t="shared" si="91"/>
        <v>M</v>
      </c>
      <c r="I362" s="737" t="str">
        <f t="shared" si="92"/>
        <v>68</v>
      </c>
      <c r="J362" s="737" t="str">
        <f t="shared" si="93"/>
        <v>08</v>
      </c>
      <c r="K362" s="737" t="str">
        <f t="shared" si="94"/>
        <v>16</v>
      </c>
      <c r="L362" s="1232" t="str">
        <f>_xlfn.XLOOKUP($E362,Tabla3[CURP],Tabla3[ESTATUS ACADÉMICO]," ")</f>
        <v>BAJA TEMPORAL</v>
      </c>
      <c r="M362" s="1233" t="s">
        <v>5070</v>
      </c>
      <c r="N362" s="253">
        <v>9</v>
      </c>
      <c r="O362" s="217">
        <v>9</v>
      </c>
      <c r="P362" s="217">
        <v>9</v>
      </c>
      <c r="Q362" s="258">
        <v>9</v>
      </c>
      <c r="R362" s="255">
        <v>9</v>
      </c>
      <c r="S362" s="255"/>
      <c r="T362" s="217">
        <v>9</v>
      </c>
      <c r="U362" s="215">
        <v>9</v>
      </c>
      <c r="V362" s="50">
        <v>8.6999999999999993</v>
      </c>
      <c r="W362" s="50">
        <v>10</v>
      </c>
      <c r="X362" s="50">
        <v>10</v>
      </c>
      <c r="Y362" s="50">
        <v>9.7900000000000009</v>
      </c>
      <c r="Z362" s="261">
        <v>9.4</v>
      </c>
      <c r="AA362" s="261">
        <v>9.4</v>
      </c>
      <c r="AB362" s="261"/>
      <c r="AC362" s="41">
        <v>9</v>
      </c>
    </row>
    <row r="363" spans="1:29" ht="15.75" customHeight="1" thickBot="1">
      <c r="A363" s="1066" t="s">
        <v>1625</v>
      </c>
      <c r="B363" s="20">
        <v>18</v>
      </c>
      <c r="C363" s="252">
        <v>43831</v>
      </c>
      <c r="D363" s="41">
        <v>132</v>
      </c>
      <c r="E363" s="1536" t="str">
        <f>_xlfn.XLOOKUP($D363,  Tabla3[No.],  Tabla3[CURP], " ")</f>
        <v>PIRS811208MTCRDN03</v>
      </c>
      <c r="F363" s="1402" t="str">
        <f>_xlfn.XLOOKUP($D363,  Tabla3[No.],  Tabla3[Matrícula Of. SEQ], " ")</f>
        <v>64DD03A1-8</v>
      </c>
      <c r="G363" s="1806" t="str">
        <f>IFERROR(VLOOKUP(D363,Tabla3[],5,FALSE),"")</f>
        <v>PRIANI RODRIGUEZ SANDRA LETICIA</v>
      </c>
      <c r="H363" s="737" t="str">
        <f t="shared" si="91"/>
        <v>M</v>
      </c>
      <c r="I363" s="737" t="str">
        <f t="shared" si="92"/>
        <v>81</v>
      </c>
      <c r="J363" s="737" t="str">
        <f t="shared" si="93"/>
        <v>12</v>
      </c>
      <c r="K363" s="737" t="str">
        <f t="shared" si="94"/>
        <v>08</v>
      </c>
      <c r="L363" s="1232" t="str">
        <f>_xlfn.XLOOKUP($E363,Tabla3[CURP],Tabla3[ESTATUS ACADÉMICO]," ")</f>
        <v>EGRESADO</v>
      </c>
      <c r="M363" s="1233" t="s">
        <v>5071</v>
      </c>
      <c r="N363" s="253">
        <v>10</v>
      </c>
      <c r="O363" s="256">
        <v>9</v>
      </c>
      <c r="P363" s="256">
        <v>9</v>
      </c>
      <c r="Q363" s="259">
        <v>8</v>
      </c>
      <c r="R363" s="255">
        <v>9.4</v>
      </c>
      <c r="S363" s="255"/>
      <c r="T363" s="217">
        <v>9</v>
      </c>
      <c r="U363" s="256" t="e">
        <f>(R363+T363+#REF!)/3</f>
        <v>#REF!</v>
      </c>
      <c r="V363" s="50">
        <v>8.4</v>
      </c>
      <c r="W363" s="50">
        <v>9.4</v>
      </c>
      <c r="X363" s="50">
        <v>10</v>
      </c>
      <c r="Y363" s="50">
        <v>9.4499999999999993</v>
      </c>
      <c r="Z363" s="261">
        <v>9.3000000000000007</v>
      </c>
      <c r="AA363" s="261">
        <v>9.3000000000000007</v>
      </c>
      <c r="AB363" s="261"/>
      <c r="AC363" s="41">
        <v>10</v>
      </c>
    </row>
    <row r="364" spans="1:29" ht="15.75" customHeight="1" thickBot="1">
      <c r="A364" s="1066" t="s">
        <v>1625</v>
      </c>
      <c r="B364" s="20">
        <v>19</v>
      </c>
      <c r="C364" s="252">
        <v>43831</v>
      </c>
      <c r="D364" s="41">
        <v>133</v>
      </c>
      <c r="E364" s="1536" t="str">
        <f>_xlfn.XLOOKUP($D364,  Tabla3[No.],  Tabla3[CURP], " ")</f>
        <v>RAES670926MCCMSG03</v>
      </c>
      <c r="F364" s="1402" t="str">
        <f>_xlfn.XLOOKUP($D364,  Tabla3[No.],  Tabla3[Matrícula Of. SEQ], " ")</f>
        <v>64DD03A1-9</v>
      </c>
      <c r="G364" s="1806" t="str">
        <f>IFERROR(VLOOKUP(D364,Tabla3[],5,FALSE),"")</f>
        <v>RAMOS ESPOSITOS MARIA SAGRARIO DE JESUS</v>
      </c>
      <c r="H364" s="737" t="str">
        <f t="shared" si="91"/>
        <v>M</v>
      </c>
      <c r="I364" s="737" t="str">
        <f t="shared" si="92"/>
        <v>67</v>
      </c>
      <c r="J364" s="737" t="str">
        <f t="shared" si="93"/>
        <v>09</v>
      </c>
      <c r="K364" s="737" t="str">
        <f t="shared" si="94"/>
        <v>26</v>
      </c>
      <c r="L364" s="1232" t="str">
        <f>_xlfn.XLOOKUP($E364,Tabla3[CURP],Tabla3[ESTATUS ACADÉMICO]," ")</f>
        <v>EGRESADO</v>
      </c>
      <c r="M364" s="1233" t="s">
        <v>5072</v>
      </c>
      <c r="N364" s="253">
        <v>10</v>
      </c>
      <c r="O364" s="217">
        <v>9</v>
      </c>
      <c r="P364" s="215">
        <v>10</v>
      </c>
      <c r="Q364" s="259">
        <v>9</v>
      </c>
      <c r="R364" s="255">
        <v>9.4</v>
      </c>
      <c r="S364" s="255"/>
      <c r="T364" s="217">
        <v>9</v>
      </c>
      <c r="U364" s="256" t="e">
        <f>(R364+T364+#REF!)/3</f>
        <v>#REF!</v>
      </c>
      <c r="V364" s="50">
        <v>9</v>
      </c>
      <c r="W364" s="50">
        <v>10</v>
      </c>
      <c r="X364" s="50">
        <v>10</v>
      </c>
      <c r="Y364" s="50">
        <v>9.9400000000000013</v>
      </c>
      <c r="Z364" s="261">
        <v>9.8000000000000007</v>
      </c>
      <c r="AA364" s="261">
        <v>9.8000000000000007</v>
      </c>
      <c r="AB364" s="261"/>
      <c r="AC364" s="41">
        <v>10</v>
      </c>
    </row>
    <row r="365" spans="1:29" ht="15.75" customHeight="1" thickBot="1">
      <c r="A365" s="1066" t="s">
        <v>1625</v>
      </c>
      <c r="B365" s="20">
        <v>20</v>
      </c>
      <c r="C365" s="252">
        <v>43831</v>
      </c>
      <c r="D365" s="41">
        <v>134</v>
      </c>
      <c r="E365" s="1536" t="str">
        <f>_xlfn.XLOOKUP($D365,  Tabla3[No.],  Tabla3[CURP], " ")</f>
        <v>REXM771005HTCYXX07</v>
      </c>
      <c r="F365" s="1402" t="str">
        <f>_xlfn.XLOOKUP($D365,  Tabla3[No.],  Tabla3[Matrícula Of. SEQ], " ")</f>
        <v>64DD03A1-10</v>
      </c>
      <c r="G365" s="1806" t="str">
        <f>IFERROR(VLOOKUP(D365,Tabla3[],5,FALSE),"")</f>
        <v>REYES MAXIMILIANO</v>
      </c>
      <c r="H365" s="737" t="str">
        <f t="shared" si="91"/>
        <v>H</v>
      </c>
      <c r="I365" s="737" t="str">
        <f t="shared" si="92"/>
        <v>77</v>
      </c>
      <c r="J365" s="737" t="str">
        <f t="shared" si="93"/>
        <v>10</v>
      </c>
      <c r="K365" s="737" t="str">
        <f t="shared" si="94"/>
        <v>05</v>
      </c>
      <c r="L365" s="1232" t="str">
        <f>_xlfn.XLOOKUP($E365,Tabla3[CURP],Tabla3[ESTATUS ACADÉMICO]," ")</f>
        <v>EGRESADO</v>
      </c>
      <c r="M365" s="1233" t="s">
        <v>5073</v>
      </c>
      <c r="N365" s="253" t="s">
        <v>1044</v>
      </c>
      <c r="O365" s="217">
        <v>9</v>
      </c>
      <c r="P365" s="217">
        <v>9.5</v>
      </c>
      <c r="Q365" s="259">
        <v>10</v>
      </c>
      <c r="R365" s="255" t="s">
        <v>1044</v>
      </c>
      <c r="S365" s="255"/>
      <c r="T365" s="217">
        <v>9</v>
      </c>
      <c r="U365" s="256">
        <v>9</v>
      </c>
      <c r="V365" s="50">
        <v>8.82</v>
      </c>
      <c r="W365" s="205">
        <v>8</v>
      </c>
      <c r="X365" s="205">
        <v>8</v>
      </c>
      <c r="Y365" s="50">
        <v>9.7900000000000009</v>
      </c>
      <c r="Z365" s="261">
        <v>9.3000000000000007</v>
      </c>
      <c r="AA365" s="261">
        <v>9.3000000000000007</v>
      </c>
      <c r="AB365" s="261"/>
      <c r="AC365" s="41">
        <v>9</v>
      </c>
    </row>
    <row r="366" spans="1:29" ht="15.75" customHeight="1" thickBot="1">
      <c r="A366" s="1066" t="s">
        <v>1625</v>
      </c>
      <c r="B366" s="20">
        <v>21</v>
      </c>
      <c r="C366" s="252">
        <v>43831</v>
      </c>
      <c r="D366" s="41">
        <v>101</v>
      </c>
      <c r="E366" s="1536" t="str">
        <f>_xlfn.XLOOKUP($D366,  Tabla3[No.],  Tabla3[CURP], " ")</f>
        <v>ROHM780911HCCDRG02</v>
      </c>
      <c r="F366" s="1402" t="str">
        <f>_xlfn.XLOOKUP($D366,  Tabla3[No.],  Tabla3[Matrícula Of. SEQ], " ")</f>
        <v>64DD03A1-11</v>
      </c>
      <c r="G366" s="1806" t="str">
        <f>IFERROR(VLOOKUP(D366,Tabla3[],5,FALSE),"")</f>
        <v>RODRIGUEZ HEREDIA MIGUEL ANTONIO</v>
      </c>
      <c r="H366" s="737" t="str">
        <f t="shared" si="91"/>
        <v>H</v>
      </c>
      <c r="I366" s="737" t="str">
        <f t="shared" si="92"/>
        <v>78</v>
      </c>
      <c r="J366" s="737" t="str">
        <f t="shared" si="93"/>
        <v>09</v>
      </c>
      <c r="K366" s="737" t="str">
        <f t="shared" si="94"/>
        <v>11</v>
      </c>
      <c r="L366" s="1232" t="str">
        <f>_xlfn.XLOOKUP($E366,Tabla3[CURP],Tabla3[ESTATUS ACADÉMICO]," ")</f>
        <v>EGRESADO</v>
      </c>
      <c r="M366" s="1233" t="s">
        <v>5074</v>
      </c>
      <c r="N366" s="253">
        <v>10</v>
      </c>
      <c r="O366" s="217">
        <v>9</v>
      </c>
      <c r="P366" s="214">
        <v>9.5</v>
      </c>
      <c r="Q366" s="258">
        <v>9</v>
      </c>
      <c r="R366" s="255" t="s">
        <v>1044</v>
      </c>
      <c r="S366" s="255"/>
      <c r="T366" s="215">
        <v>9.5</v>
      </c>
      <c r="U366" s="256">
        <v>9</v>
      </c>
      <c r="V366" s="50">
        <v>8.6999999999999993</v>
      </c>
      <c r="W366" s="50">
        <v>10</v>
      </c>
      <c r="X366" s="50">
        <v>10</v>
      </c>
      <c r="Y366" s="50">
        <v>9.7099999999999991</v>
      </c>
      <c r="Z366" s="261">
        <v>9.4</v>
      </c>
      <c r="AA366" s="261">
        <v>9.4</v>
      </c>
      <c r="AB366" s="261"/>
      <c r="AC366" s="41">
        <v>10</v>
      </c>
    </row>
    <row r="367" spans="1:29" ht="15.75" customHeight="1" thickBot="1">
      <c r="A367" s="1066" t="s">
        <v>1625</v>
      </c>
      <c r="B367" s="20">
        <v>22</v>
      </c>
      <c r="C367" s="252">
        <v>43831</v>
      </c>
      <c r="D367" s="41">
        <v>136</v>
      </c>
      <c r="E367" s="1536" t="str">
        <f>_xlfn.XLOOKUP($D367,  Tabla3[No.],  Tabla3[CURP], " ")</f>
        <v>SAOB811112MVZNRN05</v>
      </c>
      <c r="F367" s="1402" t="str">
        <f>_xlfn.XLOOKUP($D367,  Tabla3[No.],  Tabla3[Matrícula Of. SEQ], " ")</f>
        <v>64DD03A1-12</v>
      </c>
      <c r="G367" s="1806" t="str">
        <f>IFERROR(VLOOKUP(D367,Tabla3[],5,FALSE),"")</f>
        <v>SAENZ ORTEGA BIANCA EUGENIA</v>
      </c>
      <c r="H367" s="737" t="str">
        <f t="shared" si="91"/>
        <v>M</v>
      </c>
      <c r="I367" s="737" t="str">
        <f t="shared" si="92"/>
        <v>81</v>
      </c>
      <c r="J367" s="737" t="str">
        <f t="shared" si="93"/>
        <v>11</v>
      </c>
      <c r="K367" s="737" t="str">
        <f t="shared" si="94"/>
        <v>12</v>
      </c>
      <c r="L367" s="1232" t="str">
        <f>_xlfn.XLOOKUP($E367,Tabla3[CURP],Tabla3[ESTATUS ACADÉMICO]," ")</f>
        <v>EGRESADO</v>
      </c>
      <c r="M367" s="1233" t="s">
        <v>5075</v>
      </c>
      <c r="N367" s="253">
        <v>10</v>
      </c>
      <c r="O367" s="217">
        <v>9</v>
      </c>
      <c r="P367" s="214">
        <v>8</v>
      </c>
      <c r="Q367" s="259">
        <v>8</v>
      </c>
      <c r="R367" s="255">
        <v>9.1999999999999993</v>
      </c>
      <c r="S367" s="255"/>
      <c r="T367" s="215">
        <v>9</v>
      </c>
      <c r="U367" s="256" t="e">
        <f>(R367+T367+#REF!)/3</f>
        <v>#REF!</v>
      </c>
      <c r="V367" s="50">
        <v>8.4</v>
      </c>
      <c r="W367" s="50">
        <v>10</v>
      </c>
      <c r="X367" s="50">
        <v>10</v>
      </c>
      <c r="Y367" s="50">
        <v>9.7099999999999991</v>
      </c>
      <c r="Z367" s="261">
        <v>9.5</v>
      </c>
      <c r="AA367" s="261">
        <v>9.5</v>
      </c>
      <c r="AB367" s="261"/>
      <c r="AC367" s="41">
        <v>9</v>
      </c>
    </row>
    <row r="368" spans="1:29" ht="15.75" customHeight="1" thickBo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N368" s="3"/>
      <c r="O368" s="3"/>
      <c r="P368" s="3"/>
      <c r="Q368" s="259">
        <v>8</v>
      </c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1:29" ht="15.75" customHeight="1" thickBot="1">
      <c r="A369" s="3"/>
      <c r="B369" s="262"/>
      <c r="C369" s="252">
        <v>43831</v>
      </c>
      <c r="D369" s="3080">
        <v>137</v>
      </c>
      <c r="E369" s="1536" t="str">
        <f>_xlfn.XLOOKUP($D369,  Tabla3[No.],  Tabla3[CURP], " ")</f>
        <v>TEPH890120HCCJXG00</v>
      </c>
      <c r="F369" s="1402" t="str">
        <f>_xlfn.XLOOKUP($D369,  Tabla3[No.],  Tabla3[Matrícula Of. SEQ], " ")</f>
        <v>EN ESPERA</v>
      </c>
      <c r="G369" s="1806" t="str">
        <f>IFERROR(VLOOKUP(D369,Tabla3[],5,FALSE),"")</f>
        <v>TEJERO PIÑA HUGO ARTURO</v>
      </c>
      <c r="H369" s="737" t="str">
        <f t="shared" si="91"/>
        <v>H</v>
      </c>
      <c r="I369" s="737" t="str">
        <f t="shared" si="92"/>
        <v>89</v>
      </c>
      <c r="J369" s="737" t="str">
        <f t="shared" si="93"/>
        <v>01</v>
      </c>
      <c r="K369" s="737" t="str">
        <f t="shared" si="94"/>
        <v>20</v>
      </c>
      <c r="L369" s="1232" t="str">
        <f>_xlfn.XLOOKUP($E369,Tabla3[CURP],Tabla3[ESTATUS ACADÉMICO]," ")</f>
        <v>EGRESADO</v>
      </c>
      <c r="M369" s="1233" t="s">
        <v>5075</v>
      </c>
      <c r="N369" s="263" t="s">
        <v>1044</v>
      </c>
      <c r="O369" s="217">
        <v>9</v>
      </c>
      <c r="P369" s="214">
        <v>9</v>
      </c>
      <c r="Q369" s="264"/>
      <c r="R369" s="255">
        <v>8.9</v>
      </c>
      <c r="S369" s="255"/>
      <c r="T369" s="215">
        <v>9.5</v>
      </c>
      <c r="U369" s="256" t="e">
        <f>(R369+T369+#REF!)/3</f>
        <v>#REF!</v>
      </c>
      <c r="V369" s="53">
        <v>0</v>
      </c>
      <c r="W369" s="53">
        <v>0</v>
      </c>
      <c r="X369" s="53">
        <v>0</v>
      </c>
      <c r="Y369" s="49">
        <v>0</v>
      </c>
      <c r="Z369" s="265" t="s">
        <v>135</v>
      </c>
      <c r="AA369" s="265" t="s">
        <v>135</v>
      </c>
      <c r="AB369" s="265"/>
      <c r="AC369" s="41"/>
    </row>
    <row r="370" spans="1:29" ht="15.75" customHeight="1" thickBot="1">
      <c r="B370" s="41"/>
      <c r="C370" s="252">
        <v>43831</v>
      </c>
      <c r="D370" s="41">
        <v>153</v>
      </c>
      <c r="E370" s="1536" t="str">
        <f>_xlfn.XLOOKUP($D370,  Tabla3[No.],  Tabla3[CURP], " ")</f>
        <v>PEJS780105HCCCMR03</v>
      </c>
      <c r="F370" s="1402" t="str">
        <f>_xlfn.XLOOKUP($D370,  Tabla3[No.],  Tabla3[Matrícula Of. SEQ], " ")</f>
        <v>64DD04A-11</v>
      </c>
      <c r="G370" s="1806" t="str">
        <f>IFERROR(VLOOKUP(D370,Tabla3[],5,FALSE),"")</f>
        <v>PECH JIMENEZ SERGIO ALFONSO</v>
      </c>
      <c r="H370" s="737" t="str">
        <f t="shared" si="91"/>
        <v>H</v>
      </c>
      <c r="I370" s="737" t="str">
        <f t="shared" si="92"/>
        <v>78</v>
      </c>
      <c r="J370" s="737" t="str">
        <f t="shared" si="93"/>
        <v>01</v>
      </c>
      <c r="K370" s="737" t="str">
        <f t="shared" si="94"/>
        <v>05</v>
      </c>
      <c r="L370" s="1232" t="str">
        <f>_xlfn.XLOOKUP($E370,Tabla3[CURP],Tabla3[ESTATUS ACADÉMICO]," ")</f>
        <v>EGRESADO</v>
      </c>
      <c r="M370" s="1233" t="s">
        <v>5075</v>
      </c>
      <c r="N370" s="263">
        <v>10</v>
      </c>
      <c r="O370" s="266">
        <v>9</v>
      </c>
      <c r="P370" s="267">
        <v>43870</v>
      </c>
      <c r="Q370" s="259">
        <v>10</v>
      </c>
      <c r="R370" s="255">
        <v>8.9</v>
      </c>
      <c r="S370" s="255"/>
      <c r="T370" s="215">
        <v>9</v>
      </c>
      <c r="U370" s="256" t="e">
        <f>(R370+T370+#REF!)/3</f>
        <v>#REF!</v>
      </c>
      <c r="V370" s="41">
        <v>9.4</v>
      </c>
      <c r="W370" s="41">
        <v>10</v>
      </c>
      <c r="X370" s="41">
        <v>10</v>
      </c>
      <c r="Y370" s="50">
        <v>9.4400000000000013</v>
      </c>
      <c r="Z370" s="132">
        <v>9.4</v>
      </c>
      <c r="AA370" s="132">
        <v>9.4</v>
      </c>
      <c r="AB370" s="132"/>
      <c r="AC370" s="41">
        <v>9</v>
      </c>
    </row>
    <row r="371" spans="1:29" ht="15.75" customHeight="1">
      <c r="A371" s="3"/>
      <c r="B371" s="3"/>
      <c r="C371" s="3"/>
      <c r="D371" s="3"/>
      <c r="E371" s="3"/>
      <c r="F371" s="3"/>
      <c r="G371" s="4427" t="s">
        <v>1053</v>
      </c>
      <c r="H371" s="4428"/>
      <c r="I371" s="4428"/>
      <c r="J371" s="4428"/>
      <c r="K371" s="4428"/>
      <c r="N371" s="2">
        <v>1</v>
      </c>
      <c r="O371" s="268">
        <v>2</v>
      </c>
      <c r="P371" s="2">
        <v>3</v>
      </c>
      <c r="Q371" s="2">
        <v>4</v>
      </c>
      <c r="R371" s="268">
        <v>5</v>
      </c>
      <c r="S371" s="268"/>
      <c r="T371" s="2">
        <v>6</v>
      </c>
      <c r="U371" s="2">
        <v>7</v>
      </c>
      <c r="V371" s="2">
        <v>9</v>
      </c>
      <c r="W371" s="2">
        <v>10</v>
      </c>
      <c r="X371" s="268">
        <v>11</v>
      </c>
      <c r="Y371" s="2">
        <v>12</v>
      </c>
      <c r="Z371" s="2">
        <v>13</v>
      </c>
      <c r="AA371" s="268">
        <v>14</v>
      </c>
      <c r="AB371" s="268"/>
      <c r="AC371" s="2">
        <v>16</v>
      </c>
    </row>
    <row r="372" spans="1:29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1:29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1:29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1:29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1:29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2"/>
      <c r="M376" s="2"/>
      <c r="N376" s="41" t="s">
        <v>557</v>
      </c>
      <c r="O376" s="41" t="s">
        <v>449</v>
      </c>
      <c r="P376" s="41" t="s">
        <v>562</v>
      </c>
      <c r="Q376" s="252">
        <v>44044</v>
      </c>
      <c r="R376" s="41" t="s">
        <v>452</v>
      </c>
      <c r="S376" s="41"/>
      <c r="T376" s="41" t="s">
        <v>453</v>
      </c>
      <c r="U376" s="41" t="s">
        <v>454</v>
      </c>
      <c r="V376" s="41" t="s">
        <v>770</v>
      </c>
      <c r="W376" s="41" t="s">
        <v>445</v>
      </c>
      <c r="X376" s="41" t="s">
        <v>446</v>
      </c>
      <c r="Y376" s="41" t="s">
        <v>765</v>
      </c>
      <c r="Z376" s="41" t="s">
        <v>448</v>
      </c>
      <c r="AA376" s="41" t="s">
        <v>766</v>
      </c>
      <c r="AB376" s="41"/>
      <c r="AC376" s="41" t="s">
        <v>452</v>
      </c>
    </row>
    <row r="377" spans="1:29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643"/>
      <c r="L377" s="41"/>
      <c r="M377" s="41"/>
      <c r="N377" s="1156" t="s">
        <v>1054</v>
      </c>
      <c r="O377" s="269" t="s">
        <v>940</v>
      </c>
      <c r="P377" s="189" t="s">
        <v>1055</v>
      </c>
      <c r="Q377" s="5" t="s">
        <v>943</v>
      </c>
      <c r="R377" s="54"/>
      <c r="S377" s="54"/>
      <c r="T377" s="54"/>
      <c r="U377" s="54"/>
      <c r="V377" s="54" t="s">
        <v>946</v>
      </c>
      <c r="W377" s="54" t="s">
        <v>675</v>
      </c>
      <c r="X377" s="41"/>
      <c r="Y377" s="216" t="s">
        <v>1056</v>
      </c>
      <c r="Z377" s="216" t="s">
        <v>1057</v>
      </c>
      <c r="AA377" s="216" t="s">
        <v>1057</v>
      </c>
      <c r="AB377" s="216"/>
      <c r="AC377" s="20" t="s">
        <v>1059</v>
      </c>
    </row>
    <row r="378" spans="1:29" ht="49.5" customHeight="1">
      <c r="A378" s="3"/>
      <c r="B378" s="4425" t="s">
        <v>5</v>
      </c>
      <c r="C378" s="198" t="s">
        <v>1071</v>
      </c>
      <c r="D378" s="198"/>
      <c r="E378" s="4444" t="s">
        <v>6</v>
      </c>
      <c r="F378" s="4444" t="s">
        <v>7</v>
      </c>
      <c r="G378" s="4429" t="s">
        <v>8</v>
      </c>
      <c r="H378" s="4443" t="s">
        <v>9</v>
      </c>
      <c r="I378" s="4407" t="s">
        <v>10</v>
      </c>
      <c r="J378" s="4407"/>
      <c r="K378" s="4407"/>
      <c r="M378" s="158" t="s">
        <v>1149</v>
      </c>
      <c r="N378" s="1156"/>
      <c r="O378" s="269"/>
      <c r="P378" s="189"/>
      <c r="Q378" s="212" t="s">
        <v>1061</v>
      </c>
      <c r="R378" s="54"/>
      <c r="S378" s="54"/>
      <c r="T378" s="54"/>
      <c r="U378" s="54"/>
      <c r="V378" s="270" t="s">
        <v>1062</v>
      </c>
      <c r="W378" s="271" t="s">
        <v>1063</v>
      </c>
      <c r="X378" s="271" t="s">
        <v>1064</v>
      </c>
      <c r="Y378" s="271" t="s">
        <v>1065</v>
      </c>
      <c r="Z378" s="271" t="s">
        <v>1064</v>
      </c>
      <c r="AA378" s="271" t="s">
        <v>1066</v>
      </c>
      <c r="AB378" s="2266"/>
      <c r="AC378" s="272" t="s">
        <v>1068</v>
      </c>
    </row>
    <row r="379" spans="1:29" ht="15.75" customHeight="1">
      <c r="A379" s="3"/>
      <c r="B379" s="4425"/>
      <c r="E379" s="4444"/>
      <c r="F379" s="4444"/>
      <c r="G379" s="4429"/>
      <c r="H379" s="4443"/>
      <c r="I379" s="4407"/>
      <c r="J379" s="4407"/>
      <c r="K379" s="4407"/>
      <c r="L379" s="1164"/>
      <c r="M379" s="1164"/>
      <c r="N379" s="1156" t="s">
        <v>952</v>
      </c>
      <c r="O379" s="189" t="s">
        <v>1072</v>
      </c>
      <c r="P379" s="189" t="s">
        <v>955</v>
      </c>
      <c r="Q379" s="5" t="s">
        <v>943</v>
      </c>
      <c r="R379" s="54" t="s">
        <v>953</v>
      </c>
      <c r="S379" s="54"/>
      <c r="T379" s="54" t="s">
        <v>956</v>
      </c>
      <c r="U379" s="54" t="s">
        <v>957</v>
      </c>
      <c r="V379" s="54" t="s">
        <v>958</v>
      </c>
      <c r="W379" s="54" t="s">
        <v>950</v>
      </c>
      <c r="X379" s="54" t="s">
        <v>1073</v>
      </c>
      <c r="Y379" s="41" t="s">
        <v>951</v>
      </c>
      <c r="Z379" s="41" t="s">
        <v>960</v>
      </c>
      <c r="AA379" s="41" t="s">
        <v>960</v>
      </c>
      <c r="AB379" s="41"/>
      <c r="AC379" s="20" t="s">
        <v>1075</v>
      </c>
    </row>
    <row r="380" spans="1:29" ht="69" customHeight="1">
      <c r="A380" s="3" t="s">
        <v>1076</v>
      </c>
      <c r="B380" s="4426"/>
      <c r="C380" s="11" t="s">
        <v>263</v>
      </c>
      <c r="D380" s="3081"/>
      <c r="E380" s="4444"/>
      <c r="F380" s="4444"/>
      <c r="G380" s="1172" t="s">
        <v>78</v>
      </c>
      <c r="H380" s="4443"/>
      <c r="I380" s="181" t="s">
        <v>79</v>
      </c>
      <c r="J380" s="181" t="s">
        <v>80</v>
      </c>
      <c r="K380" s="181" t="s">
        <v>81</v>
      </c>
      <c r="L380" s="1158" t="s">
        <v>1759</v>
      </c>
      <c r="M380" s="1158" t="s">
        <v>27</v>
      </c>
      <c r="N380" s="1157" t="s">
        <v>1077</v>
      </c>
      <c r="O380" s="274" t="s">
        <v>610</v>
      </c>
      <c r="P380" s="274" t="s">
        <v>1078</v>
      </c>
      <c r="Q380" s="275" t="s">
        <v>1079</v>
      </c>
      <c r="R380" s="274" t="s">
        <v>1080</v>
      </c>
      <c r="S380" s="2145"/>
      <c r="T380" s="271" t="s">
        <v>1081</v>
      </c>
      <c r="U380" s="271" t="s">
        <v>1082</v>
      </c>
      <c r="V380" s="271" t="s">
        <v>1084</v>
      </c>
      <c r="W380" s="276" t="s">
        <v>966</v>
      </c>
      <c r="X380" s="277" t="s">
        <v>1085</v>
      </c>
      <c r="Y380" s="278" t="s">
        <v>1086</v>
      </c>
      <c r="Z380" s="279" t="s">
        <v>978</v>
      </c>
      <c r="AA380" s="280" t="s">
        <v>979</v>
      </c>
      <c r="AB380" s="2267"/>
      <c r="AC380" s="281" t="s">
        <v>1088</v>
      </c>
    </row>
    <row r="381" spans="1:29" ht="15.75" customHeight="1">
      <c r="A381" s="3"/>
      <c r="B381" s="20">
        <v>1</v>
      </c>
      <c r="C381" s="252">
        <v>43952</v>
      </c>
      <c r="D381" s="41">
        <v>167</v>
      </c>
      <c r="E381" s="1536" t="str">
        <f>_xlfn.XLOOKUP($D381,  Tabla3[No.],  Tabla3[CURP], " ")</f>
        <v>AATO770506HMCLRC02</v>
      </c>
      <c r="F381" s="1402" t="str">
        <f>_xlfn.XLOOKUP($D381,  Tabla3[No.],  Tabla3[Matrícula Of. SEQ], " ")</f>
        <v>64DD03B-1</v>
      </c>
      <c r="G381" s="1806" t="str">
        <f>IFERROR(VLOOKUP(D381,Tabla3[],5,FALSE),"")</f>
        <v>ALARCON TERRON OCTAVIO</v>
      </c>
      <c r="H381" s="737" t="str">
        <f t="shared" ref="H381:H399" si="95">MID($E381,11,1)</f>
        <v>H</v>
      </c>
      <c r="I381" s="737" t="str">
        <f t="shared" ref="I381:I399" si="96">MID($E381,5,2)</f>
        <v>77</v>
      </c>
      <c r="J381" s="737" t="str">
        <f t="shared" ref="J381:J399" si="97">MID($E381,7,2)</f>
        <v>05</v>
      </c>
      <c r="K381" s="737" t="str">
        <f t="shared" ref="K381:K399" si="98">MID($E381,9,2)</f>
        <v>06</v>
      </c>
      <c r="L381" s="1232" t="str">
        <f>_xlfn.XLOOKUP($E381,Tabla3[CURP],Tabla3[ESTATUS ACADÉMICO]," ")</f>
        <v>EGRESADO</v>
      </c>
      <c r="M381" s="1233" t="s">
        <v>5075</v>
      </c>
      <c r="N381" s="217">
        <v>9.3000000000000007</v>
      </c>
      <c r="O381" s="20">
        <v>9.6</v>
      </c>
      <c r="P381" s="41">
        <v>9.5</v>
      </c>
      <c r="Q381" s="41">
        <v>9.6</v>
      </c>
      <c r="R381" s="285">
        <v>10</v>
      </c>
      <c r="S381" s="285"/>
      <c r="T381" s="285">
        <v>10</v>
      </c>
      <c r="U381" s="91">
        <v>9.4</v>
      </c>
      <c r="V381" s="41">
        <v>10</v>
      </c>
      <c r="W381" s="286">
        <v>10</v>
      </c>
      <c r="X381" s="91">
        <v>10</v>
      </c>
      <c r="Y381" s="81">
        <v>10</v>
      </c>
      <c r="Z381" s="41">
        <v>9.6</v>
      </c>
      <c r="AA381" s="41">
        <v>9.6</v>
      </c>
      <c r="AB381" s="41"/>
      <c r="AC381" s="20">
        <v>9.6</v>
      </c>
    </row>
    <row r="382" spans="1:29" ht="15.75" customHeight="1">
      <c r="A382" s="3"/>
      <c r="B382" s="20">
        <v>2</v>
      </c>
      <c r="C382" s="41" t="s">
        <v>1095</v>
      </c>
      <c r="D382" s="41">
        <v>168</v>
      </c>
      <c r="E382" s="1536" t="str">
        <f>_xlfn.XLOOKUP($D382,  Tabla3[No.],  Tabla3[CURP], " ")</f>
        <v>BALR750424HQRSNN04</v>
      </c>
      <c r="F382" s="1402" t="str">
        <f>_xlfn.XLOOKUP($D382,  Tabla3[No.],  Tabla3[Matrícula Of. SEQ], " ")</f>
        <v>64DD03B-2</v>
      </c>
      <c r="G382" s="1806" t="str">
        <f>IFERROR(VLOOKUP(D382,Tabla3[],5,FALSE),"")</f>
        <v>BASTARRACHEA DE LEON RANDY SALVADOR</v>
      </c>
      <c r="H382" s="737" t="str">
        <f t="shared" si="95"/>
        <v>H</v>
      </c>
      <c r="I382" s="737" t="str">
        <f t="shared" si="96"/>
        <v>75</v>
      </c>
      <c r="J382" s="737" t="str">
        <f t="shared" si="97"/>
        <v>04</v>
      </c>
      <c r="K382" s="737" t="str">
        <f t="shared" si="98"/>
        <v>24</v>
      </c>
      <c r="L382" s="1232" t="str">
        <f>_xlfn.XLOOKUP($E382,Tabla3[CURP],Tabla3[ESTATUS ACADÉMICO]," ")</f>
        <v>EGRESADO</v>
      </c>
      <c r="M382" s="1233" t="s">
        <v>5075</v>
      </c>
      <c r="N382" s="1106">
        <v>10</v>
      </c>
      <c r="O382" s="20">
        <v>9</v>
      </c>
      <c r="P382" s="158">
        <v>9.4</v>
      </c>
      <c r="Q382" s="41">
        <v>9.4</v>
      </c>
      <c r="R382" s="38">
        <v>9</v>
      </c>
      <c r="S382" s="38"/>
      <c r="T382" s="90">
        <v>9.5</v>
      </c>
      <c r="U382" s="90">
        <v>10</v>
      </c>
      <c r="V382" s="77">
        <v>9.3000000000000007</v>
      </c>
      <c r="W382" s="77">
        <v>10</v>
      </c>
      <c r="X382" s="77">
        <v>9.5</v>
      </c>
      <c r="Y382" s="77">
        <v>9</v>
      </c>
      <c r="Z382" s="171">
        <v>9.3000000000000007</v>
      </c>
      <c r="AA382" s="171">
        <v>9.3000000000000007</v>
      </c>
      <c r="AB382" s="171"/>
      <c r="AC382" s="20">
        <v>9.3000000000000007</v>
      </c>
    </row>
    <row r="383" spans="1:29" ht="15.75" customHeight="1">
      <c r="A383" s="3"/>
      <c r="B383" s="20">
        <v>3</v>
      </c>
      <c r="C383" s="252">
        <v>43586</v>
      </c>
      <c r="D383" s="41">
        <v>169</v>
      </c>
      <c r="E383" s="1536" t="str">
        <f>_xlfn.XLOOKUP($D383,  Tabla3[No.],  Tabla3[CURP], " ")</f>
        <v>CACY751015MSLMHS07</v>
      </c>
      <c r="F383" s="1402" t="str">
        <f>_xlfn.XLOOKUP($D383,  Tabla3[No.],  Tabla3[Matrícula Of. SEQ], " ")</f>
        <v>64DD03B-3</v>
      </c>
      <c r="G383" s="1806" t="str">
        <f>IFERROR(VLOOKUP(D383,Tabla3[],5,FALSE),"")</f>
        <v>CAMPOS COHUO YASMIN RUBI</v>
      </c>
      <c r="H383" s="737" t="str">
        <f t="shared" si="95"/>
        <v>M</v>
      </c>
      <c r="I383" s="737" t="str">
        <f t="shared" si="96"/>
        <v>75</v>
      </c>
      <c r="J383" s="737" t="str">
        <f t="shared" si="97"/>
        <v>10</v>
      </c>
      <c r="K383" s="737" t="str">
        <f t="shared" si="98"/>
        <v>15</v>
      </c>
      <c r="L383" s="1232" t="str">
        <f>_xlfn.XLOOKUP($E383,Tabla3[CURP],Tabla3[ESTATUS ACADÉMICO]," ")</f>
        <v>EGRESADO</v>
      </c>
      <c r="M383" s="1233" t="s">
        <v>5075</v>
      </c>
      <c r="N383" s="215">
        <v>9.6</v>
      </c>
      <c r="O383" s="20">
        <v>9.6</v>
      </c>
      <c r="P383" s="215">
        <v>9.6999999999999993</v>
      </c>
      <c r="Q383" s="41">
        <v>9.6</v>
      </c>
      <c r="R383" s="288">
        <v>10</v>
      </c>
      <c r="S383" s="288"/>
      <c r="T383" s="288">
        <v>10</v>
      </c>
      <c r="U383" s="91">
        <v>9.8000000000000007</v>
      </c>
      <c r="V383" s="41">
        <v>9.1999999999999993</v>
      </c>
      <c r="W383" s="286">
        <v>10</v>
      </c>
      <c r="X383" s="91">
        <v>9.6999999999999993</v>
      </c>
      <c r="Y383" s="81">
        <v>10</v>
      </c>
      <c r="Z383" s="41">
        <v>9.6999999999999993</v>
      </c>
      <c r="AA383" s="41">
        <v>9.6999999999999993</v>
      </c>
      <c r="AB383" s="41"/>
      <c r="AC383" s="20">
        <v>9.6999999999999993</v>
      </c>
    </row>
    <row r="384" spans="1:29" ht="15.75" customHeight="1">
      <c r="A384" s="3"/>
      <c r="B384" s="20">
        <v>4</v>
      </c>
      <c r="C384" s="252"/>
      <c r="D384" s="41">
        <v>357</v>
      </c>
      <c r="E384" s="1536" t="str">
        <f>_xlfn.XLOOKUP($D384,  Tabla3[No.],  Tabla3[CURP], " ")</f>
        <v>CACF711030HSLMHR07</v>
      </c>
      <c r="F384" s="1402" t="str">
        <f>_xlfn.XLOOKUP($D384,  Tabla3[No.],  Tabla3[Matrícula Of. SEQ], " ")</f>
        <v>64DD03B-05</v>
      </c>
      <c r="G384" s="1806" t="str">
        <f>IFERROR(VLOOKUP(D384,Tabla3[],5,FALSE),"")</f>
        <v>CAMPOS COUOH FRANCISCO JAVIER</v>
      </c>
      <c r="H384" s="737" t="str">
        <f t="shared" si="95"/>
        <v>H</v>
      </c>
      <c r="I384" s="737" t="str">
        <f t="shared" si="96"/>
        <v>71</v>
      </c>
      <c r="J384" s="737" t="str">
        <f t="shared" si="97"/>
        <v>10</v>
      </c>
      <c r="K384" s="737" t="str">
        <f t="shared" si="98"/>
        <v>30</v>
      </c>
      <c r="L384" s="1232" t="str">
        <f>_xlfn.XLOOKUP($E384,Tabla3[CURP],Tabla3[ESTATUS ACADÉMICO]," ")</f>
        <v>EGRESADO</v>
      </c>
      <c r="M384" s="1233" t="s">
        <v>5075</v>
      </c>
      <c r="N384" s="41">
        <v>9.4</v>
      </c>
      <c r="O384" s="20"/>
      <c r="P384" s="289">
        <v>9.5</v>
      </c>
      <c r="Q384" s="41">
        <v>9.6</v>
      </c>
      <c r="R384" s="41">
        <v>9.8000000000000007</v>
      </c>
      <c r="S384" s="41"/>
      <c r="T384" s="91">
        <v>9.8000000000000007</v>
      </c>
      <c r="U384" s="91">
        <v>9.6</v>
      </c>
      <c r="V384" s="91">
        <v>9.5</v>
      </c>
      <c r="W384" s="286">
        <v>9</v>
      </c>
      <c r="X384" s="91">
        <v>9.1999999999999993</v>
      </c>
      <c r="Y384" s="81">
        <v>9.4</v>
      </c>
      <c r="Z384" s="81">
        <v>9.4</v>
      </c>
      <c r="AA384" s="81">
        <v>9.4</v>
      </c>
      <c r="AB384" s="81"/>
      <c r="AC384" s="81">
        <v>9.4</v>
      </c>
    </row>
    <row r="385" spans="1:29" ht="15.75" customHeight="1">
      <c r="A385" s="44" t="s">
        <v>1103</v>
      </c>
      <c r="B385" s="20">
        <v>5</v>
      </c>
      <c r="C385" s="252">
        <v>44044</v>
      </c>
      <c r="D385" s="41">
        <v>170</v>
      </c>
      <c r="E385" s="1536" t="str">
        <f>_xlfn.XLOOKUP($D385,  Tabla3[No.],  Tabla3[CURP], " ")</f>
        <v>COGO691009MMCNZR09</v>
      </c>
      <c r="F385" s="1402" t="str">
        <f>_xlfn.XLOOKUP($D385,  Tabla3[No.],  Tabla3[Matrícula Of. SEQ], " ")</f>
        <v>64DD03B-4</v>
      </c>
      <c r="G385" s="1806" t="str">
        <f>IFERROR(VLOOKUP(D385,Tabla3[],5,FALSE),"")</f>
        <v>CONTRERAS GUZMAN ORALIA</v>
      </c>
      <c r="H385" s="737" t="str">
        <f t="shared" si="95"/>
        <v>M</v>
      </c>
      <c r="I385" s="737" t="str">
        <f t="shared" si="96"/>
        <v>69</v>
      </c>
      <c r="J385" s="737" t="str">
        <f t="shared" si="97"/>
        <v>10</v>
      </c>
      <c r="K385" s="737" t="str">
        <f t="shared" si="98"/>
        <v>09</v>
      </c>
      <c r="L385" s="1232" t="str">
        <f>_xlfn.XLOOKUP($E385,Tabla3[CURP],Tabla3[ESTATUS ACADÉMICO]," ")</f>
        <v>EGRESADO</v>
      </c>
      <c r="M385" s="1233" t="s">
        <v>5075</v>
      </c>
      <c r="N385" s="41">
        <v>9.6</v>
      </c>
      <c r="O385" s="20">
        <v>9.6</v>
      </c>
      <c r="P385" s="289">
        <v>9.6999999999999993</v>
      </c>
      <c r="Q385" s="41">
        <v>9.8000000000000007</v>
      </c>
      <c r="R385" s="41">
        <v>9.8000000000000007</v>
      </c>
      <c r="S385" s="41"/>
      <c r="T385" s="91">
        <v>10</v>
      </c>
      <c r="U385" s="91">
        <v>9.8000000000000007</v>
      </c>
      <c r="V385" s="91">
        <v>9</v>
      </c>
      <c r="W385" s="286">
        <v>10</v>
      </c>
      <c r="X385" s="91">
        <v>9.6999999999999993</v>
      </c>
      <c r="Y385" s="81">
        <v>10</v>
      </c>
      <c r="Z385" s="41">
        <v>9.6999999999999993</v>
      </c>
      <c r="AA385" s="41">
        <v>9.6999999999999993</v>
      </c>
      <c r="AB385" s="41"/>
      <c r="AC385" s="20">
        <v>9.6999999999999993</v>
      </c>
    </row>
    <row r="386" spans="1:29" ht="15.75" customHeight="1">
      <c r="A386" s="3" t="s">
        <v>1123</v>
      </c>
      <c r="B386" s="20">
        <v>6</v>
      </c>
      <c r="C386" s="252">
        <v>44604</v>
      </c>
      <c r="D386" s="41">
        <v>248</v>
      </c>
      <c r="E386" s="1536" t="str">
        <f>_xlfn.XLOOKUP($D386,  Tabla3[No.],  Tabla3[CURP], " ")</f>
        <v>COSE820318HMNRND03</v>
      </c>
      <c r="F386" s="1402" t="str">
        <f>_xlfn.XLOOKUP($D386,  Tabla3[No.],  Tabla3[Matrícula Of. SEQ], " ")</f>
        <v>64DD03B-5</v>
      </c>
      <c r="G386" s="1806" t="str">
        <f>IFERROR(VLOOKUP(D386,Tabla3[],5,FALSE),"")</f>
        <v>CORREA SANCHEZ EDUARDO REY</v>
      </c>
      <c r="H386" s="737" t="str">
        <f t="shared" si="95"/>
        <v>H</v>
      </c>
      <c r="I386" s="737" t="str">
        <f t="shared" si="96"/>
        <v>82</v>
      </c>
      <c r="J386" s="737" t="str">
        <f t="shared" si="97"/>
        <v>03</v>
      </c>
      <c r="K386" s="737" t="str">
        <f t="shared" si="98"/>
        <v>18</v>
      </c>
      <c r="L386" s="1232" t="str">
        <f>_xlfn.XLOOKUP($E386,Tabla3[CURP],Tabla3[ESTATUS ACADÉMICO]," ")</f>
        <v>EGRESADO</v>
      </c>
      <c r="M386" s="1233" t="s">
        <v>5075</v>
      </c>
      <c r="N386" s="217">
        <v>9.6</v>
      </c>
      <c r="O386" s="217">
        <v>9.6</v>
      </c>
      <c r="P386" s="217">
        <v>9.6</v>
      </c>
      <c r="Q386" s="217">
        <v>9.6</v>
      </c>
      <c r="R386" s="217">
        <v>9.6</v>
      </c>
      <c r="S386" s="217"/>
      <c r="T386" s="217">
        <v>9.6</v>
      </c>
      <c r="U386" s="217">
        <v>9.6</v>
      </c>
      <c r="V386" s="217">
        <v>9.6</v>
      </c>
      <c r="W386" s="217">
        <v>9.6</v>
      </c>
      <c r="X386" s="217">
        <v>9.6</v>
      </c>
      <c r="Y386" s="217">
        <v>9.6</v>
      </c>
      <c r="Z386" s="217">
        <v>9.6</v>
      </c>
      <c r="AA386" s="217">
        <v>9.6</v>
      </c>
      <c r="AB386" s="217"/>
      <c r="AC386" s="217">
        <v>9.6</v>
      </c>
    </row>
    <row r="387" spans="1:29" ht="15.75" customHeight="1">
      <c r="A387" s="3"/>
      <c r="B387" s="20">
        <v>7</v>
      </c>
      <c r="C387" s="252">
        <v>43952</v>
      </c>
      <c r="D387" s="41">
        <v>171</v>
      </c>
      <c r="E387" s="1536" t="str">
        <f>_xlfn.XLOOKUP($D387,  Tabla3[No.],  Tabla3[CURP], " ")</f>
        <v>COSE730820HDFRND02</v>
      </c>
      <c r="F387" s="1402" t="str">
        <f>_xlfn.XLOOKUP($D387,  Tabla3[No.],  Tabla3[Matrícula Of. SEQ], " ")</f>
        <v>64DD03B-5</v>
      </c>
      <c r="G387" s="1806" t="str">
        <f>IFERROR(VLOOKUP(D387,Tabla3[],5,FALSE),"")</f>
        <v>CORTES SANTOS JOSE EDUARDO</v>
      </c>
      <c r="H387" s="737" t="str">
        <f t="shared" si="95"/>
        <v>H</v>
      </c>
      <c r="I387" s="737" t="str">
        <f t="shared" si="96"/>
        <v>73</v>
      </c>
      <c r="J387" s="737" t="str">
        <f t="shared" si="97"/>
        <v>08</v>
      </c>
      <c r="K387" s="737" t="str">
        <f t="shared" si="98"/>
        <v>20</v>
      </c>
      <c r="L387" s="1232" t="str">
        <f>_xlfn.XLOOKUP($E387,Tabla3[CURP],Tabla3[ESTATUS ACADÉMICO]," ")</f>
        <v>EGRESADO</v>
      </c>
      <c r="M387" s="1233" t="s">
        <v>5075</v>
      </c>
      <c r="N387" s="217">
        <v>9.3000000000000007</v>
      </c>
      <c r="O387" s="20">
        <v>10</v>
      </c>
      <c r="P387" s="41">
        <v>9.5</v>
      </c>
      <c r="Q387" s="41">
        <v>9.5</v>
      </c>
      <c r="R387" s="91">
        <v>9.4</v>
      </c>
      <c r="S387" s="91"/>
      <c r="T387" s="91">
        <v>10</v>
      </c>
      <c r="U387" s="91">
        <v>9.1</v>
      </c>
      <c r="V387" s="41">
        <v>10</v>
      </c>
      <c r="W387" s="286">
        <v>10</v>
      </c>
      <c r="X387" s="91">
        <v>10</v>
      </c>
      <c r="Y387" s="81">
        <v>10</v>
      </c>
      <c r="Z387" s="41">
        <v>9.6999999999999993</v>
      </c>
      <c r="AA387" s="41">
        <v>9.6999999999999993</v>
      </c>
      <c r="AB387" s="41"/>
      <c r="AC387" s="20">
        <v>9.6999999999999993</v>
      </c>
    </row>
    <row r="388" spans="1:29" ht="15.75" customHeight="1">
      <c r="A388" s="3"/>
      <c r="B388" s="20">
        <v>8</v>
      </c>
      <c r="C388" s="252">
        <v>43952</v>
      </c>
      <c r="D388" s="41">
        <v>173</v>
      </c>
      <c r="E388" s="1536" t="str">
        <f>_xlfn.XLOOKUP($D388,  Tabla3[No.],  Tabla3[CURP], " ")</f>
        <v>GAGL850510HCHRNS08</v>
      </c>
      <c r="F388" s="1402" t="str">
        <f>_xlfn.XLOOKUP($D388,  Tabla3[No.],  Tabla3[Matrícula Of. SEQ], " ")</f>
        <v>64DD03B-7</v>
      </c>
      <c r="G388" s="1806" t="str">
        <f>IFERROR(VLOOKUP(D388,Tabla3[],5,FALSE),"")</f>
        <v>GRAJEDA GONZALEZ LUIS CARLOS</v>
      </c>
      <c r="H388" s="737" t="str">
        <f t="shared" si="95"/>
        <v>H</v>
      </c>
      <c r="I388" s="737" t="str">
        <f t="shared" si="96"/>
        <v>85</v>
      </c>
      <c r="J388" s="737" t="str">
        <f t="shared" si="97"/>
        <v>05</v>
      </c>
      <c r="K388" s="737" t="str">
        <f t="shared" si="98"/>
        <v>10</v>
      </c>
      <c r="L388" s="1232" t="str">
        <f>_xlfn.XLOOKUP($E388,Tabla3[CURP],Tabla3[ESTATUS ACADÉMICO]," ")</f>
        <v>EGRESADO</v>
      </c>
      <c r="M388" s="1233" t="s">
        <v>5075</v>
      </c>
      <c r="N388" s="215">
        <v>9.3000000000000007</v>
      </c>
      <c r="O388" s="20">
        <v>10</v>
      </c>
      <c r="P388" s="41">
        <v>9.6999999999999993</v>
      </c>
      <c r="Q388" s="41">
        <v>9.5</v>
      </c>
      <c r="R388" s="91">
        <v>9.8000000000000007</v>
      </c>
      <c r="S388" s="91"/>
      <c r="T388" s="91">
        <v>10</v>
      </c>
      <c r="U388" s="91">
        <v>9.6</v>
      </c>
      <c r="V388" s="41">
        <v>10</v>
      </c>
      <c r="W388" s="286">
        <v>9</v>
      </c>
      <c r="X388" s="91">
        <v>10</v>
      </c>
      <c r="Y388" s="81">
        <v>10</v>
      </c>
      <c r="Z388" s="41">
        <v>9.6999999999999993</v>
      </c>
      <c r="AA388" s="41">
        <v>9.6999999999999993</v>
      </c>
      <c r="AB388" s="41"/>
      <c r="AC388" s="20">
        <v>9.6999999999999993</v>
      </c>
    </row>
    <row r="389" spans="1:29" ht="15.75" customHeight="1">
      <c r="A389" s="3"/>
      <c r="B389" s="20">
        <v>9</v>
      </c>
      <c r="C389" s="252">
        <v>44440</v>
      </c>
      <c r="D389" s="41">
        <v>174</v>
      </c>
      <c r="E389" s="1536" t="str">
        <f>_xlfn.XLOOKUP($D389,  Tabla3[No.],  Tabla3[CURP], " ")</f>
        <v>HUMJ760710HQRSRN08</v>
      </c>
      <c r="F389" s="1402" t="str">
        <f>_xlfn.XLOOKUP($D389,  Tabla3[No.],  Tabla3[Matrícula Of. SEQ], " ")</f>
        <v>64DD04A-09</v>
      </c>
      <c r="G389" s="1806" t="str">
        <f>IFERROR(VLOOKUP(D389,Tabla3[],5,FALSE),"")</f>
        <v>HUESCA MARZUCA JUAN CARLOS</v>
      </c>
      <c r="H389" s="737" t="str">
        <f t="shared" si="95"/>
        <v>H</v>
      </c>
      <c r="I389" s="737" t="str">
        <f t="shared" si="96"/>
        <v>76</v>
      </c>
      <c r="J389" s="737" t="str">
        <f t="shared" si="97"/>
        <v>07</v>
      </c>
      <c r="K389" s="737" t="str">
        <f t="shared" si="98"/>
        <v>10</v>
      </c>
      <c r="L389" s="1232" t="str">
        <f>_xlfn.XLOOKUP($E389,Tabla3[CURP],Tabla3[ESTATUS ACADÉMICO]," ")</f>
        <v>EGRESADO</v>
      </c>
      <c r="M389" s="1233" t="s">
        <v>5075</v>
      </c>
      <c r="N389" s="20">
        <v>10</v>
      </c>
      <c r="O389" s="20">
        <v>9.5</v>
      </c>
      <c r="P389" s="20">
        <v>9.6999999999999993</v>
      </c>
      <c r="Q389" s="20">
        <v>10</v>
      </c>
      <c r="R389" s="20">
        <v>9.6999999999999993</v>
      </c>
      <c r="S389" s="20"/>
      <c r="T389" s="20">
        <v>10</v>
      </c>
      <c r="U389" s="3">
        <v>10</v>
      </c>
      <c r="V389" s="3">
        <v>10</v>
      </c>
      <c r="W389" s="3">
        <v>10</v>
      </c>
      <c r="X389" s="3">
        <v>9.6999999999999993</v>
      </c>
      <c r="Y389" s="20">
        <v>10</v>
      </c>
      <c r="Z389" s="221">
        <v>10</v>
      </c>
      <c r="AA389" s="221">
        <v>10</v>
      </c>
      <c r="AB389" s="221"/>
      <c r="AC389" s="20">
        <v>9.6999999999999993</v>
      </c>
    </row>
    <row r="390" spans="1:29" ht="15.75" customHeight="1">
      <c r="A390" s="3"/>
      <c r="B390" s="20">
        <v>10</v>
      </c>
      <c r="C390" s="252">
        <v>43952</v>
      </c>
      <c r="D390" s="41">
        <v>176</v>
      </c>
      <c r="E390" s="1536" t="str">
        <f>_xlfn.XLOOKUP($D390,  Tabla3[No.],  Tabla3[CURP], " ")</f>
        <v>PEAA890922HDFRLR03</v>
      </c>
      <c r="F390" s="1402" t="str">
        <f>_xlfn.XLOOKUP($D390,  Tabla3[No.],  Tabla3[Matrícula Of. SEQ], " ")</f>
        <v>64DD03B-10</v>
      </c>
      <c r="G390" s="1806" t="str">
        <f>IFERROR(VLOOKUP(D390,Tabla3[],5,FALSE),"")</f>
        <v>PERALTA ALVAREZ ARTURO</v>
      </c>
      <c r="H390" s="737" t="str">
        <f t="shared" si="95"/>
        <v>H</v>
      </c>
      <c r="I390" s="737" t="str">
        <f t="shared" si="96"/>
        <v>89</v>
      </c>
      <c r="J390" s="737" t="str">
        <f t="shared" si="97"/>
        <v>09</v>
      </c>
      <c r="K390" s="737" t="str">
        <f t="shared" si="98"/>
        <v>22</v>
      </c>
      <c r="L390" s="1232" t="str">
        <f>_xlfn.XLOOKUP($E390,Tabla3[CURP],Tabla3[ESTATUS ACADÉMICO]," ")</f>
        <v>EGRESADO</v>
      </c>
      <c r="M390" s="1233" t="s">
        <v>5075</v>
      </c>
      <c r="N390" s="215">
        <v>9.3000000000000007</v>
      </c>
      <c r="O390" s="20" t="s">
        <v>135</v>
      </c>
      <c r="P390" s="215">
        <v>9.6999999999999993</v>
      </c>
      <c r="Q390" s="41">
        <v>9.5</v>
      </c>
      <c r="R390" s="288">
        <v>9.6999999999999993</v>
      </c>
      <c r="S390" s="288"/>
      <c r="T390" s="288">
        <v>8</v>
      </c>
      <c r="U390" s="288">
        <v>9.8000000000000007</v>
      </c>
      <c r="V390" s="41">
        <v>9.6999999999999993</v>
      </c>
      <c r="W390" s="286">
        <v>9</v>
      </c>
      <c r="X390" s="91">
        <v>9.6999999999999993</v>
      </c>
      <c r="Y390" s="290" t="s">
        <v>135</v>
      </c>
      <c r="Z390" s="41">
        <v>9.6999999999999993</v>
      </c>
      <c r="AA390" s="41">
        <v>9.6999999999999993</v>
      </c>
      <c r="AB390" s="41"/>
      <c r="AC390" s="20" t="s">
        <v>135</v>
      </c>
    </row>
    <row r="391" spans="1:29" ht="15.75" customHeight="1">
      <c r="A391" s="3" t="s">
        <v>1103</v>
      </c>
      <c r="B391" s="20">
        <v>11</v>
      </c>
      <c r="C391" s="252">
        <v>43952</v>
      </c>
      <c r="D391" s="41">
        <v>114</v>
      </c>
      <c r="E391" s="1536" t="str">
        <f>_xlfn.XLOOKUP($D391,  Tabla3[No.],  Tabla3[CURP], " ")</f>
        <v>RAAM941103HVZMRG02</v>
      </c>
      <c r="F391" s="1402" t="str">
        <f>_xlfn.XLOOKUP($D391,  Tabla3[No.],  Tabla3[Matrícula Of. SEQ], " ")</f>
        <v>64DD03B-11</v>
      </c>
      <c r="G391" s="1806" t="str">
        <f>IFERROR(VLOOKUP(D391,Tabla3[],5,FALSE),"")</f>
        <v>RAMIREZ ARAGON MIGUEL ANGEL</v>
      </c>
      <c r="H391" s="737" t="str">
        <f t="shared" si="95"/>
        <v>H</v>
      </c>
      <c r="I391" s="737" t="str">
        <f t="shared" si="96"/>
        <v>94</v>
      </c>
      <c r="J391" s="737" t="str">
        <f t="shared" si="97"/>
        <v>11</v>
      </c>
      <c r="K391" s="737" t="str">
        <f t="shared" si="98"/>
        <v>03</v>
      </c>
      <c r="L391" s="1232" t="str">
        <f>_xlfn.XLOOKUP($E391,Tabla3[CURP],Tabla3[ESTATUS ACADÉMICO]," ")</f>
        <v>EGRESADO</v>
      </c>
      <c r="M391" s="1233" t="s">
        <v>5075</v>
      </c>
      <c r="N391" s="217">
        <v>9.4</v>
      </c>
      <c r="O391" s="20">
        <v>10</v>
      </c>
      <c r="P391" s="215">
        <v>9.6</v>
      </c>
      <c r="Q391" s="41">
        <v>9.5</v>
      </c>
      <c r="R391" s="288">
        <v>9.5</v>
      </c>
      <c r="S391" s="288"/>
      <c r="T391" s="288">
        <v>10</v>
      </c>
      <c r="U391" s="288">
        <v>9.8000000000000007</v>
      </c>
      <c r="V391" s="41">
        <v>9.6999999999999993</v>
      </c>
      <c r="W391" s="286">
        <v>9</v>
      </c>
      <c r="X391" s="91">
        <v>9.6999999999999993</v>
      </c>
      <c r="Y391" s="81">
        <v>9.6999999999999993</v>
      </c>
      <c r="Z391" s="41">
        <v>9.6</v>
      </c>
      <c r="AA391" s="41">
        <v>9.6</v>
      </c>
      <c r="AB391" s="41"/>
      <c r="AC391" s="20">
        <v>9.6</v>
      </c>
    </row>
    <row r="392" spans="1:29" ht="15.75" customHeight="1">
      <c r="A392" s="3" t="s">
        <v>1103</v>
      </c>
      <c r="B392" s="20">
        <v>12</v>
      </c>
      <c r="C392" s="252">
        <v>43617</v>
      </c>
      <c r="D392" s="41">
        <v>179</v>
      </c>
      <c r="E392" s="1536" t="str">
        <f>_xlfn.XLOOKUP($D392,  Tabla3[No.],  Tabla3[CURP], " ")</f>
        <v>TICC871222MQRNSL00</v>
      </c>
      <c r="F392" s="1402" t="str">
        <f>_xlfn.XLOOKUP($D392,  Tabla3[No.],  Tabla3[Matrícula Of. SEQ], " ")</f>
        <v>64DD03B-13</v>
      </c>
      <c r="G392" s="1806" t="str">
        <f>IFERROR(VLOOKUP(D392,Tabla3[],5,FALSE),"")</f>
        <v>TINOCO COSIO CLAUDIA GUADALUPE</v>
      </c>
      <c r="H392" s="737" t="str">
        <f t="shared" si="95"/>
        <v>M</v>
      </c>
      <c r="I392" s="737" t="str">
        <f t="shared" si="96"/>
        <v>87</v>
      </c>
      <c r="J392" s="737" t="str">
        <f t="shared" si="97"/>
        <v>12</v>
      </c>
      <c r="K392" s="737" t="str">
        <f t="shared" si="98"/>
        <v>22</v>
      </c>
      <c r="L392" s="1232" t="str">
        <f>_xlfn.XLOOKUP($E392,Tabla3[CURP],Tabla3[ESTATUS ACADÉMICO]," ")</f>
        <v>EGRESADO</v>
      </c>
      <c r="M392" s="1233" t="s">
        <v>5075</v>
      </c>
      <c r="N392" s="215">
        <v>9.4</v>
      </c>
      <c r="O392" s="20">
        <v>9.6</v>
      </c>
      <c r="P392" s="291">
        <v>9.6999999999999993</v>
      </c>
      <c r="Q392" s="20">
        <v>9.3000000000000007</v>
      </c>
      <c r="R392" s="288">
        <v>9.4</v>
      </c>
      <c r="S392" s="288"/>
      <c r="T392" s="288">
        <v>10</v>
      </c>
      <c r="U392" s="288">
        <v>9.8000000000000007</v>
      </c>
      <c r="V392" s="41">
        <v>10</v>
      </c>
      <c r="W392" s="286">
        <v>10</v>
      </c>
      <c r="X392" s="91">
        <v>10</v>
      </c>
      <c r="Y392" s="81">
        <v>9.6999999999999993</v>
      </c>
      <c r="Z392" s="41">
        <v>9.6</v>
      </c>
      <c r="AA392" s="41">
        <v>9.6</v>
      </c>
      <c r="AB392" s="41"/>
      <c r="AC392" s="20">
        <v>9.6</v>
      </c>
    </row>
    <row r="393" spans="1:29" ht="15.75" customHeight="1">
      <c r="A393" s="3" t="s">
        <v>1123</v>
      </c>
      <c r="B393" s="2">
        <v>13</v>
      </c>
      <c r="C393" s="5" t="s">
        <v>1124</v>
      </c>
      <c r="D393" s="1681">
        <v>256</v>
      </c>
      <c r="E393" s="1536" t="str">
        <f>_xlfn.XLOOKUP($D393,  Tabla3[No.],  Tabla3[CURP], " ")</f>
        <v>TOAJ790819HMCRBL07</v>
      </c>
      <c r="F393" s="1402" t="str">
        <f>_xlfn.XLOOKUP($D393,  Tabla3[No.],  Tabla3[Matrícula Of. SEQ], " ")</f>
        <v>64DD03B-16</v>
      </c>
      <c r="G393" s="1806" t="str">
        <f>IFERROR(VLOOKUP(D393,Tabla3[],5,FALSE),"")</f>
        <v xml:space="preserve">TORRES ABRAHAM JULIO EULALIO </v>
      </c>
      <c r="H393" s="737" t="str">
        <f t="shared" si="95"/>
        <v>H</v>
      </c>
      <c r="I393" s="737" t="str">
        <f t="shared" si="96"/>
        <v>79</v>
      </c>
      <c r="J393" s="737" t="str">
        <f t="shared" si="97"/>
        <v>08</v>
      </c>
      <c r="K393" s="737" t="str">
        <f t="shared" si="98"/>
        <v>19</v>
      </c>
      <c r="L393" s="1232" t="str">
        <f>_xlfn.XLOOKUP($E393,Tabla3[CURP],Tabla3[ESTATUS ACADÉMICO]," ")</f>
        <v>EGRESADO</v>
      </c>
      <c r="M393" s="1233" t="s">
        <v>5075</v>
      </c>
      <c r="N393" s="2">
        <v>10</v>
      </c>
      <c r="O393" s="20">
        <v>6.2</v>
      </c>
      <c r="P393" s="2">
        <v>9.6999999999999993</v>
      </c>
      <c r="Q393" s="41">
        <v>9.6999999999999993</v>
      </c>
      <c r="R393" s="292">
        <v>9.4</v>
      </c>
      <c r="S393" s="292"/>
      <c r="T393" s="20">
        <v>10</v>
      </c>
      <c r="U393" s="221">
        <v>10</v>
      </c>
      <c r="V393" s="20">
        <v>9.6999999999999993</v>
      </c>
      <c r="W393" s="20">
        <v>10</v>
      </c>
      <c r="X393" s="20">
        <v>9.6999999999999993</v>
      </c>
      <c r="Y393" s="20">
        <v>10</v>
      </c>
      <c r="Z393" s="20">
        <v>10</v>
      </c>
      <c r="AA393" s="20">
        <v>10</v>
      </c>
      <c r="AB393" s="1108"/>
      <c r="AC393" s="194">
        <v>9.6</v>
      </c>
    </row>
    <row r="394" spans="1:29" ht="15.75" customHeight="1">
      <c r="A394" s="3"/>
      <c r="B394" s="20">
        <v>14</v>
      </c>
      <c r="C394" s="252">
        <v>43952</v>
      </c>
      <c r="D394" s="41">
        <v>181</v>
      </c>
      <c r="E394" s="1536" t="str">
        <f>_xlfn.XLOOKUP($D394,  Tabla3[No.],  Tabla3[CURP], " ")</f>
        <v>VITA851202MQRLNR05</v>
      </c>
      <c r="F394" s="1402" t="str">
        <f>_xlfn.XLOOKUP($D394,  Tabla3[No.],  Tabla3[Matrícula Of. SEQ], " ")</f>
        <v>64DD03B-15</v>
      </c>
      <c r="G394" s="1806" t="str">
        <f>IFERROR(VLOOKUP(D394,Tabla3[],5,FALSE),"")</f>
        <v>VILLANUEVA TUN ARACELI GUADALUPE</v>
      </c>
      <c r="H394" s="737" t="str">
        <f t="shared" si="95"/>
        <v>M</v>
      </c>
      <c r="I394" s="737" t="str">
        <f t="shared" si="96"/>
        <v>85</v>
      </c>
      <c r="J394" s="737" t="str">
        <f t="shared" si="97"/>
        <v>12</v>
      </c>
      <c r="K394" s="737" t="str">
        <f t="shared" si="98"/>
        <v>02</v>
      </c>
      <c r="L394" s="1232" t="str">
        <f>_xlfn.XLOOKUP($E394,Tabla3[CURP],Tabla3[ESTATUS ACADÉMICO]," ")</f>
        <v>EGRESADO</v>
      </c>
      <c r="M394" s="1233" t="s">
        <v>5076</v>
      </c>
      <c r="N394" s="215">
        <v>9.4</v>
      </c>
      <c r="O394" s="20">
        <v>9.6999999999999993</v>
      </c>
      <c r="P394" s="215">
        <v>9.6999999999999993</v>
      </c>
      <c r="Q394" s="41">
        <v>10</v>
      </c>
      <c r="R394" s="288">
        <v>9.8000000000000007</v>
      </c>
      <c r="S394" s="288"/>
      <c r="T394" s="288">
        <v>10</v>
      </c>
      <c r="U394" s="288">
        <v>9.8000000000000007</v>
      </c>
      <c r="V394" s="41">
        <v>10</v>
      </c>
      <c r="W394" s="286">
        <v>10</v>
      </c>
      <c r="X394" s="91">
        <v>10</v>
      </c>
      <c r="Y394" s="81">
        <v>10</v>
      </c>
      <c r="Z394" s="41">
        <v>9.6999999999999993</v>
      </c>
      <c r="AA394" s="41">
        <v>9.6999999999999993</v>
      </c>
      <c r="AB394" s="41"/>
      <c r="AC394" s="20">
        <v>9.6999999999999993</v>
      </c>
    </row>
    <row r="395" spans="1:29" ht="15.75" customHeight="1">
      <c r="A395" s="3"/>
    </row>
    <row r="396" spans="1:29" ht="15.75" customHeight="1">
      <c r="B396" s="1123"/>
      <c r="C396" s="252">
        <v>43983</v>
      </c>
      <c r="D396" s="41">
        <v>175</v>
      </c>
      <c r="E396" s="1536" t="str">
        <f>_xlfn.XLOOKUP($D396,  Tabla3[No.],  Tabla3[CURP], " ")</f>
        <v>MABN890408MQRRRN04</v>
      </c>
      <c r="F396" s="1402" t="str">
        <f>_xlfn.XLOOKUP($D396,  Tabla3[No.],  Tabla3[Matrícula Of. SEQ], " ")</f>
        <v>64DD05B-3</v>
      </c>
      <c r="G396" s="1806" t="str">
        <f>IFERROR(VLOOKUP(D396,Tabla3[],5,FALSE),"")</f>
        <v>MARTINEZ BARRIOS NANCY ROBERTA</v>
      </c>
      <c r="H396" s="737" t="str">
        <f t="shared" si="95"/>
        <v>M</v>
      </c>
      <c r="I396" s="737" t="str">
        <f t="shared" si="96"/>
        <v>89</v>
      </c>
      <c r="J396" s="737" t="str">
        <f t="shared" si="97"/>
        <v>04</v>
      </c>
      <c r="K396" s="737" t="str">
        <f t="shared" si="98"/>
        <v>08</v>
      </c>
      <c r="L396" s="1232" t="str">
        <f>_xlfn.XLOOKUP($E396,Tabla3[CURP],Tabla3[ESTATUS ACADÉMICO]," ")</f>
        <v>EGRESADO</v>
      </c>
      <c r="M396" s="1233" t="s">
        <v>5076</v>
      </c>
      <c r="N396" s="215" t="s">
        <v>1129</v>
      </c>
      <c r="O396" s="293" t="s">
        <v>726</v>
      </c>
      <c r="P396" s="41">
        <v>9</v>
      </c>
      <c r="Q396" s="41"/>
      <c r="R396" s="91">
        <v>9.1999999999999993</v>
      </c>
      <c r="S396" s="91"/>
      <c r="T396" s="91">
        <v>10</v>
      </c>
      <c r="U396" s="91">
        <v>9.8000000000000007</v>
      </c>
      <c r="V396" s="41">
        <v>10</v>
      </c>
      <c r="W396" s="286">
        <v>10</v>
      </c>
      <c r="X396" s="91">
        <v>10</v>
      </c>
      <c r="Y396" s="81">
        <v>10</v>
      </c>
      <c r="Z396" s="41">
        <v>9.6999999999999993</v>
      </c>
      <c r="AA396" s="41">
        <v>9.6999999999999993</v>
      </c>
      <c r="AB396" s="41"/>
      <c r="AC396" s="20" t="s">
        <v>1130</v>
      </c>
    </row>
    <row r="397" spans="1:29" ht="15.75" customHeight="1">
      <c r="A397" s="3" t="s">
        <v>1131</v>
      </c>
      <c r="B397" s="20">
        <v>15</v>
      </c>
      <c r="C397" s="252">
        <v>44105</v>
      </c>
      <c r="D397" s="41">
        <v>174</v>
      </c>
      <c r="E397" s="1536" t="str">
        <f>_xlfn.XLOOKUP($D397,  Tabla3[No.],  Tabla3[CURP], " ")</f>
        <v>HUMJ760710HQRSRN08</v>
      </c>
      <c r="F397" s="1402" t="str">
        <f>_xlfn.XLOOKUP($D397,  Tabla3[No.],  Tabla3[Matrícula Of. SEQ], " ")</f>
        <v>64DD04A-09</v>
      </c>
      <c r="G397" s="1806" t="str">
        <f>IFERROR(VLOOKUP(D397,Tabla3[],5,FALSE),"")</f>
        <v>HUESCA MARZUCA JUAN CARLOS</v>
      </c>
      <c r="H397" s="737" t="str">
        <f t="shared" si="95"/>
        <v>H</v>
      </c>
      <c r="I397" s="737" t="str">
        <f t="shared" si="96"/>
        <v>76</v>
      </c>
      <c r="J397" s="737" t="str">
        <f t="shared" si="97"/>
        <v>07</v>
      </c>
      <c r="K397" s="737" t="str">
        <f t="shared" si="98"/>
        <v>10</v>
      </c>
      <c r="L397" s="1232" t="str">
        <f>_xlfn.XLOOKUP($E397,Tabla3[CURP],Tabla3[ESTATUS ACADÉMICO]," ")</f>
        <v>EGRESADO</v>
      </c>
      <c r="M397" s="1233" t="s">
        <v>5076</v>
      </c>
      <c r="N397" s="54" t="s">
        <v>1133</v>
      </c>
      <c r="O397" s="293" t="s">
        <v>726</v>
      </c>
      <c r="P397" s="54" t="s">
        <v>135</v>
      </c>
      <c r="Q397" s="41">
        <v>10</v>
      </c>
      <c r="R397" s="54">
        <v>9.4</v>
      </c>
      <c r="S397" s="54"/>
      <c r="T397" s="91">
        <v>9.6999999999999993</v>
      </c>
      <c r="U397" s="91">
        <v>9.6</v>
      </c>
      <c r="V397" s="294">
        <v>8.8000000000000007</v>
      </c>
      <c r="W397" s="286">
        <v>10</v>
      </c>
      <c r="X397" s="91">
        <v>8.8000000000000007</v>
      </c>
      <c r="Y397" s="290">
        <v>0</v>
      </c>
      <c r="Z397" s="41">
        <v>9.6999999999999993</v>
      </c>
      <c r="AA397" s="41">
        <v>9.6999999999999993</v>
      </c>
      <c r="AB397" s="41"/>
      <c r="AC397" s="20">
        <v>10</v>
      </c>
    </row>
    <row r="398" spans="1:29" ht="15.75" customHeight="1">
      <c r="A398" s="3"/>
      <c r="B398" s="20">
        <v>16</v>
      </c>
      <c r="C398" s="252">
        <v>43983</v>
      </c>
      <c r="D398" s="41">
        <v>43</v>
      </c>
      <c r="E398" s="1536" t="str">
        <f>_xlfn.XLOOKUP($D398,  Tabla3[No.],  Tabla3[CURP], " ")</f>
        <v>VEMC790815HGRGRR04</v>
      </c>
      <c r="F398" s="1402" t="str">
        <f>_xlfn.XLOOKUP($D398,  Tabla3[No.],  Tabla3[Matrícula Of. SEQ], " ")</f>
        <v>64DD03B-14</v>
      </c>
      <c r="G398" s="1806" t="str">
        <f>IFERROR(VLOOKUP(D398,Tabla3[],5,FALSE),"")</f>
        <v>VEGA MARTINEZ CARLOS</v>
      </c>
      <c r="H398" s="737" t="str">
        <f t="shared" si="95"/>
        <v>H</v>
      </c>
      <c r="I398" s="737" t="str">
        <f t="shared" si="96"/>
        <v>79</v>
      </c>
      <c r="J398" s="737" t="str">
        <f t="shared" si="97"/>
        <v>08</v>
      </c>
      <c r="K398" s="737" t="str">
        <f t="shared" si="98"/>
        <v>15</v>
      </c>
      <c r="L398" s="1232" t="str">
        <f>_xlfn.XLOOKUP($E398,Tabla3[CURP],Tabla3[ESTATUS ACADÉMICO]," ")</f>
        <v>EGRESADO</v>
      </c>
      <c r="M398" s="1233" t="s">
        <v>5076</v>
      </c>
      <c r="N398" s="215" t="s">
        <v>1129</v>
      </c>
      <c r="O398" s="293" t="s">
        <v>726</v>
      </c>
      <c r="P398" s="215">
        <v>9.4</v>
      </c>
      <c r="Q398" s="41"/>
      <c r="R398" s="288">
        <v>9.6999999999999993</v>
      </c>
      <c r="S398" s="288"/>
      <c r="T398" s="288">
        <v>10</v>
      </c>
      <c r="U398" s="288">
        <v>9.6999999999999993</v>
      </c>
      <c r="V398" s="41">
        <v>9</v>
      </c>
      <c r="W398" s="286">
        <v>10</v>
      </c>
      <c r="X398" s="91">
        <v>9.6999999999999993</v>
      </c>
      <c r="Y398" s="81">
        <v>10</v>
      </c>
      <c r="Z398" s="41">
        <v>9.6</v>
      </c>
      <c r="AA398" s="41">
        <v>9.6</v>
      </c>
      <c r="AB398" s="41"/>
      <c r="AC398" s="20">
        <v>10</v>
      </c>
    </row>
    <row r="399" spans="1:29" ht="15.75" customHeight="1">
      <c r="A399" s="3" t="s">
        <v>1131</v>
      </c>
      <c r="B399" s="20">
        <v>17</v>
      </c>
      <c r="C399" s="252">
        <v>43952</v>
      </c>
      <c r="D399" s="41">
        <v>178</v>
      </c>
      <c r="E399" s="1536" t="str">
        <f>_xlfn.XLOOKUP($D399,  Tabla3[No.],  Tabla3[CURP], " ")</f>
        <v>SAMM870221MSLNRN01</v>
      </c>
      <c r="F399" s="1402" t="str">
        <f>_xlfn.XLOOKUP($D399,  Tabla3[No.],  Tabla3[Matrícula Of. SEQ], " ")</f>
        <v>64DD03B-12</v>
      </c>
      <c r="G399" s="1806" t="str">
        <f>IFERROR(VLOOKUP(D399,Tabla3[],5,FALSE),"")</f>
        <v>SANDOVAL MARTINEZ MONICA JAZMIN</v>
      </c>
      <c r="H399" s="737" t="str">
        <f t="shared" si="95"/>
        <v>M</v>
      </c>
      <c r="I399" s="737" t="str">
        <f t="shared" si="96"/>
        <v>87</v>
      </c>
      <c r="J399" s="737" t="str">
        <f t="shared" si="97"/>
        <v>02</v>
      </c>
      <c r="K399" s="737" t="str">
        <f t="shared" si="98"/>
        <v>21</v>
      </c>
      <c r="L399" s="1232" t="str">
        <f>_xlfn.XLOOKUP($E399,Tabla3[CURP],Tabla3[ESTATUS ACADÉMICO]," ")</f>
        <v>EGRESADO</v>
      </c>
      <c r="M399" s="1233" t="s">
        <v>5076</v>
      </c>
      <c r="N399" s="215">
        <v>8.1</v>
      </c>
      <c r="O399" s="293" t="s">
        <v>726</v>
      </c>
      <c r="P399" s="215">
        <v>9.1</v>
      </c>
      <c r="Q399" s="41">
        <v>9.1</v>
      </c>
      <c r="R399" s="295">
        <v>10</v>
      </c>
      <c r="S399" s="295"/>
      <c r="T399" s="295">
        <v>8.3000000000000007</v>
      </c>
      <c r="U399" s="288">
        <v>9.4</v>
      </c>
      <c r="V399" s="296" t="s">
        <v>1137</v>
      </c>
      <c r="W399" s="296" t="s">
        <v>1137</v>
      </c>
      <c r="X399" s="296" t="s">
        <v>1137</v>
      </c>
      <c r="Y399" s="625">
        <v>9</v>
      </c>
      <c r="Z399" s="297">
        <v>0</v>
      </c>
      <c r="AA399" s="297">
        <v>0</v>
      </c>
      <c r="AB399" s="297"/>
      <c r="AC399" s="298" t="s">
        <v>1130</v>
      </c>
    </row>
    <row r="400" spans="1:29" ht="15.75" customHeight="1">
      <c r="A400" s="3"/>
      <c r="B400" s="3" t="s">
        <v>1123</v>
      </c>
    </row>
    <row r="401" spans="1:29" ht="15.75" customHeight="1"/>
    <row r="402" spans="1:29" ht="15.75" customHeight="1"/>
    <row r="403" spans="1:29" ht="15.75" customHeight="1"/>
    <row r="404" spans="1:29" ht="15.75" customHeight="1" thickBo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2"/>
      <c r="M404" s="2"/>
      <c r="N404" s="41" t="s">
        <v>559</v>
      </c>
      <c r="O404" s="41" t="s">
        <v>560</v>
      </c>
      <c r="P404" s="289" t="s">
        <v>561</v>
      </c>
      <c r="Q404" s="289" t="s">
        <v>641</v>
      </c>
      <c r="R404" s="289" t="s">
        <v>1138</v>
      </c>
      <c r="S404" s="289"/>
      <c r="T404" s="289" t="s">
        <v>1139</v>
      </c>
      <c r="U404" s="289" t="s">
        <v>1140</v>
      </c>
      <c r="V404" s="41" t="s">
        <v>1141</v>
      </c>
      <c r="W404" s="41" t="s">
        <v>1142</v>
      </c>
      <c r="X404" s="252" t="s">
        <v>1143</v>
      </c>
      <c r="Y404" s="216" t="s">
        <v>674</v>
      </c>
      <c r="Z404" s="216" t="s">
        <v>445</v>
      </c>
      <c r="AA404" s="216" t="s">
        <v>446</v>
      </c>
      <c r="AB404" s="216"/>
      <c r="AC404" s="216" t="s">
        <v>448</v>
      </c>
    </row>
    <row r="405" spans="1:29" ht="15.75" customHeight="1" thickBo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1163"/>
      <c r="M405" s="1163"/>
      <c r="N405" s="1159" t="s">
        <v>1144</v>
      </c>
      <c r="O405" s="199" t="s">
        <v>1145</v>
      </c>
      <c r="P405" s="199" t="s">
        <v>1056</v>
      </c>
      <c r="Q405" s="199" t="s">
        <v>1146</v>
      </c>
      <c r="R405" s="199" t="s">
        <v>1146</v>
      </c>
      <c r="S405" s="199"/>
      <c r="T405" s="199" t="s">
        <v>1058</v>
      </c>
      <c r="U405" s="199" t="s">
        <v>1056</v>
      </c>
      <c r="V405" s="41"/>
      <c r="W405" s="4457" t="s">
        <v>1147</v>
      </c>
      <c r="X405" s="4458"/>
      <c r="Y405" s="3" t="s">
        <v>647</v>
      </c>
      <c r="Z405" s="300"/>
      <c r="AA405" s="300"/>
      <c r="AB405" s="1834"/>
      <c r="AC405" s="1169" t="s">
        <v>1705</v>
      </c>
    </row>
    <row r="406" spans="1:29" ht="86.25" customHeight="1" thickBot="1">
      <c r="A406" s="3"/>
      <c r="B406" s="4166" t="s">
        <v>5</v>
      </c>
      <c r="C406" s="198" t="s">
        <v>1148</v>
      </c>
      <c r="D406" s="1670"/>
      <c r="E406" s="4464" t="s">
        <v>6</v>
      </c>
      <c r="F406" s="4464" t="s">
        <v>7</v>
      </c>
      <c r="G406" s="4467" t="s">
        <v>8</v>
      </c>
      <c r="H406" s="4445" t="s">
        <v>9</v>
      </c>
      <c r="I406" s="4459" t="s">
        <v>10</v>
      </c>
      <c r="J406" s="4428"/>
      <c r="K406" s="4460"/>
      <c r="L406" s="1166"/>
      <c r="M406" s="1165" t="s">
        <v>1149</v>
      </c>
      <c r="N406" s="1160" t="s">
        <v>1150</v>
      </c>
      <c r="O406" s="302" t="s">
        <v>1151</v>
      </c>
      <c r="P406" s="302" t="s">
        <v>1065</v>
      </c>
      <c r="Q406" s="302" t="s">
        <v>1066</v>
      </c>
      <c r="R406" s="303" t="s">
        <v>1066</v>
      </c>
      <c r="S406" s="303"/>
      <c r="T406" s="303" t="s">
        <v>1067</v>
      </c>
      <c r="U406" s="304" t="s">
        <v>1152</v>
      </c>
      <c r="V406" s="303" t="s">
        <v>1153</v>
      </c>
      <c r="W406" s="305" t="s">
        <v>1069</v>
      </c>
      <c r="X406" s="306" t="s">
        <v>1069</v>
      </c>
      <c r="Y406" s="307" t="s">
        <v>1070</v>
      </c>
      <c r="Z406" s="308" t="s">
        <v>1154</v>
      </c>
      <c r="AA406" s="34" t="s">
        <v>1155</v>
      </c>
      <c r="AB406" s="2268"/>
      <c r="AC406" s="628" t="s">
        <v>1704</v>
      </c>
    </row>
    <row r="407" spans="1:29" ht="15.75" customHeight="1" thickBot="1">
      <c r="A407" s="3"/>
      <c r="B407" s="4162"/>
      <c r="C407" s="35"/>
      <c r="D407" s="888"/>
      <c r="E407" s="4465"/>
      <c r="F407" s="4465"/>
      <c r="G407" s="4456"/>
      <c r="H407" s="4162"/>
      <c r="I407" s="4461"/>
      <c r="J407" s="4462"/>
      <c r="K407" s="4463"/>
      <c r="L407" s="1163"/>
      <c r="M407" s="1163"/>
      <c r="N407" s="1161" t="s">
        <v>950</v>
      </c>
      <c r="O407" s="309" t="s">
        <v>1073</v>
      </c>
      <c r="P407" s="309" t="s">
        <v>951</v>
      </c>
      <c r="Q407" s="2" t="s">
        <v>960</v>
      </c>
      <c r="R407" s="2" t="s">
        <v>960</v>
      </c>
      <c r="S407" s="2"/>
      <c r="T407" s="2" t="s">
        <v>1074</v>
      </c>
      <c r="U407" s="2" t="s">
        <v>1072</v>
      </c>
      <c r="V407" s="41" t="s">
        <v>1075</v>
      </c>
      <c r="W407" s="238" t="s">
        <v>964</v>
      </c>
      <c r="X407" s="238" t="s">
        <v>964</v>
      </c>
      <c r="Y407" s="20"/>
      <c r="Z407" s="20" t="s">
        <v>952</v>
      </c>
      <c r="AA407" s="20"/>
      <c r="AB407" s="20"/>
      <c r="AC407" s="20" t="s">
        <v>956</v>
      </c>
    </row>
    <row r="408" spans="1:29" ht="96" customHeight="1" thickBot="1">
      <c r="A408" s="3"/>
      <c r="B408" s="4162"/>
      <c r="C408" s="11" t="s">
        <v>263</v>
      </c>
      <c r="D408" s="888"/>
      <c r="E408" s="4466"/>
      <c r="F408" s="4466"/>
      <c r="G408" s="200" t="s">
        <v>78</v>
      </c>
      <c r="H408" s="4456"/>
      <c r="I408" s="12" t="s">
        <v>79</v>
      </c>
      <c r="J408" s="12" t="s">
        <v>80</v>
      </c>
      <c r="K408" s="13" t="s">
        <v>81</v>
      </c>
      <c r="L408" s="1167" t="s">
        <v>1759</v>
      </c>
      <c r="M408" s="1167" t="s">
        <v>27</v>
      </c>
      <c r="N408" s="1162" t="s">
        <v>966</v>
      </c>
      <c r="O408" s="302" t="s">
        <v>1157</v>
      </c>
      <c r="P408" s="302" t="s">
        <v>1086</v>
      </c>
      <c r="Q408" s="302" t="s">
        <v>978</v>
      </c>
      <c r="R408" s="303" t="s">
        <v>979</v>
      </c>
      <c r="S408" s="303"/>
      <c r="T408" s="303" t="s">
        <v>1087</v>
      </c>
      <c r="U408" s="303" t="s">
        <v>1158</v>
      </c>
      <c r="V408" s="305" t="s">
        <v>1159</v>
      </c>
      <c r="W408" s="310" t="s">
        <v>1160</v>
      </c>
      <c r="X408" s="310" t="s">
        <v>1161</v>
      </c>
      <c r="Y408" s="311" t="s">
        <v>1162</v>
      </c>
      <c r="Z408" s="312" t="s">
        <v>1163</v>
      </c>
      <c r="AA408" s="312" t="s">
        <v>1164</v>
      </c>
      <c r="AB408" s="2269"/>
      <c r="AC408" s="313" t="s">
        <v>1166</v>
      </c>
    </row>
    <row r="409" spans="1:29" ht="15.75" customHeight="1">
      <c r="A409" s="3"/>
      <c r="B409" s="20">
        <v>1</v>
      </c>
      <c r="C409" s="252">
        <v>44287</v>
      </c>
      <c r="D409" s="41">
        <v>190</v>
      </c>
      <c r="E409" s="1536" t="str">
        <f>_xlfn.XLOOKUP($D409,  Tabla3[No.],  Tabla3[CURP], " ")</f>
        <v>AALN760217MOCLPT06</v>
      </c>
      <c r="F409" s="1402" t="str">
        <f>_xlfn.XLOOKUP($D409,  Tabla3[No.],  Tabla3[Matrícula Of. SEQ], " ")</f>
        <v>64DD03C-01</v>
      </c>
      <c r="G409" s="1806" t="str">
        <f>IFERROR(VLOOKUP(D409,Tabla3[],5,FALSE),"")</f>
        <v>ALCALA LOPEZ NATIVIDAD</v>
      </c>
      <c r="H409" s="737" t="str">
        <f t="shared" ref="H409:H425" si="99">MID($E409,11,1)</f>
        <v>M</v>
      </c>
      <c r="I409" s="737" t="str">
        <f t="shared" ref="I409:I425" si="100">MID($E409,5,2)</f>
        <v>76</v>
      </c>
      <c r="J409" s="737" t="str">
        <f t="shared" ref="J409:J425" si="101">MID($E409,7,2)</f>
        <v>02</v>
      </c>
      <c r="K409" s="737" t="str">
        <f t="shared" ref="K409:K425" si="102">MID($E409,9,2)</f>
        <v>17</v>
      </c>
      <c r="L409" s="1232" t="str">
        <f>_xlfn.XLOOKUP($E409,Tabla3[CURP],Tabla3[ESTATUS ACADÉMICO]," ")</f>
        <v>EGRESADO</v>
      </c>
      <c r="M409" s="1233" t="s">
        <v>5076</v>
      </c>
      <c r="N409" s="41">
        <v>10</v>
      </c>
      <c r="O409" s="41">
        <v>10</v>
      </c>
      <c r="P409" s="41">
        <v>10</v>
      </c>
      <c r="Q409" s="41">
        <v>9.6999999999999993</v>
      </c>
      <c r="R409" s="41">
        <v>9.6999999999999993</v>
      </c>
      <c r="S409" s="41"/>
      <c r="T409" s="314">
        <v>9.1999999999999993</v>
      </c>
      <c r="U409" s="41" t="s">
        <v>1172</v>
      </c>
      <c r="V409" s="41">
        <v>9</v>
      </c>
      <c r="W409" s="41">
        <v>10</v>
      </c>
      <c r="X409" s="20">
        <v>9.6</v>
      </c>
      <c r="Y409" s="1177">
        <v>10</v>
      </c>
      <c r="Z409" s="20">
        <v>9</v>
      </c>
      <c r="AA409" s="20">
        <v>8</v>
      </c>
      <c r="AB409" s="20"/>
      <c r="AC409" s="20">
        <v>10</v>
      </c>
    </row>
    <row r="410" spans="1:29" ht="15.75" customHeight="1">
      <c r="A410" s="3"/>
      <c r="B410" s="20">
        <v>2</v>
      </c>
      <c r="C410" s="252">
        <v>44287</v>
      </c>
      <c r="D410" s="41">
        <v>304</v>
      </c>
      <c r="E410" s="1536" t="str">
        <f>_xlfn.XLOOKUP($D410,  Tabla3[No.],  Tabla3[CURP], " ")</f>
        <v>MUSE800201MMCXLR00</v>
      </c>
      <c r="F410" s="1402" t="str">
        <f>_xlfn.XLOOKUP($D410,  Tabla3[No.],  Tabla3[Matrícula Of. SEQ], " ")</f>
        <v>64DIA01-08</v>
      </c>
      <c r="G410" s="1806" t="str">
        <f>IFERROR(VLOOKUP(D410,Tabla3[],5,FALSE),"")</f>
        <v xml:space="preserve">MUÑOZ SALAZAR ERIKA DEL ROCIO </v>
      </c>
      <c r="H410" s="737" t="str">
        <f t="shared" si="99"/>
        <v>M</v>
      </c>
      <c r="I410" s="737" t="str">
        <f t="shared" si="100"/>
        <v>80</v>
      </c>
      <c r="J410" s="737" t="str">
        <f t="shared" si="101"/>
        <v>02</v>
      </c>
      <c r="K410" s="737" t="str">
        <f t="shared" si="102"/>
        <v>01</v>
      </c>
      <c r="L410" s="1232" t="str">
        <f>_xlfn.XLOOKUP($E410,Tabla3[CURP],Tabla3[ESTATUS ACADÉMICO]," ")</f>
        <v>EGRESADO</v>
      </c>
      <c r="M410" s="1233" t="s">
        <v>5076</v>
      </c>
      <c r="N410" s="54">
        <v>9.4</v>
      </c>
      <c r="O410" s="54">
        <v>9.4</v>
      </c>
      <c r="P410" s="41">
        <v>10</v>
      </c>
      <c r="Q410" s="41">
        <v>9.6999999999999993</v>
      </c>
      <c r="R410" s="41">
        <v>9.6999999999999993</v>
      </c>
      <c r="S410" s="41"/>
      <c r="T410" s="223">
        <v>10</v>
      </c>
      <c r="U410" s="41" t="s">
        <v>1172</v>
      </c>
      <c r="V410" s="41">
        <v>9</v>
      </c>
      <c r="W410" s="41">
        <v>10</v>
      </c>
      <c r="X410" s="1108">
        <v>10</v>
      </c>
      <c r="Y410" s="26">
        <v>10</v>
      </c>
      <c r="Z410" s="336">
        <v>9</v>
      </c>
      <c r="AA410" s="20">
        <v>10</v>
      </c>
      <c r="AB410" s="20"/>
      <c r="AC410" s="20">
        <v>10</v>
      </c>
    </row>
    <row r="411" spans="1:29" ht="15.75" customHeight="1">
      <c r="A411" s="3"/>
      <c r="B411" s="20">
        <v>3</v>
      </c>
      <c r="C411" s="252">
        <v>44287</v>
      </c>
      <c r="D411" s="41">
        <v>282</v>
      </c>
      <c r="E411" s="1536" t="str">
        <f>_xlfn.XLOOKUP($D411,  Tabla3[No.],  Tabla3[CURP], " ")</f>
        <v>HECH740407HMNRSC02</v>
      </c>
      <c r="F411" s="1402" t="str">
        <f>_xlfn.XLOOKUP($D411,  Tabla3[No.],  Tabla3[Matrícula Of. SEQ], " ")</f>
        <v>64DD03B2-9</v>
      </c>
      <c r="G411" s="1806" t="str">
        <f>IFERROR(VLOOKUP(D411,Tabla3[],5,FALSE),"")</f>
        <v>HERNANDEZ CASTILLO HECTOR</v>
      </c>
      <c r="H411" s="737" t="str">
        <f t="shared" si="99"/>
        <v>H</v>
      </c>
      <c r="I411" s="737" t="str">
        <f t="shared" si="100"/>
        <v>74</v>
      </c>
      <c r="J411" s="737" t="str">
        <f t="shared" si="101"/>
        <v>04</v>
      </c>
      <c r="K411" s="737" t="str">
        <f t="shared" si="102"/>
        <v>07</v>
      </c>
      <c r="L411" s="1232" t="str">
        <f>_xlfn.XLOOKUP($E411,Tabla3[CURP],Tabla3[ESTATUS ACADÉMICO]," ")</f>
        <v>EGRESADO</v>
      </c>
      <c r="M411" s="1233" t="s">
        <v>5076</v>
      </c>
      <c r="N411" s="54">
        <v>9.4</v>
      </c>
      <c r="O411" s="54">
        <v>9.4</v>
      </c>
      <c r="P411" s="41">
        <v>10</v>
      </c>
      <c r="Q411" s="41">
        <v>9.6999999999999993</v>
      </c>
      <c r="R411" s="41">
        <v>9.6999999999999993</v>
      </c>
      <c r="S411" s="41"/>
      <c r="T411" s="223">
        <v>10</v>
      </c>
      <c r="U411" s="41" t="s">
        <v>1172</v>
      </c>
      <c r="V411" s="41">
        <v>9</v>
      </c>
      <c r="W411" s="41">
        <v>10</v>
      </c>
      <c r="X411" s="1108">
        <v>10</v>
      </c>
      <c r="Y411" s="26">
        <v>10</v>
      </c>
      <c r="Z411" s="336">
        <v>10</v>
      </c>
      <c r="AA411" s="20">
        <v>10</v>
      </c>
      <c r="AB411" s="20"/>
      <c r="AC411" s="20">
        <v>10</v>
      </c>
    </row>
    <row r="412" spans="1:29" ht="15.75" customHeight="1">
      <c r="A412" s="3"/>
      <c r="B412" s="20">
        <v>4</v>
      </c>
      <c r="C412" s="252">
        <v>44287</v>
      </c>
      <c r="D412" s="41">
        <v>194</v>
      </c>
      <c r="E412" s="1536" t="str">
        <f>_xlfn.XLOOKUP($D412,  Tabla3[No.],  Tabla3[CURP], " ")</f>
        <v>DOSA710403MDFMRR02</v>
      </c>
      <c r="F412" s="1402" t="str">
        <f>_xlfn.XLOOKUP($D412,  Tabla3[No.],  Tabla3[Matrícula Of. SEQ], " ")</f>
        <v>64DD03C-05</v>
      </c>
      <c r="G412" s="1806" t="str">
        <f>IFERROR(VLOOKUP(D412,Tabla3[],5,FALSE),"")</f>
        <v>DOMINGUEZ SERRET ARACELI</v>
      </c>
      <c r="H412" s="737" t="str">
        <f t="shared" si="99"/>
        <v>M</v>
      </c>
      <c r="I412" s="737" t="str">
        <f t="shared" si="100"/>
        <v>71</v>
      </c>
      <c r="J412" s="737" t="str">
        <f t="shared" si="101"/>
        <v>04</v>
      </c>
      <c r="K412" s="737" t="str">
        <f t="shared" si="102"/>
        <v>03</v>
      </c>
      <c r="L412" s="1232" t="str">
        <f>_xlfn.XLOOKUP($E412,Tabla3[CURP],Tabla3[ESTATUS ACADÉMICO]," ")</f>
        <v>EGRESADO</v>
      </c>
      <c r="M412" s="1233" t="s">
        <v>5076</v>
      </c>
      <c r="N412" s="54">
        <v>9.4</v>
      </c>
      <c r="O412" s="54">
        <v>9.4</v>
      </c>
      <c r="P412" s="41">
        <v>10</v>
      </c>
      <c r="Q412" s="41">
        <v>9.6999999999999993</v>
      </c>
      <c r="R412" s="41">
        <v>9.6999999999999993</v>
      </c>
      <c r="S412" s="41"/>
      <c r="T412" s="223">
        <v>9.6</v>
      </c>
      <c r="U412" s="41" t="s">
        <v>1172</v>
      </c>
      <c r="V412" s="41">
        <v>9</v>
      </c>
      <c r="W412" s="41">
        <v>10</v>
      </c>
      <c r="X412" s="1108">
        <v>9.6</v>
      </c>
      <c r="Y412" s="26">
        <v>10</v>
      </c>
      <c r="Z412" s="336">
        <v>9.5</v>
      </c>
      <c r="AA412" s="20">
        <v>10</v>
      </c>
      <c r="AB412" s="20"/>
      <c r="AC412" s="20">
        <v>10</v>
      </c>
    </row>
    <row r="413" spans="1:29" ht="15.75" customHeight="1">
      <c r="A413" s="3" t="s">
        <v>1123</v>
      </c>
      <c r="B413" s="20">
        <v>5</v>
      </c>
      <c r="C413" s="316">
        <v>44643</v>
      </c>
      <c r="D413" s="958">
        <v>336</v>
      </c>
      <c r="E413" s="1536" t="str">
        <f>_xlfn.XLOOKUP($D413,  Tabla3[No.],  Tabla3[CURP], " ")</f>
        <v>DIGS770724MMCZNS06</v>
      </c>
      <c r="F413" s="1402" t="str">
        <f>_xlfn.XLOOKUP($D413,  Tabla3[No.],  Tabla3[Matrícula Of. SEQ], " ")</f>
        <v>64DD05A-02</v>
      </c>
      <c r="G413" s="1806" t="str">
        <f>IFERROR(VLOOKUP(D413,Tabla3[],5,FALSE),"")</f>
        <v>DIAZ GONZALEZ SUSANA</v>
      </c>
      <c r="H413" s="737" t="str">
        <f t="shared" si="99"/>
        <v>M</v>
      </c>
      <c r="I413" s="737" t="str">
        <f t="shared" si="100"/>
        <v>77</v>
      </c>
      <c r="J413" s="737" t="str">
        <f t="shared" si="101"/>
        <v>07</v>
      </c>
      <c r="K413" s="737" t="str">
        <f t="shared" si="102"/>
        <v>24</v>
      </c>
      <c r="L413" s="1232" t="str">
        <f>_xlfn.XLOOKUP($E413,Tabla3[CURP],Tabla3[ESTATUS ACADÉMICO]," ")</f>
        <v>EGRESADO</v>
      </c>
      <c r="M413" s="1233" t="s">
        <v>5076</v>
      </c>
      <c r="N413" s="41">
        <v>9.8000000000000007</v>
      </c>
      <c r="O413" s="41">
        <v>9.8000000000000007</v>
      </c>
      <c r="P413" s="41">
        <v>9.8000000000000007</v>
      </c>
      <c r="Q413" s="41">
        <v>9.8000000000000007</v>
      </c>
      <c r="R413" s="41">
        <v>9.8000000000000007</v>
      </c>
      <c r="S413" s="41"/>
      <c r="T413" s="41">
        <v>9.8000000000000007</v>
      </c>
      <c r="U413" s="41">
        <v>9.8000000000000007</v>
      </c>
      <c r="V413" s="41"/>
      <c r="W413" s="41"/>
      <c r="X413" s="1108"/>
      <c r="Y413" s="41">
        <v>9.8000000000000007</v>
      </c>
      <c r="Z413" s="87">
        <v>10</v>
      </c>
      <c r="AA413" s="20">
        <v>10</v>
      </c>
      <c r="AB413" s="20"/>
      <c r="AC413" s="635"/>
    </row>
    <row r="414" spans="1:29" ht="15.75" customHeight="1">
      <c r="A414" s="3"/>
      <c r="B414" s="20">
        <v>6</v>
      </c>
      <c r="C414" s="252">
        <v>44256</v>
      </c>
      <c r="D414" s="41">
        <v>194</v>
      </c>
      <c r="E414" s="1536" t="str">
        <f>_xlfn.XLOOKUP($D414,  Tabla3[No.],  Tabla3[CURP], " ")</f>
        <v>DOSA710403MDFMRR02</v>
      </c>
      <c r="F414" s="1402" t="str">
        <f>_xlfn.XLOOKUP($D414,  Tabla3[No.],  Tabla3[Matrícula Of. SEQ], " ")</f>
        <v>64DD03C-05</v>
      </c>
      <c r="G414" s="1806" t="str">
        <f>IFERROR(VLOOKUP(D414,Tabla3[],5,FALSE),"")</f>
        <v>DOMINGUEZ SERRET ARACELI</v>
      </c>
      <c r="H414" s="737" t="str">
        <f t="shared" si="99"/>
        <v>M</v>
      </c>
      <c r="I414" s="737" t="str">
        <f t="shared" si="100"/>
        <v>71</v>
      </c>
      <c r="J414" s="737" t="str">
        <f t="shared" si="101"/>
        <v>04</v>
      </c>
      <c r="K414" s="737" t="str">
        <f t="shared" si="102"/>
        <v>03</v>
      </c>
      <c r="L414" s="1232" t="str">
        <f>_xlfn.XLOOKUP($E414,Tabla3[CURP],Tabla3[ESTATUS ACADÉMICO]," ")</f>
        <v>EGRESADO</v>
      </c>
      <c r="M414" s="1233" t="s">
        <v>5076</v>
      </c>
      <c r="N414" s="54">
        <v>9.4</v>
      </c>
      <c r="O414" s="54">
        <v>9.4</v>
      </c>
      <c r="P414" s="41">
        <v>10</v>
      </c>
      <c r="Q414" s="41">
        <v>9.6</v>
      </c>
      <c r="R414" s="41">
        <v>9.6</v>
      </c>
      <c r="S414" s="41"/>
      <c r="T414" s="223">
        <v>10</v>
      </c>
      <c r="U414" s="41" t="s">
        <v>1172</v>
      </c>
      <c r="V414" s="41">
        <v>9</v>
      </c>
      <c r="W414" s="41">
        <v>10</v>
      </c>
      <c r="X414" s="1108">
        <v>10</v>
      </c>
      <c r="Y414" s="26">
        <v>10</v>
      </c>
      <c r="Z414" s="336">
        <v>9</v>
      </c>
      <c r="AA414" s="21">
        <v>0</v>
      </c>
      <c r="AB414" s="21"/>
      <c r="AC414" s="20">
        <v>10</v>
      </c>
    </row>
    <row r="415" spans="1:29" ht="15.75" customHeight="1">
      <c r="A415" s="3"/>
      <c r="B415" s="20">
        <v>7</v>
      </c>
      <c r="C415" s="20" t="s">
        <v>1188</v>
      </c>
      <c r="D415" s="20">
        <v>195</v>
      </c>
      <c r="E415" s="1536" t="str">
        <f>_xlfn.XLOOKUP($D415,  Tabla3[No.],  Tabla3[CURP], " ")</f>
        <v>DUZE780819HDFRXD00</v>
      </c>
      <c r="F415" s="1402" t="str">
        <f>_xlfn.XLOOKUP($D415,  Tabla3[No.],  Tabla3[Matrícula Of. SEQ], " ")</f>
        <v>64DD03C-06</v>
      </c>
      <c r="G415" s="1806" t="str">
        <f>IFERROR(VLOOKUP(D415,Tabla3[],5,FALSE),"")</f>
        <v>DURAN ZUÑIGA EDUARDO</v>
      </c>
      <c r="H415" s="737" t="str">
        <f t="shared" si="99"/>
        <v>H</v>
      </c>
      <c r="I415" s="737" t="str">
        <f t="shared" si="100"/>
        <v>78</v>
      </c>
      <c r="J415" s="737" t="str">
        <f t="shared" si="101"/>
        <v>08</v>
      </c>
      <c r="K415" s="737" t="str">
        <f t="shared" si="102"/>
        <v>19</v>
      </c>
      <c r="L415" s="1232" t="str">
        <f>_xlfn.XLOOKUP($E415,Tabla3[CURP],Tabla3[ESTATUS ACADÉMICO]," ")</f>
        <v>EGRESADO</v>
      </c>
      <c r="M415" s="1233" t="s">
        <v>5076</v>
      </c>
      <c r="N415" s="41">
        <v>10</v>
      </c>
      <c r="O415" s="41">
        <v>10</v>
      </c>
      <c r="P415" s="41">
        <v>10</v>
      </c>
      <c r="Q415" s="41">
        <v>9.6</v>
      </c>
      <c r="R415" s="41">
        <v>9.6</v>
      </c>
      <c r="S415" s="41"/>
      <c r="T415" s="314" t="s">
        <v>136</v>
      </c>
      <c r="U415" s="41" t="s">
        <v>1172</v>
      </c>
      <c r="V415" s="41">
        <v>9</v>
      </c>
      <c r="W415" s="41">
        <v>10</v>
      </c>
      <c r="X415" s="1108">
        <v>9.6</v>
      </c>
      <c r="Y415" s="26">
        <v>10</v>
      </c>
      <c r="Z415" s="336">
        <v>9.5</v>
      </c>
      <c r="AA415" s="21">
        <v>0</v>
      </c>
      <c r="AB415" s="21"/>
      <c r="AC415" s="20">
        <v>10</v>
      </c>
    </row>
    <row r="416" spans="1:29" ht="15.75" customHeight="1">
      <c r="A416" s="3"/>
      <c r="B416" s="20">
        <v>8</v>
      </c>
      <c r="C416" s="20" t="s">
        <v>1188</v>
      </c>
      <c r="D416" s="20">
        <v>196</v>
      </c>
      <c r="E416" s="1536" t="str">
        <f>_xlfn.XLOOKUP($D416,  Tabla3[No.],  Tabla3[CURP], " ")</f>
        <v>GOLM800129HQRNPG07</v>
      </c>
      <c r="F416" s="1402" t="str">
        <f>_xlfn.XLOOKUP($D416,  Tabla3[No.],  Tabla3[Matrícula Of. SEQ], " ")</f>
        <v>64DD03C-07</v>
      </c>
      <c r="G416" s="1806" t="str">
        <f>IFERROR(VLOOKUP(D416,Tabla3[],5,FALSE),"")</f>
        <v>GONZALEZ LOPEZ MIGUEL JESUS</v>
      </c>
      <c r="H416" s="737" t="str">
        <f t="shared" si="99"/>
        <v>H</v>
      </c>
      <c r="I416" s="737" t="str">
        <f t="shared" si="100"/>
        <v>80</v>
      </c>
      <c r="J416" s="737" t="str">
        <f t="shared" si="101"/>
        <v>01</v>
      </c>
      <c r="K416" s="737" t="str">
        <f t="shared" si="102"/>
        <v>29</v>
      </c>
      <c r="L416" s="1232" t="str">
        <f>_xlfn.XLOOKUP($E416,Tabla3[CURP],Tabla3[ESTATUS ACADÉMICO]," ")</f>
        <v>EGRESADO</v>
      </c>
      <c r="M416" s="1233" t="s">
        <v>5076</v>
      </c>
      <c r="N416" s="41">
        <v>10</v>
      </c>
      <c r="O416" s="41">
        <v>10</v>
      </c>
      <c r="P416" s="41">
        <v>10</v>
      </c>
      <c r="Q416" s="41">
        <v>9.6999999999999993</v>
      </c>
      <c r="R416" s="41">
        <v>9.6999999999999993</v>
      </c>
      <c r="S416" s="41"/>
      <c r="T416" s="223">
        <v>10</v>
      </c>
      <c r="U416" s="41" t="s">
        <v>1172</v>
      </c>
      <c r="V416" s="41">
        <v>9</v>
      </c>
      <c r="W416" s="41">
        <v>10</v>
      </c>
      <c r="X416" s="1108">
        <v>9.6</v>
      </c>
      <c r="Y416" s="26">
        <v>10</v>
      </c>
      <c r="Z416" s="336">
        <v>9</v>
      </c>
      <c r="AA416" s="20">
        <v>8</v>
      </c>
      <c r="AB416" s="20"/>
      <c r="AC416" s="20">
        <v>10</v>
      </c>
    </row>
    <row r="417" spans="1:29" ht="15.75" customHeight="1">
      <c r="A417" s="3" t="s">
        <v>1195</v>
      </c>
      <c r="B417" s="20">
        <v>9</v>
      </c>
      <c r="C417" s="252">
        <v>43952</v>
      </c>
      <c r="D417" s="41">
        <v>198</v>
      </c>
      <c r="E417" s="1536" t="str">
        <f>_xlfn.XLOOKUP($D417,  Tabla3[No.],  Tabla3[CURP], " ")</f>
        <v>GOZL800926HOCNRS04</v>
      </c>
      <c r="F417" s="1402" t="str">
        <f>_xlfn.XLOOKUP($D417,  Tabla3[No.],  Tabla3[Matrícula Of. SEQ], " ")</f>
        <v>64DD04A-7</v>
      </c>
      <c r="G417" s="1806" t="str">
        <f>IFERROR(VLOOKUP(D417,Tabla3[],5,FALSE),"")</f>
        <v>GONZALEZ ZARATE LUIS HERIBERTO</v>
      </c>
      <c r="H417" s="737" t="str">
        <f t="shared" si="99"/>
        <v>H</v>
      </c>
      <c r="I417" s="737" t="str">
        <f t="shared" si="100"/>
        <v>80</v>
      </c>
      <c r="J417" s="737" t="str">
        <f t="shared" si="101"/>
        <v>09</v>
      </c>
      <c r="K417" s="737" t="str">
        <f t="shared" si="102"/>
        <v>26</v>
      </c>
      <c r="L417" s="1232" t="str">
        <f>_xlfn.XLOOKUP($E417,Tabla3[CURP],Tabla3[ESTATUS ACADÉMICO]," ")</f>
        <v>EGRESADO</v>
      </c>
      <c r="M417" s="1233" t="s">
        <v>5076</v>
      </c>
      <c r="N417" s="1174">
        <v>8</v>
      </c>
      <c r="O417" s="293" t="s">
        <v>726</v>
      </c>
      <c r="P417" s="41">
        <v>9.5</v>
      </c>
      <c r="Q417" s="41">
        <v>9.3000000000000007</v>
      </c>
      <c r="R417" s="91">
        <v>9.3000000000000007</v>
      </c>
      <c r="S417" s="91"/>
      <c r="T417" s="91">
        <v>10</v>
      </c>
      <c r="U417" s="91">
        <v>9.4</v>
      </c>
      <c r="V417" s="41">
        <v>10</v>
      </c>
      <c r="W417" s="286">
        <v>9</v>
      </c>
      <c r="X417" s="1175">
        <v>10</v>
      </c>
      <c r="Y417" s="81">
        <v>10</v>
      </c>
      <c r="Z417" s="87">
        <v>9.6</v>
      </c>
      <c r="AA417" s="41">
        <v>9.6</v>
      </c>
      <c r="AB417" s="41"/>
      <c r="AC417" s="20">
        <v>10</v>
      </c>
    </row>
    <row r="418" spans="1:29" ht="15.75" customHeight="1">
      <c r="A418" s="3"/>
      <c r="B418" s="20">
        <v>10</v>
      </c>
      <c r="C418" s="1123"/>
      <c r="D418" s="1123">
        <v>363</v>
      </c>
      <c r="E418" s="1536" t="str">
        <f>_xlfn.XLOOKUP($D418,  Tabla3[No.],  Tabla3[CURP], " ")</f>
        <v>MACX731004MMCRRC07</v>
      </c>
      <c r="F418" s="1402" t="str">
        <f>_xlfn.XLOOKUP($D418,  Tabla3[No.],  Tabla3[Matrícula Of. SEQ], " ")</f>
        <v>64DD03C-09</v>
      </c>
      <c r="G418" s="1806" t="str">
        <f>IFERROR(VLOOKUP(D418,Tabla3[],5,FALSE),"")</f>
        <v>MARTINEZ CORREA XOCHITLH</v>
      </c>
      <c r="H418" s="737" t="str">
        <f t="shared" si="99"/>
        <v>M</v>
      </c>
      <c r="I418" s="737" t="str">
        <f t="shared" si="100"/>
        <v>73</v>
      </c>
      <c r="J418" s="737" t="str">
        <f t="shared" si="101"/>
        <v>10</v>
      </c>
      <c r="K418" s="737" t="str">
        <f t="shared" si="102"/>
        <v>04</v>
      </c>
      <c r="L418" s="1232" t="str">
        <f>_xlfn.XLOOKUP($E418,Tabla3[CURP],Tabla3[ESTATUS ACADÉMICO]," ")</f>
        <v>EGRESADO</v>
      </c>
      <c r="M418" s="1233" t="s">
        <v>5076</v>
      </c>
      <c r="N418" s="54">
        <v>9.4</v>
      </c>
      <c r="O418" s="54">
        <v>9.4</v>
      </c>
      <c r="P418" s="2">
        <v>9.6</v>
      </c>
      <c r="Q418" s="2">
        <v>9.5</v>
      </c>
      <c r="R418" s="701">
        <v>9.3000000000000007</v>
      </c>
      <c r="S418" s="701"/>
      <c r="T418" s="1123"/>
      <c r="U418" s="1123"/>
      <c r="V418" s="1123"/>
      <c r="W418" s="1123"/>
      <c r="X418" s="1127"/>
      <c r="Y418" s="1123"/>
      <c r="Z418" s="1176">
        <v>9</v>
      </c>
      <c r="AA418" s="1123"/>
      <c r="AB418" s="1123"/>
      <c r="AC418" s="1168"/>
    </row>
    <row r="419" spans="1:29" ht="15.75" customHeight="1">
      <c r="A419" s="3"/>
      <c r="B419" s="20">
        <v>11</v>
      </c>
      <c r="C419" s="1123"/>
      <c r="D419" s="3082">
        <v>165</v>
      </c>
      <c r="E419" s="1536" t="str">
        <f>_xlfn.XLOOKUP($D419,  Tabla3[No.],  Tabla3[CURP], " ")</f>
        <v>MAMC710607MMCRRR04</v>
      </c>
      <c r="F419" s="1402" t="str">
        <f>_xlfn.XLOOKUP($D419,  Tabla3[No.],  Tabla3[Matrícula Of. SEQ], " ")</f>
        <v>64DD03C-10</v>
      </c>
      <c r="G419" s="1806" t="str">
        <f>IFERROR(VLOOKUP(D419,Tabla3[],5,FALSE),"")</f>
        <v xml:space="preserve">MARTINEZ MARROQUIN MARIA DEL CARMEN </v>
      </c>
      <c r="H419" s="737" t="str">
        <f t="shared" si="99"/>
        <v>M</v>
      </c>
      <c r="I419" s="737" t="str">
        <f t="shared" si="100"/>
        <v>71</v>
      </c>
      <c r="J419" s="737" t="str">
        <f t="shared" si="101"/>
        <v>06</v>
      </c>
      <c r="K419" s="737" t="str">
        <f t="shared" si="102"/>
        <v>07</v>
      </c>
      <c r="L419" s="1232" t="str">
        <f>_xlfn.XLOOKUP($E419,Tabla3[CURP],Tabla3[ESTATUS ACADÉMICO]," ")</f>
        <v>EGRESADO</v>
      </c>
      <c r="M419" s="1233" t="s">
        <v>5076</v>
      </c>
      <c r="N419" s="54">
        <v>9.4</v>
      </c>
      <c r="O419" s="54">
        <v>9.4</v>
      </c>
      <c r="P419" s="20">
        <v>9.6</v>
      </c>
      <c r="Q419" s="54">
        <v>9.6</v>
      </c>
      <c r="R419" s="811">
        <v>9.6</v>
      </c>
      <c r="S419" s="811"/>
      <c r="T419" s="1123">
        <v>10</v>
      </c>
      <c r="U419" s="1123"/>
      <c r="V419" s="1123"/>
      <c r="W419" s="1123"/>
      <c r="X419" s="1127">
        <v>10</v>
      </c>
      <c r="Y419" s="1123"/>
      <c r="Z419" s="1176">
        <v>9</v>
      </c>
      <c r="AA419" s="1123"/>
      <c r="AB419" s="1123"/>
      <c r="AC419" s="20">
        <v>10</v>
      </c>
    </row>
    <row r="420" spans="1:29" ht="15.75" customHeight="1">
      <c r="A420" s="319"/>
      <c r="B420" s="20">
        <v>12</v>
      </c>
      <c r="C420" s="318" t="s">
        <v>1203</v>
      </c>
      <c r="D420" s="3083">
        <v>335</v>
      </c>
      <c r="E420" s="1536" t="str">
        <f>_xlfn.XLOOKUP($D420,  Tabla3[No.],  Tabla3[CURP], " ")</f>
        <v>RORC750108HMCMZR07</v>
      </c>
      <c r="F420" s="1402" t="str">
        <f>_xlfn.XLOOKUP($D420,  Tabla3[No.],  Tabla3[Matrícula Of. SEQ], " ")</f>
        <v>64DD05A-05</v>
      </c>
      <c r="G420" s="1806" t="str">
        <f>IFERROR(VLOOKUP(D420,Tabla3[],5,FALSE),"")</f>
        <v>ROMERO RUIZ CARLOS</v>
      </c>
      <c r="H420" s="737" t="str">
        <f t="shared" si="99"/>
        <v>H</v>
      </c>
      <c r="I420" s="737" t="str">
        <f t="shared" si="100"/>
        <v>75</v>
      </c>
      <c r="J420" s="737" t="str">
        <f t="shared" si="101"/>
        <v>01</v>
      </c>
      <c r="K420" s="737" t="str">
        <f t="shared" si="102"/>
        <v>08</v>
      </c>
      <c r="L420" s="1232" t="str">
        <f>_xlfn.XLOOKUP($E420,Tabla3[CURP],Tabla3[ESTATUS ACADÉMICO]," ")</f>
        <v>EGRESADO</v>
      </c>
      <c r="M420" s="1233" t="s">
        <v>5076</v>
      </c>
      <c r="N420" s="41">
        <v>9.8000000000000007</v>
      </c>
      <c r="O420" s="41">
        <v>9.8000000000000007</v>
      </c>
      <c r="P420" s="41">
        <v>9.8000000000000007</v>
      </c>
      <c r="Q420" s="41">
        <v>9.8000000000000007</v>
      </c>
      <c r="R420" s="41">
        <v>9.8000000000000007</v>
      </c>
      <c r="S420" s="41"/>
      <c r="T420" s="41">
        <v>9.8000000000000007</v>
      </c>
      <c r="U420" s="41">
        <v>9.8000000000000007</v>
      </c>
      <c r="V420" s="41">
        <v>9.8000000000000007</v>
      </c>
      <c r="W420" s="41">
        <v>9.8000000000000007</v>
      </c>
      <c r="X420" s="811">
        <v>9.8000000000000007</v>
      </c>
      <c r="Y420" s="41">
        <v>9.8000000000000007</v>
      </c>
      <c r="Z420" s="1176">
        <v>9</v>
      </c>
      <c r="AA420" s="20">
        <v>10</v>
      </c>
      <c r="AB420" s="20"/>
      <c r="AC420" s="635"/>
    </row>
    <row r="421" spans="1:29" ht="15.75" customHeight="1">
      <c r="A421" s="3"/>
      <c r="B421" s="20">
        <v>13</v>
      </c>
      <c r="C421" s="252">
        <v>44287</v>
      </c>
      <c r="D421" s="41">
        <v>96</v>
      </c>
      <c r="E421" s="1536" t="str">
        <f>_xlfn.XLOOKUP($D421,  Tabla3[No.],  Tabla3[CURP], " ")</f>
        <v>RONJ661005MYNSVN08</v>
      </c>
      <c r="F421" s="1402" t="str">
        <f>_xlfn.XLOOKUP($D421,  Tabla3[No.],  Tabla3[Matrícula Of. SEQ], " ")</f>
        <v>64DD03C-09</v>
      </c>
      <c r="G421" s="1806" t="str">
        <f>IFERROR(VLOOKUP(D421,Tabla3[],5,FALSE),"")</f>
        <v>ROSADO NOVELO JEANETTE DE LOS ANGELES</v>
      </c>
      <c r="H421" s="737" t="str">
        <f t="shared" si="99"/>
        <v>M</v>
      </c>
      <c r="I421" s="737" t="str">
        <f t="shared" si="100"/>
        <v>66</v>
      </c>
      <c r="J421" s="737" t="str">
        <f t="shared" si="101"/>
        <v>10</v>
      </c>
      <c r="K421" s="737" t="str">
        <f t="shared" si="102"/>
        <v>05</v>
      </c>
      <c r="L421" s="1232" t="str">
        <f>_xlfn.XLOOKUP($E421,Tabla3[CURP],Tabla3[ESTATUS ACADÉMICO]," ")</f>
        <v>EGRESADO</v>
      </c>
      <c r="M421" s="1233" t="s">
        <v>5076</v>
      </c>
      <c r="N421" s="54">
        <v>9.4</v>
      </c>
      <c r="O421" s="54">
        <v>9.4</v>
      </c>
      <c r="P421" s="41">
        <v>10</v>
      </c>
      <c r="Q421" s="41">
        <v>9.6999999999999993</v>
      </c>
      <c r="R421" s="41">
        <v>9.6999999999999993</v>
      </c>
      <c r="S421" s="41"/>
      <c r="T421" s="223">
        <v>10</v>
      </c>
      <c r="U421" s="41" t="s">
        <v>1172</v>
      </c>
      <c r="V421" s="41">
        <v>9</v>
      </c>
      <c r="W421" s="41">
        <v>10</v>
      </c>
      <c r="X421" s="1108">
        <v>9.6</v>
      </c>
      <c r="Y421" s="26">
        <v>10</v>
      </c>
      <c r="Z421" s="1176">
        <v>9</v>
      </c>
      <c r="AA421" s="20">
        <v>10</v>
      </c>
      <c r="AB421" s="20"/>
      <c r="AC421" s="20">
        <v>10</v>
      </c>
    </row>
    <row r="422" spans="1:29" ht="15.75" customHeight="1">
      <c r="A422" s="3"/>
      <c r="B422" s="20">
        <v>14</v>
      </c>
      <c r="C422" s="252">
        <v>44287</v>
      </c>
      <c r="D422" s="41">
        <v>95</v>
      </c>
      <c r="E422" s="1536" t="str">
        <f>_xlfn.XLOOKUP($D422,  Tabla3[No.],  Tabla3[CURP], " ")</f>
        <v>ROYE631012HYNSMF19</v>
      </c>
      <c r="F422" s="1402" t="str">
        <f>_xlfn.XLOOKUP($D422,  Tabla3[No.],  Tabla3[Matrícula Of. SEQ], " ")</f>
        <v>64DD03C-10</v>
      </c>
      <c r="G422" s="1806" t="str">
        <f>IFERROR(VLOOKUP(D422,Tabla3[],5,FALSE),"")</f>
        <v>ROSADO YAM EFRAIN MARTIN</v>
      </c>
      <c r="H422" s="737" t="str">
        <f t="shared" si="99"/>
        <v>H</v>
      </c>
      <c r="I422" s="737" t="str">
        <f t="shared" si="100"/>
        <v>63</v>
      </c>
      <c r="J422" s="737" t="str">
        <f t="shared" si="101"/>
        <v>10</v>
      </c>
      <c r="K422" s="737" t="str">
        <f t="shared" si="102"/>
        <v>12</v>
      </c>
      <c r="L422" s="1232" t="str">
        <f>_xlfn.XLOOKUP($E422,Tabla3[CURP],Tabla3[ESTATUS ACADÉMICO]," ")</f>
        <v>EGRESADO</v>
      </c>
      <c r="M422" s="1233" t="s">
        <v>5076</v>
      </c>
      <c r="N422" s="54">
        <v>9.4</v>
      </c>
      <c r="O422" s="54">
        <v>9.4</v>
      </c>
      <c r="P422" s="41">
        <v>9.6999999999999993</v>
      </c>
      <c r="Q422" s="41">
        <v>9.6999999999999993</v>
      </c>
      <c r="R422" s="41">
        <v>9.6999999999999993</v>
      </c>
      <c r="S422" s="41"/>
      <c r="T422" s="223">
        <v>10</v>
      </c>
      <c r="U422" s="41" t="s">
        <v>1172</v>
      </c>
      <c r="V422" s="41">
        <v>9</v>
      </c>
      <c r="W422" s="41">
        <v>10</v>
      </c>
      <c r="X422" s="1108">
        <v>10</v>
      </c>
      <c r="Y422" s="26">
        <v>10</v>
      </c>
      <c r="Z422" s="1176">
        <v>9</v>
      </c>
      <c r="AA422" s="21">
        <v>0</v>
      </c>
      <c r="AB422" s="21"/>
      <c r="AC422" s="20">
        <v>10</v>
      </c>
    </row>
    <row r="423" spans="1:29" ht="15.75" customHeight="1">
      <c r="A423" s="3"/>
      <c r="B423" s="20">
        <v>15</v>
      </c>
      <c r="C423" s="252">
        <v>44287</v>
      </c>
      <c r="D423" s="41">
        <v>82</v>
      </c>
      <c r="E423" s="1536" t="str">
        <f>_xlfn.XLOOKUP($D423,  Tabla3[No.],  Tabla3[CURP], " ")</f>
        <v>TOCJ661023HBCRLN09</v>
      </c>
      <c r="F423" s="1402" t="str">
        <f>_xlfn.XLOOKUP($D423,  Tabla3[No.],  Tabla3[Matrícula Of. SEQ], " ")</f>
        <v>64DD03C-11</v>
      </c>
      <c r="G423" s="1806" t="str">
        <f>IFERROR(VLOOKUP(D423,Tabla3[],5,FALSE),"")</f>
        <v>TORREZ CALATAYUD JUAN</v>
      </c>
      <c r="H423" s="737" t="str">
        <f t="shared" si="99"/>
        <v>H</v>
      </c>
      <c r="I423" s="737" t="str">
        <f t="shared" si="100"/>
        <v>66</v>
      </c>
      <c r="J423" s="737" t="str">
        <f t="shared" si="101"/>
        <v>10</v>
      </c>
      <c r="K423" s="737" t="str">
        <f t="shared" si="102"/>
        <v>23</v>
      </c>
      <c r="L423" s="1232" t="str">
        <f>_xlfn.XLOOKUP($E423,Tabla3[CURP],Tabla3[ESTATUS ACADÉMICO]," ")</f>
        <v>EGRESADO</v>
      </c>
      <c r="M423" s="1233" t="s">
        <v>5076</v>
      </c>
      <c r="N423" s="54">
        <v>9.4</v>
      </c>
      <c r="O423" s="54">
        <v>9.4</v>
      </c>
      <c r="P423" s="55">
        <v>9.6999999999999993</v>
      </c>
      <c r="Q423" s="41">
        <v>9.6999999999999993</v>
      </c>
      <c r="R423" s="41">
        <v>9.6999999999999993</v>
      </c>
      <c r="S423" s="41"/>
      <c r="T423" s="223">
        <v>10</v>
      </c>
      <c r="U423" s="41" t="s">
        <v>1172</v>
      </c>
      <c r="V423" s="41"/>
      <c r="W423" s="41">
        <v>10</v>
      </c>
      <c r="X423" s="1108">
        <v>10</v>
      </c>
      <c r="Y423" s="26">
        <v>10</v>
      </c>
      <c r="Z423" s="1176">
        <v>9</v>
      </c>
      <c r="AA423" s="20">
        <v>9</v>
      </c>
      <c r="AB423" s="20"/>
      <c r="AC423" s="20">
        <v>10</v>
      </c>
    </row>
    <row r="424" spans="1:29" ht="15.75" customHeight="1">
      <c r="A424" s="3"/>
      <c r="B424" s="20"/>
    </row>
    <row r="425" spans="1:29" ht="15.75" customHeight="1">
      <c r="A425" s="3"/>
      <c r="B425" s="20"/>
      <c r="C425" s="20" t="s">
        <v>1188</v>
      </c>
      <c r="D425" s="20">
        <v>119</v>
      </c>
      <c r="E425" s="1536" t="str">
        <f>_xlfn.XLOOKUP($D425,  Tabla3[No.],  Tabla3[CURP], " ")</f>
        <v>PUHL771029MYNCRZ07</v>
      </c>
      <c r="F425" s="1402" t="str">
        <f>_xlfn.XLOOKUP($D425,  Tabla3[No.],  Tabla3[Matrícula Of. SEQ], " ")</f>
        <v>64DD03C-08</v>
      </c>
      <c r="G425" s="1806" t="str">
        <f>IFERROR(VLOOKUP(D425,Tabla3[],5,FALSE),"")</f>
        <v>PUC HERNANDEZ LEZLIE EUNICE</v>
      </c>
      <c r="H425" s="737" t="str">
        <f t="shared" si="99"/>
        <v>M</v>
      </c>
      <c r="I425" s="737" t="str">
        <f t="shared" si="100"/>
        <v>77</v>
      </c>
      <c r="J425" s="737" t="str">
        <f t="shared" si="101"/>
        <v>10</v>
      </c>
      <c r="K425" s="737" t="str">
        <f t="shared" si="102"/>
        <v>29</v>
      </c>
      <c r="L425" s="1232" t="str">
        <f>_xlfn.XLOOKUP($E425,Tabla3[CURP],Tabla3[ESTATUS ACADÉMICO]," ")</f>
        <v>EGRESADO</v>
      </c>
      <c r="M425" s="1233" t="s">
        <v>5076</v>
      </c>
      <c r="N425" s="41">
        <v>10</v>
      </c>
      <c r="O425" s="41">
        <v>10</v>
      </c>
      <c r="P425" s="41">
        <v>9.9</v>
      </c>
      <c r="Q425" s="41">
        <v>9.6999999999999993</v>
      </c>
      <c r="R425" s="41">
        <v>9.6999999999999993</v>
      </c>
      <c r="S425" s="41"/>
      <c r="T425" s="223">
        <v>10</v>
      </c>
      <c r="U425" s="41" t="s">
        <v>1172</v>
      </c>
      <c r="V425" s="41">
        <v>9</v>
      </c>
      <c r="W425" s="41">
        <v>10</v>
      </c>
      <c r="X425" s="1108">
        <v>9.6</v>
      </c>
      <c r="Y425" s="26">
        <v>10</v>
      </c>
      <c r="Z425" s="1088" t="s">
        <v>1213</v>
      </c>
      <c r="AA425" s="20"/>
      <c r="AB425" s="20"/>
      <c r="AC425" s="20"/>
    </row>
    <row r="426" spans="1:29" ht="15.75" customHeight="1"/>
    <row r="427" spans="1:29" ht="15.75" customHeight="1"/>
    <row r="428" spans="1:29" ht="15.75" customHeight="1"/>
    <row r="429" spans="1:29" ht="15.75" customHeight="1">
      <c r="A429" s="3"/>
      <c r="AC429" s="928"/>
    </row>
    <row r="430" spans="1:29" ht="15.75" customHeight="1">
      <c r="A430" s="3"/>
      <c r="H430" s="1178"/>
      <c r="I430" s="1178"/>
      <c r="J430" s="1178"/>
      <c r="K430" s="1179"/>
      <c r="L430" s="43"/>
      <c r="M430" s="811"/>
      <c r="N430" s="320">
        <v>44228</v>
      </c>
      <c r="O430" s="54" t="s">
        <v>446</v>
      </c>
      <c r="P430" s="54" t="s">
        <v>765</v>
      </c>
      <c r="Q430" s="41" t="s">
        <v>448</v>
      </c>
      <c r="R430" s="41" t="s">
        <v>766</v>
      </c>
      <c r="S430" s="41"/>
      <c r="T430" s="223" t="s">
        <v>562</v>
      </c>
      <c r="U430" s="41" t="s">
        <v>451</v>
      </c>
      <c r="V430" s="41" t="s">
        <v>1141</v>
      </c>
      <c r="W430" s="41" t="s">
        <v>1142</v>
      </c>
      <c r="X430" s="43" t="s">
        <v>1143</v>
      </c>
      <c r="Y430" s="22">
        <v>44562</v>
      </c>
      <c r="Z430" s="20" t="s">
        <v>1214</v>
      </c>
      <c r="AA430" s="20" t="s">
        <v>560</v>
      </c>
      <c r="AB430" s="20"/>
      <c r="AC430" s="20" t="s">
        <v>557</v>
      </c>
    </row>
    <row r="431" spans="1:29" ht="15.75" customHeight="1" thickBot="1">
      <c r="A431" s="3"/>
      <c r="B431" s="4166" t="s">
        <v>5</v>
      </c>
      <c r="C431" s="4476" t="s">
        <v>1114</v>
      </c>
      <c r="D431" s="1682"/>
      <c r="E431" s="4464" t="s">
        <v>1222</v>
      </c>
      <c r="F431" s="4464" t="s">
        <v>7</v>
      </c>
      <c r="G431" s="4429" t="s">
        <v>8</v>
      </c>
      <c r="H431" s="4445" t="s">
        <v>9</v>
      </c>
      <c r="I431" s="4459" t="s">
        <v>10</v>
      </c>
      <c r="J431" s="4428"/>
      <c r="K431" s="4460"/>
      <c r="L431" s="811"/>
      <c r="M431" s="811"/>
      <c r="N431" s="199" t="s">
        <v>1144</v>
      </c>
      <c r="O431" s="199" t="s">
        <v>1145</v>
      </c>
      <c r="P431" s="199" t="s">
        <v>1218</v>
      </c>
      <c r="Q431" s="199" t="s">
        <v>1146</v>
      </c>
      <c r="R431" s="199" t="s">
        <v>1146</v>
      </c>
      <c r="S431" s="199"/>
      <c r="T431" s="199" t="s">
        <v>1058</v>
      </c>
      <c r="U431" s="199" t="s">
        <v>1056</v>
      </c>
      <c r="V431" s="20" t="s">
        <v>1059</v>
      </c>
      <c r="W431" s="208" t="s">
        <v>1060</v>
      </c>
      <c r="X431" s="194" t="s">
        <v>1219</v>
      </c>
      <c r="Y431" s="20" t="s">
        <v>789</v>
      </c>
      <c r="Z431" s="20" t="s">
        <v>1220</v>
      </c>
      <c r="AA431" s="20" t="s">
        <v>1221</v>
      </c>
      <c r="AB431" s="643"/>
      <c r="AC431" s="627" t="s">
        <v>1705</v>
      </c>
    </row>
    <row r="432" spans="1:29" ht="85.5" customHeight="1" thickBot="1">
      <c r="A432" s="3"/>
      <c r="B432" s="4451"/>
      <c r="C432" s="4477"/>
      <c r="D432" s="1682"/>
      <c r="E432" s="4465"/>
      <c r="F432" s="4465"/>
      <c r="G432" s="4455"/>
      <c r="H432" s="4162"/>
      <c r="I432" s="4468"/>
      <c r="J432" s="4469"/>
      <c r="K432" s="4470"/>
      <c r="M432" s="1170" t="s">
        <v>1149</v>
      </c>
      <c r="N432" s="301" t="s">
        <v>1150</v>
      </c>
      <c r="O432" s="302" t="s">
        <v>1151</v>
      </c>
      <c r="P432" s="302" t="s">
        <v>1065</v>
      </c>
      <c r="Q432" s="302" t="s">
        <v>1066</v>
      </c>
      <c r="R432" s="303" t="s">
        <v>1066</v>
      </c>
      <c r="S432" s="303"/>
      <c r="T432" s="303" t="s">
        <v>1067</v>
      </c>
      <c r="U432" s="303" t="s">
        <v>1152</v>
      </c>
      <c r="V432" s="272" t="s">
        <v>1068</v>
      </c>
      <c r="W432" s="305" t="s">
        <v>1069</v>
      </c>
      <c r="X432" s="306" t="s">
        <v>1069</v>
      </c>
      <c r="Y432" s="273" t="s">
        <v>1070</v>
      </c>
      <c r="Z432" s="321" t="s">
        <v>1154</v>
      </c>
      <c r="AA432" s="34" t="s">
        <v>1155</v>
      </c>
      <c r="AB432" s="2268"/>
      <c r="AC432" s="628" t="s">
        <v>1704</v>
      </c>
    </row>
    <row r="433" spans="1:57" ht="15.75" customHeight="1">
      <c r="A433" s="3"/>
      <c r="B433" s="4451"/>
      <c r="C433" s="252"/>
      <c r="D433" s="3084"/>
      <c r="E433" s="4465"/>
      <c r="F433" s="4465"/>
      <c r="G433" s="4455"/>
      <c r="H433" s="4162"/>
      <c r="I433" s="4461"/>
      <c r="J433" s="4462"/>
      <c r="K433" s="4463"/>
      <c r="L433" s="811"/>
      <c r="M433" s="1171"/>
      <c r="N433" s="309" t="s">
        <v>950</v>
      </c>
      <c r="O433" s="309" t="s">
        <v>1073</v>
      </c>
      <c r="P433" s="309" t="s">
        <v>951</v>
      </c>
      <c r="Q433" s="2" t="s">
        <v>960</v>
      </c>
      <c r="R433" s="2" t="s">
        <v>960</v>
      </c>
      <c r="S433" s="2"/>
      <c r="T433" s="2" t="s">
        <v>1074</v>
      </c>
      <c r="U433" s="2" t="s">
        <v>1072</v>
      </c>
      <c r="V433" s="41" t="s">
        <v>1075</v>
      </c>
      <c r="W433" s="238" t="s">
        <v>964</v>
      </c>
      <c r="X433" s="238" t="s">
        <v>964</v>
      </c>
      <c r="Y433" s="20"/>
      <c r="Z433" s="20" t="s">
        <v>952</v>
      </c>
      <c r="AC433" s="20" t="s">
        <v>956</v>
      </c>
    </row>
    <row r="434" spans="1:57" ht="90" customHeight="1">
      <c r="A434" s="3"/>
      <c r="B434" s="4452"/>
      <c r="C434" s="11" t="s">
        <v>263</v>
      </c>
      <c r="D434" s="888"/>
      <c r="E434" s="4466"/>
      <c r="F434" s="4466"/>
      <c r="G434" s="1172" t="s">
        <v>78</v>
      </c>
      <c r="H434" s="4456"/>
      <c r="I434" s="12" t="s">
        <v>79</v>
      </c>
      <c r="J434" s="12" t="s">
        <v>80</v>
      </c>
      <c r="K434" s="13" t="s">
        <v>81</v>
      </c>
      <c r="L434" s="1186" t="s">
        <v>1759</v>
      </c>
      <c r="M434" s="1186" t="s">
        <v>27</v>
      </c>
      <c r="N434" s="302" t="s">
        <v>966</v>
      </c>
      <c r="O434" s="302" t="s">
        <v>1157</v>
      </c>
      <c r="P434" s="302" t="s">
        <v>1086</v>
      </c>
      <c r="Q434" s="302" t="s">
        <v>978</v>
      </c>
      <c r="R434" s="303" t="s">
        <v>979</v>
      </c>
      <c r="S434" s="303"/>
      <c r="T434" s="303" t="s">
        <v>1087</v>
      </c>
      <c r="U434" s="303" t="s">
        <v>1158</v>
      </c>
      <c r="V434" s="323" t="s">
        <v>1089</v>
      </c>
      <c r="W434" s="324" t="s">
        <v>1090</v>
      </c>
      <c r="X434" s="324" t="s">
        <v>984</v>
      </c>
      <c r="Y434" s="323" t="s">
        <v>1091</v>
      </c>
      <c r="Z434" s="284" t="s">
        <v>1163</v>
      </c>
      <c r="AA434" s="284" t="s">
        <v>1164</v>
      </c>
      <c r="AB434" s="1833"/>
      <c r="AC434" s="325" t="s">
        <v>1223</v>
      </c>
    </row>
    <row r="435" spans="1:57" ht="15.75" customHeight="1">
      <c r="A435" s="3"/>
      <c r="B435" s="20">
        <v>1</v>
      </c>
      <c r="C435" s="252">
        <v>44348</v>
      </c>
      <c r="D435" s="894">
        <v>165</v>
      </c>
      <c r="E435" s="1536" t="str">
        <f>_xlfn.XLOOKUP($D435,  Tabla3[No.],  Tabla3[CURP], " ")</f>
        <v>MAMC710607MMCRRR04</v>
      </c>
      <c r="F435" s="1402" t="str">
        <f>_xlfn.XLOOKUP($D435,  Tabla3[No.],  Tabla3[Matrícula Of. SEQ], " ")</f>
        <v>64DD03C-10</v>
      </c>
      <c r="G435" s="1806" t="str">
        <f>IFERROR(VLOOKUP(D435,Tabla3[],5,FALSE),"")</f>
        <v xml:space="preserve">MARTINEZ MARROQUIN MARIA DEL CARMEN </v>
      </c>
      <c r="H435" s="737" t="str">
        <f t="shared" ref="H435:H440" si="103">MID($E435,11,1)</f>
        <v>M</v>
      </c>
      <c r="I435" s="737" t="str">
        <f t="shared" ref="I435:I440" si="104">MID($E435,5,2)</f>
        <v>71</v>
      </c>
      <c r="J435" s="737" t="str">
        <f t="shared" ref="J435:J440" si="105">MID($E435,7,2)</f>
        <v>06</v>
      </c>
      <c r="K435" s="737" t="str">
        <f t="shared" ref="K435:K440" si="106">MID($E435,9,2)</f>
        <v>07</v>
      </c>
      <c r="L435" s="1232" t="str">
        <f>_xlfn.XLOOKUP($E435,Tabla3[CURP],Tabla3[ESTATUS ACADÉMICO]," ")</f>
        <v>EGRESADO</v>
      </c>
      <c r="M435" s="1233" t="s">
        <v>5076</v>
      </c>
      <c r="N435" s="54">
        <v>9.4</v>
      </c>
      <c r="O435" s="54">
        <v>9.4</v>
      </c>
      <c r="P435" s="20">
        <v>9.6</v>
      </c>
      <c r="Q435" s="54">
        <v>9.6</v>
      </c>
      <c r="R435" s="41">
        <v>9.6</v>
      </c>
      <c r="S435" s="41"/>
      <c r="T435" s="223">
        <v>10</v>
      </c>
      <c r="U435" s="41"/>
      <c r="V435" s="50">
        <v>9</v>
      </c>
      <c r="W435" s="43">
        <v>10</v>
      </c>
      <c r="X435" s="43">
        <v>10</v>
      </c>
      <c r="Y435" s="20">
        <v>10</v>
      </c>
      <c r="Z435" s="31">
        <v>9</v>
      </c>
      <c r="AA435" s="224">
        <v>10</v>
      </c>
      <c r="AB435" s="2270"/>
      <c r="AC435" s="634">
        <v>10</v>
      </c>
    </row>
    <row r="436" spans="1:57" ht="15.75" customHeight="1">
      <c r="A436" s="3"/>
      <c r="B436" s="20">
        <v>2</v>
      </c>
      <c r="C436" s="252">
        <v>44248</v>
      </c>
      <c r="D436" s="41">
        <v>191</v>
      </c>
      <c r="E436" s="1536" t="str">
        <f>_xlfn.XLOOKUP($D436,  Tabla3[No.],  Tabla3[CURP], " ")</f>
        <v>HUGY840518MDFRZH03</v>
      </c>
      <c r="F436" s="1402" t="str">
        <f>_xlfn.XLOOKUP($D436,  Tabla3[No.],  Tabla3[Matrícula Of. SEQ], " ")</f>
        <v>64DD04A-04</v>
      </c>
      <c r="G436" s="1806" t="str">
        <f>IFERROR(VLOOKUP(D436,Tabla3[],5,FALSE),"")</f>
        <v>HUERTA GUZMAN YAHAIRA YAITZIRI</v>
      </c>
      <c r="H436" s="737" t="str">
        <f t="shared" si="103"/>
        <v>M</v>
      </c>
      <c r="I436" s="737" t="str">
        <f t="shared" si="104"/>
        <v>84</v>
      </c>
      <c r="J436" s="737" t="str">
        <f t="shared" si="105"/>
        <v>05</v>
      </c>
      <c r="K436" s="737" t="str">
        <f t="shared" si="106"/>
        <v>18</v>
      </c>
      <c r="L436" s="1232" t="str">
        <f>_xlfn.XLOOKUP($E436,Tabla3[CURP],Tabla3[ESTATUS ACADÉMICO]," ")</f>
        <v>EGRESADO</v>
      </c>
      <c r="M436" s="1233" t="s">
        <v>5076</v>
      </c>
      <c r="N436" s="41">
        <v>10</v>
      </c>
      <c r="O436" s="41">
        <v>10</v>
      </c>
      <c r="P436" s="41">
        <v>9.6999999999999993</v>
      </c>
      <c r="Q436" s="54">
        <v>9.6999999999999993</v>
      </c>
      <c r="R436" s="41">
        <v>9.6999999999999993</v>
      </c>
      <c r="S436" s="41"/>
      <c r="T436" s="223">
        <v>9.6</v>
      </c>
      <c r="U436" s="41" t="s">
        <v>1172</v>
      </c>
      <c r="V436" s="50">
        <v>9</v>
      </c>
      <c r="W436" s="43">
        <v>10</v>
      </c>
      <c r="X436" s="43">
        <v>10</v>
      </c>
      <c r="Y436" s="20">
        <v>10</v>
      </c>
      <c r="Z436" s="20"/>
      <c r="AA436" s="224">
        <v>8</v>
      </c>
      <c r="AB436" s="224"/>
      <c r="AC436" s="20">
        <v>10</v>
      </c>
    </row>
    <row r="437" spans="1:57" ht="15.75" customHeight="1">
      <c r="A437" s="3"/>
      <c r="B437" s="20">
        <v>3</v>
      </c>
      <c r="C437" s="252">
        <v>44348</v>
      </c>
      <c r="D437" s="41">
        <v>211</v>
      </c>
      <c r="E437" s="1536" t="str">
        <f>_xlfn.XLOOKUP($D437,  Tabla3[No.],  Tabla3[CURP], " ")</f>
        <v>GATA670516MNLRRD04</v>
      </c>
      <c r="F437" s="1402" t="str">
        <f>_xlfn.XLOOKUP($D437,  Tabla3[No.],  Tabla3[Matrícula Of. SEQ], " ")</f>
        <v>64DD04A-03</v>
      </c>
      <c r="G437" s="1806" t="str">
        <f>IFERROR(VLOOKUP(D437,Tabla3[],5,FALSE),"")</f>
        <v>GARCIA TREVIÑO ADRIANA DEL CARMEN</v>
      </c>
      <c r="H437" s="737" t="str">
        <f t="shared" si="103"/>
        <v>M</v>
      </c>
      <c r="I437" s="737" t="str">
        <f t="shared" si="104"/>
        <v>67</v>
      </c>
      <c r="J437" s="737" t="str">
        <f t="shared" si="105"/>
        <v>05</v>
      </c>
      <c r="K437" s="737" t="str">
        <f t="shared" si="106"/>
        <v>16</v>
      </c>
      <c r="L437" s="1232" t="str">
        <f>_xlfn.XLOOKUP($E437,Tabla3[CURP],Tabla3[ESTATUS ACADÉMICO]," ")</f>
        <v>EGRESADO</v>
      </c>
      <c r="M437" s="1233" t="s">
        <v>5076</v>
      </c>
      <c r="N437" s="54" t="s">
        <v>135</v>
      </c>
      <c r="O437" s="54" t="s">
        <v>135</v>
      </c>
      <c r="P437" s="20">
        <v>9.6</v>
      </c>
      <c r="Q437" s="54"/>
      <c r="R437" s="41">
        <v>9.6999999999999993</v>
      </c>
      <c r="S437" s="41"/>
      <c r="T437" s="223">
        <v>10</v>
      </c>
      <c r="U437" s="41"/>
      <c r="V437" s="50">
        <v>9</v>
      </c>
      <c r="W437" s="43">
        <v>9.6</v>
      </c>
      <c r="X437" s="43">
        <v>9.6</v>
      </c>
      <c r="Y437" s="20">
        <v>10</v>
      </c>
      <c r="Z437" s="20"/>
      <c r="AA437" s="224">
        <v>8</v>
      </c>
      <c r="AB437" s="224"/>
      <c r="AC437" s="20">
        <v>10</v>
      </c>
    </row>
    <row r="438" spans="1:57" ht="15.75" customHeight="1">
      <c r="A438" s="3"/>
      <c r="B438" s="20">
        <v>4</v>
      </c>
      <c r="C438" s="252">
        <v>44348</v>
      </c>
      <c r="D438" s="41">
        <v>249</v>
      </c>
      <c r="E438" s="1536" t="str">
        <f>_xlfn.XLOOKUP($D438,  Tabla3[No.],  Tabla3[CURP], " ")</f>
        <v>AISR891008MCCVNX01</v>
      </c>
      <c r="F438" s="1402" t="str">
        <f>_xlfn.XLOOKUP($D438,  Tabla3[No.],  Tabla3[Matrícula Of. SEQ], " ")</f>
        <v>64DD04A-01</v>
      </c>
      <c r="G438" s="1806" t="str">
        <f>IFERROR(VLOOKUP(D438,Tabla3[],5,FALSE),"")</f>
        <v xml:space="preserve">AVILA SANDOVAL ROXANA </v>
      </c>
      <c r="H438" s="737" t="str">
        <f t="shared" si="103"/>
        <v>M</v>
      </c>
      <c r="I438" s="737" t="str">
        <f t="shared" si="104"/>
        <v>89</v>
      </c>
      <c r="J438" s="737" t="str">
        <f t="shared" si="105"/>
        <v>10</v>
      </c>
      <c r="K438" s="737" t="str">
        <f t="shared" si="106"/>
        <v>08</v>
      </c>
      <c r="L438" s="1232" t="str">
        <f>_xlfn.XLOOKUP($E438,Tabla3[CURP],Tabla3[ESTATUS ACADÉMICO]," ")</f>
        <v>EGRESADO</v>
      </c>
      <c r="M438" s="1233" t="s">
        <v>5076</v>
      </c>
      <c r="N438" s="54" t="s">
        <v>135</v>
      </c>
      <c r="O438" s="54" t="s">
        <v>135</v>
      </c>
      <c r="P438" s="20">
        <v>9.6999999999999993</v>
      </c>
      <c r="Q438" s="54"/>
      <c r="R438" s="41">
        <v>9.6999999999999993</v>
      </c>
      <c r="S438" s="41"/>
      <c r="T438" s="223">
        <v>10</v>
      </c>
      <c r="U438" s="41"/>
      <c r="V438" s="50">
        <v>9</v>
      </c>
      <c r="W438" s="43">
        <v>9.6</v>
      </c>
      <c r="X438" s="43">
        <v>9.6</v>
      </c>
      <c r="Y438" s="20">
        <v>10</v>
      </c>
      <c r="Z438" s="20"/>
      <c r="AA438" s="224">
        <v>10</v>
      </c>
      <c r="AB438" s="224"/>
      <c r="AC438" s="20">
        <v>10</v>
      </c>
    </row>
    <row r="439" spans="1:57" ht="15.75" customHeight="1">
      <c r="A439" s="20"/>
      <c r="B439" s="20">
        <v>5</v>
      </c>
      <c r="C439" s="252">
        <v>44368</v>
      </c>
      <c r="D439" s="41">
        <v>250</v>
      </c>
      <c r="E439" s="1536" t="str">
        <f>_xlfn.XLOOKUP($D439,  Tabla3[No.],  Tabla3[CURP], " ")</f>
        <v>MEVB800304MCLDLL00</v>
      </c>
      <c r="F439" s="1402" t="str">
        <f>_xlfn.XLOOKUP($D439,  Tabla3[No.],  Tabla3[Matrícula Of. SEQ], " ")</f>
        <v>64DD04A-07</v>
      </c>
      <c r="G439" s="1806" t="str">
        <f>IFERROR(VLOOKUP(D439,Tabla3[],5,FALSE),"")</f>
        <v xml:space="preserve">MEDINA VILLARREAL BLANCA ANNEL </v>
      </c>
      <c r="H439" s="737" t="str">
        <f t="shared" si="103"/>
        <v>M</v>
      </c>
      <c r="I439" s="737" t="str">
        <f t="shared" si="104"/>
        <v>80</v>
      </c>
      <c r="J439" s="737" t="str">
        <f t="shared" si="105"/>
        <v>03</v>
      </c>
      <c r="K439" s="737" t="str">
        <f t="shared" si="106"/>
        <v>04</v>
      </c>
      <c r="L439" s="1232" t="str">
        <f>_xlfn.XLOOKUP($E439,Tabla3[CURP],Tabla3[ESTATUS ACADÉMICO]," ")</f>
        <v>EGRESADO</v>
      </c>
      <c r="M439" s="1233" t="s">
        <v>5076</v>
      </c>
      <c r="N439" s="20"/>
      <c r="O439" s="20"/>
      <c r="P439" s="20">
        <v>9.6</v>
      </c>
      <c r="Q439" s="327"/>
      <c r="R439" s="287">
        <v>9.6999999999999993</v>
      </c>
      <c r="S439" s="287"/>
      <c r="T439" s="287">
        <v>9.6</v>
      </c>
      <c r="U439" s="20"/>
      <c r="V439" s="31">
        <v>9</v>
      </c>
      <c r="W439" s="20">
        <v>10</v>
      </c>
      <c r="X439" s="20">
        <v>10</v>
      </c>
      <c r="Y439" s="20">
        <v>10</v>
      </c>
      <c r="Z439" s="20"/>
      <c r="AA439" s="224">
        <v>9</v>
      </c>
      <c r="AB439" s="224"/>
      <c r="AC439" s="635"/>
    </row>
    <row r="440" spans="1:57" ht="15.75" customHeight="1">
      <c r="A440" s="3"/>
      <c r="B440" s="20">
        <v>6</v>
      </c>
      <c r="C440" s="252">
        <v>44440</v>
      </c>
      <c r="D440" s="41">
        <v>92</v>
      </c>
      <c r="E440" s="1536" t="str">
        <f>_xlfn.XLOOKUP($D440,  Tabla3[No.],  Tabla3[CURP], " ")</f>
        <v>SACA780407MCCNRL05</v>
      </c>
      <c r="F440" s="1402" t="str">
        <f>_xlfn.XLOOKUP($D440,  Tabla3[No.],  Tabla3[Matrícula Of. SEQ], " ")</f>
        <v>64DD04A-09</v>
      </c>
      <c r="G440" s="1806" t="str">
        <f>IFERROR(VLOOKUP(D440,Tabla3[],5,FALSE),"")</f>
        <v xml:space="preserve">SANCHEZ DE LA CRUZ ALICIA </v>
      </c>
      <c r="H440" s="737" t="str">
        <f t="shared" si="103"/>
        <v>M</v>
      </c>
      <c r="I440" s="737" t="str">
        <f t="shared" si="104"/>
        <v>78</v>
      </c>
      <c r="J440" s="737" t="str">
        <f t="shared" si="105"/>
        <v>04</v>
      </c>
      <c r="K440" s="737" t="str">
        <f t="shared" si="106"/>
        <v>07</v>
      </c>
      <c r="L440" s="1232" t="str">
        <f>_xlfn.XLOOKUP($E440,Tabla3[CURP],Tabla3[ESTATUS ACADÉMICO]," ")</f>
        <v>EGRESADO</v>
      </c>
      <c r="M440" s="1233" t="s">
        <v>5076</v>
      </c>
      <c r="N440" s="138"/>
      <c r="O440" s="138"/>
      <c r="P440" s="20">
        <v>9.6</v>
      </c>
      <c r="Q440" s="138"/>
      <c r="R440" s="138"/>
      <c r="S440" s="138"/>
      <c r="T440" s="138"/>
      <c r="U440" s="138"/>
      <c r="V440" s="20"/>
      <c r="W440" s="20"/>
      <c r="X440" s="20"/>
      <c r="Y440" s="20"/>
      <c r="Z440" s="20"/>
      <c r="AA440" s="224">
        <v>10</v>
      </c>
      <c r="AB440" s="224"/>
      <c r="AC440" s="20">
        <v>10</v>
      </c>
    </row>
    <row r="441" spans="1:57" ht="15.75" customHeight="1"/>
    <row r="442" spans="1:57" ht="15.75" customHeight="1"/>
    <row r="443" spans="1:57" ht="15.75" customHeight="1"/>
    <row r="444" spans="1:57" ht="15.75" customHeight="1"/>
    <row r="445" spans="1:57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20">
        <v>44228</v>
      </c>
      <c r="O445" s="54" t="s">
        <v>446</v>
      </c>
      <c r="P445" s="54" t="s">
        <v>765</v>
      </c>
      <c r="Q445" s="41" t="s">
        <v>448</v>
      </c>
      <c r="R445" s="41" t="s">
        <v>766</v>
      </c>
      <c r="S445" s="41"/>
      <c r="T445" s="20" t="s">
        <v>1235</v>
      </c>
      <c r="U445" s="54" t="s">
        <v>453</v>
      </c>
      <c r="V445" s="54" t="s">
        <v>937</v>
      </c>
      <c r="W445" s="22">
        <v>44562</v>
      </c>
      <c r="X445" s="54" t="s">
        <v>559</v>
      </c>
      <c r="Y445" s="54" t="s">
        <v>1236</v>
      </c>
      <c r="Z445" s="54" t="s">
        <v>561</v>
      </c>
      <c r="AA445" s="54" t="s">
        <v>641</v>
      </c>
      <c r="AB445" s="54"/>
      <c r="AC445" s="54" t="s">
        <v>1139</v>
      </c>
      <c r="AD445" s="54" t="s">
        <v>1215</v>
      </c>
      <c r="AE445" s="54" t="s">
        <v>557</v>
      </c>
      <c r="AO445" s="331" t="s">
        <v>1091</v>
      </c>
      <c r="AP445" s="332" t="s">
        <v>1163</v>
      </c>
    </row>
    <row r="446" spans="1:57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199" t="s">
        <v>1144</v>
      </c>
      <c r="O446" s="199" t="s">
        <v>1145</v>
      </c>
      <c r="P446" s="199" t="s">
        <v>1056</v>
      </c>
      <c r="Q446" s="199" t="s">
        <v>1146</v>
      </c>
      <c r="R446" s="199" t="s">
        <v>1146</v>
      </c>
      <c r="S446" s="2146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O446" s="194">
        <v>9.4</v>
      </c>
      <c r="AP446" s="215">
        <v>8.1</v>
      </c>
    </row>
    <row r="447" spans="1:57" ht="15.75" customHeight="1" thickBo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637"/>
      <c r="M447" s="637"/>
      <c r="N447" s="700"/>
      <c r="O447" s="199" t="s">
        <v>1145</v>
      </c>
      <c r="P447" s="2" t="s">
        <v>1242</v>
      </c>
      <c r="Q447" s="2" t="s">
        <v>1243</v>
      </c>
      <c r="T447" s="199"/>
      <c r="U447" s="199" t="s">
        <v>1144</v>
      </c>
      <c r="V447" s="199" t="s">
        <v>1244</v>
      </c>
      <c r="W447" s="199" t="s">
        <v>647</v>
      </c>
      <c r="X447" s="329" t="s">
        <v>1245</v>
      </c>
      <c r="Y447" s="41" t="s">
        <v>1246</v>
      </c>
      <c r="Z447" s="41" t="s">
        <v>1156</v>
      </c>
      <c r="AO447" s="276" t="s">
        <v>966</v>
      </c>
      <c r="AP447" s="277" t="s">
        <v>1085</v>
      </c>
    </row>
    <row r="448" spans="1:57" ht="102" customHeight="1" thickBot="1">
      <c r="A448" s="3"/>
      <c r="B448" s="4166" t="s">
        <v>5</v>
      </c>
      <c r="C448" s="1185" t="s">
        <v>1114</v>
      </c>
      <c r="D448" s="3085"/>
      <c r="E448" s="4161" t="s">
        <v>1222</v>
      </c>
      <c r="F448" s="4161" t="s">
        <v>7</v>
      </c>
      <c r="G448" s="4467" t="s">
        <v>8</v>
      </c>
      <c r="H448" s="4445" t="s">
        <v>9</v>
      </c>
      <c r="I448" s="4387" t="s">
        <v>10</v>
      </c>
      <c r="J448" s="4388"/>
      <c r="K448" s="4471"/>
      <c r="L448" s="744"/>
      <c r="M448" s="1181" t="s">
        <v>1149</v>
      </c>
      <c r="N448" s="1160" t="s">
        <v>1150</v>
      </c>
      <c r="O448" s="302" t="s">
        <v>1151</v>
      </c>
      <c r="P448" s="302" t="s">
        <v>1065</v>
      </c>
      <c r="Q448" s="302" t="s">
        <v>1066</v>
      </c>
      <c r="R448" s="303" t="s">
        <v>1066</v>
      </c>
      <c r="S448" s="303"/>
      <c r="T448" s="303" t="s">
        <v>1067</v>
      </c>
      <c r="U448" s="302" t="s">
        <v>1240</v>
      </c>
      <c r="V448" s="303" t="s">
        <v>1241</v>
      </c>
      <c r="W448" s="176" t="s">
        <v>1070</v>
      </c>
      <c r="X448" s="321" t="s">
        <v>1154</v>
      </c>
      <c r="Y448" s="34" t="s">
        <v>1155</v>
      </c>
      <c r="Z448" s="212" t="s">
        <v>1061</v>
      </c>
      <c r="AA448" s="626" t="s">
        <v>1704</v>
      </c>
      <c r="AB448" s="626"/>
      <c r="AC448" s="69"/>
      <c r="AD448" s="69"/>
      <c r="AE448" s="132"/>
      <c r="AG448" s="302" t="s">
        <v>966</v>
      </c>
      <c r="AH448" s="302" t="s">
        <v>1157</v>
      </c>
      <c r="AI448" s="302"/>
      <c r="AJ448" s="303" t="s">
        <v>979</v>
      </c>
      <c r="AK448" s="330" t="s">
        <v>1250</v>
      </c>
      <c r="AL448" s="302" t="s">
        <v>610</v>
      </c>
      <c r="AM448" s="302" t="s">
        <v>1251</v>
      </c>
      <c r="AN448" s="302" t="s">
        <v>1252</v>
      </c>
      <c r="AO448" s="296" t="s">
        <v>1137</v>
      </c>
      <c r="AP448" s="902" t="s">
        <v>1137</v>
      </c>
      <c r="AQ448" s="331" t="s">
        <v>1164</v>
      </c>
      <c r="AR448" s="331" t="s">
        <v>1165</v>
      </c>
      <c r="AS448" s="333" t="s">
        <v>1166</v>
      </c>
      <c r="AT448" s="302" t="s">
        <v>1167</v>
      </c>
      <c r="AU448" s="333" t="s">
        <v>1168</v>
      </c>
      <c r="AV448" s="333" t="s">
        <v>1253</v>
      </c>
      <c r="AW448" s="333" t="s">
        <v>1254</v>
      </c>
      <c r="AX448" s="330" t="s">
        <v>1255</v>
      </c>
      <c r="AY448" s="330" t="s">
        <v>1256</v>
      </c>
      <c r="AZ448" s="330" t="s">
        <v>1257</v>
      </c>
      <c r="BA448" s="330" t="s">
        <v>1258</v>
      </c>
      <c r="BB448" s="334" t="s">
        <v>1259</v>
      </c>
      <c r="BC448" s="334" t="s">
        <v>1159</v>
      </c>
      <c r="BD448" s="334" t="s">
        <v>1260</v>
      </c>
      <c r="BE448" s="335" t="s">
        <v>1161</v>
      </c>
    </row>
    <row r="449" spans="1:57" ht="15.75" customHeight="1">
      <c r="A449" s="3"/>
      <c r="B449" s="4451"/>
      <c r="C449" s="1184" t="s">
        <v>27</v>
      </c>
      <c r="D449" s="3086"/>
      <c r="E449" s="4453"/>
      <c r="F449" s="4453"/>
      <c r="G449" s="4473"/>
      <c r="H449" s="4446"/>
      <c r="I449" s="4390"/>
      <c r="J449" s="4391"/>
      <c r="K449" s="4472"/>
      <c r="L449" s="630"/>
      <c r="M449" s="1183"/>
      <c r="N449" s="1180" t="s">
        <v>950</v>
      </c>
      <c r="O449" s="54" t="s">
        <v>1073</v>
      </c>
      <c r="P449" s="54" t="s">
        <v>951</v>
      </c>
      <c r="Q449" s="2" t="s">
        <v>960</v>
      </c>
      <c r="R449" s="2" t="s">
        <v>960</v>
      </c>
      <c r="S449" s="2"/>
      <c r="T449" s="54" t="s">
        <v>1074</v>
      </c>
      <c r="U449" s="54" t="s">
        <v>965</v>
      </c>
      <c r="V449" s="20" t="s">
        <v>953</v>
      </c>
      <c r="W449" s="199" t="s">
        <v>955</v>
      </c>
      <c r="X449" s="199" t="s">
        <v>952</v>
      </c>
      <c r="Y449" s="41" t="s">
        <v>1247</v>
      </c>
      <c r="Z449" s="41" t="s">
        <v>1248</v>
      </c>
      <c r="AA449" s="41" t="s">
        <v>956</v>
      </c>
      <c r="AB449" s="41"/>
      <c r="AC449" s="20" t="s">
        <v>957</v>
      </c>
      <c r="AD449" s="238" t="s">
        <v>964</v>
      </c>
      <c r="AE449" s="238" t="s">
        <v>964</v>
      </c>
      <c r="AG449" s="903" t="s">
        <v>1137</v>
      </c>
      <c r="AL449" s="293" t="s">
        <v>726</v>
      </c>
      <c r="AQ449" s="215">
        <v>9.1</v>
      </c>
      <c r="AR449" s="41">
        <v>9.1</v>
      </c>
      <c r="AS449" s="295">
        <v>8.3000000000000007</v>
      </c>
      <c r="AT449" s="295">
        <v>10</v>
      </c>
      <c r="AU449" s="288">
        <v>9.4</v>
      </c>
      <c r="AZ449" s="904">
        <v>0</v>
      </c>
      <c r="BA449" s="904">
        <v>0</v>
      </c>
      <c r="BB449" s="906" t="s">
        <v>1130</v>
      </c>
      <c r="BC449" s="20" t="s">
        <v>135</v>
      </c>
      <c r="BD449" s="20">
        <v>9.6</v>
      </c>
      <c r="BE449" s="20">
        <v>9.4</v>
      </c>
    </row>
    <row r="450" spans="1:57" ht="82.5" customHeight="1">
      <c r="A450" s="3"/>
      <c r="B450" s="4452"/>
      <c r="C450" s="11" t="s">
        <v>263</v>
      </c>
      <c r="D450" s="888"/>
      <c r="E450" s="4454"/>
      <c r="F450" s="4454"/>
      <c r="G450" s="200" t="s">
        <v>78</v>
      </c>
      <c r="H450" s="4447"/>
      <c r="I450" s="12" t="s">
        <v>79</v>
      </c>
      <c r="J450" s="12" t="s">
        <v>80</v>
      </c>
      <c r="K450" s="13" t="s">
        <v>81</v>
      </c>
      <c r="L450" s="1187" t="s">
        <v>1759</v>
      </c>
      <c r="M450" s="1182" t="s">
        <v>27</v>
      </c>
      <c r="N450" s="1162" t="s">
        <v>966</v>
      </c>
      <c r="O450" s="302" t="s">
        <v>1157</v>
      </c>
      <c r="P450" s="302" t="s">
        <v>1086</v>
      </c>
      <c r="Q450" s="302" t="s">
        <v>978</v>
      </c>
      <c r="R450" s="303" t="s">
        <v>979</v>
      </c>
      <c r="S450" s="303"/>
      <c r="T450" s="330" t="s">
        <v>1250</v>
      </c>
      <c r="U450" s="302" t="s">
        <v>610</v>
      </c>
      <c r="V450" s="302" t="s">
        <v>1252</v>
      </c>
      <c r="W450" s="331" t="s">
        <v>1091</v>
      </c>
      <c r="X450" s="332" t="s">
        <v>1163</v>
      </c>
      <c r="Y450" s="331" t="s">
        <v>1164</v>
      </c>
      <c r="Z450" s="331" t="s">
        <v>1165</v>
      </c>
      <c r="AA450" s="333" t="s">
        <v>1166</v>
      </c>
      <c r="AB450" s="333"/>
      <c r="AC450" s="333" t="s">
        <v>1168</v>
      </c>
      <c r="AD450" s="334" t="s">
        <v>1260</v>
      </c>
      <c r="AE450" s="335" t="s">
        <v>1161</v>
      </c>
      <c r="AG450" s="274" t="s">
        <v>1077</v>
      </c>
      <c r="AH450" s="274" t="s">
        <v>610</v>
      </c>
      <c r="AI450" s="2393"/>
      <c r="AJ450" s="274" t="s">
        <v>1080</v>
      </c>
      <c r="AK450" s="271" t="s">
        <v>1081</v>
      </c>
      <c r="AL450" s="271" t="s">
        <v>1082</v>
      </c>
      <c r="AM450" s="271" t="s">
        <v>1083</v>
      </c>
      <c r="AN450" s="271" t="s">
        <v>1084</v>
      </c>
      <c r="AQ450" s="278" t="s">
        <v>1086</v>
      </c>
      <c r="AR450" s="279" t="s">
        <v>978</v>
      </c>
      <c r="AS450" s="280" t="s">
        <v>979</v>
      </c>
      <c r="AT450" s="280" t="s">
        <v>1087</v>
      </c>
      <c r="AU450" s="281" t="s">
        <v>1088</v>
      </c>
      <c r="AV450" s="282" t="s">
        <v>1089</v>
      </c>
      <c r="AW450" s="282" t="s">
        <v>1090</v>
      </c>
      <c r="AX450" s="282" t="s">
        <v>984</v>
      </c>
      <c r="AY450" s="283" t="s">
        <v>1091</v>
      </c>
      <c r="AZ450" s="284"/>
      <c r="BA450" s="284"/>
      <c r="BB450" s="284"/>
    </row>
    <row r="451" spans="1:57" ht="15.75" customHeight="1">
      <c r="B451" s="20">
        <v>1</v>
      </c>
      <c r="C451" s="252">
        <v>44348</v>
      </c>
      <c r="D451" s="41">
        <v>249</v>
      </c>
      <c r="E451" s="1536" t="str">
        <f>_xlfn.XLOOKUP($D451,  Tabla3[No.],  Tabla3[CURP], " ")</f>
        <v>AISR891008MCCVNX01</v>
      </c>
      <c r="F451" s="1402" t="str">
        <f>_xlfn.XLOOKUP($D451,  Tabla3[No.],  Tabla3[Matrícula Of. SEQ], " ")</f>
        <v>64DD04A-01</v>
      </c>
      <c r="G451" s="1806" t="str">
        <f>IFERROR(VLOOKUP(D451,Tabla3[],5,FALSE),"")</f>
        <v xml:space="preserve">AVILA SANDOVAL ROXANA </v>
      </c>
      <c r="H451" s="737" t="str">
        <f t="shared" ref="H451:H453" si="107">MID($E451,11,1)</f>
        <v>M</v>
      </c>
      <c r="I451" s="737" t="str">
        <f t="shared" ref="I451:I453" si="108">MID($E451,5,2)</f>
        <v>89</v>
      </c>
      <c r="J451" s="737" t="str">
        <f t="shared" ref="J451:J453" si="109">MID($E451,7,2)</f>
        <v>10</v>
      </c>
      <c r="K451" s="737" t="str">
        <f t="shared" ref="K451:K453" si="110">MID($E451,9,2)</f>
        <v>08</v>
      </c>
      <c r="L451" s="1232" t="str">
        <f>_xlfn.XLOOKUP($E451,Tabla3[CURP],Tabla3[ESTATUS ACADÉMICO]," ")</f>
        <v>EGRESADO</v>
      </c>
      <c r="M451" s="1233" t="s">
        <v>5076</v>
      </c>
      <c r="N451" s="41"/>
      <c r="O451" s="41"/>
      <c r="P451" s="20">
        <v>9.6999999999999993</v>
      </c>
      <c r="Q451" s="41"/>
      <c r="R451" s="41">
        <v>9.6999999999999993</v>
      </c>
      <c r="S451" s="41"/>
      <c r="T451" s="223">
        <v>10</v>
      </c>
      <c r="U451" s="14" t="s">
        <v>726</v>
      </c>
      <c r="V451" s="20">
        <v>9.1999999999999993</v>
      </c>
      <c r="W451" s="138"/>
      <c r="X451" s="20">
        <v>9.4</v>
      </c>
      <c r="Y451" s="20">
        <v>10</v>
      </c>
      <c r="Z451" s="315">
        <v>9.1</v>
      </c>
      <c r="AA451" s="20">
        <v>10</v>
      </c>
      <c r="AB451" s="20"/>
      <c r="AC451" s="20"/>
      <c r="AD451" s="20"/>
      <c r="AE451" s="41"/>
      <c r="AG451" s="215">
        <v>8.1</v>
      </c>
      <c r="AH451" s="293" t="s">
        <v>726</v>
      </c>
      <c r="AI451" s="293"/>
      <c r="AJ451" s="295">
        <v>10</v>
      </c>
      <c r="AK451" s="295">
        <v>8.3000000000000007</v>
      </c>
      <c r="AL451" s="288">
        <v>9.4</v>
      </c>
      <c r="AM451" s="902" t="s">
        <v>1137</v>
      </c>
      <c r="AN451" s="902" t="s">
        <v>1137</v>
      </c>
      <c r="AQ451" s="625">
        <v>9</v>
      </c>
      <c r="AR451" s="904">
        <v>0</v>
      </c>
      <c r="AS451" s="904">
        <v>0</v>
      </c>
      <c r="AT451" s="905"/>
      <c r="AU451" s="906" t="s">
        <v>1130</v>
      </c>
      <c r="AV451" s="20" t="s">
        <v>135</v>
      </c>
      <c r="AW451" s="20">
        <v>9.6</v>
      </c>
      <c r="AX451" s="20">
        <v>9.4</v>
      </c>
      <c r="AY451" s="194">
        <v>9.4</v>
      </c>
      <c r="AZ451" s="20">
        <v>0</v>
      </c>
      <c r="BA451" s="41"/>
      <c r="BB451" s="41"/>
    </row>
    <row r="452" spans="1:57" ht="15.75" customHeight="1">
      <c r="B452" s="20">
        <v>2</v>
      </c>
      <c r="C452" s="22">
        <v>44440</v>
      </c>
      <c r="D452" s="20">
        <v>265</v>
      </c>
      <c r="E452" s="1536" t="str">
        <f>_xlfn.XLOOKUP($D452,  Tabla3[No.],  Tabla3[CURP], " ")</f>
        <v>CAAM800127HJCHGR04</v>
      </c>
      <c r="F452" s="1402" t="str">
        <f>_xlfn.XLOOKUP($D452,  Tabla3[No.],  Tabla3[Matrícula Of. SEQ], " ")</f>
        <v>64DD04A-03</v>
      </c>
      <c r="G452" s="1806" t="str">
        <f>IFERROR(VLOOKUP(D452,Tabla3[],5,FALSE),"")</f>
        <v>CHAVEZ AGUAYO MARCO ANTONIO</v>
      </c>
      <c r="H452" s="737" t="str">
        <f t="shared" si="107"/>
        <v>H</v>
      </c>
      <c r="I452" s="737" t="str">
        <f t="shared" si="108"/>
        <v>80</v>
      </c>
      <c r="J452" s="737" t="str">
        <f t="shared" si="109"/>
        <v>01</v>
      </c>
      <c r="K452" s="737" t="str">
        <f t="shared" si="110"/>
        <v>27</v>
      </c>
      <c r="L452" s="1232" t="str">
        <f>_xlfn.XLOOKUP($E452,Tabla3[CURP],Tabla3[ESTATUS ACADÉMICO]," ")</f>
        <v>EGRESADO</v>
      </c>
      <c r="M452" s="1233" t="s">
        <v>5076</v>
      </c>
      <c r="N452" s="41"/>
      <c r="O452" s="41"/>
      <c r="P452" s="20">
        <v>9.6</v>
      </c>
      <c r="Q452" s="41"/>
      <c r="R452" s="41"/>
      <c r="S452" s="701"/>
      <c r="U452" s="14">
        <v>10</v>
      </c>
      <c r="V452" s="20">
        <v>9</v>
      </c>
      <c r="W452" s="20">
        <v>10</v>
      </c>
      <c r="X452" s="20">
        <v>9.4</v>
      </c>
      <c r="Y452" s="20">
        <v>10</v>
      </c>
      <c r="Z452" s="315">
        <v>10</v>
      </c>
      <c r="AA452" s="20">
        <v>10</v>
      </c>
      <c r="AB452" s="20"/>
      <c r="AC452" s="20"/>
      <c r="AD452" s="20"/>
      <c r="AE452" s="41"/>
    </row>
    <row r="453" spans="1:57" ht="15.75" customHeight="1">
      <c r="B453" s="20">
        <v>3</v>
      </c>
      <c r="C453" s="22">
        <v>44440</v>
      </c>
      <c r="D453" s="20">
        <v>270</v>
      </c>
      <c r="E453" s="1536" t="str">
        <f>_xlfn.XLOOKUP($D453,  Tabla3[No.],  Tabla3[CURP], " ")</f>
        <v>CUHF690713HDFRRS09</v>
      </c>
      <c r="F453" s="1402" t="str">
        <f>_xlfn.XLOOKUP($D453,  Tabla3[No.],  Tabla3[Matrícula Of. SEQ], " ")</f>
        <v>64DD04A2-02</v>
      </c>
      <c r="G453" s="1806" t="str">
        <f>IFERROR(VLOOKUP(D453,Tabla3[],5,FALSE),"")</f>
        <v xml:space="preserve">CRUZ HERNANDEZ FAUSTINO </v>
      </c>
      <c r="H453" s="737" t="str">
        <f t="shared" si="107"/>
        <v>H</v>
      </c>
      <c r="I453" s="737" t="str">
        <f t="shared" si="108"/>
        <v>69</v>
      </c>
      <c r="J453" s="737" t="str">
        <f t="shared" si="109"/>
        <v>07</v>
      </c>
      <c r="K453" s="737" t="str">
        <f t="shared" si="110"/>
        <v>13</v>
      </c>
      <c r="L453" s="1232" t="str">
        <f>_xlfn.XLOOKUP($E453,Tabla3[CURP],Tabla3[ESTATUS ACADÉMICO]," ")</f>
        <v>EGRESADO</v>
      </c>
      <c r="M453" s="1233" t="s">
        <v>5077</v>
      </c>
      <c r="N453" s="41"/>
      <c r="O453" s="41"/>
      <c r="P453" s="20">
        <v>9.6</v>
      </c>
      <c r="Q453" s="41"/>
      <c r="R453" s="41"/>
      <c r="S453" s="87"/>
      <c r="T453" s="336"/>
      <c r="U453" s="14">
        <v>8.3000000000000007</v>
      </c>
      <c r="V453" s="20">
        <v>9.1999999999999993</v>
      </c>
      <c r="W453" s="20">
        <v>10</v>
      </c>
      <c r="X453" s="20">
        <v>9.5</v>
      </c>
      <c r="Y453" s="20">
        <v>8.5</v>
      </c>
      <c r="Z453" s="315">
        <v>8.4</v>
      </c>
      <c r="AA453" s="20">
        <v>10</v>
      </c>
      <c r="AB453" s="20"/>
      <c r="AC453" s="20"/>
      <c r="AD453" s="20"/>
      <c r="AE453" s="41"/>
    </row>
    <row r="454" spans="1:57" ht="15.75" customHeight="1">
      <c r="B454" s="20">
        <v>4</v>
      </c>
      <c r="C454" s="252">
        <v>44348</v>
      </c>
      <c r="D454" s="41">
        <v>211</v>
      </c>
      <c r="E454" s="1536" t="str">
        <f>_xlfn.XLOOKUP($D454,  Tabla3[No.],  Tabla3[CURP], " ")</f>
        <v>GATA670516MNLRRD04</v>
      </c>
      <c r="F454" s="1402" t="str">
        <f>_xlfn.XLOOKUP($D454,  Tabla3[No.],  Tabla3[Matrícula Of. SEQ], " ")</f>
        <v>64DD04A-03</v>
      </c>
      <c r="G454" s="1806" t="str">
        <f>IFERROR(VLOOKUP(D454,Tabla3[],5,FALSE),"")</f>
        <v>GARCIA TREVIÑO ADRIANA DEL CARMEN</v>
      </c>
      <c r="H454" s="737" t="str">
        <f t="shared" ref="H454:H462" si="111">MID($E454,11,1)</f>
        <v>M</v>
      </c>
      <c r="I454" s="737" t="str">
        <f t="shared" ref="I454:I462" si="112">MID($E454,5,2)</f>
        <v>67</v>
      </c>
      <c r="J454" s="737" t="str">
        <f t="shared" ref="J454:J462" si="113">MID($E454,7,2)</f>
        <v>05</v>
      </c>
      <c r="K454" s="737" t="str">
        <f t="shared" ref="K454:K462" si="114">MID($E454,9,2)</f>
        <v>16</v>
      </c>
      <c r="L454" s="1232" t="str">
        <f>_xlfn.XLOOKUP($E454,Tabla3[CURP],Tabla3[ESTATUS ACADÉMICO]," ")</f>
        <v>EGRESADO</v>
      </c>
      <c r="M454" s="1233" t="s">
        <v>5076</v>
      </c>
      <c r="N454" s="41"/>
      <c r="O454" s="41"/>
      <c r="P454" s="20">
        <v>9.6</v>
      </c>
      <c r="Q454" s="41"/>
      <c r="R454" s="41">
        <v>9.6999999999999993</v>
      </c>
      <c r="S454" s="41"/>
      <c r="T454" s="223">
        <v>10</v>
      </c>
      <c r="U454" s="14" t="s">
        <v>726</v>
      </c>
      <c r="V454" s="20">
        <v>9.1999999999999993</v>
      </c>
      <c r="W454" s="20">
        <v>10</v>
      </c>
      <c r="X454" s="20">
        <v>9.5</v>
      </c>
      <c r="Y454" s="20">
        <v>8</v>
      </c>
      <c r="Z454" s="315">
        <v>10</v>
      </c>
      <c r="AA454" s="20">
        <v>10</v>
      </c>
      <c r="AB454" s="20"/>
      <c r="AC454" s="20"/>
      <c r="AD454" s="20"/>
      <c r="AE454" s="41"/>
    </row>
    <row r="455" spans="1:57" ht="15.75" customHeight="1">
      <c r="B455" s="20">
        <v>5</v>
      </c>
      <c r="C455" s="252">
        <v>44248</v>
      </c>
      <c r="D455" s="41">
        <v>191</v>
      </c>
      <c r="E455" s="1536" t="str">
        <f>_xlfn.XLOOKUP($D455,  Tabla3[No.],  Tabla3[CURP], " ")</f>
        <v>HUGY840518MDFRZH03</v>
      </c>
      <c r="F455" s="1402" t="str">
        <f>_xlfn.XLOOKUP($D455,  Tabla3[No.],  Tabla3[Matrícula Of. SEQ], " ")</f>
        <v>64DD04A-04</v>
      </c>
      <c r="G455" s="1806" t="str">
        <f>IFERROR(VLOOKUP(D455,Tabla3[],5,FALSE),"")</f>
        <v>HUERTA GUZMAN YAHAIRA YAITZIRI</v>
      </c>
      <c r="H455" s="737" t="str">
        <f t="shared" si="111"/>
        <v>M</v>
      </c>
      <c r="I455" s="737" t="str">
        <f t="shared" si="112"/>
        <v>84</v>
      </c>
      <c r="J455" s="737" t="str">
        <f t="shared" si="113"/>
        <v>05</v>
      </c>
      <c r="K455" s="737" t="str">
        <f t="shared" si="114"/>
        <v>18</v>
      </c>
      <c r="L455" s="1232" t="str">
        <f>_xlfn.XLOOKUP($E455,Tabla3[CURP],Tabla3[ESTATUS ACADÉMICO]," ")</f>
        <v>EGRESADO</v>
      </c>
      <c r="M455" s="1233" t="s">
        <v>5076</v>
      </c>
      <c r="N455" s="41">
        <v>10</v>
      </c>
      <c r="O455" s="41">
        <v>10</v>
      </c>
      <c r="P455" s="20">
        <v>9.6999999999999993</v>
      </c>
      <c r="Q455" s="54">
        <v>9.6999999999999993</v>
      </c>
      <c r="R455" s="41">
        <v>9.6999999999999993</v>
      </c>
      <c r="S455" s="41"/>
      <c r="T455" s="223">
        <v>9.6</v>
      </c>
      <c r="U455" s="14" t="s">
        <v>726</v>
      </c>
      <c r="V455" s="20">
        <v>9.1999999999999993</v>
      </c>
      <c r="W455" s="20">
        <v>10</v>
      </c>
      <c r="X455" s="20">
        <v>9.5</v>
      </c>
      <c r="Y455" s="20">
        <v>8</v>
      </c>
      <c r="Z455" s="315">
        <v>9</v>
      </c>
      <c r="AA455" s="20">
        <v>10</v>
      </c>
      <c r="AB455" s="20"/>
      <c r="AC455" s="20"/>
      <c r="AD455" s="20"/>
      <c r="AE455" s="41"/>
    </row>
    <row r="456" spans="1:57" ht="15.75" customHeight="1">
      <c r="B456" s="20">
        <v>8</v>
      </c>
      <c r="C456" s="326">
        <v>44368</v>
      </c>
      <c r="D456" s="20">
        <v>250</v>
      </c>
      <c r="E456" s="1536" t="str">
        <f>_xlfn.XLOOKUP($D456,  Tabla3[No.],  Tabla3[CURP], " ")</f>
        <v>MEVB800304MCLDLL00</v>
      </c>
      <c r="F456" s="1402" t="str">
        <f>_xlfn.XLOOKUP($D456,  Tabla3[No.],  Tabla3[Matrícula Of. SEQ], " ")</f>
        <v>64DD04A-07</v>
      </c>
      <c r="G456" s="1806" t="str">
        <f>IFERROR(VLOOKUP(D456,Tabla3[],5,FALSE),"")</f>
        <v xml:space="preserve">MEDINA VILLARREAL BLANCA ANNEL </v>
      </c>
      <c r="H456" s="737" t="str">
        <f t="shared" si="111"/>
        <v>M</v>
      </c>
      <c r="I456" s="737" t="str">
        <f t="shared" si="112"/>
        <v>80</v>
      </c>
      <c r="J456" s="737" t="str">
        <f t="shared" si="113"/>
        <v>03</v>
      </c>
      <c r="K456" s="737" t="str">
        <f t="shared" si="114"/>
        <v>04</v>
      </c>
      <c r="L456" s="1232" t="str">
        <f>_xlfn.XLOOKUP($E456,Tabla3[CURP],Tabla3[ESTATUS ACADÉMICO]," ")</f>
        <v>EGRESADO</v>
      </c>
      <c r="M456" s="1233" t="s">
        <v>5076</v>
      </c>
      <c r="N456" s="41"/>
      <c r="O456" s="41"/>
      <c r="P456" s="20">
        <v>9.6</v>
      </c>
      <c r="Q456" s="41"/>
      <c r="R456" s="41">
        <v>9.6999999999999993</v>
      </c>
      <c r="S456" s="41"/>
      <c r="T456" s="223">
        <v>10</v>
      </c>
      <c r="U456" s="14" t="s">
        <v>726</v>
      </c>
      <c r="V456" s="20">
        <v>9.1999999999999993</v>
      </c>
      <c r="W456" s="20">
        <v>10</v>
      </c>
      <c r="X456" s="20">
        <v>9.4</v>
      </c>
      <c r="Y456" s="20">
        <v>9</v>
      </c>
      <c r="Z456" s="315" t="s">
        <v>136</v>
      </c>
      <c r="AA456" s="20" t="s">
        <v>136</v>
      </c>
      <c r="AB456" s="20"/>
      <c r="AC456" s="20"/>
      <c r="AD456" s="20"/>
      <c r="AE456" s="41"/>
    </row>
    <row r="457" spans="1:57" ht="15.75" customHeight="1">
      <c r="B457" s="20">
        <v>11</v>
      </c>
      <c r="C457" s="328">
        <v>44440</v>
      </c>
      <c r="D457" s="20"/>
      <c r="E457" s="1536" t="str">
        <f>_xlfn.XLOOKUP($D457,  Tabla3[No.],  Tabla3[CURP], " ")</f>
        <v xml:space="preserve"> </v>
      </c>
      <c r="F457" s="1402" t="str">
        <f>_xlfn.XLOOKUP($D457,  Tabla3[No.],  Tabla3[Matrícula Of. SEQ], " ")</f>
        <v xml:space="preserve"> </v>
      </c>
      <c r="G457" s="1806" t="str">
        <f>IFERROR(VLOOKUP(D457,Tabla3[],5,FALSE),"")</f>
        <v/>
      </c>
      <c r="H457" s="737" t="str">
        <f t="shared" si="111"/>
        <v/>
      </c>
      <c r="I457" s="737" t="str">
        <f t="shared" si="112"/>
        <v/>
      </c>
      <c r="J457" s="737" t="str">
        <f t="shared" si="113"/>
        <v/>
      </c>
      <c r="K457" s="737" t="str">
        <f t="shared" si="114"/>
        <v/>
      </c>
      <c r="L457" s="1232" t="str">
        <f>_xlfn.XLOOKUP($E457,Tabla3[CURP],Tabla3[ESTATUS ACADÉMICO]," ")</f>
        <v xml:space="preserve"> </v>
      </c>
      <c r="M457" s="1233" t="s">
        <v>5076</v>
      </c>
      <c r="N457" s="41"/>
      <c r="O457" s="41"/>
      <c r="P457" s="20">
        <v>9.6</v>
      </c>
      <c r="Q457" s="41"/>
      <c r="R457" s="41"/>
      <c r="S457" s="87"/>
      <c r="T457" s="336"/>
      <c r="U457" s="14">
        <v>8.1</v>
      </c>
      <c r="V457" s="20">
        <v>9.1999999999999993</v>
      </c>
      <c r="W457" s="20">
        <v>10</v>
      </c>
      <c r="X457" s="20">
        <v>9.1999999999999993</v>
      </c>
      <c r="Y457" s="20">
        <v>8</v>
      </c>
      <c r="Z457" s="315">
        <v>7.6</v>
      </c>
      <c r="AA457" s="20">
        <v>10</v>
      </c>
      <c r="AB457" s="20"/>
      <c r="AC457" s="20"/>
      <c r="AD457" s="20"/>
      <c r="AE457" s="41"/>
    </row>
    <row r="458" spans="1:57" ht="15.75" customHeight="1">
      <c r="B458" s="20">
        <v>12</v>
      </c>
      <c r="C458" s="328">
        <v>44440</v>
      </c>
      <c r="D458" s="20">
        <v>92</v>
      </c>
      <c r="E458" s="1536" t="str">
        <f>_xlfn.XLOOKUP($D458,  Tabla3[No.],  Tabla3[CURP], " ")</f>
        <v>SACA780407MCCNRL05</v>
      </c>
      <c r="F458" s="1402" t="str">
        <f>_xlfn.XLOOKUP($D458,  Tabla3[No.],  Tabla3[Matrícula Of. SEQ], " ")</f>
        <v>64DD04A-09</v>
      </c>
      <c r="G458" s="1806" t="str">
        <f>IFERROR(VLOOKUP(D458,Tabla3[],5,FALSE),"")</f>
        <v xml:space="preserve">SANCHEZ DE LA CRUZ ALICIA </v>
      </c>
      <c r="H458" s="737" t="str">
        <f t="shared" si="111"/>
        <v>M</v>
      </c>
      <c r="I458" s="737" t="str">
        <f t="shared" si="112"/>
        <v>78</v>
      </c>
      <c r="J458" s="737" t="str">
        <f t="shared" si="113"/>
        <v>04</v>
      </c>
      <c r="K458" s="737" t="str">
        <f t="shared" si="114"/>
        <v>07</v>
      </c>
      <c r="L458" s="1232" t="str">
        <f>_xlfn.XLOOKUP($E458,Tabla3[CURP],Tabla3[ESTATUS ACADÉMICO]," ")</f>
        <v>EGRESADO</v>
      </c>
      <c r="M458" s="1233" t="s">
        <v>5076</v>
      </c>
      <c r="N458" s="41"/>
      <c r="O458" s="41"/>
      <c r="P458" s="20">
        <v>9.6</v>
      </c>
      <c r="Q458" s="41"/>
      <c r="R458" s="287">
        <v>9.6999999999999993</v>
      </c>
      <c r="S458" s="287"/>
      <c r="T458" s="287">
        <v>9.6</v>
      </c>
      <c r="U458" s="14">
        <v>6.7</v>
      </c>
      <c r="V458" s="20">
        <v>9.1999999999999993</v>
      </c>
      <c r="W458" s="20">
        <v>10</v>
      </c>
      <c r="X458" s="20">
        <v>9.1999999999999993</v>
      </c>
      <c r="Y458" s="20">
        <v>10</v>
      </c>
      <c r="Z458" s="20">
        <v>8.1999999999999993</v>
      </c>
      <c r="AA458" s="20">
        <v>10</v>
      </c>
      <c r="AB458" s="20"/>
      <c r="AC458" s="20"/>
      <c r="AD458" s="20"/>
      <c r="AE458" s="41"/>
    </row>
    <row r="459" spans="1:57" ht="38.25" customHeight="1">
      <c r="A459" s="337" t="s">
        <v>1267</v>
      </c>
      <c r="B459" s="1123"/>
      <c r="C459" s="22"/>
      <c r="D459" s="20">
        <v>178</v>
      </c>
      <c r="E459" s="1536" t="str">
        <f>_xlfn.XLOOKUP($D459,  Tabla3[No.],  Tabla3[CURP], " ")</f>
        <v>SAMM870221MSLNRN01</v>
      </c>
      <c r="F459" s="1402" t="str">
        <f>_xlfn.XLOOKUP($D459,  Tabla3[No.],  Tabla3[Matrícula Of. SEQ], " ")</f>
        <v>64DD03B-12</v>
      </c>
      <c r="G459" s="1806" t="str">
        <f>IFERROR(VLOOKUP(D459,Tabla3[],5,FALSE),"")</f>
        <v>SANDOVAL MARTINEZ MONICA JAZMIN</v>
      </c>
      <c r="H459" s="737" t="str">
        <f t="shared" si="111"/>
        <v>M</v>
      </c>
      <c r="I459" s="737" t="str">
        <f t="shared" si="112"/>
        <v>87</v>
      </c>
      <c r="J459" s="737" t="str">
        <f t="shared" si="113"/>
        <v>02</v>
      </c>
      <c r="K459" s="737" t="str">
        <f t="shared" si="114"/>
        <v>21</v>
      </c>
      <c r="L459" s="1232" t="str">
        <f>_xlfn.XLOOKUP($E459,Tabla3[CURP],Tabla3[ESTATUS ACADÉMICO]," ")</f>
        <v>EGRESADO</v>
      </c>
      <c r="M459" s="1233" t="s">
        <v>5076</v>
      </c>
      <c r="N459" s="41" t="s">
        <v>173</v>
      </c>
      <c r="O459" s="41"/>
      <c r="P459" s="41"/>
      <c r="Q459" s="41"/>
      <c r="R459" s="41"/>
      <c r="S459" s="41"/>
      <c r="T459" s="413"/>
      <c r="U459" s="1123"/>
      <c r="V459" s="1123"/>
      <c r="W459" s="1123"/>
      <c r="X459" s="1123"/>
      <c r="Y459" s="1123"/>
      <c r="Z459" s="1123"/>
      <c r="AA459" s="1123"/>
      <c r="AB459" s="1123"/>
      <c r="AC459" s="1123"/>
      <c r="AD459" s="1123"/>
      <c r="AE459" s="1123"/>
    </row>
    <row r="460" spans="1:57" ht="15.75" customHeight="1">
      <c r="A460" s="338" t="s">
        <v>1195</v>
      </c>
      <c r="B460" s="20">
        <v>13</v>
      </c>
      <c r="C460" s="22">
        <v>44409</v>
      </c>
      <c r="D460" s="20">
        <v>43</v>
      </c>
      <c r="E460" s="1536" t="str">
        <f>_xlfn.XLOOKUP($D460,  Tabla3[No.],  Tabla3[CURP], " ")</f>
        <v>VEMC790815HGRGRR04</v>
      </c>
      <c r="F460" s="1402" t="str">
        <f>_xlfn.XLOOKUP($D460,  Tabla3[No.],  Tabla3[Matrícula Of. SEQ], " ")</f>
        <v>64DD03B-14</v>
      </c>
      <c r="G460" s="1806" t="str">
        <f>IFERROR(VLOOKUP(D460,Tabla3[],5,FALSE),"")</f>
        <v>VEGA MARTINEZ CARLOS</v>
      </c>
      <c r="H460" s="737" t="str">
        <f t="shared" si="111"/>
        <v>H</v>
      </c>
      <c r="I460" s="737" t="str">
        <f t="shared" si="112"/>
        <v>79</v>
      </c>
      <c r="J460" s="737" t="str">
        <f t="shared" si="113"/>
        <v>08</v>
      </c>
      <c r="K460" s="737" t="str">
        <f t="shared" si="114"/>
        <v>15</v>
      </c>
      <c r="L460" s="1232" t="str">
        <f>_xlfn.XLOOKUP($E460,Tabla3[CURP],Tabla3[ESTATUS ACADÉMICO]," ")</f>
        <v>EGRESADO</v>
      </c>
      <c r="M460" s="1233" t="s">
        <v>5076</v>
      </c>
      <c r="N460" s="41"/>
      <c r="O460" s="41"/>
      <c r="P460" s="41"/>
      <c r="Q460" s="41"/>
      <c r="R460" s="41"/>
      <c r="S460" s="41"/>
      <c r="T460" s="413" t="s">
        <v>1269</v>
      </c>
      <c r="U460" s="1123"/>
      <c r="V460" s="1123"/>
      <c r="W460" s="1123"/>
      <c r="X460" s="1123"/>
      <c r="Y460" s="1123"/>
      <c r="Z460" s="1123"/>
      <c r="AA460" s="1123"/>
      <c r="AB460" s="1123"/>
      <c r="AC460" s="1123"/>
      <c r="AD460" s="1123"/>
      <c r="AE460" s="1123"/>
    </row>
    <row r="461" spans="1:57" ht="15.75" customHeight="1">
      <c r="A461" s="3" t="s">
        <v>1270</v>
      </c>
      <c r="B461" s="1123"/>
      <c r="C461" s="22">
        <v>44440</v>
      </c>
      <c r="D461" s="20">
        <v>267</v>
      </c>
      <c r="E461" s="1536" t="str">
        <f>_xlfn.XLOOKUP($D461,  Tabla3[No.],  Tabla3[CURP], " ")</f>
        <v>MACI810921MQRYHL00</v>
      </c>
      <c r="F461" s="1402" t="str">
        <f>_xlfn.XLOOKUP($D461,  Tabla3[No.],  Tabla3[Matrícula Of. SEQ], " ")</f>
        <v>64DD04A-05</v>
      </c>
      <c r="G461" s="1806" t="str">
        <f>IFERROR(VLOOKUP(D461,Tabla3[],5,FALSE),"")</f>
        <v xml:space="preserve">MAY CHAN ILEANA VICTORIA </v>
      </c>
      <c r="H461" s="737" t="str">
        <f t="shared" si="111"/>
        <v>M</v>
      </c>
      <c r="I461" s="737" t="str">
        <f t="shared" si="112"/>
        <v>81</v>
      </c>
      <c r="J461" s="737" t="str">
        <f t="shared" si="113"/>
        <v>09</v>
      </c>
      <c r="K461" s="737" t="str">
        <f t="shared" si="114"/>
        <v>21</v>
      </c>
      <c r="L461" s="1232" t="str">
        <f>_xlfn.XLOOKUP($E461,Tabla3[CURP],Tabla3[ESTATUS ACADÉMICO]," ")</f>
        <v>BAJA TEMPORAL</v>
      </c>
      <c r="M461" s="1233" t="s">
        <v>5076</v>
      </c>
      <c r="N461" s="41"/>
      <c r="O461" s="41"/>
      <c r="P461" s="20">
        <v>9.6</v>
      </c>
      <c r="Q461" s="41"/>
      <c r="R461" s="41"/>
      <c r="S461" s="900"/>
      <c r="T461" s="1034"/>
      <c r="U461" s="980" t="s">
        <v>726</v>
      </c>
      <c r="V461" s="896">
        <v>9.1999999999999993</v>
      </c>
      <c r="W461" s="1188" t="s">
        <v>1272</v>
      </c>
      <c r="X461" s="1188"/>
      <c r="Y461" s="1188" t="s">
        <v>136</v>
      </c>
      <c r="Z461" s="1123"/>
      <c r="AA461" s="1188"/>
      <c r="AB461" s="2271"/>
      <c r="AC461" s="896"/>
      <c r="AD461" s="896"/>
      <c r="AE461" s="41"/>
    </row>
    <row r="462" spans="1:57" ht="15.75" customHeight="1">
      <c r="A462" s="338" t="s">
        <v>1195</v>
      </c>
      <c r="B462" s="1123"/>
      <c r="C462" s="22">
        <v>44501</v>
      </c>
      <c r="D462" s="20">
        <v>153</v>
      </c>
      <c r="E462" s="1536" t="str">
        <f>_xlfn.XLOOKUP($D462,  Tabla3[No.],  Tabla3[CURP], " ")</f>
        <v>PEJS780105HCCCMR03</v>
      </c>
      <c r="F462" s="1402" t="str">
        <f>_xlfn.XLOOKUP($D462,  Tabla3[No.],  Tabla3[Matrícula Of. SEQ], " ")</f>
        <v>64DD04A-11</v>
      </c>
      <c r="G462" s="1806" t="str">
        <f>IFERROR(VLOOKUP(D462,Tabla3[],5,FALSE),"")</f>
        <v>PECH JIMENEZ SERGIO ALFONSO</v>
      </c>
      <c r="H462" s="737" t="str">
        <f t="shared" si="111"/>
        <v>H</v>
      </c>
      <c r="I462" s="737" t="str">
        <f t="shared" si="112"/>
        <v>78</v>
      </c>
      <c r="J462" s="737" t="str">
        <f t="shared" si="113"/>
        <v>01</v>
      </c>
      <c r="K462" s="737" t="str">
        <f t="shared" si="114"/>
        <v>05</v>
      </c>
      <c r="L462" s="1232" t="str">
        <f>_xlfn.XLOOKUP($E462,Tabla3[CURP],Tabla3[ESTATUS ACADÉMICO]," ")</f>
        <v>EGRESADO</v>
      </c>
      <c r="M462" s="1233" t="s">
        <v>5076</v>
      </c>
      <c r="N462" s="41">
        <v>9.5</v>
      </c>
      <c r="O462" s="41">
        <v>9.4</v>
      </c>
      <c r="P462" s="138">
        <v>9.4</v>
      </c>
      <c r="Q462" s="41">
        <v>9.4</v>
      </c>
      <c r="R462" s="41">
        <v>9.5</v>
      </c>
      <c r="S462" s="41"/>
      <c r="T462" s="41">
        <v>9.8000000000000007</v>
      </c>
      <c r="U462" s="339">
        <v>9</v>
      </c>
      <c r="V462" s="20">
        <v>10</v>
      </c>
      <c r="W462" s="20">
        <v>8.6</v>
      </c>
      <c r="X462" s="20">
        <v>9.1999999999999993</v>
      </c>
      <c r="Y462" s="20">
        <v>9</v>
      </c>
      <c r="Z462" s="315">
        <v>7.6</v>
      </c>
      <c r="AA462" s="20">
        <v>8</v>
      </c>
      <c r="AB462" s="20"/>
      <c r="AC462" s="41">
        <v>9.4</v>
      </c>
      <c r="AD462" s="20"/>
      <c r="AE462" s="340"/>
    </row>
    <row r="463" spans="1:57" ht="15.75" customHeight="1"/>
    <row r="464" spans="1:57" ht="15.75" customHeight="1"/>
    <row r="465" spans="1:32" ht="15.75" customHeight="1"/>
    <row r="466" spans="1:32" ht="15.75" customHeight="1"/>
    <row r="467" spans="1:32" ht="15.75" customHeight="1">
      <c r="A467" s="3"/>
      <c r="B467" s="643"/>
      <c r="C467" s="891"/>
      <c r="D467" s="891"/>
      <c r="E467" s="1107"/>
      <c r="F467" s="1107"/>
      <c r="G467" s="1109"/>
      <c r="H467" s="959"/>
      <c r="I467" s="959"/>
      <c r="J467" s="959"/>
      <c r="K467" s="959"/>
      <c r="L467" s="643"/>
      <c r="M467" s="643"/>
      <c r="N467" s="899"/>
      <c r="O467" s="899"/>
      <c r="P467" s="928"/>
      <c r="Q467" s="701"/>
      <c r="R467" s="2"/>
      <c r="S467" s="2"/>
      <c r="T467" s="2"/>
      <c r="U467" s="950"/>
      <c r="V467" s="643"/>
      <c r="W467" s="643"/>
      <c r="X467" s="928"/>
      <c r="Y467" s="928"/>
      <c r="Z467" s="1199"/>
      <c r="AA467" s="928"/>
      <c r="AB467" s="643"/>
      <c r="AC467" s="701"/>
      <c r="AD467" s="643"/>
      <c r="AE467" s="701"/>
    </row>
    <row r="468" spans="1:32" ht="15.75" customHeight="1">
      <c r="A468" s="3"/>
      <c r="B468" s="3"/>
      <c r="C468" s="193"/>
      <c r="D468" s="193"/>
      <c r="E468" s="16"/>
      <c r="F468" s="341"/>
      <c r="G468" s="16"/>
      <c r="H468" s="219"/>
      <c r="I468" s="219"/>
      <c r="J468" s="219"/>
      <c r="K468" s="219"/>
      <c r="L468" s="3"/>
      <c r="M468" s="3"/>
      <c r="N468" s="22">
        <v>44562</v>
      </c>
      <c r="O468" s="54" t="s">
        <v>559</v>
      </c>
      <c r="P468" s="54" t="s">
        <v>1236</v>
      </c>
      <c r="Q468" s="1200">
        <v>44673</v>
      </c>
      <c r="R468" s="1123"/>
      <c r="S468" s="1123"/>
      <c r="T468" s="20"/>
      <c r="U468" s="20"/>
      <c r="V468" s="20"/>
      <c r="W468" s="20"/>
      <c r="X468" s="1093">
        <v>44562</v>
      </c>
      <c r="Y468" s="309" t="s">
        <v>559</v>
      </c>
      <c r="Z468" s="309" t="s">
        <v>1236</v>
      </c>
      <c r="AA468" s="1198" t="s">
        <v>561</v>
      </c>
      <c r="AB468" s="1681"/>
      <c r="AC468" s="637"/>
      <c r="AD468" s="637"/>
      <c r="AE468" s="630"/>
    </row>
    <row r="469" spans="1:32" ht="18" customHeight="1">
      <c r="A469" s="3"/>
      <c r="B469" s="4166" t="s">
        <v>5</v>
      </c>
      <c r="C469" s="4475" t="s">
        <v>1247</v>
      </c>
      <c r="D469" s="107"/>
      <c r="E469" s="4444" t="s">
        <v>1222</v>
      </c>
      <c r="F469" s="4444" t="s">
        <v>7</v>
      </c>
      <c r="G469" s="4429" t="s">
        <v>8</v>
      </c>
      <c r="H469" s="4443" t="s">
        <v>9</v>
      </c>
      <c r="I469" s="4407" t="s">
        <v>10</v>
      </c>
      <c r="J469" s="4407"/>
      <c r="K469" s="4407"/>
      <c r="L469" s="1202"/>
      <c r="M469" s="637"/>
      <c r="N469" s="1197" t="s">
        <v>647</v>
      </c>
      <c r="O469" s="1191" t="s">
        <v>1245</v>
      </c>
      <c r="P469" s="262" t="s">
        <v>1055</v>
      </c>
      <c r="Q469" s="41" t="s">
        <v>1276</v>
      </c>
      <c r="R469" s="1123"/>
      <c r="S469" s="1123"/>
      <c r="T469" s="20"/>
      <c r="U469" s="20"/>
      <c r="V469" s="20"/>
      <c r="W469" s="20"/>
      <c r="X469" s="1190" t="s">
        <v>647</v>
      </c>
      <c r="Y469" s="1190" t="s">
        <v>1245</v>
      </c>
      <c r="Z469" s="1190" t="s">
        <v>1275</v>
      </c>
      <c r="AA469" s="1192"/>
      <c r="AB469" s="2146"/>
      <c r="AC469" s="637"/>
      <c r="AD469" s="637"/>
      <c r="AE469" s="630"/>
    </row>
    <row r="470" spans="1:32" ht="77.650000000000006" customHeight="1">
      <c r="A470" s="3"/>
      <c r="B470" s="4451"/>
      <c r="C470" s="4475"/>
      <c r="D470" s="107"/>
      <c r="E470" s="4444"/>
      <c r="F470" s="4444"/>
      <c r="G470" s="4429"/>
      <c r="H470" s="4443"/>
      <c r="I470" s="4407"/>
      <c r="J470" s="4407"/>
      <c r="K470" s="4407"/>
      <c r="L470" s="1118"/>
      <c r="M470" s="1181" t="s">
        <v>1149</v>
      </c>
      <c r="N470" s="1196" t="s">
        <v>1070</v>
      </c>
      <c r="O470" s="321" t="s">
        <v>1154</v>
      </c>
      <c r="P470" s="132"/>
      <c r="Q470" s="1201" t="s">
        <v>1061</v>
      </c>
      <c r="R470" s="1123"/>
      <c r="S470" s="1123"/>
      <c r="T470" s="20"/>
      <c r="U470" s="20"/>
      <c r="V470" s="20"/>
      <c r="W470" s="20"/>
      <c r="X470" s="176" t="s">
        <v>1070</v>
      </c>
      <c r="Y470" s="342" t="s">
        <v>1154</v>
      </c>
      <c r="Z470" s="342" t="s">
        <v>1155</v>
      </c>
      <c r="AA470" s="636" t="s">
        <v>1061</v>
      </c>
      <c r="AB470" s="2272"/>
      <c r="AC470" s="637"/>
      <c r="AD470" s="637"/>
      <c r="AE470" s="630"/>
    </row>
    <row r="471" spans="1:32" ht="15.75" customHeight="1">
      <c r="A471" s="3"/>
      <c r="B471" s="4451"/>
      <c r="C471" s="1203" t="s">
        <v>27</v>
      </c>
      <c r="D471" s="3088"/>
      <c r="E471" s="4444"/>
      <c r="F471" s="4444"/>
      <c r="G471" s="4429"/>
      <c r="H471" s="4443"/>
      <c r="I471" s="4407"/>
      <c r="J471" s="4407"/>
      <c r="K471" s="4407"/>
      <c r="L471" s="1212"/>
      <c r="M471" s="927"/>
      <c r="N471" s="1213"/>
      <c r="O471" s="1213" t="s">
        <v>952</v>
      </c>
      <c r="P471" s="1214"/>
      <c r="Q471" s="700"/>
      <c r="R471" s="1215"/>
      <c r="S471" s="1215"/>
      <c r="T471" s="1216"/>
      <c r="U471" s="1216"/>
      <c r="V471" s="1216"/>
      <c r="W471" s="1216"/>
      <c r="X471" s="1195"/>
      <c r="Y471" s="1195" t="s">
        <v>952</v>
      </c>
      <c r="Z471" s="1195"/>
      <c r="AA471" s="1195"/>
      <c r="AB471" s="1195"/>
      <c r="AC471" s="637"/>
      <c r="AD471" s="637" t="s">
        <v>960</v>
      </c>
      <c r="AE471" s="630" t="s">
        <v>960</v>
      </c>
    </row>
    <row r="472" spans="1:32" ht="60.75" customHeight="1" thickBot="1">
      <c r="A472" s="3" t="s">
        <v>173</v>
      </c>
      <c r="B472" s="4452"/>
      <c r="C472" s="1204" t="s">
        <v>1277</v>
      </c>
      <c r="D472" s="1204"/>
      <c r="E472" s="4444"/>
      <c r="F472" s="4444"/>
      <c r="G472" s="1172" t="s">
        <v>78</v>
      </c>
      <c r="H472" s="4443"/>
      <c r="I472" s="181" t="s">
        <v>79</v>
      </c>
      <c r="J472" s="181" t="s">
        <v>80</v>
      </c>
      <c r="K472" s="181" t="s">
        <v>81</v>
      </c>
      <c r="L472" s="1186" t="s">
        <v>1759</v>
      </c>
      <c r="M472" s="1186" t="s">
        <v>27</v>
      </c>
      <c r="N472" s="331" t="s">
        <v>1091</v>
      </c>
      <c r="O472" s="332" t="s">
        <v>1163</v>
      </c>
      <c r="P472" s="331" t="s">
        <v>1164</v>
      </c>
      <c r="Q472" s="283" t="s">
        <v>1165</v>
      </c>
      <c r="R472" s="1123"/>
      <c r="S472" s="1123"/>
      <c r="T472" s="20"/>
      <c r="U472" s="20"/>
      <c r="V472" s="20"/>
      <c r="W472" s="20"/>
      <c r="X472" s="1193" t="s">
        <v>1091</v>
      </c>
      <c r="Y472" s="1194" t="s">
        <v>1163</v>
      </c>
      <c r="Z472" s="1193" t="s">
        <v>1164</v>
      </c>
      <c r="AA472" s="1193" t="s">
        <v>1165</v>
      </c>
      <c r="AB472" s="2273"/>
      <c r="AC472" s="343" t="s">
        <v>1278</v>
      </c>
      <c r="AD472" s="343" t="s">
        <v>978</v>
      </c>
      <c r="AE472" s="1205" t="s">
        <v>979</v>
      </c>
      <c r="AF472" s="1206"/>
    </row>
    <row r="473" spans="1:32" ht="15.75" customHeight="1">
      <c r="A473" s="3"/>
      <c r="B473" s="3" t="s">
        <v>1247</v>
      </c>
      <c r="C473" s="22">
        <v>44562</v>
      </c>
      <c r="D473" s="20">
        <v>317</v>
      </c>
      <c r="E473" s="1536" t="str">
        <f>_xlfn.XLOOKUP($D473,  Tabla3[No.],  Tabla3[CURP], " ")</f>
        <v>IACM730613MQRBNR18</v>
      </c>
      <c r="F473" s="1402" t="str">
        <f>_xlfn.XLOOKUP($D473,  Tabla3[No.],  Tabla3[Matrícula Of. SEQ], " ")</f>
        <v>64DD05A-01</v>
      </c>
      <c r="G473" s="1806" t="str">
        <f>IFERROR(VLOOKUP(D473,Tabla3[],5,FALSE),"")</f>
        <v xml:space="preserve">IBARRA CANCHE MARCELA </v>
      </c>
      <c r="H473" s="737" t="str">
        <f t="shared" ref="H473:H479" si="115">MID($E473,11,1)</f>
        <v>M</v>
      </c>
      <c r="I473" s="737" t="str">
        <f t="shared" ref="I473:I479" si="116">MID($E473,5,2)</f>
        <v>73</v>
      </c>
      <c r="J473" s="737" t="str">
        <f t="shared" ref="J473:J479" si="117">MID($E473,7,2)</f>
        <v>06</v>
      </c>
      <c r="K473" s="737" t="str">
        <f t="shared" ref="K473:K479" si="118">MID($E473,9,2)</f>
        <v>13</v>
      </c>
      <c r="L473" s="1232" t="str">
        <f>_xlfn.XLOOKUP($E473,Tabla3[CURP],Tabla3[ESTATUS ACADÉMICO]," ")</f>
        <v>BAJA TEMPORAL</v>
      </c>
      <c r="M473" s="1233" t="s">
        <v>5076</v>
      </c>
      <c r="N473" s="41"/>
      <c r="O473" s="41"/>
      <c r="P473" s="41"/>
      <c r="Q473" s="41">
        <v>9.6999999999999993</v>
      </c>
      <c r="R473" s="41"/>
      <c r="S473" s="41"/>
      <c r="T473" s="20"/>
      <c r="U473" s="20"/>
      <c r="V473" s="20"/>
      <c r="W473" s="20"/>
      <c r="X473" s="20"/>
      <c r="Y473" s="20"/>
      <c r="Z473" s="20">
        <v>9.1999999999999993</v>
      </c>
      <c r="AA473" s="20">
        <v>9.6999999999999993</v>
      </c>
      <c r="AB473" s="643"/>
      <c r="AD473" s="41"/>
      <c r="AE473" s="41"/>
    </row>
    <row r="474" spans="1:32" ht="15.75" customHeight="1">
      <c r="A474" s="3"/>
      <c r="B474" s="3"/>
      <c r="C474" s="22">
        <v>44562</v>
      </c>
      <c r="D474" s="20">
        <v>308</v>
      </c>
      <c r="E474" s="1536" t="str">
        <f>_xlfn.XLOOKUP($D474,  Tabla3[No.],  Tabla3[CURP], " ")</f>
        <v>VEGH731229HTCRRC07</v>
      </c>
      <c r="F474" s="1402" t="str">
        <f>_xlfn.XLOOKUP($D474,  Tabla3[No.],  Tabla3[Matrícula Of. SEQ], " ")</f>
        <v>64DD05A-06</v>
      </c>
      <c r="G474" s="1806" t="str">
        <f>IFERROR(VLOOKUP(D474,Tabla3[],5,FALSE),"")</f>
        <v>VERA GARCIA HECTOR</v>
      </c>
      <c r="H474" s="737" t="str">
        <f t="shared" si="115"/>
        <v>H</v>
      </c>
      <c r="I474" s="737" t="str">
        <f t="shared" si="116"/>
        <v>73</v>
      </c>
      <c r="J474" s="737" t="str">
        <f t="shared" si="117"/>
        <v>12</v>
      </c>
      <c r="K474" s="737" t="str">
        <f t="shared" si="118"/>
        <v>29</v>
      </c>
      <c r="L474" s="1232" t="str">
        <f>_xlfn.XLOOKUP($E474,Tabla3[CURP],Tabla3[ESTATUS ACADÉMICO]," ")</f>
        <v>BAJA TEMPORAL</v>
      </c>
      <c r="M474" s="1233" t="s">
        <v>5076</v>
      </c>
      <c r="N474" s="41"/>
      <c r="O474" s="41"/>
      <c r="P474" s="41"/>
      <c r="Q474" s="51">
        <v>3.2</v>
      </c>
      <c r="R474" s="41"/>
      <c r="S474" s="41"/>
      <c r="T474" s="20"/>
      <c r="U474" s="20"/>
      <c r="V474" s="20"/>
      <c r="W474" s="20"/>
      <c r="X474" s="20"/>
      <c r="Y474" s="20"/>
      <c r="Z474" s="20">
        <v>10</v>
      </c>
      <c r="AA474" s="21">
        <v>3.2</v>
      </c>
      <c r="AB474" s="21"/>
      <c r="AC474" s="344"/>
      <c r="AD474" s="20"/>
      <c r="AE474" s="41"/>
    </row>
    <row r="475" spans="1:32" ht="15.75" customHeight="1">
      <c r="A475" s="3"/>
      <c r="B475" s="3"/>
      <c r="C475" s="22">
        <v>44593</v>
      </c>
      <c r="D475" s="20">
        <v>330</v>
      </c>
      <c r="E475" s="1536" t="str">
        <f>_xlfn.XLOOKUP($D475,  Tabla3[No.],  Tabla3[CURP], " ")</f>
        <v>GULY811203HCSLPN06</v>
      </c>
      <c r="F475" s="1402" t="str">
        <f>_xlfn.XLOOKUP($D475,  Tabla3[No.],  Tabla3[Matrícula Of. SEQ], " ")</f>
        <v>64DD05A-03</v>
      </c>
      <c r="G475" s="1806" t="str">
        <f>IFERROR(VLOOKUP(D475,Tabla3[],5,FALSE),"")</f>
        <v>GUILLEN LOPEZ YONNI JOSUE</v>
      </c>
      <c r="H475" s="737" t="str">
        <f t="shared" si="115"/>
        <v>H</v>
      </c>
      <c r="I475" s="737" t="str">
        <f t="shared" si="116"/>
        <v>81</v>
      </c>
      <c r="J475" s="737" t="str">
        <f t="shared" si="117"/>
        <v>12</v>
      </c>
      <c r="K475" s="737" t="str">
        <f t="shared" si="118"/>
        <v>03</v>
      </c>
      <c r="L475" s="1232" t="str">
        <f>_xlfn.XLOOKUP($E475,Tabla3[CURP],Tabla3[ESTATUS ACADÉMICO]," ")</f>
        <v>EGRESADO</v>
      </c>
      <c r="M475" s="1233" t="s">
        <v>5076</v>
      </c>
      <c r="N475" s="41" t="s">
        <v>136</v>
      </c>
      <c r="O475" s="41"/>
      <c r="P475" s="41"/>
      <c r="Q475" s="41">
        <v>10</v>
      </c>
      <c r="R475" s="41"/>
      <c r="S475" s="41"/>
      <c r="T475" s="20"/>
      <c r="U475" s="20"/>
      <c r="V475" s="20"/>
      <c r="W475" s="20"/>
      <c r="X475" s="20"/>
      <c r="Y475" s="20"/>
      <c r="Z475" s="20">
        <v>9.4</v>
      </c>
      <c r="AA475" s="20">
        <v>10</v>
      </c>
      <c r="AB475" s="643"/>
      <c r="AD475" s="41"/>
      <c r="AE475" s="41"/>
    </row>
    <row r="476" spans="1:32" ht="15.75" customHeight="1">
      <c r="A476" s="30"/>
      <c r="B476" s="3"/>
      <c r="C476" s="22">
        <v>44593</v>
      </c>
      <c r="D476" s="20">
        <v>331</v>
      </c>
      <c r="E476" s="1536" t="str">
        <f>_xlfn.XLOOKUP($D476,  Tabla3[No.],  Tabla3[CURP], " ")</f>
        <v>LOTJ710629HSPPRS00</v>
      </c>
      <c r="F476" s="1402" t="str">
        <f>_xlfn.XLOOKUP($D476,  Tabla3[No.],  Tabla3[Matrícula Of. SEQ], " ")</f>
        <v>64DD05A-05</v>
      </c>
      <c r="G476" s="1806" t="str">
        <f>IFERROR(VLOOKUP(D476,Tabla3[],5,FALSE),"")</f>
        <v xml:space="preserve">LOPEZ TORRES JOSE DE JESUS </v>
      </c>
      <c r="H476" s="737" t="str">
        <f t="shared" si="115"/>
        <v>H</v>
      </c>
      <c r="I476" s="737" t="str">
        <f t="shared" si="116"/>
        <v>71</v>
      </c>
      <c r="J476" s="737" t="str">
        <f t="shared" si="117"/>
        <v>06</v>
      </c>
      <c r="K476" s="737" t="str">
        <f t="shared" si="118"/>
        <v>29</v>
      </c>
      <c r="L476" s="1232" t="str">
        <f>_xlfn.XLOOKUP($E476,Tabla3[CURP],Tabla3[ESTATUS ACADÉMICO]," ")</f>
        <v>BAJA TEMPORAL</v>
      </c>
      <c r="M476" s="1233" t="s">
        <v>5076</v>
      </c>
      <c r="N476" s="41" t="s">
        <v>136</v>
      </c>
      <c r="O476" s="41"/>
      <c r="P476" s="41"/>
      <c r="Q476" s="41">
        <v>10</v>
      </c>
      <c r="R476" s="41"/>
      <c r="S476" s="41"/>
      <c r="T476" s="20"/>
      <c r="U476" s="20"/>
      <c r="V476" s="20"/>
      <c r="W476" s="20"/>
      <c r="X476" s="20"/>
      <c r="Y476" s="20"/>
      <c r="Z476" s="20">
        <v>10</v>
      </c>
      <c r="AA476" s="20">
        <v>10</v>
      </c>
      <c r="AB476" s="20"/>
      <c r="AC476" s="20"/>
      <c r="AD476" s="41"/>
      <c r="AE476" s="41"/>
    </row>
    <row r="477" spans="1:32" ht="15.75" customHeight="1">
      <c r="A477" s="3"/>
      <c r="B477" s="3"/>
      <c r="C477" s="22">
        <v>44614</v>
      </c>
      <c r="D477" s="20">
        <v>335</v>
      </c>
      <c r="E477" s="1536" t="str">
        <f>_xlfn.XLOOKUP($D477,  Tabla3[No.],  Tabla3[CURP], " ")</f>
        <v>RORC750108HMCMZR07</v>
      </c>
      <c r="F477" s="1402" t="str">
        <f>_xlfn.XLOOKUP($D477,  Tabla3[No.],  Tabla3[Matrícula Of. SEQ], " ")</f>
        <v>64DD05A-05</v>
      </c>
      <c r="G477" s="1806" t="str">
        <f>IFERROR(VLOOKUP(D477,Tabla3[],5,FALSE),"")</f>
        <v>ROMERO RUIZ CARLOS</v>
      </c>
      <c r="H477" s="737" t="str">
        <f t="shared" si="115"/>
        <v>H</v>
      </c>
      <c r="I477" s="737" t="str">
        <f t="shared" si="116"/>
        <v>75</v>
      </c>
      <c r="J477" s="737" t="str">
        <f t="shared" si="117"/>
        <v>01</v>
      </c>
      <c r="K477" s="737" t="str">
        <f t="shared" si="118"/>
        <v>08</v>
      </c>
      <c r="L477" s="1232" t="str">
        <f>_xlfn.XLOOKUP($E477,Tabla3[CURP],Tabla3[ESTATUS ACADÉMICO]," ")</f>
        <v>EGRESADO</v>
      </c>
      <c r="M477" s="1233" t="s">
        <v>5076</v>
      </c>
      <c r="N477" s="41" t="s">
        <v>136</v>
      </c>
      <c r="O477" s="41"/>
      <c r="P477" s="41"/>
      <c r="Q477" s="41">
        <v>10</v>
      </c>
      <c r="R477" s="41"/>
      <c r="S477" s="41"/>
      <c r="T477" s="20"/>
      <c r="U477" s="20"/>
      <c r="V477" s="20"/>
      <c r="W477" s="20"/>
      <c r="X477" s="20"/>
      <c r="Y477" s="20"/>
      <c r="Z477" s="20">
        <v>10</v>
      </c>
      <c r="AA477" s="20">
        <v>10</v>
      </c>
      <c r="AB477" s="20"/>
      <c r="AC477" s="20"/>
      <c r="AD477" s="41"/>
      <c r="AE477" s="41"/>
    </row>
    <row r="478" spans="1:32" ht="15.75" customHeight="1">
      <c r="A478" s="3"/>
      <c r="B478" s="3"/>
      <c r="C478" s="22">
        <v>44639</v>
      </c>
      <c r="D478" s="20">
        <v>336</v>
      </c>
      <c r="E478" s="1536" t="str">
        <f>_xlfn.XLOOKUP($D478,  Tabla3[No.],  Tabla3[CURP], " ")</f>
        <v>DIGS770724MMCZNS06</v>
      </c>
      <c r="F478" s="1402" t="str">
        <f>_xlfn.XLOOKUP($D478,  Tabla3[No.],  Tabla3[Matrícula Of. SEQ], " ")</f>
        <v>64DD05A-02</v>
      </c>
      <c r="G478" s="1806" t="str">
        <f>IFERROR(VLOOKUP(D478,Tabla3[],5,FALSE),"")</f>
        <v>DIAZ GONZALEZ SUSANA</v>
      </c>
      <c r="H478" s="737" t="str">
        <f t="shared" si="115"/>
        <v>M</v>
      </c>
      <c r="I478" s="737" t="str">
        <f t="shared" si="116"/>
        <v>77</v>
      </c>
      <c r="J478" s="737" t="str">
        <f t="shared" si="117"/>
        <v>07</v>
      </c>
      <c r="K478" s="737" t="str">
        <f t="shared" si="118"/>
        <v>24</v>
      </c>
      <c r="L478" s="1232" t="str">
        <f>_xlfn.XLOOKUP($E478,Tabla3[CURP],Tabla3[ESTATUS ACADÉMICO]," ")</f>
        <v>EGRESADO</v>
      </c>
      <c r="M478" s="1233" t="s">
        <v>5076</v>
      </c>
      <c r="N478" s="41"/>
      <c r="O478" s="41"/>
      <c r="P478" s="41"/>
      <c r="Q478" s="41">
        <v>10</v>
      </c>
      <c r="R478" s="41"/>
      <c r="S478" s="41"/>
      <c r="T478" s="41"/>
      <c r="U478" s="20"/>
      <c r="V478" s="20"/>
      <c r="W478" s="20"/>
      <c r="X478" s="20"/>
      <c r="Y478" s="20"/>
      <c r="Z478" s="20">
        <v>10</v>
      </c>
      <c r="AA478" s="20">
        <v>10</v>
      </c>
      <c r="AB478" s="20"/>
      <c r="AC478" s="20"/>
      <c r="AD478" s="41"/>
      <c r="AE478" s="41"/>
    </row>
    <row r="479" spans="1:32" ht="15.75" customHeight="1">
      <c r="A479" s="3"/>
      <c r="B479" s="3"/>
      <c r="C479" s="22">
        <v>44639</v>
      </c>
      <c r="D479" s="20">
        <v>334</v>
      </c>
      <c r="E479" s="1536" t="str">
        <f>_xlfn.XLOOKUP($D479,  Tabla3[No.],  Tabla3[CURP], " ")</f>
        <v>LAAI750417HJCYRS07</v>
      </c>
      <c r="F479" s="1402" t="str">
        <f>_xlfn.XLOOKUP($D479,  Tabla3[No.],  Tabla3[Matrícula Of. SEQ], " ")</f>
        <v>64DD05A-04</v>
      </c>
      <c r="G479" s="1806" t="str">
        <f>IFERROR(VLOOKUP(D479,Tabla3[],5,FALSE),"")</f>
        <v>LAY ARELLANO ISRAEL TONATIUH</v>
      </c>
      <c r="H479" s="737" t="str">
        <f t="shared" si="115"/>
        <v>H</v>
      </c>
      <c r="I479" s="737" t="str">
        <f t="shared" si="116"/>
        <v>75</v>
      </c>
      <c r="J479" s="737" t="str">
        <f t="shared" si="117"/>
        <v>04</v>
      </c>
      <c r="K479" s="737" t="str">
        <f t="shared" si="118"/>
        <v>17</v>
      </c>
      <c r="L479" s="1232" t="str">
        <f>_xlfn.XLOOKUP($E479,Tabla3[CURP],Tabla3[ESTATUS ACADÉMICO]," ")</f>
        <v>EGRESADO</v>
      </c>
      <c r="M479" s="1233" t="s">
        <v>5076</v>
      </c>
      <c r="N479" s="221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>
        <v>10</v>
      </c>
      <c r="AA479" s="20">
        <v>10</v>
      </c>
      <c r="AB479" s="20"/>
      <c r="AC479" s="20"/>
      <c r="AD479" s="1123"/>
      <c r="AE479" s="1123"/>
    </row>
    <row r="480" spans="1:32" ht="15.75" customHeight="1"/>
    <row r="481" spans="1:29" ht="15.75" customHeight="1"/>
    <row r="482" spans="1:29" ht="15.75" customHeight="1"/>
    <row r="483" spans="1:29" ht="15.75" customHeight="1"/>
    <row r="484" spans="1:29" ht="15.75" customHeight="1">
      <c r="A484" s="3"/>
      <c r="B484" s="3"/>
      <c r="C484" s="3"/>
      <c r="D484" s="3"/>
      <c r="E484" s="329"/>
      <c r="F484" s="346"/>
      <c r="G484" s="329"/>
      <c r="H484" s="3"/>
      <c r="I484" s="3"/>
      <c r="J484" s="3"/>
      <c r="K484" s="3"/>
      <c r="L484" s="3"/>
      <c r="M484" s="3"/>
      <c r="N484" s="345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</row>
    <row r="485" spans="1:29" ht="15.75" customHeight="1">
      <c r="A485" s="3"/>
      <c r="B485" s="3"/>
      <c r="C485" s="3"/>
      <c r="D485" s="3"/>
      <c r="E485" s="329"/>
      <c r="F485" s="346"/>
      <c r="G485" s="329"/>
      <c r="H485" s="3"/>
      <c r="I485" s="3"/>
      <c r="J485" s="3"/>
      <c r="K485" s="3"/>
      <c r="L485" s="3"/>
      <c r="M485" s="643"/>
      <c r="N485" s="1209" t="s">
        <v>1141</v>
      </c>
      <c r="O485" s="637" t="s">
        <v>559</v>
      </c>
      <c r="P485" s="637" t="s">
        <v>560</v>
      </c>
      <c r="Q485" s="637"/>
      <c r="R485" s="637"/>
      <c r="S485" s="637"/>
      <c r="T485" s="637"/>
      <c r="U485" s="637"/>
      <c r="V485" s="637"/>
      <c r="W485" s="637"/>
      <c r="X485" s="637"/>
      <c r="Y485" s="637"/>
      <c r="Z485" s="637"/>
      <c r="AA485" s="637"/>
      <c r="AB485" s="637"/>
      <c r="AC485" s="637"/>
    </row>
    <row r="486" spans="1:29" ht="15.75" customHeight="1">
      <c r="A486" s="3"/>
      <c r="C486" s="3"/>
      <c r="D486" s="3"/>
      <c r="F486" s="346"/>
      <c r="G486" s="329"/>
      <c r="H486" s="3"/>
      <c r="I486" s="3"/>
      <c r="J486" s="3"/>
      <c r="K486" s="3"/>
      <c r="L486" s="637"/>
      <c r="M486" s="1208"/>
      <c r="N486" s="1209"/>
      <c r="O486" s="637"/>
      <c r="P486" s="637"/>
      <c r="Q486" s="637"/>
      <c r="R486" s="637"/>
      <c r="S486" s="637"/>
      <c r="T486" s="637"/>
      <c r="U486" s="637"/>
      <c r="V486" s="637"/>
      <c r="W486" s="637"/>
      <c r="X486" s="637"/>
      <c r="Y486" s="637"/>
      <c r="Z486" s="637"/>
      <c r="AA486" s="637"/>
      <c r="AB486" s="637"/>
      <c r="AC486" s="637"/>
    </row>
    <row r="487" spans="1:29" ht="82.35" customHeight="1">
      <c r="A487" s="3"/>
      <c r="B487" s="4166" t="s">
        <v>5</v>
      </c>
      <c r="C487" s="107" t="s">
        <v>1105</v>
      </c>
      <c r="D487" s="3089"/>
      <c r="E487" s="4161" t="s">
        <v>1222</v>
      </c>
      <c r="F487" s="4464" t="s">
        <v>7</v>
      </c>
      <c r="G487" s="4429" t="s">
        <v>8</v>
      </c>
      <c r="H487" s="4445" t="s">
        <v>9</v>
      </c>
      <c r="I487" s="4459" t="s">
        <v>10</v>
      </c>
      <c r="J487" s="4428"/>
      <c r="K487" s="4460"/>
      <c r="L487" s="744"/>
      <c r="M487" s="1181" t="s">
        <v>1149</v>
      </c>
      <c r="N487" s="1210" t="s">
        <v>1292</v>
      </c>
      <c r="O487" s="1210" t="s">
        <v>1293</v>
      </c>
      <c r="P487" s="1211" t="s">
        <v>1155</v>
      </c>
      <c r="Q487" s="637"/>
      <c r="R487" s="1209"/>
      <c r="S487" s="1209"/>
      <c r="T487" s="637"/>
      <c r="U487" s="637"/>
      <c r="V487" s="637"/>
      <c r="W487" s="1209"/>
      <c r="X487" s="637"/>
      <c r="Y487" s="1209"/>
      <c r="Z487" s="637"/>
      <c r="AA487" s="637"/>
      <c r="AB487" s="637"/>
      <c r="AC487" s="637"/>
    </row>
    <row r="488" spans="1:29" ht="15.75" customHeight="1">
      <c r="A488" s="40" t="s">
        <v>580</v>
      </c>
      <c r="B488" s="4451"/>
      <c r="C488" s="252"/>
      <c r="D488" s="3090"/>
      <c r="E488" s="4453"/>
      <c r="F488" s="4465"/>
      <c r="G488" s="4455"/>
      <c r="H488" s="4162"/>
      <c r="I488" s="4461"/>
      <c r="J488" s="4462"/>
      <c r="K488" s="4463"/>
      <c r="L488" s="630"/>
      <c r="M488" s="630"/>
      <c r="N488" s="637" t="s">
        <v>1072</v>
      </c>
      <c r="O488" s="637" t="s">
        <v>952</v>
      </c>
      <c r="P488" s="637"/>
      <c r="Q488" s="637"/>
      <c r="R488" s="637" t="s">
        <v>953</v>
      </c>
      <c r="S488" s="637"/>
      <c r="T488" s="637" t="s">
        <v>956</v>
      </c>
      <c r="U488" s="637"/>
      <c r="V488" s="637"/>
      <c r="W488" s="637" t="s">
        <v>950</v>
      </c>
      <c r="X488" s="637" t="s">
        <v>1073</v>
      </c>
      <c r="Y488" s="637" t="s">
        <v>951</v>
      </c>
      <c r="Z488" s="637" t="s">
        <v>960</v>
      </c>
      <c r="AA488" s="637" t="s">
        <v>960</v>
      </c>
      <c r="AB488" s="637"/>
      <c r="AC488" s="637" t="s">
        <v>1072</v>
      </c>
    </row>
    <row r="489" spans="1:29" ht="67.5" customHeight="1">
      <c r="A489" s="322" t="s">
        <v>1105</v>
      </c>
      <c r="B489" s="4474"/>
      <c r="C489" s="3" t="s">
        <v>1747</v>
      </c>
      <c r="D489" s="3"/>
      <c r="E489" s="4454"/>
      <c r="F489" s="4466"/>
      <c r="G489" s="1172" t="s">
        <v>78</v>
      </c>
      <c r="H489" s="4456"/>
      <c r="I489" s="12" t="s">
        <v>79</v>
      </c>
      <c r="J489" s="12" t="s">
        <v>80</v>
      </c>
      <c r="K489" s="13" t="s">
        <v>81</v>
      </c>
      <c r="L489" s="1187" t="s">
        <v>1759</v>
      </c>
      <c r="M489" s="1182" t="s">
        <v>27</v>
      </c>
      <c r="N489" s="1157" t="s">
        <v>610</v>
      </c>
      <c r="O489" s="274" t="s">
        <v>1077</v>
      </c>
      <c r="P489" s="274" t="s">
        <v>1078</v>
      </c>
      <c r="Q489" s="347" t="s">
        <v>1294</v>
      </c>
      <c r="R489" s="274" t="s">
        <v>1080</v>
      </c>
      <c r="S489" s="2145"/>
      <c r="T489" s="271" t="s">
        <v>1081</v>
      </c>
      <c r="U489" s="271" t="s">
        <v>1082</v>
      </c>
      <c r="V489" s="271" t="s">
        <v>1084</v>
      </c>
      <c r="W489" s="276" t="s">
        <v>966</v>
      </c>
      <c r="X489" s="277" t="s">
        <v>1085</v>
      </c>
      <c r="Y489" s="278" t="s">
        <v>1086</v>
      </c>
      <c r="Z489" s="279" t="s">
        <v>978</v>
      </c>
      <c r="AA489" s="280" t="s">
        <v>979</v>
      </c>
      <c r="AB489" s="2267"/>
      <c r="AC489" s="281" t="s">
        <v>1295</v>
      </c>
    </row>
    <row r="490" spans="1:29" ht="15.75" customHeight="1">
      <c r="A490" s="3" t="s">
        <v>1123</v>
      </c>
      <c r="B490" s="348">
        <v>1</v>
      </c>
      <c r="C490" s="1125">
        <v>44440</v>
      </c>
      <c r="D490" s="643">
        <v>272</v>
      </c>
      <c r="E490" s="1536" t="str">
        <f>_xlfn.XLOOKUP($D490,  Tabla3[No.],  Tabla3[CURP], " ")</f>
        <v>AAMR660625HDFYRL08</v>
      </c>
      <c r="F490" s="1402" t="str">
        <f>_xlfn.XLOOKUP($D490,  Tabla3[No.],  Tabla3[Matrícula Of. SEQ], " ")</f>
        <v>64DD03B2-1</v>
      </c>
      <c r="G490" s="1806" t="str">
        <f>IFERROR(VLOOKUP(D490,Tabla3[],5,FALSE),"")</f>
        <v>AYALA MORENO RAUL</v>
      </c>
      <c r="H490" s="737" t="str">
        <f t="shared" ref="H490:H507" si="119">MID($E490,11,1)</f>
        <v>H</v>
      </c>
      <c r="I490" s="737" t="str">
        <f t="shared" ref="I490:I507" si="120">MID($E490,5,2)</f>
        <v>66</v>
      </c>
      <c r="J490" s="737" t="str">
        <f t="shared" ref="J490:J507" si="121">MID($E490,7,2)</f>
        <v>06</v>
      </c>
      <c r="K490" s="737" t="str">
        <f t="shared" ref="K490:K507" si="122">MID($E490,9,2)</f>
        <v>25</v>
      </c>
      <c r="L490" s="1232" t="str">
        <f>_xlfn.XLOOKUP($E490,Tabla3[CURP],Tabla3[ESTATUS ACADÉMICO]," ")</f>
        <v>EGRESADO</v>
      </c>
      <c r="M490" s="1233" t="s">
        <v>5076</v>
      </c>
      <c r="N490" s="20">
        <v>9.5</v>
      </c>
      <c r="O490" s="20">
        <v>10</v>
      </c>
      <c r="P490" s="20">
        <v>10</v>
      </c>
      <c r="Q490" s="20">
        <v>9</v>
      </c>
      <c r="R490" s="20">
        <v>9.4</v>
      </c>
      <c r="S490" s="20"/>
      <c r="T490" s="20">
        <v>9</v>
      </c>
      <c r="U490" s="20">
        <v>10</v>
      </c>
      <c r="V490" s="221">
        <v>10</v>
      </c>
      <c r="W490" s="20">
        <v>9.6999999999999993</v>
      </c>
      <c r="X490" s="20">
        <v>10</v>
      </c>
      <c r="Y490" s="20">
        <v>9.6999999999999993</v>
      </c>
      <c r="Z490" s="20">
        <v>10</v>
      </c>
      <c r="AA490" s="20">
        <v>10</v>
      </c>
      <c r="AB490" s="20"/>
      <c r="AC490" s="20">
        <v>9.5</v>
      </c>
    </row>
    <row r="491" spans="1:29" ht="15.75" customHeight="1">
      <c r="A491" s="3" t="s">
        <v>1123</v>
      </c>
      <c r="B491" s="637">
        <v>2</v>
      </c>
      <c r="C491" s="1125">
        <v>44470</v>
      </c>
      <c r="D491" s="643">
        <v>285</v>
      </c>
      <c r="E491" s="1536" t="str">
        <f>_xlfn.XLOOKUP($D491,  Tabla3[No.],  Tabla3[CURP], " ")</f>
        <v>BUSS861112MMCSNN07</v>
      </c>
      <c r="F491" s="1402" t="str">
        <f>_xlfn.XLOOKUP($D491,  Tabla3[No.],  Tabla3[Matrícula Of. SEQ], " ")</f>
        <v>64DD03B2-2</v>
      </c>
      <c r="G491" s="1806" t="str">
        <f>IFERROR(VLOOKUP(D491,Tabla3[],5,FALSE),"")</f>
        <v>BUSTAMANTE SANCHEZ SINAI ALEJANDRA</v>
      </c>
      <c r="H491" s="737" t="str">
        <f t="shared" si="119"/>
        <v>M</v>
      </c>
      <c r="I491" s="737" t="str">
        <f t="shared" si="120"/>
        <v>86</v>
      </c>
      <c r="J491" s="737" t="str">
        <f t="shared" si="121"/>
        <v>11</v>
      </c>
      <c r="K491" s="737" t="str">
        <f t="shared" si="122"/>
        <v>12</v>
      </c>
      <c r="L491" s="1232" t="str">
        <f>_xlfn.XLOOKUP($E491,Tabla3[CURP],Tabla3[ESTATUS ACADÉMICO]," ")</f>
        <v>EGRESADO</v>
      </c>
      <c r="M491" s="1233" t="s">
        <v>5076</v>
      </c>
      <c r="N491" s="20">
        <v>10</v>
      </c>
      <c r="O491" s="20">
        <v>9</v>
      </c>
      <c r="P491" s="20">
        <v>9</v>
      </c>
      <c r="Q491" s="20">
        <v>10</v>
      </c>
      <c r="R491" s="20">
        <v>9.4</v>
      </c>
      <c r="S491" s="20"/>
      <c r="T491" s="20">
        <v>10</v>
      </c>
      <c r="U491" s="20">
        <v>10</v>
      </c>
      <c r="V491" s="221">
        <v>9</v>
      </c>
      <c r="W491" s="20">
        <v>9.6999999999999993</v>
      </c>
      <c r="X491" s="20">
        <v>10</v>
      </c>
      <c r="Y491" s="20">
        <v>9.6999999999999993</v>
      </c>
      <c r="Z491" s="20">
        <v>10</v>
      </c>
      <c r="AA491" s="20">
        <v>10</v>
      </c>
      <c r="AB491" s="20"/>
      <c r="AC491" s="20">
        <v>10</v>
      </c>
    </row>
    <row r="492" spans="1:29" ht="15.75" customHeight="1">
      <c r="A492" s="3" t="s">
        <v>1123</v>
      </c>
      <c r="B492" s="637">
        <v>4</v>
      </c>
      <c r="C492" s="1125">
        <v>44440</v>
      </c>
      <c r="D492" s="643">
        <v>277</v>
      </c>
      <c r="E492" s="1536" t="str">
        <f>_xlfn.XLOOKUP($D492,  Tabla3[No.],  Tabla3[CURP], " ")</f>
        <v>CARH740525HPLSVC08</v>
      </c>
      <c r="F492" s="1402" t="str">
        <f>_xlfn.XLOOKUP($D492,  Tabla3[No.],  Tabla3[Matrícula Of. SEQ], " ")</f>
        <v>64DD03B2-3</v>
      </c>
      <c r="G492" s="1806" t="str">
        <f>IFERROR(VLOOKUP(D492,Tabla3[],5,FALSE),"")</f>
        <v>CASTRO RIVADENEYRA HECTOR</v>
      </c>
      <c r="H492" s="737" t="str">
        <f t="shared" si="119"/>
        <v>H</v>
      </c>
      <c r="I492" s="737" t="str">
        <f t="shared" si="120"/>
        <v>74</v>
      </c>
      <c r="J492" s="737" t="str">
        <f t="shared" si="121"/>
        <v>05</v>
      </c>
      <c r="K492" s="737" t="str">
        <f t="shared" si="122"/>
        <v>25</v>
      </c>
      <c r="L492" s="1232" t="str">
        <f>_xlfn.XLOOKUP($E492,Tabla3[CURP],Tabla3[ESTATUS ACADÉMICO]," ")</f>
        <v>EGRESADO</v>
      </c>
      <c r="M492" s="1233" t="s">
        <v>5076</v>
      </c>
      <c r="N492" s="20">
        <v>9.5</v>
      </c>
      <c r="O492" s="20">
        <v>10</v>
      </c>
      <c r="P492" s="20">
        <v>8</v>
      </c>
      <c r="Q492" s="20">
        <v>10</v>
      </c>
      <c r="R492" s="20">
        <v>9.4</v>
      </c>
      <c r="S492" s="20"/>
      <c r="T492" s="20">
        <v>10</v>
      </c>
      <c r="U492" s="20">
        <v>10</v>
      </c>
      <c r="V492" s="221">
        <v>10</v>
      </c>
      <c r="W492" s="20">
        <v>9.6999999999999993</v>
      </c>
      <c r="X492" s="31">
        <v>8</v>
      </c>
      <c r="Y492" s="20">
        <v>9.6999999999999993</v>
      </c>
      <c r="Z492" s="20">
        <v>9</v>
      </c>
      <c r="AA492" s="20">
        <v>9</v>
      </c>
      <c r="AB492" s="20"/>
      <c r="AC492" s="20">
        <v>9.5</v>
      </c>
    </row>
    <row r="493" spans="1:29" ht="15.75" customHeight="1">
      <c r="A493" s="3" t="s">
        <v>1123</v>
      </c>
      <c r="B493" s="637">
        <v>5</v>
      </c>
      <c r="C493" s="1125">
        <v>44440</v>
      </c>
      <c r="D493" s="643">
        <v>239</v>
      </c>
      <c r="E493" s="1536" t="str">
        <f>_xlfn.XLOOKUP($D493,  Tabla3[No.],  Tabla3[CURP], " ")</f>
        <v>CUMC760224HDFRRR08</v>
      </c>
      <c r="F493" s="1402" t="str">
        <f>_xlfn.XLOOKUP($D493,  Tabla3[No.],  Tabla3[Matrícula Of. SEQ], " ")</f>
        <v>64DD03B2-4</v>
      </c>
      <c r="G493" s="1806" t="str">
        <f>IFERROR(VLOOKUP(D493,Tabla3[],5,FALSE),"")</f>
        <v xml:space="preserve">CRUZ MORENO CARLOS ALBERTO </v>
      </c>
      <c r="H493" s="737" t="str">
        <f t="shared" si="119"/>
        <v>H</v>
      </c>
      <c r="I493" s="737" t="str">
        <f t="shared" si="120"/>
        <v>76</v>
      </c>
      <c r="J493" s="737" t="str">
        <f t="shared" si="121"/>
        <v>02</v>
      </c>
      <c r="K493" s="737" t="str">
        <f t="shared" si="122"/>
        <v>24</v>
      </c>
      <c r="L493" s="1232" t="str">
        <f>_xlfn.XLOOKUP($E493,Tabla3[CURP],Tabla3[ESTATUS ACADÉMICO]," ")</f>
        <v>EGRESADO</v>
      </c>
      <c r="M493" s="1233" t="s">
        <v>5076</v>
      </c>
      <c r="N493" s="20">
        <v>9.5</v>
      </c>
      <c r="O493" s="20">
        <v>10</v>
      </c>
      <c r="P493" s="20">
        <v>10</v>
      </c>
      <c r="Q493" s="20">
        <v>10</v>
      </c>
      <c r="R493" s="20">
        <v>9.4</v>
      </c>
      <c r="S493" s="20"/>
      <c r="T493" s="349">
        <v>10</v>
      </c>
      <c r="U493" s="20">
        <v>10</v>
      </c>
      <c r="V493" s="221">
        <v>9</v>
      </c>
      <c r="W493" s="20">
        <v>9.6999999999999993</v>
      </c>
      <c r="X493" s="20">
        <v>10</v>
      </c>
      <c r="Y493" s="20">
        <v>9.6999999999999993</v>
      </c>
      <c r="Z493" s="20">
        <v>10</v>
      </c>
      <c r="AA493" s="20">
        <v>10</v>
      </c>
      <c r="AB493" s="20"/>
      <c r="AC493" s="20">
        <v>9.5</v>
      </c>
    </row>
    <row r="494" spans="1:29" ht="15.75" customHeight="1">
      <c r="A494" s="3" t="s">
        <v>1123</v>
      </c>
      <c r="B494" s="637">
        <v>6</v>
      </c>
      <c r="C494" s="1125">
        <v>44440</v>
      </c>
      <c r="D494" s="643">
        <v>295</v>
      </c>
      <c r="E494" s="1536" t="str">
        <f>_xlfn.XLOOKUP($D494,  Tabla3[No.],  Tabla3[CURP], " ")</f>
        <v>CUGH530226HCSRNC09</v>
      </c>
      <c r="F494" s="1402" t="str">
        <f>_xlfn.XLOOKUP($D494,  Tabla3[No.],  Tabla3[Matrícula Of. SEQ], " ")</f>
        <v>64DD03B2-5</v>
      </c>
      <c r="G494" s="1806" t="str">
        <f>IFERROR(VLOOKUP(D494,Tabla3[],5,FALSE),"")</f>
        <v>CRUZ GONZALEZ HECTOR ALEJANDRO</v>
      </c>
      <c r="H494" s="737" t="str">
        <f t="shared" si="119"/>
        <v>H</v>
      </c>
      <c r="I494" s="737" t="str">
        <f t="shared" si="120"/>
        <v>53</v>
      </c>
      <c r="J494" s="737" t="str">
        <f t="shared" si="121"/>
        <v>02</v>
      </c>
      <c r="K494" s="737" t="str">
        <f t="shared" si="122"/>
        <v>26</v>
      </c>
      <c r="L494" s="1232" t="str">
        <f>_xlfn.XLOOKUP($E494,Tabla3[CURP],Tabla3[ESTATUS ACADÉMICO]," ")</f>
        <v>EGRESADO</v>
      </c>
      <c r="M494" s="1233" t="s">
        <v>5076</v>
      </c>
      <c r="N494" s="20">
        <v>9.4</v>
      </c>
      <c r="O494" s="20">
        <v>10</v>
      </c>
      <c r="P494" s="20">
        <v>10</v>
      </c>
      <c r="Q494" s="20">
        <v>10</v>
      </c>
      <c r="R494" s="20">
        <v>9.4</v>
      </c>
      <c r="S494" s="20"/>
      <c r="T494" s="20">
        <v>10</v>
      </c>
      <c r="U494" s="20">
        <v>10</v>
      </c>
      <c r="V494" s="221">
        <v>10</v>
      </c>
      <c r="W494" s="20">
        <v>9.6999999999999993</v>
      </c>
      <c r="X494" s="20">
        <v>10</v>
      </c>
      <c r="Y494" s="20">
        <v>9.6999999999999993</v>
      </c>
      <c r="Z494" s="31">
        <v>9</v>
      </c>
      <c r="AA494" s="31">
        <v>9</v>
      </c>
      <c r="AB494" s="31"/>
      <c r="AC494" s="20">
        <v>9.4</v>
      </c>
    </row>
    <row r="495" spans="1:29" ht="15.75" customHeight="1">
      <c r="A495" s="3" t="s">
        <v>1123</v>
      </c>
      <c r="B495" s="637">
        <v>7</v>
      </c>
      <c r="C495" s="1125">
        <v>44440</v>
      </c>
      <c r="D495" s="643">
        <v>274</v>
      </c>
      <c r="E495" s="1536" t="str">
        <f>_xlfn.XLOOKUP($D495,  Tabla3[No.],  Tabla3[CURP], " ")</f>
        <v>CURA570915HSLNDN03</v>
      </c>
      <c r="F495" s="1402" t="str">
        <f>_xlfn.XLOOKUP($D495,  Tabla3[No.],  Tabla3[Matrícula Of. SEQ], " ")</f>
        <v>64DD03B2-5</v>
      </c>
      <c r="G495" s="1806" t="str">
        <f>IFERROR(VLOOKUP(D495,Tabla3[],5,FALSE),"")</f>
        <v>CUEN RODRIGUEZ ANIBAL GUILLERMO</v>
      </c>
      <c r="H495" s="737" t="str">
        <f t="shared" si="119"/>
        <v>H</v>
      </c>
      <c r="I495" s="737" t="str">
        <f t="shared" si="120"/>
        <v>57</v>
      </c>
      <c r="J495" s="737" t="str">
        <f t="shared" si="121"/>
        <v>09</v>
      </c>
      <c r="K495" s="737" t="str">
        <f t="shared" si="122"/>
        <v>15</v>
      </c>
      <c r="L495" s="1232" t="str">
        <f>_xlfn.XLOOKUP($E495,Tabla3[CURP],Tabla3[ESTATUS ACADÉMICO]," ")</f>
        <v>EGRESADO</v>
      </c>
      <c r="M495" s="1233" t="s">
        <v>5076</v>
      </c>
      <c r="N495" s="20">
        <v>9.5</v>
      </c>
      <c r="O495" s="20">
        <v>10</v>
      </c>
      <c r="P495" s="20">
        <v>10</v>
      </c>
      <c r="Q495" s="20">
        <v>10</v>
      </c>
      <c r="R495" s="20">
        <v>9.4</v>
      </c>
      <c r="S495" s="20"/>
      <c r="T495" s="20">
        <v>9</v>
      </c>
      <c r="U495" s="20">
        <v>10</v>
      </c>
      <c r="V495" s="221">
        <v>10</v>
      </c>
      <c r="W495" s="20">
        <v>9.6999999999999993</v>
      </c>
      <c r="X495" s="20">
        <v>10</v>
      </c>
      <c r="Y495" s="20">
        <v>9.6999999999999993</v>
      </c>
      <c r="Z495" s="20">
        <v>10</v>
      </c>
      <c r="AA495" s="20">
        <v>10</v>
      </c>
      <c r="AB495" s="20"/>
      <c r="AC495" s="20">
        <v>9.5</v>
      </c>
    </row>
    <row r="496" spans="1:29" ht="15.75" customHeight="1">
      <c r="A496" s="3" t="s">
        <v>1123</v>
      </c>
      <c r="B496" s="637">
        <v>8</v>
      </c>
      <c r="C496" s="1125">
        <v>44440</v>
      </c>
      <c r="D496" s="643">
        <v>278</v>
      </c>
      <c r="E496" s="1536" t="str">
        <f>_xlfn.XLOOKUP($D496,  Tabla3[No.],  Tabla3[CURP], " ")</f>
        <v>DIGD740815HDFZRN08</v>
      </c>
      <c r="F496" s="1402" t="str">
        <f>_xlfn.XLOOKUP($D496,  Tabla3[No.],  Tabla3[Matrícula Of. SEQ], " ")</f>
        <v>64DD03B2-6</v>
      </c>
      <c r="G496" s="1806" t="str">
        <f>IFERROR(VLOOKUP(D496,Tabla3[],5,FALSE),"")</f>
        <v>DIAZ GARCIA DANIEL</v>
      </c>
      <c r="H496" s="737" t="str">
        <f t="shared" si="119"/>
        <v>H</v>
      </c>
      <c r="I496" s="737" t="str">
        <f t="shared" si="120"/>
        <v>74</v>
      </c>
      <c r="J496" s="737" t="str">
        <f t="shared" si="121"/>
        <v>08</v>
      </c>
      <c r="K496" s="737" t="str">
        <f t="shared" si="122"/>
        <v>15</v>
      </c>
      <c r="L496" s="1232" t="str">
        <f>_xlfn.XLOOKUP($E496,Tabla3[CURP],Tabla3[ESTATUS ACADÉMICO]," ")</f>
        <v>EGRESADO</v>
      </c>
      <c r="M496" s="1233" t="s">
        <v>5076</v>
      </c>
      <c r="N496" s="20">
        <v>9.5</v>
      </c>
      <c r="O496" s="20">
        <v>10</v>
      </c>
      <c r="P496" s="20">
        <v>10</v>
      </c>
      <c r="Q496" s="20">
        <v>10</v>
      </c>
      <c r="R496" s="20">
        <v>9.4</v>
      </c>
      <c r="S496" s="20"/>
      <c r="T496" s="20">
        <v>9</v>
      </c>
      <c r="U496" s="20">
        <v>9</v>
      </c>
      <c r="V496" s="221">
        <v>10</v>
      </c>
      <c r="W496" s="20">
        <v>9.6999999999999993</v>
      </c>
      <c r="X496" s="20">
        <v>10</v>
      </c>
      <c r="Y496" s="20">
        <v>9.6999999999999993</v>
      </c>
      <c r="Z496" s="20">
        <v>10</v>
      </c>
      <c r="AA496" s="20">
        <v>10</v>
      </c>
      <c r="AB496" s="20"/>
      <c r="AC496" s="20">
        <v>9.5</v>
      </c>
    </row>
    <row r="497" spans="1:42" ht="15.75" customHeight="1">
      <c r="A497" s="3" t="s">
        <v>1123</v>
      </c>
      <c r="B497" s="637">
        <v>9</v>
      </c>
      <c r="C497" s="1125">
        <v>44440</v>
      </c>
      <c r="D497" s="643">
        <v>232</v>
      </c>
      <c r="E497" s="1536" t="str">
        <f>_xlfn.XLOOKUP($D497,  Tabla3[No.],  Tabla3[CURP], " ")</f>
        <v>DORR560207HMCMGM08</v>
      </c>
      <c r="F497" s="1402" t="str">
        <f>_xlfn.XLOOKUP($D497,  Tabla3[No.],  Tabla3[Matrícula Of. SEQ], " ")</f>
        <v>64DD03B2-7</v>
      </c>
      <c r="G497" s="1806" t="str">
        <f>IFERROR(VLOOKUP(D497,Tabla3[],5,FALSE),"")</f>
        <v>DOMINGUEZ ROGEL ROMUALDO CARLOS</v>
      </c>
      <c r="H497" s="737" t="str">
        <f t="shared" si="119"/>
        <v>H</v>
      </c>
      <c r="I497" s="737" t="str">
        <f t="shared" si="120"/>
        <v>56</v>
      </c>
      <c r="J497" s="737" t="str">
        <f t="shared" si="121"/>
        <v>02</v>
      </c>
      <c r="K497" s="737" t="str">
        <f t="shared" si="122"/>
        <v>07</v>
      </c>
      <c r="L497" s="1232" t="str">
        <f>_xlfn.XLOOKUP($E497,Tabla3[CURP],Tabla3[ESTATUS ACADÉMICO]," ")</f>
        <v>EGRESADO</v>
      </c>
      <c r="M497" s="1233" t="s">
        <v>5076</v>
      </c>
      <c r="N497" s="20">
        <v>10</v>
      </c>
      <c r="O497" s="20">
        <v>10</v>
      </c>
      <c r="P497" s="20">
        <v>10</v>
      </c>
      <c r="Q497" s="20">
        <v>10</v>
      </c>
      <c r="R497" s="20">
        <v>9.4</v>
      </c>
      <c r="S497" s="20"/>
      <c r="T497" s="20">
        <v>10</v>
      </c>
      <c r="U497" s="20">
        <v>9</v>
      </c>
      <c r="V497" s="221">
        <v>10</v>
      </c>
      <c r="W497" s="20">
        <v>9.6999999999999993</v>
      </c>
      <c r="X497" s="20">
        <v>10</v>
      </c>
      <c r="Y497" s="20">
        <v>9.6999999999999993</v>
      </c>
      <c r="Z497" s="20">
        <v>9.6999999999999993</v>
      </c>
      <c r="AA497" s="20">
        <v>10</v>
      </c>
      <c r="AB497" s="20"/>
      <c r="AC497" s="20">
        <v>10</v>
      </c>
    </row>
    <row r="498" spans="1:42" ht="15.75" customHeight="1">
      <c r="A498" s="3" t="s">
        <v>1123</v>
      </c>
      <c r="B498" s="637">
        <v>10</v>
      </c>
      <c r="C498" s="1125">
        <v>44440</v>
      </c>
      <c r="D498" s="643">
        <v>290</v>
      </c>
      <c r="E498" s="1536" t="str">
        <f>_xlfn.XLOOKUP($D498,  Tabla3[No.],  Tabla3[CURP], " ")</f>
        <v>GAGR820713HDFRRD06</v>
      </c>
      <c r="F498" s="1402" t="str">
        <f>_xlfn.XLOOKUP($D498,  Tabla3[No.],  Tabla3[Matrícula Of. SEQ], " ")</f>
        <v>64DD03B2-8</v>
      </c>
      <c r="G498" s="1806" t="str">
        <f>IFERROR(VLOOKUP(D498,Tabla3[],5,FALSE),"")</f>
        <v>GARCES GARCIA RODRIGO</v>
      </c>
      <c r="H498" s="737" t="str">
        <f t="shared" si="119"/>
        <v>H</v>
      </c>
      <c r="I498" s="737" t="str">
        <f t="shared" si="120"/>
        <v>82</v>
      </c>
      <c r="J498" s="737" t="str">
        <f t="shared" si="121"/>
        <v>07</v>
      </c>
      <c r="K498" s="737" t="str">
        <f t="shared" si="122"/>
        <v>13</v>
      </c>
      <c r="L498" s="1232" t="str">
        <f>_xlfn.XLOOKUP($E498,Tabla3[CURP],Tabla3[ESTATUS ACADÉMICO]," ")</f>
        <v>EGRESADO</v>
      </c>
      <c r="M498" s="1233" t="s">
        <v>5076</v>
      </c>
      <c r="N498" s="20">
        <v>9.5</v>
      </c>
      <c r="O498" s="20">
        <v>10</v>
      </c>
      <c r="P498" s="20">
        <v>10</v>
      </c>
      <c r="Q498" s="20">
        <v>10</v>
      </c>
      <c r="R498" s="20">
        <v>9.4</v>
      </c>
      <c r="S498" s="20"/>
      <c r="T498" s="20">
        <v>10</v>
      </c>
      <c r="U498" s="20">
        <v>10</v>
      </c>
      <c r="V498" s="221">
        <v>10</v>
      </c>
      <c r="W498" s="20">
        <v>9.6999999999999993</v>
      </c>
      <c r="X498" s="20">
        <v>10</v>
      </c>
      <c r="Y498" s="20">
        <v>9.6999999999999993</v>
      </c>
      <c r="Z498" s="20">
        <v>10</v>
      </c>
      <c r="AA498" s="20">
        <v>10</v>
      </c>
      <c r="AB498" s="20"/>
      <c r="AC498" s="20">
        <v>9.5</v>
      </c>
    </row>
    <row r="499" spans="1:42" ht="15.75" customHeight="1">
      <c r="A499" s="3" t="s">
        <v>1123</v>
      </c>
      <c r="B499" s="637">
        <v>11</v>
      </c>
      <c r="C499" s="1125">
        <v>44440</v>
      </c>
      <c r="D499" s="643">
        <v>282</v>
      </c>
      <c r="E499" s="1536" t="str">
        <f>_xlfn.XLOOKUP($D499,  Tabla3[No.],  Tabla3[CURP], " ")</f>
        <v>HECH740407HMNRSC02</v>
      </c>
      <c r="F499" s="1402" t="str">
        <f>_xlfn.XLOOKUP($D499,  Tabla3[No.],  Tabla3[Matrícula Of. SEQ], " ")</f>
        <v>64DD03B2-9</v>
      </c>
      <c r="G499" s="1806" t="str">
        <f>IFERROR(VLOOKUP(D499,Tabla3[],5,FALSE),"")</f>
        <v>HERNANDEZ CASTILLO HECTOR</v>
      </c>
      <c r="H499" s="737" t="str">
        <f t="shared" si="119"/>
        <v>H</v>
      </c>
      <c r="I499" s="737" t="str">
        <f t="shared" si="120"/>
        <v>74</v>
      </c>
      <c r="J499" s="737" t="str">
        <f t="shared" si="121"/>
        <v>04</v>
      </c>
      <c r="K499" s="737" t="str">
        <f t="shared" si="122"/>
        <v>07</v>
      </c>
      <c r="L499" s="1232" t="str">
        <f>_xlfn.XLOOKUP($E499,Tabla3[CURP],Tabla3[ESTATUS ACADÉMICO]," ")</f>
        <v>EGRESADO</v>
      </c>
      <c r="M499" s="1233" t="s">
        <v>5076</v>
      </c>
      <c r="N499" s="20">
        <v>9.5</v>
      </c>
      <c r="O499" s="20">
        <v>9</v>
      </c>
      <c r="P499" s="20">
        <v>9</v>
      </c>
      <c r="Q499" s="20">
        <v>10</v>
      </c>
      <c r="R499" s="20">
        <v>9.4</v>
      </c>
      <c r="S499" s="20"/>
      <c r="T499" s="20">
        <v>10</v>
      </c>
      <c r="U499" s="20">
        <v>9</v>
      </c>
      <c r="V499" s="221">
        <v>10</v>
      </c>
      <c r="W499" s="20">
        <v>9.6999999999999993</v>
      </c>
      <c r="X499" s="31">
        <v>8</v>
      </c>
      <c r="Y499" s="20">
        <v>9.6999999999999993</v>
      </c>
      <c r="Z499" s="20">
        <v>9</v>
      </c>
      <c r="AA499" s="20">
        <v>9</v>
      </c>
      <c r="AB499" s="20"/>
      <c r="AC499" s="20">
        <v>9.5</v>
      </c>
    </row>
    <row r="500" spans="1:42" ht="15.75" customHeight="1">
      <c r="A500" s="3" t="s">
        <v>1123</v>
      </c>
      <c r="B500" s="637">
        <v>12</v>
      </c>
      <c r="C500" s="1125">
        <v>44440</v>
      </c>
      <c r="D500" s="643">
        <v>280</v>
      </c>
      <c r="E500" s="1536" t="str">
        <f>_xlfn.XLOOKUP($D500,  Tabla3[No.],  Tabla3[CURP], " ")</f>
        <v>HEJA701212HDFRRL00</v>
      </c>
      <c r="F500" s="1402" t="str">
        <f>_xlfn.XLOOKUP($D500,  Tabla3[No.],  Tabla3[Matrícula Of. SEQ], " ")</f>
        <v>64DD03B2-10</v>
      </c>
      <c r="G500" s="1806" t="str">
        <f>IFERROR(VLOOKUP(D500,Tabla3[],5,FALSE),"")</f>
        <v>HERNANDEZ JARQUIN ALBERTO GUADALUPE</v>
      </c>
      <c r="H500" s="737" t="str">
        <f t="shared" si="119"/>
        <v>H</v>
      </c>
      <c r="I500" s="737" t="str">
        <f t="shared" si="120"/>
        <v>70</v>
      </c>
      <c r="J500" s="737" t="str">
        <f t="shared" si="121"/>
        <v>12</v>
      </c>
      <c r="K500" s="737" t="str">
        <f t="shared" si="122"/>
        <v>12</v>
      </c>
      <c r="L500" s="1232" t="str">
        <f>_xlfn.XLOOKUP($E500,Tabla3[CURP],Tabla3[ESTATUS ACADÉMICO]," ")</f>
        <v>EGRESADO</v>
      </c>
      <c r="M500" s="1233" t="s">
        <v>5076</v>
      </c>
      <c r="N500" s="20">
        <v>9.5</v>
      </c>
      <c r="O500" s="20">
        <v>10</v>
      </c>
      <c r="P500" s="20">
        <v>10</v>
      </c>
      <c r="Q500" s="20">
        <v>9</v>
      </c>
      <c r="R500" s="20">
        <v>9.4</v>
      </c>
      <c r="S500" s="20"/>
      <c r="T500" s="20">
        <v>9</v>
      </c>
      <c r="U500" s="20">
        <v>10</v>
      </c>
      <c r="V500" s="221">
        <v>9</v>
      </c>
      <c r="W500" s="20">
        <v>9.6999999999999993</v>
      </c>
      <c r="X500" s="20">
        <v>10</v>
      </c>
      <c r="Y500" s="20">
        <v>9.6999999999999993</v>
      </c>
      <c r="Z500" s="20">
        <v>8</v>
      </c>
      <c r="AA500" s="20">
        <v>8</v>
      </c>
      <c r="AB500" s="20"/>
      <c r="AC500" s="20">
        <v>9.5</v>
      </c>
    </row>
    <row r="501" spans="1:42" ht="15.75" customHeight="1">
      <c r="A501" s="3" t="s">
        <v>1123</v>
      </c>
      <c r="B501" s="637">
        <v>13</v>
      </c>
      <c r="C501" s="1125">
        <v>44440</v>
      </c>
      <c r="D501" s="643">
        <v>284</v>
      </c>
      <c r="E501" s="1536" t="str">
        <f>_xlfn.XLOOKUP($D501,  Tabla3[No.],  Tabla3[CURP], " ")</f>
        <v>MOMJ931123HMCNDN09</v>
      </c>
      <c r="F501" s="1402" t="str">
        <f>_xlfn.XLOOKUP($D501,  Tabla3[No.],  Tabla3[Matrícula Of. SEQ], " ")</f>
        <v>64DD03B2-11</v>
      </c>
      <c r="G501" s="1806" t="str">
        <f>IFERROR(VLOOKUP(D501,Tabla3[],5,FALSE),"")</f>
        <v>MONTES DE OCA MEDINA JUAN MANUEL</v>
      </c>
      <c r="H501" s="737" t="str">
        <f t="shared" si="119"/>
        <v>H</v>
      </c>
      <c r="I501" s="737" t="str">
        <f t="shared" si="120"/>
        <v>93</v>
      </c>
      <c r="J501" s="737" t="str">
        <f t="shared" si="121"/>
        <v>11</v>
      </c>
      <c r="K501" s="737" t="str">
        <f t="shared" si="122"/>
        <v>23</v>
      </c>
      <c r="L501" s="1232" t="str">
        <f>_xlfn.XLOOKUP($E501,Tabla3[CURP],Tabla3[ESTATUS ACADÉMICO]," ")</f>
        <v>EGRESADO</v>
      </c>
      <c r="M501" s="1233" t="s">
        <v>5076</v>
      </c>
      <c r="N501" s="20">
        <v>9.5</v>
      </c>
      <c r="O501" s="20">
        <v>10</v>
      </c>
      <c r="P501" s="20">
        <v>10</v>
      </c>
      <c r="Q501" s="20">
        <v>10</v>
      </c>
      <c r="R501" s="20">
        <v>9.4</v>
      </c>
      <c r="S501" s="20"/>
      <c r="T501" s="20">
        <v>10</v>
      </c>
      <c r="U501" s="20">
        <v>10</v>
      </c>
      <c r="V501" s="221">
        <v>10</v>
      </c>
      <c r="W501" s="20">
        <v>9.6999999999999993</v>
      </c>
      <c r="X501" s="31">
        <v>9</v>
      </c>
      <c r="Y501" s="20">
        <v>9.6999999999999993</v>
      </c>
      <c r="Z501" s="20">
        <v>10</v>
      </c>
      <c r="AA501" s="20">
        <v>10</v>
      </c>
      <c r="AB501" s="20"/>
      <c r="AC501" s="20">
        <v>9.5</v>
      </c>
    </row>
    <row r="502" spans="1:42" ht="15.75" customHeight="1">
      <c r="A502" s="3" t="s">
        <v>1123</v>
      </c>
      <c r="B502" s="637">
        <v>14</v>
      </c>
      <c r="C502" s="1125">
        <v>44440</v>
      </c>
      <c r="D502" s="643">
        <v>163</v>
      </c>
      <c r="E502" s="1536" t="str">
        <f>_xlfn.XLOOKUP($D502,  Tabla3[No.],  Tabla3[CURP], " ")</f>
        <v>MOVL690208MPLRLR05</v>
      </c>
      <c r="F502" s="1402" t="str">
        <f>_xlfn.XLOOKUP($D502,  Tabla3[No.],  Tabla3[Matrícula Of. SEQ], " ")</f>
        <v>64DD03B2-12</v>
      </c>
      <c r="G502" s="1806" t="str">
        <f>IFERROR(VLOOKUP(D502,Tabla3[],5,FALSE),"")</f>
        <v>MORALES VILLAGRAN LAURA ELISA</v>
      </c>
      <c r="H502" s="737" t="str">
        <f t="shared" si="119"/>
        <v>M</v>
      </c>
      <c r="I502" s="737" t="str">
        <f t="shared" si="120"/>
        <v>69</v>
      </c>
      <c r="J502" s="737" t="str">
        <f t="shared" si="121"/>
        <v>02</v>
      </c>
      <c r="K502" s="737" t="str">
        <f t="shared" si="122"/>
        <v>08</v>
      </c>
      <c r="L502" s="1232" t="str">
        <f>_xlfn.XLOOKUP($E502,Tabla3[CURP],Tabla3[ESTATUS ACADÉMICO]," ")</f>
        <v>EGRESADO</v>
      </c>
      <c r="M502" s="1233" t="s">
        <v>5076</v>
      </c>
      <c r="N502" s="20">
        <v>9.5</v>
      </c>
      <c r="O502" s="20">
        <v>10</v>
      </c>
      <c r="P502" s="20">
        <v>9</v>
      </c>
      <c r="Q502" s="20">
        <v>10</v>
      </c>
      <c r="R502" s="20">
        <v>9.4</v>
      </c>
      <c r="S502" s="20"/>
      <c r="T502" s="20">
        <v>10</v>
      </c>
      <c r="U502" s="20">
        <v>9</v>
      </c>
      <c r="V502" s="221">
        <v>10</v>
      </c>
      <c r="W502" s="20">
        <v>9.6999999999999993</v>
      </c>
      <c r="X502" s="31">
        <v>8</v>
      </c>
      <c r="Y502" s="20">
        <v>9.6999999999999993</v>
      </c>
      <c r="Z502" s="20">
        <v>10</v>
      </c>
      <c r="AA502" s="20">
        <v>10</v>
      </c>
      <c r="AB502" s="20"/>
      <c r="AC502" s="20">
        <v>9.5</v>
      </c>
    </row>
    <row r="503" spans="1:42" ht="15.75" customHeight="1">
      <c r="A503" s="3" t="s">
        <v>1123</v>
      </c>
      <c r="B503" s="637">
        <v>15</v>
      </c>
      <c r="C503" s="1125">
        <v>44440</v>
      </c>
      <c r="D503" s="643">
        <v>286</v>
      </c>
      <c r="E503" s="1536" t="str">
        <f>_xlfn.XLOOKUP($D503,  Tabla3[No.],  Tabla3[CURP], " ")</f>
        <v>PARE790130HMCLMS06</v>
      </c>
      <c r="F503" s="1402" t="str">
        <f>_xlfn.XLOOKUP($D503,  Tabla3[No.],  Tabla3[Matrícula Of. SEQ], " ")</f>
        <v>64DD03B2-13</v>
      </c>
      <c r="G503" s="1806" t="str">
        <f>IFERROR(VLOOKUP(D503,Tabla3[],5,FALSE),"")</f>
        <v>PALACIOS RAMIREZ EUSEBIO</v>
      </c>
      <c r="H503" s="737" t="str">
        <f t="shared" si="119"/>
        <v>H</v>
      </c>
      <c r="I503" s="737" t="str">
        <f t="shared" si="120"/>
        <v>79</v>
      </c>
      <c r="J503" s="737" t="str">
        <f t="shared" si="121"/>
        <v>01</v>
      </c>
      <c r="K503" s="737" t="str">
        <f t="shared" si="122"/>
        <v>30</v>
      </c>
      <c r="L503" s="1232" t="str">
        <f>_xlfn.XLOOKUP($E503,Tabla3[CURP],Tabla3[ESTATUS ACADÉMICO]," ")</f>
        <v>EGRESADO</v>
      </c>
      <c r="M503" s="1233" t="s">
        <v>5076</v>
      </c>
      <c r="N503" s="20">
        <v>9.5</v>
      </c>
      <c r="O503" s="20">
        <v>10</v>
      </c>
      <c r="P503" s="20">
        <v>10</v>
      </c>
      <c r="Q503" s="20">
        <v>10</v>
      </c>
      <c r="R503" s="20">
        <v>9.4</v>
      </c>
      <c r="S503" s="20"/>
      <c r="T503" s="20">
        <v>10</v>
      </c>
      <c r="U503" s="20">
        <v>10</v>
      </c>
      <c r="V503" s="221">
        <v>10</v>
      </c>
      <c r="W503" s="20">
        <v>9.6999999999999993</v>
      </c>
      <c r="X503" s="31">
        <v>9</v>
      </c>
      <c r="Y503" s="20">
        <v>9.6999999999999993</v>
      </c>
      <c r="Z503" s="20">
        <v>10</v>
      </c>
      <c r="AA503" s="20">
        <v>10</v>
      </c>
      <c r="AB503" s="20"/>
      <c r="AC503" s="20">
        <v>9.5</v>
      </c>
    </row>
    <row r="504" spans="1:42" ht="15.75" customHeight="1">
      <c r="A504" s="3"/>
      <c r="B504" s="637"/>
      <c r="C504" s="1125"/>
      <c r="D504" s="643"/>
      <c r="E504" s="1207"/>
      <c r="F504" s="15" t="s">
        <v>1334</v>
      </c>
      <c r="G504" s="348" t="s">
        <v>1335</v>
      </c>
      <c r="H504" s="231" t="s">
        <v>433</v>
      </c>
      <c r="I504" s="231">
        <v>82</v>
      </c>
      <c r="J504" s="350" t="s">
        <v>1336</v>
      </c>
      <c r="K504" s="350" t="s">
        <v>668</v>
      </c>
      <c r="L504" s="1123"/>
      <c r="M504" s="351" t="s">
        <v>1337</v>
      </c>
      <c r="N504" s="351">
        <v>9.1999999999999993</v>
      </c>
      <c r="O504" s="351">
        <v>9.1999999999999993</v>
      </c>
      <c r="P504" s="351">
        <v>9.1999999999999993</v>
      </c>
      <c r="Q504" s="351">
        <v>9.1999999999999993</v>
      </c>
      <c r="R504" s="351">
        <v>9.1999999999999993</v>
      </c>
      <c r="S504" s="351"/>
      <c r="T504" s="351">
        <v>9.1999999999999993</v>
      </c>
      <c r="U504" s="351">
        <v>9.1999999999999993</v>
      </c>
      <c r="V504" s="351">
        <v>9.1999999999999993</v>
      </c>
      <c r="W504" s="351">
        <v>9.1999999999999993</v>
      </c>
      <c r="X504" s="351">
        <v>9.1999999999999993</v>
      </c>
      <c r="Y504" s="351">
        <v>9.1999999999999993</v>
      </c>
      <c r="Z504" s="351">
        <v>9.1999999999999993</v>
      </c>
      <c r="AA504" s="351">
        <v>9.1999999999999993</v>
      </c>
      <c r="AB504" s="351"/>
      <c r="AC504" s="351">
        <v>9.1999999999999993</v>
      </c>
      <c r="AD504" s="2"/>
      <c r="AE504" s="2"/>
      <c r="AF504" s="2"/>
      <c r="AG504" s="2"/>
      <c r="AH504" s="2"/>
      <c r="AI504" s="2"/>
      <c r="AJ504" s="2"/>
    </row>
    <row r="505" spans="1:42" ht="15.75" customHeight="1">
      <c r="A505" s="3" t="s">
        <v>1123</v>
      </c>
      <c r="B505" s="637">
        <v>16</v>
      </c>
      <c r="C505" s="1125">
        <v>44440</v>
      </c>
      <c r="D505" s="643">
        <v>111</v>
      </c>
      <c r="E505" s="1536" t="str">
        <f>_xlfn.XLOOKUP($D505,  Tabla3[No.],  Tabla3[CURP], " ")</f>
        <v>ROFH700420HDFDGM02</v>
      </c>
      <c r="F505" s="1402" t="str">
        <f>_xlfn.XLOOKUP($D505,  Tabla3[No.],  Tabla3[Matrícula Of. SEQ], " ")</f>
        <v>64DD03B2-14</v>
      </c>
      <c r="G505" s="1806" t="str">
        <f>IFERROR(VLOOKUP(D505,Tabla3[],5,FALSE),"")</f>
        <v>RODRIGUEZ FIGUEROA HOMERO</v>
      </c>
      <c r="H505" s="737" t="str">
        <f t="shared" si="119"/>
        <v>H</v>
      </c>
      <c r="I505" s="737" t="str">
        <f t="shared" si="120"/>
        <v>70</v>
      </c>
      <c r="J505" s="737" t="str">
        <f t="shared" si="121"/>
        <v>04</v>
      </c>
      <c r="K505" s="737" t="str">
        <f t="shared" si="122"/>
        <v>20</v>
      </c>
      <c r="L505" s="1232" t="str">
        <f>_xlfn.XLOOKUP($E505,Tabla3[CURP],Tabla3[ESTATUS ACADÉMICO]," ")</f>
        <v>EGRESADO</v>
      </c>
      <c r="M505" s="1233" t="s">
        <v>5076</v>
      </c>
      <c r="N505" s="351">
        <v>9.5</v>
      </c>
      <c r="O505" s="351">
        <v>10</v>
      </c>
      <c r="P505" s="351">
        <v>10</v>
      </c>
      <c r="Q505" s="351">
        <v>10</v>
      </c>
      <c r="R505" s="351">
        <v>9.4</v>
      </c>
      <c r="S505" s="351"/>
      <c r="T505" s="351">
        <v>10</v>
      </c>
      <c r="U505" s="351">
        <v>10</v>
      </c>
      <c r="V505" s="352">
        <v>10</v>
      </c>
      <c r="W505" s="351">
        <v>9.6999999999999993</v>
      </c>
      <c r="X505" s="351">
        <v>10</v>
      </c>
      <c r="Y505" s="351">
        <v>9.6999999999999993</v>
      </c>
      <c r="Z505" s="351">
        <v>10</v>
      </c>
      <c r="AA505" s="351">
        <v>10</v>
      </c>
      <c r="AB505" s="351"/>
      <c r="AC505" s="351">
        <v>9.5</v>
      </c>
    </row>
    <row r="506" spans="1:42" ht="15.75" customHeight="1">
      <c r="A506" s="3" t="s">
        <v>1123</v>
      </c>
      <c r="B506" s="637">
        <v>17</v>
      </c>
      <c r="C506" s="637"/>
      <c r="D506" s="643">
        <v>83</v>
      </c>
      <c r="E506" s="1536" t="str">
        <f>_xlfn.XLOOKUP($D506,  Tabla3[No.],  Tabla3[CURP], " ")</f>
        <v>TEGL820923MPLCTR09</v>
      </c>
      <c r="F506" s="1402" t="str">
        <f>_xlfn.XLOOKUP($D506,  Tabla3[No.],  Tabla3[Matrícula Of. SEQ], " ")</f>
        <v>64DD03B-15</v>
      </c>
      <c r="G506" s="1806" t="str">
        <f>IFERROR(VLOOKUP(D506,Tabla3[],5,FALSE),"")</f>
        <v xml:space="preserve">TECOTL GUTIERREZ LORENA </v>
      </c>
      <c r="H506" s="737" t="str">
        <f t="shared" si="119"/>
        <v>M</v>
      </c>
      <c r="I506" s="737" t="str">
        <f t="shared" si="120"/>
        <v>82</v>
      </c>
      <c r="J506" s="737" t="str">
        <f t="shared" si="121"/>
        <v>09</v>
      </c>
      <c r="K506" s="737" t="str">
        <f t="shared" si="122"/>
        <v>23</v>
      </c>
      <c r="L506" s="1232" t="str">
        <f>_xlfn.XLOOKUP($E506,Tabla3[CURP],Tabla3[ESTATUS ACADÉMICO]," ")</f>
        <v>EGRESADO</v>
      </c>
      <c r="M506" s="1233" t="s">
        <v>5076</v>
      </c>
      <c r="N506" s="20">
        <v>8</v>
      </c>
      <c r="O506" s="20">
        <v>9</v>
      </c>
      <c r="P506" s="20">
        <v>8</v>
      </c>
      <c r="Q506" s="20">
        <v>9</v>
      </c>
      <c r="R506" s="20">
        <v>9.4</v>
      </c>
      <c r="S506" s="20"/>
      <c r="T506" s="20">
        <v>10</v>
      </c>
      <c r="U506" s="20">
        <v>9</v>
      </c>
      <c r="V506" s="20">
        <v>10</v>
      </c>
      <c r="W506" s="20">
        <v>9.6999999999999993</v>
      </c>
      <c r="X506" s="20">
        <v>9</v>
      </c>
      <c r="Y506" s="20">
        <v>9.6999999999999993</v>
      </c>
      <c r="Z506" s="20">
        <v>8</v>
      </c>
      <c r="AA506" s="20">
        <v>9</v>
      </c>
      <c r="AB506" s="20"/>
      <c r="AC506" s="20">
        <v>8</v>
      </c>
    </row>
    <row r="507" spans="1:42" ht="15.75" customHeight="1">
      <c r="A507" s="3"/>
      <c r="B507" s="20"/>
      <c r="C507" s="20"/>
      <c r="D507" s="20">
        <v>291</v>
      </c>
      <c r="E507" s="1536" t="str">
        <f>_xlfn.XLOOKUP($D507,  Tabla3[No.],  Tabla3[CURP], " ")</f>
        <v>CAGH860506HHGNMC04</v>
      </c>
      <c r="F507" s="1402" t="str">
        <f>_xlfn.XLOOKUP($D507,  Tabla3[No.],  Tabla3[Matrícula Of. SEQ], " ")</f>
        <v>64DD04A-02</v>
      </c>
      <c r="G507" s="1806" t="str">
        <f>IFERROR(VLOOKUP(D507,Tabla3[],5,FALSE),"")</f>
        <v>CANO GOMEZ HECTOR DOMINGO</v>
      </c>
      <c r="H507" s="737" t="str">
        <f t="shared" si="119"/>
        <v>H</v>
      </c>
      <c r="I507" s="737" t="str">
        <f t="shared" si="120"/>
        <v>86</v>
      </c>
      <c r="J507" s="737" t="str">
        <f t="shared" si="121"/>
        <v>05</v>
      </c>
      <c r="K507" s="737" t="str">
        <f t="shared" si="122"/>
        <v>06</v>
      </c>
      <c r="L507" s="1232" t="str">
        <f>_xlfn.XLOOKUP($E507,Tabla3[CURP],Tabla3[ESTATUS ACADÉMICO]," ")</f>
        <v>EGRESADO</v>
      </c>
      <c r="M507" s="1233" t="s">
        <v>5076</v>
      </c>
      <c r="N507" s="20"/>
      <c r="O507" s="20"/>
      <c r="P507" s="20"/>
      <c r="Q507" s="20"/>
      <c r="R507" s="20"/>
      <c r="S507" s="20"/>
      <c r="T507" s="20"/>
      <c r="U507" s="20"/>
      <c r="V507" s="221"/>
      <c r="W507" s="20"/>
      <c r="X507" s="20"/>
      <c r="Y507" s="20"/>
      <c r="Z507" s="221"/>
      <c r="AA507" s="221"/>
      <c r="AB507" s="221"/>
      <c r="AC507" s="20"/>
      <c r="AO507" s="3"/>
      <c r="AP507" s="3"/>
    </row>
    <row r="508" spans="1:42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</row>
    <row r="509" spans="1:42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</row>
    <row r="510" spans="1:42" s="3" customFormat="1" ht="15.75" customHeight="1">
      <c r="AO510"/>
      <c r="AP510"/>
    </row>
    <row r="511" spans="1:42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</row>
    <row r="586" spans="1:29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</row>
    <row r="587" spans="1:29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</row>
    <row r="588" spans="1:29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</row>
    <row r="589" spans="1:2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</row>
    <row r="590" spans="1:29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</row>
    <row r="591" spans="1:29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</row>
    <row r="592" spans="1:29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</row>
    <row r="593" spans="1:29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</row>
    <row r="594" spans="1:29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</row>
    <row r="595" spans="1:29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</row>
    <row r="596" spans="1:29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</row>
    <row r="597" spans="1:29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</row>
    <row r="598" spans="1:29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</row>
    <row r="599" spans="1:2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</row>
    <row r="600" spans="1:29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</row>
    <row r="601" spans="1:29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</row>
    <row r="602" spans="1:29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</row>
    <row r="603" spans="1:29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</row>
    <row r="604" spans="1:29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</row>
    <row r="605" spans="1:29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</row>
    <row r="606" spans="1:29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</row>
    <row r="607" spans="1:29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</row>
    <row r="608" spans="1:29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</row>
    <row r="609" spans="1:2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</row>
    <row r="610" spans="1:29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</row>
    <row r="611" spans="1:29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</row>
    <row r="612" spans="1:29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</row>
    <row r="613" spans="1:29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</row>
    <row r="614" spans="1:29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</row>
    <row r="615" spans="1:29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</row>
    <row r="616" spans="1:29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</row>
    <row r="617" spans="1:29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</row>
    <row r="618" spans="1:29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</row>
    <row r="619" spans="1:2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</row>
    <row r="620" spans="1:29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</row>
    <row r="621" spans="1:29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</row>
    <row r="622" spans="1:29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</row>
    <row r="623" spans="1:29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</row>
    <row r="624" spans="1:29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</row>
    <row r="625" spans="1:29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</row>
    <row r="626" spans="1:29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</row>
    <row r="627" spans="1:29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</row>
    <row r="628" spans="1:29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</row>
    <row r="629" spans="1: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</row>
    <row r="630" spans="1:29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</row>
    <row r="631" spans="1:29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</row>
    <row r="632" spans="1:29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</row>
    <row r="633" spans="1:29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</row>
    <row r="634" spans="1:29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</row>
    <row r="635" spans="1:29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</row>
    <row r="636" spans="1:29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</row>
    <row r="637" spans="1:29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</row>
    <row r="638" spans="1:29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</row>
    <row r="639" spans="1:2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</row>
    <row r="640" spans="1:29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</row>
    <row r="641" spans="1:29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</row>
    <row r="642" spans="1:29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</row>
    <row r="643" spans="1:29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</row>
    <row r="644" spans="1:29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</row>
    <row r="645" spans="1:29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</row>
    <row r="646" spans="1:29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</row>
    <row r="647" spans="1:29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</row>
    <row r="648" spans="1:29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</row>
    <row r="649" spans="1:2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</row>
    <row r="650" spans="1:29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</row>
    <row r="651" spans="1:29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</row>
    <row r="652" spans="1:29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</row>
    <row r="653" spans="1:29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</row>
    <row r="654" spans="1:29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</row>
    <row r="655" spans="1:29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</row>
    <row r="656" spans="1:29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  <row r="1056" ht="15.75" customHeight="1"/>
    <row r="1057" ht="15.75" customHeight="1"/>
    <row r="1058" ht="15.75" customHeight="1"/>
    <row r="1059" ht="15.75" customHeight="1"/>
    <row r="1060" ht="15.75" customHeight="1"/>
    <row r="1061" ht="15.75" customHeight="1"/>
    <row r="1062" ht="15.75" customHeight="1"/>
    <row r="1063" ht="15.75" customHeight="1"/>
    <row r="1064" ht="15.75" customHeight="1"/>
    <row r="1065" ht="15.75" customHeight="1"/>
    <row r="1066" ht="15.75" customHeight="1"/>
    <row r="1067" ht="15.75" customHeight="1"/>
    <row r="1068" ht="15.75" customHeight="1"/>
    <row r="1069" ht="15.75" customHeight="1"/>
    <row r="1070" ht="15.75" customHeight="1"/>
    <row r="1071" ht="15.75" customHeight="1"/>
    <row r="1072" ht="15.75" customHeight="1"/>
    <row r="1073" ht="15.75" customHeight="1"/>
    <row r="1074" ht="15.75" customHeight="1"/>
    <row r="1075" ht="15.75" customHeight="1"/>
    <row r="1076" ht="15.75" customHeight="1"/>
    <row r="1077" ht="15.75" customHeight="1"/>
    <row r="1078" ht="15.75" customHeight="1"/>
    <row r="1079" ht="15.75" customHeight="1"/>
    <row r="1080" ht="15.75" customHeight="1"/>
    <row r="1081" ht="15.75" customHeight="1"/>
    <row r="1082" ht="15.75" customHeight="1"/>
    <row r="1083" ht="15.75" customHeight="1"/>
    <row r="1084" ht="15.75" customHeight="1"/>
    <row r="1085" ht="15.75" customHeight="1"/>
    <row r="1086" ht="15.75" customHeight="1"/>
    <row r="1087" ht="15.75" customHeight="1"/>
    <row r="1088" ht="15.75" customHeight="1"/>
    <row r="1089" ht="15.75" customHeight="1"/>
    <row r="1090" ht="15.75" customHeight="1"/>
    <row r="1091" ht="15.75" customHeight="1"/>
    <row r="1092" ht="15.75" customHeight="1"/>
    <row r="1093" ht="15.75" customHeight="1"/>
    <row r="1094" ht="15.75" customHeight="1"/>
    <row r="1095" ht="15.75" customHeight="1"/>
    <row r="1096" ht="15.75" customHeight="1"/>
    <row r="1097" ht="15.75" customHeight="1"/>
    <row r="1098" ht="15.75" customHeight="1"/>
    <row r="1099" ht="15.75" customHeight="1"/>
    <row r="1100" ht="15.75" customHeight="1"/>
    <row r="1101" ht="15.75" customHeight="1"/>
    <row r="1102" ht="15.75" customHeight="1"/>
    <row r="1103" ht="15.75" customHeight="1"/>
    <row r="1104" ht="15.75" customHeight="1"/>
    <row r="1105" ht="15.75" customHeight="1"/>
    <row r="1106" ht="15.75" customHeight="1"/>
    <row r="1107" ht="15.75" customHeight="1"/>
    <row r="1108" ht="15.75" customHeight="1"/>
    <row r="1109" ht="15.75" customHeight="1"/>
    <row r="1110" ht="15.75" customHeight="1"/>
    <row r="1111" ht="15.75" customHeight="1"/>
    <row r="1112" ht="15.75" customHeight="1"/>
    <row r="1113" ht="15.75" customHeight="1"/>
    <row r="1114" ht="15.75" customHeight="1"/>
    <row r="1115" ht="15.75" customHeight="1"/>
    <row r="1116" ht="15.75" customHeight="1"/>
    <row r="1117" ht="15.75" customHeight="1"/>
    <row r="1118" ht="15.75" customHeight="1"/>
    <row r="1119" ht="15.75" customHeight="1"/>
    <row r="1120" ht="15.75" customHeight="1"/>
    <row r="1121" ht="15.75" customHeight="1"/>
    <row r="1122" ht="15.75" customHeight="1"/>
    <row r="1123" ht="15.75" customHeight="1"/>
    <row r="1124" ht="15.75" customHeight="1"/>
    <row r="1125" ht="15.75" customHeight="1"/>
    <row r="1126" ht="15.75" customHeight="1"/>
    <row r="1127" ht="15.75" customHeight="1"/>
    <row r="1128" ht="15.75" customHeight="1"/>
    <row r="1129" ht="15.75" customHeight="1"/>
    <row r="1130" ht="15.75" customHeight="1"/>
    <row r="1131" ht="15.75" customHeight="1"/>
    <row r="1132" ht="15.75" customHeight="1"/>
    <row r="1133" ht="15.75" customHeight="1"/>
    <row r="1134" ht="15.75" customHeight="1"/>
    <row r="1135" ht="15.75" customHeight="1"/>
    <row r="1136" ht="15.75" customHeight="1"/>
    <row r="1137" ht="15.75" customHeight="1"/>
    <row r="1138" ht="15.75" customHeight="1"/>
    <row r="1139" ht="15.75" customHeight="1"/>
    <row r="1140" ht="15.75" customHeight="1"/>
    <row r="1141" ht="15.75" customHeight="1"/>
    <row r="1142" ht="15.75" customHeight="1"/>
    <row r="1143" ht="15.75" customHeight="1"/>
    <row r="1144" ht="15.75" customHeight="1"/>
    <row r="1145" ht="15.75" customHeight="1"/>
    <row r="1146" ht="15.75" customHeight="1"/>
    <row r="1147" ht="15.75" customHeight="1"/>
    <row r="1148" ht="15.75" customHeight="1"/>
    <row r="1149" ht="15.75" customHeight="1"/>
    <row r="1150" ht="15.75" customHeight="1"/>
    <row r="1151" ht="15.75" customHeight="1"/>
    <row r="1152" ht="15.75" customHeight="1"/>
    <row r="1153" ht="15.75" customHeight="1"/>
    <row r="1154" ht="15.75" customHeight="1"/>
    <row r="1155" ht="15.75" customHeight="1"/>
    <row r="1156" ht="15.75" customHeight="1"/>
    <row r="1157" ht="15.75" customHeight="1"/>
    <row r="1158" ht="15.75" customHeight="1"/>
    <row r="1159" ht="15.75" customHeight="1"/>
    <row r="1160" ht="15.75" customHeight="1"/>
    <row r="1161" ht="15.75" customHeight="1"/>
    <row r="1162" ht="15.75" customHeight="1"/>
    <row r="1163" ht="15.75" customHeight="1"/>
    <row r="1164" ht="15.75" customHeight="1"/>
    <row r="1165" ht="15.75" customHeight="1"/>
    <row r="1166" ht="15.75" customHeight="1"/>
    <row r="1167" ht="15.75" customHeight="1"/>
    <row r="1168" ht="15.75" customHeight="1"/>
    <row r="1169" ht="15.75" customHeight="1"/>
    <row r="1170" ht="15.75" customHeight="1"/>
    <row r="1171" ht="15.75" customHeight="1"/>
    <row r="1172" ht="15.75" customHeight="1"/>
    <row r="1173" ht="15.75" customHeight="1"/>
    <row r="1174" ht="15.75" customHeight="1"/>
    <row r="1175" ht="15.75" customHeight="1"/>
    <row r="1176" ht="15.75" customHeight="1"/>
    <row r="1177" ht="15.75" customHeight="1"/>
    <row r="1178" ht="15.75" customHeight="1"/>
    <row r="1179" ht="15.75" customHeight="1"/>
    <row r="1180" ht="15.75" customHeight="1"/>
    <row r="1181" ht="15.75" customHeight="1"/>
    <row r="1182" ht="15.75" customHeight="1"/>
    <row r="1183" ht="15.75" customHeight="1"/>
    <row r="1184" ht="15.75" customHeight="1"/>
    <row r="1185" ht="15.75" customHeight="1"/>
    <row r="1186" ht="15.75" customHeight="1"/>
    <row r="1187" ht="15.75" customHeight="1"/>
    <row r="1188" ht="15.75" customHeight="1"/>
    <row r="1189" ht="15.75" customHeight="1"/>
    <row r="1190" ht="15.75" customHeight="1"/>
    <row r="1191" ht="15.75" customHeight="1"/>
    <row r="1192" ht="15.75" customHeight="1"/>
    <row r="1193" ht="15.75" customHeight="1"/>
    <row r="1194" ht="15.75" customHeight="1"/>
    <row r="1195" ht="15.75" customHeight="1"/>
    <row r="1196" ht="15.75" customHeight="1"/>
    <row r="1197" ht="15.75" customHeight="1"/>
    <row r="1198" ht="15.75" customHeight="1"/>
    <row r="1199" ht="15.75" customHeight="1"/>
    <row r="1200" ht="15.75" customHeight="1"/>
    <row r="1201" ht="15.75" customHeight="1"/>
    <row r="1202" ht="15.75" customHeight="1"/>
    <row r="1203" ht="15.75" customHeight="1"/>
    <row r="1204" ht="15.75" customHeight="1"/>
    <row r="1205" ht="15.75" customHeight="1"/>
    <row r="1206" ht="15.75" customHeight="1"/>
    <row r="1207" ht="15.75" customHeight="1"/>
    <row r="1208" ht="15.75" customHeight="1"/>
    <row r="1209" ht="15.75" customHeight="1"/>
    <row r="1210" ht="15.75" customHeight="1"/>
    <row r="1211" ht="15.75" customHeight="1"/>
    <row r="1212" ht="15.75" customHeight="1"/>
    <row r="1213" ht="15.75" customHeight="1"/>
    <row r="1214" ht="15.75" customHeight="1"/>
    <row r="1215" ht="15.75" customHeight="1"/>
    <row r="1216" ht="15.75" customHeight="1"/>
    <row r="1217" ht="15.75" customHeight="1"/>
    <row r="1218" ht="15.75" customHeight="1"/>
    <row r="1219" ht="15.75" customHeight="1"/>
    <row r="1220" ht="15.75" customHeight="1"/>
    <row r="1221" ht="15.75" customHeight="1"/>
    <row r="1222" ht="15.75" customHeight="1"/>
    <row r="1223" ht="15.75" customHeight="1"/>
    <row r="1224" ht="15.75" customHeight="1"/>
    <row r="1225" ht="15.75" customHeight="1"/>
    <row r="1226" ht="15.75" customHeight="1"/>
    <row r="1227" ht="15.75" customHeight="1"/>
    <row r="1228" ht="15.75" customHeight="1"/>
    <row r="1229" ht="15.75" customHeight="1"/>
    <row r="1230" ht="15.75" customHeight="1"/>
    <row r="1231" ht="15.75" customHeight="1"/>
    <row r="1232" ht="15.75" customHeight="1"/>
    <row r="1233" ht="15.75" customHeight="1"/>
    <row r="1234" ht="15.75" customHeight="1"/>
    <row r="1235" ht="15.75" customHeight="1"/>
    <row r="1236" ht="15.75" customHeight="1"/>
    <row r="1237" ht="15.75" customHeight="1"/>
    <row r="1238" ht="15.75" customHeight="1"/>
    <row r="1239" ht="15.75" customHeight="1"/>
    <row r="1240" ht="15.75" customHeight="1"/>
    <row r="1241" ht="15.75" customHeight="1"/>
    <row r="1242" ht="15.75" customHeight="1"/>
    <row r="1243" ht="15.75" customHeight="1"/>
    <row r="1244" ht="15.75" customHeight="1"/>
    <row r="1245" ht="15.75" customHeight="1"/>
    <row r="1246" ht="15.75" customHeight="1"/>
    <row r="1247" ht="15.75" customHeight="1"/>
    <row r="1248" ht="15.75" customHeight="1"/>
    <row r="1249" ht="15.75" customHeight="1"/>
    <row r="1250" ht="15.75" customHeight="1"/>
    <row r="1251" ht="15.75" customHeight="1"/>
    <row r="1252" ht="15.75" customHeight="1"/>
    <row r="1253" ht="15.75" customHeight="1"/>
    <row r="1254" ht="15.75" customHeight="1"/>
    <row r="1255" ht="15.75" customHeight="1"/>
    <row r="1256" ht="15.75" customHeight="1"/>
    <row r="1257" ht="15.75" customHeight="1"/>
    <row r="1258" ht="15.75" customHeight="1"/>
    <row r="1259" ht="15.75" customHeight="1"/>
    <row r="1260" ht="15.75" customHeight="1"/>
    <row r="1261" ht="15.75" customHeight="1"/>
    <row r="1262" ht="15.75" customHeight="1"/>
    <row r="1263" ht="15.75" customHeight="1"/>
    <row r="1264" ht="15.75" customHeight="1"/>
    <row r="1265" ht="15.75" customHeight="1"/>
    <row r="1266" ht="15.75" customHeight="1"/>
    <row r="1267" ht="15.75" customHeight="1"/>
    <row r="1268" ht="15.75" customHeight="1"/>
    <row r="1269" ht="15.75" customHeight="1"/>
    <row r="1270" ht="15.75" customHeight="1"/>
    <row r="1271" ht="15.75" customHeight="1"/>
    <row r="1272" ht="15.75" customHeight="1"/>
    <row r="1273" ht="15.75" customHeight="1"/>
    <row r="1274" ht="15.75" customHeight="1"/>
    <row r="1275" ht="15.75" customHeight="1"/>
    <row r="1276" ht="15.75" customHeight="1"/>
    <row r="1277" ht="15.75" customHeight="1"/>
    <row r="1278" ht="15.75" customHeight="1"/>
    <row r="1279" ht="15.75" customHeight="1"/>
    <row r="1280" ht="15.75" customHeight="1"/>
    <row r="1281" ht="15.75" customHeight="1"/>
    <row r="1282" ht="15.75" customHeight="1"/>
    <row r="1283" ht="15.75" customHeight="1"/>
    <row r="1284" ht="15.75" customHeight="1"/>
    <row r="1285" ht="15.75" customHeight="1"/>
    <row r="1286" ht="15.75" customHeight="1"/>
    <row r="1287" ht="15.75" customHeight="1"/>
    <row r="1288" ht="15.75" customHeight="1"/>
    <row r="1289" ht="15.75" customHeight="1"/>
    <row r="1290" ht="15.75" customHeight="1"/>
    <row r="1291" ht="15.75" customHeight="1"/>
    <row r="1292" ht="15.75" customHeight="1"/>
    <row r="1293" ht="15.75" customHeight="1"/>
    <row r="1294" ht="15.75" customHeight="1"/>
    <row r="1295" ht="15.75" customHeight="1"/>
    <row r="1296" ht="15.75" customHeight="1"/>
    <row r="1297" ht="15.75" customHeight="1"/>
    <row r="1298" ht="15.75" customHeight="1"/>
    <row r="1299" ht="15.75" customHeight="1"/>
    <row r="1300" ht="15.75" customHeight="1"/>
    <row r="1301" ht="15.75" customHeight="1"/>
    <row r="1302" ht="15.75" customHeight="1"/>
    <row r="1303" ht="15.75" customHeight="1"/>
    <row r="1304" ht="15.75" customHeight="1"/>
    <row r="1305" ht="15.75" customHeight="1"/>
    <row r="1306" ht="15.75" customHeight="1"/>
    <row r="1307" ht="15.75" customHeight="1"/>
    <row r="1308" ht="15.75" customHeight="1"/>
    <row r="1309" ht="15.75" customHeight="1"/>
    <row r="1310" ht="15.75" customHeight="1"/>
    <row r="1311" ht="15.75" customHeight="1"/>
    <row r="1312" ht="15.75" customHeight="1"/>
    <row r="1313" ht="15.75" customHeight="1"/>
    <row r="1314" ht="15.75" customHeight="1"/>
    <row r="1315" ht="15.75" customHeight="1"/>
    <row r="1316" ht="15.75" customHeight="1"/>
    <row r="1317" ht="15.75" customHeight="1"/>
    <row r="1318" ht="15.75" customHeight="1"/>
    <row r="1319" ht="15.75" customHeight="1"/>
    <row r="1320" ht="15.75" customHeight="1"/>
    <row r="1321" ht="15.75" customHeight="1"/>
    <row r="1322" ht="15.75" customHeight="1"/>
    <row r="1323" ht="15.75" customHeight="1"/>
    <row r="1324" ht="15.75" customHeight="1"/>
    <row r="1325" ht="15.75" customHeight="1"/>
    <row r="1326" ht="15.75" customHeight="1"/>
    <row r="1327" ht="15.75" customHeight="1"/>
    <row r="1328" ht="15.75" customHeight="1"/>
    <row r="1329" ht="15.75" customHeight="1"/>
    <row r="1330" ht="15.75" customHeight="1"/>
    <row r="1331" ht="15.75" customHeight="1"/>
    <row r="1332" ht="15.75" customHeight="1"/>
    <row r="1333" ht="15.75" customHeight="1"/>
    <row r="1334" ht="15.75" customHeight="1"/>
    <row r="1335" ht="15.75" customHeight="1"/>
    <row r="1336" ht="15.75" customHeight="1"/>
    <row r="1337" ht="15.75" customHeight="1"/>
    <row r="1338" ht="15.75" customHeight="1"/>
    <row r="1339" ht="15.75" customHeight="1"/>
    <row r="1340" ht="15.75" customHeight="1"/>
    <row r="1341" ht="15.75" customHeight="1"/>
    <row r="1342" ht="15.75" customHeight="1"/>
    <row r="1343" ht="15.75" customHeight="1"/>
    <row r="1344" ht="15.75" customHeight="1"/>
    <row r="1345" ht="15.75" customHeight="1"/>
    <row r="1346" ht="15.75" customHeight="1"/>
    <row r="1347" ht="15.75" customHeight="1"/>
    <row r="1348" ht="15.75" customHeight="1"/>
    <row r="1349" ht="15.75" customHeight="1"/>
    <row r="1350" ht="15.75" customHeight="1"/>
    <row r="1351" ht="15.75" customHeight="1"/>
    <row r="1352" ht="15.75" customHeight="1"/>
    <row r="1353" ht="15.75" customHeight="1"/>
    <row r="1354" ht="15.75" customHeight="1"/>
    <row r="1355" ht="15.75" customHeight="1"/>
    <row r="1356" ht="15.75" customHeight="1"/>
    <row r="1357" ht="15.75" customHeight="1"/>
  </sheetData>
  <sortState xmlns:xlrd2="http://schemas.microsoft.com/office/spreadsheetml/2017/richdata2" ref="A186:AC244">
    <sortCondition descending="1" ref="C189:C244"/>
  </sortState>
  <mergeCells count="151">
    <mergeCell ref="B11:B14"/>
    <mergeCell ref="D11:D14"/>
    <mergeCell ref="E11:E14"/>
    <mergeCell ref="F11:F14"/>
    <mergeCell ref="G11:G13"/>
    <mergeCell ref="H11:H14"/>
    <mergeCell ref="I11:K13"/>
    <mergeCell ref="L11:L13"/>
    <mergeCell ref="V183:Z183"/>
    <mergeCell ref="A143:D143"/>
    <mergeCell ref="I23:K25"/>
    <mergeCell ref="D90:D93"/>
    <mergeCell ref="E115:E117"/>
    <mergeCell ref="L23:L25"/>
    <mergeCell ref="B23:B26"/>
    <mergeCell ref="D23:D26"/>
    <mergeCell ref="M270:M271"/>
    <mergeCell ref="A53:A55"/>
    <mergeCell ref="C53:C55"/>
    <mergeCell ref="E53:E56"/>
    <mergeCell ref="F338:F340"/>
    <mergeCell ref="G338:G339"/>
    <mergeCell ref="B285:B288"/>
    <mergeCell ref="G285:G287"/>
    <mergeCell ref="H285:H288"/>
    <mergeCell ref="B270:B273"/>
    <mergeCell ref="D270:D273"/>
    <mergeCell ref="D53:D56"/>
    <mergeCell ref="B90:B93"/>
    <mergeCell ref="C90:C91"/>
    <mergeCell ref="E90:E93"/>
    <mergeCell ref="F90:F93"/>
    <mergeCell ref="G90:G92"/>
    <mergeCell ref="H90:H93"/>
    <mergeCell ref="A285:A287"/>
    <mergeCell ref="D287:D288"/>
    <mergeCell ref="AE183:AG183"/>
    <mergeCell ref="B250:B253"/>
    <mergeCell ref="D250:D253"/>
    <mergeCell ref="E250:E253"/>
    <mergeCell ref="F250:F253"/>
    <mergeCell ref="G250:G252"/>
    <mergeCell ref="H250:H253"/>
    <mergeCell ref="I250:K252"/>
    <mergeCell ref="I185:K187"/>
    <mergeCell ref="F185:F187"/>
    <mergeCell ref="C185:C188"/>
    <mergeCell ref="G185:G187"/>
    <mergeCell ref="H185:H188"/>
    <mergeCell ref="M250:M251"/>
    <mergeCell ref="L250:L252"/>
    <mergeCell ref="N183:Q183"/>
    <mergeCell ref="R183:U183"/>
    <mergeCell ref="L185:M185"/>
    <mergeCell ref="L186:M186"/>
    <mergeCell ref="L187:M187"/>
    <mergeCell ref="E185:E187"/>
    <mergeCell ref="AA183:AD183"/>
    <mergeCell ref="B406:B408"/>
    <mergeCell ref="I406:K407"/>
    <mergeCell ref="E406:E408"/>
    <mergeCell ref="F406:F408"/>
    <mergeCell ref="G406:G407"/>
    <mergeCell ref="H406:H408"/>
    <mergeCell ref="B469:B472"/>
    <mergeCell ref="F487:F489"/>
    <mergeCell ref="G487:G488"/>
    <mergeCell ref="H487:H489"/>
    <mergeCell ref="F469:F472"/>
    <mergeCell ref="I487:K488"/>
    <mergeCell ref="I431:K433"/>
    <mergeCell ref="I448:K449"/>
    <mergeCell ref="G448:G449"/>
    <mergeCell ref="B431:B434"/>
    <mergeCell ref="B487:B489"/>
    <mergeCell ref="E469:E472"/>
    <mergeCell ref="C469:C470"/>
    <mergeCell ref="H448:H450"/>
    <mergeCell ref="C431:C432"/>
    <mergeCell ref="B448:B450"/>
    <mergeCell ref="F431:F434"/>
    <mergeCell ref="E431:E434"/>
    <mergeCell ref="E487:E489"/>
    <mergeCell ref="G431:G433"/>
    <mergeCell ref="H431:H434"/>
    <mergeCell ref="W405:X405"/>
    <mergeCell ref="I469:K471"/>
    <mergeCell ref="H469:H472"/>
    <mergeCell ref="G469:G471"/>
    <mergeCell ref="E448:E450"/>
    <mergeCell ref="F448:F450"/>
    <mergeCell ref="B378:B380"/>
    <mergeCell ref="G371:K371"/>
    <mergeCell ref="I378:K379"/>
    <mergeCell ref="G378:G379"/>
    <mergeCell ref="B53:B56"/>
    <mergeCell ref="F53:F56"/>
    <mergeCell ref="G53:G55"/>
    <mergeCell ref="L53:L54"/>
    <mergeCell ref="I53:K55"/>
    <mergeCell ref="H378:H380"/>
    <mergeCell ref="E378:E380"/>
    <mergeCell ref="F378:F380"/>
    <mergeCell ref="H338:H340"/>
    <mergeCell ref="B320:B323"/>
    <mergeCell ref="E301:E304"/>
    <mergeCell ref="B301:B304"/>
    <mergeCell ref="L270:L271"/>
    <mergeCell ref="I285:K287"/>
    <mergeCell ref="H320:H323"/>
    <mergeCell ref="G301:G303"/>
    <mergeCell ref="G320:G322"/>
    <mergeCell ref="H301:H304"/>
    <mergeCell ref="B338:B340"/>
    <mergeCell ref="E338:E340"/>
    <mergeCell ref="U1:V6"/>
    <mergeCell ref="E320:E323"/>
    <mergeCell ref="W335:Y335"/>
    <mergeCell ref="I338:K339"/>
    <mergeCell ref="M301:M302"/>
    <mergeCell ref="I320:K322"/>
    <mergeCell ref="I301:K303"/>
    <mergeCell ref="F320:F322"/>
    <mergeCell ref="F301:F303"/>
    <mergeCell ref="I90:K92"/>
    <mergeCell ref="I270:K272"/>
    <mergeCell ref="E270:E273"/>
    <mergeCell ref="F270:F273"/>
    <mergeCell ref="G270:G272"/>
    <mergeCell ref="H270:H273"/>
    <mergeCell ref="E285:E288"/>
    <mergeCell ref="F285:F287"/>
    <mergeCell ref="B247:F248"/>
    <mergeCell ref="D114:D117"/>
    <mergeCell ref="E23:E26"/>
    <mergeCell ref="F23:F26"/>
    <mergeCell ref="G23:G25"/>
    <mergeCell ref="H23:H26"/>
    <mergeCell ref="R144:U144"/>
    <mergeCell ref="AE144:AG144"/>
    <mergeCell ref="C145:C148"/>
    <mergeCell ref="E145:E147"/>
    <mergeCell ref="F145:F147"/>
    <mergeCell ref="G145:G147"/>
    <mergeCell ref="H145:H148"/>
    <mergeCell ref="I145:K147"/>
    <mergeCell ref="L145:M145"/>
    <mergeCell ref="L147:M147"/>
    <mergeCell ref="N144:Q144"/>
    <mergeCell ref="V144:Z144"/>
    <mergeCell ref="AA144:AD144"/>
  </mergeCells>
  <phoneticPr fontId="275" type="noConversion"/>
  <conditionalFormatting sqref="V98 O105:O106 N128:Q128 N140:Q141 O127:Q127 N79:T79 AB105:AB109 AC329:AC333 N249:X249 T324:W329 N330:W330 S100:V100 S101:W101 T141:V141 V140 S140:T140 V137 N134:T134 O115:T115 Q116:T116 N129:S133 N138:S138 V99:AB99 N331:AB333 N305:AC315 N436:AC440 N341:AC370 N381:AC399 N409:AC425 R435:AC435 V263:AC263 N490:AC507 N280:W282 R275:T275 N279:T279 Q105:V108 N95:V96 N97:U99 O261 O256:Y260 N123:S126 N136:T137 N135:Q135 U261:Y261 N262 AA256:AC261 P261:T262 AD435:AE440 N451:AE462 N473:AF479 V115:AD115 AC116:AD116 AE115:AN116 N80:V82 W81:X82 N84:X85">
    <cfRule type="cellIs" dxfId="158" priority="211" operator="lessThan">
      <formula>8</formula>
    </cfRule>
    <cfRule type="cellIs" dxfId="157" priority="212" operator="lessThan">
      <formula>10</formula>
    </cfRule>
  </conditionalFormatting>
  <conditionalFormatting sqref="P435">
    <cfRule type="cellIs" dxfId="156" priority="201" operator="lessThan">
      <formula>8</formula>
    </cfRule>
    <cfRule type="cellIs" dxfId="155" priority="202" operator="lessThan">
      <formula>10</formula>
    </cfRule>
  </conditionalFormatting>
  <conditionalFormatting sqref="N435">
    <cfRule type="cellIs" dxfId="154" priority="193" operator="lessThan">
      <formula>8</formula>
    </cfRule>
    <cfRule type="cellIs" dxfId="153" priority="194" operator="lessThan">
      <formula>10</formula>
    </cfRule>
  </conditionalFormatting>
  <conditionalFormatting sqref="O435">
    <cfRule type="cellIs" dxfId="152" priority="191" operator="lessThan">
      <formula>8</formula>
    </cfRule>
    <cfRule type="cellIs" dxfId="151" priority="192" operator="lessThan">
      <formula>10</formula>
    </cfRule>
  </conditionalFormatting>
  <conditionalFormatting sqref="Q435">
    <cfRule type="cellIs" dxfId="150" priority="189" operator="lessThan">
      <formula>8</formula>
    </cfRule>
    <cfRule type="cellIs" dxfId="149" priority="190" operator="lessThan">
      <formula>10</formula>
    </cfRule>
  </conditionalFormatting>
  <conditionalFormatting sqref="P274:R274 P275 N274:O277 Q275:Q278">
    <cfRule type="cellIs" dxfId="148" priority="179" operator="lessThan">
      <formula>8</formula>
    </cfRule>
    <cfRule type="cellIs" dxfId="147" priority="180" operator="lessThan">
      <formula>10</formula>
    </cfRule>
  </conditionalFormatting>
  <conditionalFormatting sqref="Y324:Z325 Y327:Z329 Y326 N324:Q329 R325:S329">
    <cfRule type="cellIs" dxfId="146" priority="177" operator="lessThan">
      <formula>8</formula>
    </cfRule>
    <cfRule type="cellIs" dxfId="145" priority="178" operator="lessThan">
      <formula>10</formula>
    </cfRule>
  </conditionalFormatting>
  <conditionalFormatting sqref="N139:O139 S128 T138:T139 N122:P122 N127">
    <cfRule type="cellIs" dxfId="144" priority="169" operator="lessThan">
      <formula>8</formula>
    </cfRule>
    <cfRule type="cellIs" dxfId="143" priority="170" operator="lessThan">
      <formula>10</formula>
    </cfRule>
  </conditionalFormatting>
  <conditionalFormatting sqref="Q139:R139">
    <cfRule type="cellIs" dxfId="142" priority="161" operator="lessThan">
      <formula>8</formula>
    </cfRule>
    <cfRule type="cellIs" dxfId="141" priority="162" operator="lessThan">
      <formula>10</formula>
    </cfRule>
  </conditionalFormatting>
  <conditionalFormatting sqref="Q139:R139">
    <cfRule type="cellIs" dxfId="140" priority="159" operator="lessThan">
      <formula>8</formula>
    </cfRule>
    <cfRule type="cellIs" dxfId="139" priority="160" operator="lessThan">
      <formula>10</formula>
    </cfRule>
  </conditionalFormatting>
  <conditionalFormatting sqref="P139">
    <cfRule type="cellIs" dxfId="138" priority="145" operator="lessThan">
      <formula>8</formula>
    </cfRule>
    <cfRule type="cellIs" dxfId="137" priority="146" operator="lessThan">
      <formula>10</formula>
    </cfRule>
  </conditionalFormatting>
  <conditionalFormatting sqref="P139">
    <cfRule type="cellIs" dxfId="136" priority="143" operator="lessThan">
      <formula>8</formula>
    </cfRule>
    <cfRule type="cellIs" dxfId="135" priority="144" operator="lessThan">
      <formula>10</formula>
    </cfRule>
  </conditionalFormatting>
  <conditionalFormatting sqref="Y330:Z330">
    <cfRule type="cellIs" dxfId="134" priority="135" operator="lessThan">
      <formula>8</formula>
    </cfRule>
    <cfRule type="cellIs" dxfId="133" priority="136" operator="lessThan">
      <formula>10</formula>
    </cfRule>
  </conditionalFormatting>
  <conditionalFormatting sqref="N94 N100:O100 O101 N102:O104 P106:P108 AB97 S102:T104 P100:R104">
    <cfRule type="cellIs" dxfId="132" priority="133" operator="lessThan">
      <formula>8</formula>
    </cfRule>
    <cfRule type="cellIs" dxfId="131" priority="134" operator="lessThan">
      <formula>10</formula>
    </cfRule>
  </conditionalFormatting>
  <conditionalFormatting sqref="N107:N108">
    <cfRule type="cellIs" dxfId="130" priority="131" operator="lessThan">
      <formula>8</formula>
    </cfRule>
    <cfRule type="cellIs" dxfId="129" priority="132" operator="lessThan">
      <formula>10</formula>
    </cfRule>
  </conditionalFormatting>
  <conditionalFormatting sqref="O107:O108">
    <cfRule type="cellIs" dxfId="128" priority="129" operator="lessThan">
      <formula>8</formula>
    </cfRule>
    <cfRule type="cellIs" dxfId="127" priority="130" operator="lessThan">
      <formula>10</formula>
    </cfRule>
  </conditionalFormatting>
  <conditionalFormatting sqref="N98">
    <cfRule type="cellIs" dxfId="126" priority="127" operator="lessThan">
      <formula>8</formula>
    </cfRule>
    <cfRule type="cellIs" dxfId="125" priority="128" operator="lessThan">
      <formula>10</formula>
    </cfRule>
  </conditionalFormatting>
  <conditionalFormatting sqref="N105">
    <cfRule type="cellIs" dxfId="124" priority="125" operator="lessThan">
      <formula>8</formula>
    </cfRule>
    <cfRule type="cellIs" dxfId="123" priority="126" operator="lessThan">
      <formula>10</formula>
    </cfRule>
  </conditionalFormatting>
  <conditionalFormatting sqref="N106">
    <cfRule type="cellIs" dxfId="122" priority="123" operator="lessThan">
      <formula>8</formula>
    </cfRule>
    <cfRule type="cellIs" dxfId="121" priority="124" operator="lessThan">
      <formula>10</formula>
    </cfRule>
  </conditionalFormatting>
  <conditionalFormatting sqref="N101">
    <cfRule type="cellIs" dxfId="120" priority="121" operator="lessThan">
      <formula>8</formula>
    </cfRule>
    <cfRule type="cellIs" dxfId="119" priority="122" operator="lessThan">
      <formula>10</formula>
    </cfRule>
  </conditionalFormatting>
  <conditionalFormatting sqref="P105">
    <cfRule type="cellIs" dxfId="118" priority="119" operator="lessThan">
      <formula>8</formula>
    </cfRule>
    <cfRule type="cellIs" dxfId="117" priority="120" operator="lessThan">
      <formula>10</formula>
    </cfRule>
  </conditionalFormatting>
  <conditionalFormatting sqref="N57:Q57 P62:Q62 N59:Q60 P58:Q58 Q61 Q63 Q78 P64:Q77">
    <cfRule type="cellIs" dxfId="116" priority="113" operator="lessThan">
      <formula>8</formula>
    </cfRule>
    <cfRule type="cellIs" dxfId="115" priority="114" operator="lessThan">
      <formula>10</formula>
    </cfRule>
  </conditionalFormatting>
  <conditionalFormatting sqref="N63:O63 N70:O70 O68:O69 O71 N66:O67 O64:O65 N72:O77">
    <cfRule type="cellIs" dxfId="114" priority="111" operator="lessThan">
      <formula>8</formula>
    </cfRule>
    <cfRule type="cellIs" dxfId="113" priority="112" operator="lessThan">
      <formula>10</formula>
    </cfRule>
  </conditionalFormatting>
  <conditionalFormatting sqref="N62:O62">
    <cfRule type="cellIs" dxfId="112" priority="109" operator="lessThan">
      <formula>8</formula>
    </cfRule>
    <cfRule type="cellIs" dxfId="111" priority="110" operator="lessThan">
      <formula>10</formula>
    </cfRule>
  </conditionalFormatting>
  <conditionalFormatting sqref="N61:O61">
    <cfRule type="cellIs" dxfId="110" priority="107" operator="lessThan">
      <formula>8</formula>
    </cfRule>
    <cfRule type="cellIs" dxfId="109" priority="108" operator="lessThan">
      <formula>10</formula>
    </cfRule>
  </conditionalFormatting>
  <conditionalFormatting sqref="N27:O48">
    <cfRule type="cellIs" dxfId="108" priority="103" operator="lessThan">
      <formula>8</formula>
    </cfRule>
    <cfRule type="cellIs" dxfId="107" priority="104" operator="lessThan">
      <formula>10</formula>
    </cfRule>
  </conditionalFormatting>
  <conditionalFormatting sqref="N122 N127">
    <cfRule type="cellIs" dxfId="106" priority="101" operator="lessThan">
      <formula>8</formula>
    </cfRule>
    <cfRule type="cellIs" dxfId="105" priority="102" operator="lessThan">
      <formula>10</formula>
    </cfRule>
  </conditionalFormatting>
  <conditionalFormatting sqref="N78">
    <cfRule type="cellIs" dxfId="104" priority="93" operator="lessThan">
      <formula>8</formula>
    </cfRule>
    <cfRule type="cellIs" dxfId="103" priority="94" operator="lessThan">
      <formula>10</formula>
    </cfRule>
  </conditionalFormatting>
  <conditionalFormatting sqref="O78">
    <cfRule type="cellIs" dxfId="102" priority="91" operator="lessThan">
      <formula>8</formula>
    </cfRule>
    <cfRule type="cellIs" dxfId="101" priority="92" operator="lessThan">
      <formula>10</formula>
    </cfRule>
  </conditionalFormatting>
  <conditionalFormatting sqref="P78">
    <cfRule type="cellIs" dxfId="100" priority="89" operator="lessThan">
      <formula>8</formula>
    </cfRule>
    <cfRule type="cellIs" dxfId="99" priority="90" operator="lessThan">
      <formula>10</formula>
    </cfRule>
  </conditionalFormatting>
  <conditionalFormatting sqref="N64:N65">
    <cfRule type="cellIs" dxfId="98" priority="87" operator="lessThan">
      <formula>8</formula>
    </cfRule>
    <cfRule type="cellIs" dxfId="97" priority="88" operator="lessThan">
      <formula>10</formula>
    </cfRule>
  </conditionalFormatting>
  <conditionalFormatting sqref="C49">
    <cfRule type="cellIs" dxfId="96" priority="85" operator="lessThan">
      <formula>8</formula>
    </cfRule>
    <cfRule type="cellIs" dxfId="95" priority="86" operator="lessThan">
      <formula>10</formula>
    </cfRule>
  </conditionalFormatting>
  <conditionalFormatting sqref="D228">
    <cfRule type="duplicateValues" dxfId="94" priority="44"/>
  </conditionalFormatting>
  <conditionalFormatting sqref="D229">
    <cfRule type="duplicateValues" dxfId="93" priority="43"/>
  </conditionalFormatting>
  <conditionalFormatting sqref="D230">
    <cfRule type="duplicateValues" dxfId="92" priority="42"/>
  </conditionalFormatting>
  <conditionalFormatting sqref="D231">
    <cfRule type="duplicateValues" dxfId="91" priority="41"/>
  </conditionalFormatting>
  <conditionalFormatting sqref="D232">
    <cfRule type="duplicateValues" dxfId="90" priority="40"/>
  </conditionalFormatting>
  <conditionalFormatting sqref="D233">
    <cfRule type="duplicateValues" dxfId="89" priority="39"/>
  </conditionalFormatting>
  <conditionalFormatting sqref="D234">
    <cfRule type="duplicateValues" dxfId="88" priority="38"/>
  </conditionalFormatting>
  <conditionalFormatting sqref="D235">
    <cfRule type="duplicateValues" dxfId="87" priority="37"/>
  </conditionalFormatting>
  <conditionalFormatting sqref="D236">
    <cfRule type="duplicateValues" dxfId="86" priority="36"/>
  </conditionalFormatting>
  <conditionalFormatting sqref="D237">
    <cfRule type="duplicateValues" dxfId="85" priority="35"/>
  </conditionalFormatting>
  <conditionalFormatting sqref="D238">
    <cfRule type="duplicateValues" dxfId="84" priority="34"/>
  </conditionalFormatting>
  <conditionalFormatting sqref="D239">
    <cfRule type="duplicateValues" dxfId="83" priority="33"/>
  </conditionalFormatting>
  <conditionalFormatting sqref="D240">
    <cfRule type="duplicateValues" dxfId="82" priority="32"/>
  </conditionalFormatting>
  <conditionalFormatting sqref="D241">
    <cfRule type="duplicateValues" dxfId="81" priority="31"/>
  </conditionalFormatting>
  <conditionalFormatting sqref="D242">
    <cfRule type="duplicateValues" dxfId="80" priority="30"/>
  </conditionalFormatting>
  <conditionalFormatting sqref="N263:U263">
    <cfRule type="cellIs" dxfId="79" priority="10" operator="lessThan">
      <formula>8</formula>
    </cfRule>
    <cfRule type="cellIs" dxfId="78" priority="11" operator="lessThan">
      <formula>10</formula>
    </cfRule>
  </conditionalFormatting>
  <conditionalFormatting sqref="D149:D150">
    <cfRule type="duplicateValues" dxfId="77" priority="9"/>
  </conditionalFormatting>
  <conditionalFormatting sqref="U255">
    <cfRule type="cellIs" dxfId="76" priority="7" operator="lessThan">
      <formula>8</formula>
    </cfRule>
    <cfRule type="cellIs" dxfId="75" priority="8" operator="lessThan">
      <formula>10</formula>
    </cfRule>
  </conditionalFormatting>
  <conditionalFormatting sqref="N118:S121">
    <cfRule type="cellIs" dxfId="74" priority="3" operator="lessThan">
      <formula>8</formula>
    </cfRule>
    <cfRule type="cellIs" dxfId="73" priority="4" operator="lessThan">
      <formula>10</formula>
    </cfRule>
  </conditionalFormatting>
  <conditionalFormatting sqref="S135">
    <cfRule type="cellIs" dxfId="72" priority="1" operator="lessThan">
      <formula>8</formula>
    </cfRule>
    <cfRule type="cellIs" dxfId="71" priority="2" operator="lessThan">
      <formula>10</formula>
    </cfRule>
  </conditionalFormatting>
  <dataValidations disablePrompts="1" count="1">
    <dataValidation type="textLength" operator="equal" allowBlank="1" showInputMessage="1" showErrorMessage="1" sqref="E57:E62 E15:E17 E262:E263 E67:E88" xr:uid="{00EF23B2-C122-4CAD-819F-ADE08027DA56}">
      <formula1>18</formula1>
    </dataValidation>
  </dataValidations>
  <hyperlinks>
    <hyperlink ref="Q378" r:id="rId1" xr:uid="{00000000-0004-0000-0200-000004000000}"/>
    <hyperlink ref="V378" r:id="rId2" xr:uid="{00000000-0004-0000-0200-000005000000}"/>
    <hyperlink ref="AC378" r:id="rId3" xr:uid="{00000000-0004-0000-0200-000006000000}"/>
    <hyperlink ref="N406" r:id="rId4" xr:uid="{00000000-0004-0000-0200-000009000000}"/>
    <hyperlink ref="U406" r:id="rId5" xr:uid="{00000000-0004-0000-0200-00000A000000}"/>
    <hyperlink ref="Y406" r:id="rId6" xr:uid="{00000000-0004-0000-0200-00000B000000}"/>
    <hyperlink ref="Z406" r:id="rId7" xr:uid="{00000000-0004-0000-0200-00000C000000}"/>
    <hyperlink ref="AA406" r:id="rId8" xr:uid="{00000000-0004-0000-0200-00000D000000}"/>
    <hyperlink ref="N432" r:id="rId9" xr:uid="{00000000-0004-0000-0200-00000F000000}"/>
    <hyperlink ref="V432" r:id="rId10" xr:uid="{00000000-0004-0000-0200-000011000000}"/>
    <hyperlink ref="Y432" r:id="rId11" xr:uid="{00000000-0004-0000-0200-000012000000}"/>
    <hyperlink ref="Z432" r:id="rId12" xr:uid="{00000000-0004-0000-0200-000013000000}"/>
    <hyperlink ref="AA432" r:id="rId13" xr:uid="{00000000-0004-0000-0200-000014000000}"/>
    <hyperlink ref="N448" r:id="rId14" xr:uid="{00000000-0004-0000-0200-000016000000}"/>
    <hyperlink ref="X448" r:id="rId15" xr:uid="{00000000-0004-0000-0200-000018000000}"/>
    <hyperlink ref="Y448" r:id="rId16" xr:uid="{00000000-0004-0000-0200-000019000000}"/>
    <hyperlink ref="Z448" r:id="rId17" xr:uid="{00000000-0004-0000-0200-00001A000000}"/>
    <hyperlink ref="O470" r:id="rId18" xr:uid="{00000000-0004-0000-0200-00001B000000}"/>
    <hyperlink ref="Q470" r:id="rId19" xr:uid="{00000000-0004-0000-0200-00001C000000}"/>
    <hyperlink ref="Y470" r:id="rId20" xr:uid="{00000000-0004-0000-0200-00001D000000}"/>
    <hyperlink ref="Z470" r:id="rId21" xr:uid="{00000000-0004-0000-0200-00001E000000}"/>
    <hyperlink ref="AA470" r:id="rId22" xr:uid="{00000000-0004-0000-0200-00001F000000}"/>
    <hyperlink ref="N487" r:id="rId23" xr:uid="{00000000-0004-0000-0200-000020000000}"/>
    <hyperlink ref="O487" r:id="rId24" xr:uid="{00000000-0004-0000-0200-000021000000}"/>
    <hyperlink ref="P487" r:id="rId25" xr:uid="{00000000-0004-0000-0200-000022000000}"/>
    <hyperlink ref="AC406" r:id="rId26" xr:uid="{36B8CAE0-85B4-4D2D-9770-1FD38BC9840C}"/>
    <hyperlink ref="AC432" r:id="rId27" xr:uid="{0D47F89D-1283-4986-A827-4266E8BD0585}"/>
    <hyperlink ref="AA448" r:id="rId28" xr:uid="{4C7C5388-861F-41A5-B628-A4EB5BEA60FE}"/>
    <hyperlink ref="P115" r:id="rId29" xr:uid="{5D745A7A-D84B-446E-B0F9-5780CB29A616}"/>
    <hyperlink ref="O115" r:id="rId30" xr:uid="{E97075E9-B3B8-4530-96AE-6403779A66FE}"/>
    <hyperlink ref="N115" r:id="rId31" xr:uid="{C27E837A-EBBA-49BF-90F3-3C75759BEAA4}"/>
    <hyperlink ref="O91" r:id="rId32" xr:uid="{1826F6C8-05C0-4D5A-95DC-59D5FBAC1FBB}"/>
    <hyperlink ref="Q91" r:id="rId33" xr:uid="{A4755B71-3593-47ED-8AAA-390460DA4C01}"/>
    <hyperlink ref="P91" r:id="rId34" xr:uid="{C73B65A5-BE45-4717-B586-4465BA458B80}"/>
    <hyperlink ref="V91" r:id="rId35" xr:uid="{07DC1313-823B-4B29-835A-48BC97414C0A}"/>
    <hyperlink ref="W91" r:id="rId36" xr:uid="{3B6F46D6-60C2-4F3D-9B42-8DEBDC89C0FB}"/>
    <hyperlink ref="X91" r:id="rId37" xr:uid="{1F97D684-CB14-41A9-BC98-7361778E4E92}"/>
    <hyperlink ref="Y91" r:id="rId38" xr:uid="{4F076949-A7F4-4B5F-872A-5666FFFB566B}"/>
    <hyperlink ref="N91" r:id="rId39" xr:uid="{49C0AA4D-B264-498B-A126-F15E92FF3FAF}"/>
    <hyperlink ref="Z91" r:id="rId40" xr:uid="{76ED1982-E47C-43DE-95F5-5D441F14AE26}"/>
    <hyperlink ref="U91" r:id="rId41" xr:uid="{5C31DFB4-4988-42A5-9555-26DF784F1839}"/>
    <hyperlink ref="AB91" r:id="rId42" xr:uid="{BA1A55B3-1BF9-4F57-A26F-DEAE110E29E5}"/>
    <hyperlink ref="R91" r:id="rId43" display="https://classroom.google.com/w/NDU5NDQxNDUxODMz/t/all" xr:uid="{1138A2E8-18E5-4032-A067-B3B980336CE4}"/>
    <hyperlink ref="S91" r:id="rId44" display="https://classroom.google.com/c/NTEwNzY5MDQ0ODc3?cjc=plfxebi" xr:uid="{20401A3C-B900-41A7-BD24-5E3981834A6F}"/>
    <hyperlink ref="T91" r:id="rId45" display="https://classroom.google.com/c/NTQxNzE1NTgyNTY4" xr:uid="{179A163B-B7C3-485B-A26B-19D0608FC9E7}"/>
    <hyperlink ref="N54" r:id="rId46" xr:uid="{C77EDA48-5102-4277-8E5D-36F56A28C112}"/>
    <hyperlink ref="N24" r:id="rId47" xr:uid="{2B9B0294-A4E2-4D1B-9184-F752964FE590}"/>
    <hyperlink ref="Z54" r:id="rId48" location="gid=2124319217" xr:uid="{3475660B-81B3-49B5-BFE9-3624EC5BDBBA}"/>
    <hyperlink ref="T115" r:id="rId49" xr:uid="{67E48DDE-41A2-4D5D-AD6B-0DBED9C8949B}"/>
    <hyperlink ref="U24" r:id="rId50" location="gid=1099595855" xr:uid="{4CCD56E3-C620-4F69-BF1D-340B71149DF7}"/>
    <hyperlink ref="AA115" r:id="rId51" xr:uid="{D1B16538-9472-494A-95A5-9C89A0748CAA}"/>
    <hyperlink ref="Z115" r:id="rId52" xr:uid="{FBACF704-48AA-47E5-BEA3-9435CA7D0BA1}"/>
    <hyperlink ref="V115" r:id="rId53" location="gid=1760733407" xr:uid="{EEFC131D-D90B-4637-B40F-FD4B989C4F4A}"/>
    <hyperlink ref="AE115" r:id="rId54" location="gid=1760733407" xr:uid="{F1311B07-6AC3-4E5E-B85F-57C1C358F743}"/>
    <hyperlink ref="AD115" r:id="rId55" location="gid=1760733407" xr:uid="{2F119AFA-CBB7-4184-8186-6DE78D6E5013}"/>
    <hyperlink ref="AF115" r:id="rId56" location="gid=1760733407" xr:uid="{01999E9D-5EC9-4F3A-83AA-3490A376F622}"/>
    <hyperlink ref="AG115" r:id="rId57" location="gid=89036972" xr:uid="{63F9196A-6047-4D78-A524-3B347C18E497}"/>
    <hyperlink ref="AH115" r:id="rId58" location="gid=2124319217" xr:uid="{1B948DF3-BBE8-421A-BB57-007CE971AB88}"/>
    <hyperlink ref="AJ115" r:id="rId59" location="gid=2124319217" xr:uid="{1F0E8D65-AF73-4B72-9441-9F74FDB8F21A}"/>
    <hyperlink ref="AI115" r:id="rId60" location="gid=2124319217" xr:uid="{E98269ED-2E0F-4871-9D0C-31B5BA005E26}"/>
    <hyperlink ref="AK115" r:id="rId61" location="gid=2124319217" xr:uid="{E429C680-4325-4845-9464-68CA15E7F4CC}"/>
    <hyperlink ref="AL115" r:id="rId62" location="gid=2124319217" xr:uid="{9AB14E78-64B1-4286-BDEB-1DC32002E149}"/>
    <hyperlink ref="N186" r:id="rId63" xr:uid="{DD2A2EF2-F5ED-493B-BF7D-92E7AE6021FF}"/>
    <hyperlink ref="O186" r:id="rId64" xr:uid="{DD0372F5-B899-43E5-9FD6-13C7A424E50E}"/>
    <hyperlink ref="P186" r:id="rId65" location="gid=97323316" display="https://docs.google.com/spreadsheets/d/1DyPwcI6NhNekWDXEV6Rmj5IBpYopnQjv/edit - gid=97323316" xr:uid="{E03BEF69-FF8B-46EC-91B5-AD0124A43B0D}"/>
    <hyperlink ref="Q186" r:id="rId66" xr:uid="{C601420B-0C3F-4F16-8FDE-C2923A93562F}"/>
    <hyperlink ref="T186" r:id="rId67" display="https://docs.google.com/spreadsheets/d/1q5zKD_wcEJb11SvdKJ5QY86ZKm2ZphvW/edit?usp=drive_link&amp;ouid=107074606600533491419&amp;rtpof=true&amp;sd=true" xr:uid="{5E467A28-57D1-4939-8CE4-B6BD6B8BA839}"/>
    <hyperlink ref="U186" r:id="rId68" xr:uid="{0F2A84F7-BB73-4A0B-8345-6DA74AC062A9}"/>
    <hyperlink ref="V186" r:id="rId69" xr:uid="{9269FD9E-34F2-48E5-BD81-72881E893603}"/>
    <hyperlink ref="W186" r:id="rId70" xr:uid="{53AD4568-2C73-4444-A0F2-1B55B8ED55C3}"/>
    <hyperlink ref="X186" r:id="rId71" xr:uid="{06D25876-01BE-4DE7-844C-436D7C9D9607}"/>
    <hyperlink ref="Y186" r:id="rId72" xr:uid="{7E3B77C3-0078-4D91-B1D5-9440C7CC388C}"/>
    <hyperlink ref="Z186" r:id="rId73" xr:uid="{AE0791A9-935F-46D3-A664-7AC7F56C59A1}"/>
    <hyperlink ref="AA186" r:id="rId74" xr:uid="{F0ECE8CE-55CE-43FD-8BAB-4806C5075DAE}"/>
    <hyperlink ref="AB186" r:id="rId75" xr:uid="{0EBC314D-6D66-42FC-9026-7F6D741FC763}"/>
    <hyperlink ref="AC186" r:id="rId76" display="https://docs.google.com/spreadsheets/d/11mqEivXARAX7ndsyQgV_uUf2CLXriKQD/edit?usp=drive_link&amp;ouid=107074606600533491419&amp;rtpof=true&amp;sd=true" xr:uid="{56D72C3A-4621-4413-A15F-D92A86B5D647}"/>
    <hyperlink ref="AD186" r:id="rId77" display="https://docs.google.com/spreadsheets/d/1RyGyoocv0MTI09ecqXhbdpqCpUF6OHHm/edit?usp=drive_link&amp;ouid=107074606600533491419&amp;rtpof=true&amp;sd=true" xr:uid="{D2F55CED-3E75-4304-BD29-AFE716DAC486}"/>
    <hyperlink ref="AE186" r:id="rId78" xr:uid="{DB326C9C-13E0-48FD-8CA7-444C342FF031}"/>
    <hyperlink ref="AF186" r:id="rId79" xr:uid="{9AC17913-185A-4297-8765-3B67F9776B60}"/>
    <hyperlink ref="AG186" r:id="rId80" xr:uid="{EDD200E3-5398-4670-891F-BC004E7DE9F3}"/>
    <hyperlink ref="AH186" r:id="rId81" xr:uid="{B6590F6C-D7F1-42B7-8CD7-F3782DC97A1A}"/>
    <hyperlink ref="AA54" r:id="rId82" location="gid=2124319217" xr:uid="{6EE813BA-80D8-4845-B177-BD29BF5D2F88}"/>
    <hyperlink ref="AB54" r:id="rId83" location="gid=2124319217" xr:uid="{D8DE500E-C14B-4641-8C86-D13AD47C5768}"/>
    <hyperlink ref="O251" r:id="rId84" location="gid=537709557" xr:uid="{D15F6C7C-4DF8-4CBB-B257-8F17AA130277}"/>
    <hyperlink ref="N251" r:id="rId85" location="gid=537709557" xr:uid="{5371A6FA-FEF5-4B70-A6A4-6D0BC28B6B09}"/>
    <hyperlink ref="P251" r:id="rId86" location="gid=537709557" xr:uid="{6CA3A51B-878C-4FF4-AC6F-17BE54713C3F}"/>
    <hyperlink ref="X24" r:id="rId87" location="gid=2124319217" xr:uid="{5FDE5B48-BDFB-40AE-AA25-D6FEED9AF089}"/>
    <hyperlink ref="W115" r:id="rId88" xr:uid="{A91114FB-04AA-41B3-95A6-1661499BEDDD}"/>
    <hyperlink ref="V24" r:id="rId89" location="gid=1099595855" xr:uid="{853D902D-BF6F-49DB-9413-5A96D352219F}"/>
    <hyperlink ref="W24" r:id="rId90" location="gid=1099595855" xr:uid="{ADF5392F-C82C-4FBD-817E-D3A308E5E926}"/>
    <hyperlink ref="AC54" r:id="rId91" location="gid=2124319217" xr:uid="{306F2D61-C7B8-4B00-860A-73DC2566214C}"/>
    <hyperlink ref="N145" r:id="rId92" xr:uid="{AE28038C-0E0A-4468-B136-160A13108856}"/>
    <hyperlink ref="O145" r:id="rId93" xr:uid="{4BECD202-EF57-4731-BB73-8886B29CF060}"/>
    <hyperlink ref="P145" r:id="rId94" xr:uid="{65BD8BAE-37EA-4330-A07D-DBDDE98CEDAB}"/>
    <hyperlink ref="Y271" r:id="rId95" xr:uid="{9E6A4906-F07B-45D5-9343-E774BAAE2D8F}"/>
    <hyperlink ref="S271" r:id="rId96" xr:uid="{3D617D03-8832-4012-A28A-EF4034F6F2B4}"/>
    <hyperlink ref="AG271" r:id="rId97" location="gid=537709557" xr:uid="{5AE47A02-CEEC-40AB-96DB-5DCEE9FF8F79}"/>
    <hyperlink ref="AF54" r:id="rId98" location="gid=2124319217" xr:uid="{F0CC830F-5B74-483C-87A3-74D1CCD833DB}"/>
    <hyperlink ref="O24" r:id="rId99" xr:uid="{96A683D3-9223-42DA-8BD7-6135EB7C580B}"/>
    <hyperlink ref="V54" r:id="rId100" location="gid=2124319217" xr:uid="{1F92F14D-F954-4429-A27C-5943A66F942D}"/>
    <hyperlink ref="W54" r:id="rId101" location="gid=2124319217" xr:uid="{74F3560C-96D4-4862-B838-9FAA3BA55D99}"/>
    <hyperlink ref="AD54" r:id="rId102" location="gid=2124319217" xr:uid="{100F09EE-9866-453B-868F-5E48352342CB}"/>
  </hyperlinks>
  <pageMargins left="0.7" right="0.7" top="0.75" bottom="0.75" header="0" footer="0"/>
  <pageSetup orientation="portrait" r:id="rId103"/>
  <legacyDrawing r:id="rId10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3">
    <tabColor rgb="FFFFE598"/>
  </sheetPr>
  <dimension ref="A1:BN1017"/>
  <sheetViews>
    <sheetView zoomScaleNormal="100" workbookViewId="0">
      <selection activeCell="Y6" sqref="Y6"/>
    </sheetView>
  </sheetViews>
  <sheetFormatPr baseColWidth="10" defaultColWidth="14.42578125" defaultRowHeight="15" customHeight="1"/>
  <cols>
    <col min="1" max="1" width="20.7109375" customWidth="1"/>
    <col min="2" max="2" width="5.5703125" customWidth="1"/>
    <col min="3" max="3" width="14.85546875" customWidth="1"/>
    <col min="4" max="4" width="13" customWidth="1"/>
    <col min="5" max="5" width="29.42578125" customWidth="1"/>
    <col min="6" max="6" width="15" customWidth="1"/>
    <col min="7" max="7" width="52.85546875" customWidth="1"/>
    <col min="8" max="8" width="5.85546875" customWidth="1"/>
    <col min="9" max="9" width="5.7109375" customWidth="1"/>
    <col min="10" max="10" width="5" customWidth="1"/>
    <col min="11" max="11" width="5.42578125" customWidth="1"/>
    <col min="12" max="12" width="12.42578125" customWidth="1"/>
    <col min="13" max="13" width="11" customWidth="1"/>
    <col min="14" max="14" width="12.42578125" customWidth="1"/>
    <col min="15" max="15" width="14.42578125" customWidth="1"/>
    <col min="16" max="16" width="16.28515625" customWidth="1"/>
    <col min="17" max="17" width="14.42578125" customWidth="1"/>
    <col min="18" max="18" width="16.5703125" customWidth="1"/>
    <col min="19" max="19" width="17.140625" customWidth="1"/>
    <col min="20" max="20" width="15.7109375" customWidth="1"/>
    <col min="21" max="21" width="17.7109375" customWidth="1"/>
    <col min="22" max="22" width="16" customWidth="1"/>
    <col min="23" max="23" width="14.42578125" customWidth="1"/>
    <col min="24" max="24" width="14.85546875" customWidth="1"/>
    <col min="25" max="25" width="16.140625" customWidth="1"/>
    <col min="26" max="26" width="14.140625" customWidth="1"/>
    <col min="27" max="27" width="13" customWidth="1"/>
    <col min="28" max="28" width="11.42578125" customWidth="1"/>
    <col min="29" max="30" width="9.7109375" customWidth="1"/>
    <col min="31" max="32" width="11.42578125" customWidth="1"/>
    <col min="33" max="33" width="9" customWidth="1"/>
    <col min="34" max="34" width="9.7109375" customWidth="1"/>
    <col min="35" max="35" width="12.28515625" customWidth="1"/>
    <col min="36" max="36" width="6.5703125" customWidth="1"/>
    <col min="37" max="37" width="10.7109375" customWidth="1"/>
    <col min="38" max="38" width="8.5703125" customWidth="1"/>
    <col min="39" max="39" width="11.42578125" customWidth="1"/>
    <col min="40" max="40" width="8.5703125" customWidth="1"/>
    <col min="41" max="41" width="11" customWidth="1"/>
    <col min="42" max="43" width="10.7109375" customWidth="1"/>
    <col min="44" max="44" width="7" customWidth="1"/>
    <col min="45" max="45" width="11.42578125" customWidth="1"/>
    <col min="46" max="46" width="7.7109375" customWidth="1"/>
    <col min="47" max="47" width="8.28515625" customWidth="1"/>
    <col min="48" max="48" width="12.28515625" customWidth="1"/>
    <col min="49" max="54" width="11.42578125" customWidth="1"/>
    <col min="55" max="55" width="9.5703125" customWidth="1"/>
    <col min="56" max="56" width="17.7109375" customWidth="1"/>
    <col min="57" max="58" width="11.42578125" customWidth="1"/>
    <col min="59" max="59" width="10.7109375" customWidth="1"/>
    <col min="60" max="62" width="11.42578125" customWidth="1"/>
    <col min="63" max="64" width="13.7109375" customWidth="1"/>
    <col min="66" max="66" width="16.42578125" customWidth="1"/>
  </cols>
  <sheetData>
    <row r="1" spans="1:66" ht="15" customHeight="1" thickBot="1"/>
    <row r="2" spans="1:66" ht="15.75" customHeight="1" thickBot="1">
      <c r="A2" s="4505" t="s">
        <v>3994</v>
      </c>
      <c r="B2" s="4112" t="s">
        <v>5</v>
      </c>
      <c r="C2" s="645" t="s">
        <v>1839</v>
      </c>
      <c r="D2" s="4085" t="s">
        <v>3866</v>
      </c>
      <c r="E2" s="4100" t="s">
        <v>6</v>
      </c>
      <c r="F2" s="4100" t="s">
        <v>7</v>
      </c>
      <c r="G2" s="4120" t="s">
        <v>8</v>
      </c>
      <c r="H2" s="4524" t="s">
        <v>9</v>
      </c>
      <c r="I2" s="4527" t="s">
        <v>10</v>
      </c>
      <c r="J2" s="4525"/>
      <c r="K2" s="4525"/>
      <c r="L2" s="4127"/>
      <c r="M2" s="4493" t="s">
        <v>1149</v>
      </c>
      <c r="N2" s="4529" t="s">
        <v>2575</v>
      </c>
      <c r="O2" s="4530"/>
      <c r="P2" s="4530"/>
      <c r="Q2" s="4530"/>
      <c r="R2" s="4530"/>
      <c r="S2" s="4531"/>
      <c r="T2" s="4107" t="s">
        <v>2576</v>
      </c>
      <c r="U2" s="4101"/>
      <c r="V2" s="4101"/>
      <c r="W2" s="4101"/>
      <c r="X2" s="4101"/>
      <c r="Y2" s="4101"/>
    </row>
    <row r="3" spans="1:66" ht="15.75" thickBot="1">
      <c r="A3" s="4506"/>
      <c r="B3" s="4101"/>
      <c r="C3" s="645" t="s">
        <v>1843</v>
      </c>
      <c r="D3" s="4075"/>
      <c r="E3" s="4101"/>
      <c r="F3" s="4101"/>
      <c r="G3" s="4101"/>
      <c r="H3" s="4525"/>
      <c r="I3" s="4525"/>
      <c r="J3" s="4528"/>
      <c r="K3" s="4525"/>
      <c r="L3" s="4128"/>
      <c r="M3" s="4494"/>
      <c r="N3" s="1928">
        <v>45597</v>
      </c>
      <c r="O3" s="1929" t="s">
        <v>4414</v>
      </c>
      <c r="P3" s="1928">
        <v>45713</v>
      </c>
      <c r="Q3" s="1928">
        <v>45741</v>
      </c>
      <c r="R3" s="1929" t="s">
        <v>4415</v>
      </c>
      <c r="S3" s="1928">
        <v>45802</v>
      </c>
      <c r="T3" s="1928">
        <v>45833</v>
      </c>
      <c r="U3" s="1928">
        <v>45839</v>
      </c>
      <c r="V3" s="1928">
        <v>45870</v>
      </c>
      <c r="W3" s="1928">
        <v>45901</v>
      </c>
      <c r="X3" s="1928">
        <v>45931</v>
      </c>
      <c r="Y3" s="1928">
        <v>45962</v>
      </c>
      <c r="Z3" s="1928">
        <v>45992</v>
      </c>
    </row>
    <row r="4" spans="1:66" ht="23.25" thickBot="1">
      <c r="A4" s="1189" t="s">
        <v>27</v>
      </c>
      <c r="B4" s="4101"/>
      <c r="C4" s="663"/>
      <c r="D4" s="4075"/>
      <c r="E4" s="4101"/>
      <c r="F4" s="4101"/>
      <c r="G4" s="4101"/>
      <c r="H4" s="4525"/>
      <c r="I4" s="4525"/>
      <c r="J4" s="4525"/>
      <c r="K4" s="4525"/>
      <c r="L4" s="978"/>
      <c r="M4" s="1234" t="s">
        <v>1728</v>
      </c>
      <c r="N4" s="1927" t="s">
        <v>4411</v>
      </c>
      <c r="O4" s="1927"/>
      <c r="P4" s="1927"/>
      <c r="Q4" s="1927"/>
      <c r="R4" s="1927"/>
      <c r="S4" s="1927"/>
      <c r="T4" s="1927"/>
      <c r="U4" s="736"/>
      <c r="V4" s="736"/>
      <c r="W4" s="736"/>
      <c r="X4" s="736"/>
      <c r="Y4" s="736"/>
      <c r="Z4" s="736"/>
    </row>
    <row r="5" spans="1:66" ht="46.5" customHeight="1">
      <c r="A5" s="1663" t="s">
        <v>4433</v>
      </c>
      <c r="B5" s="4102"/>
      <c r="C5" s="729" t="s">
        <v>263</v>
      </c>
      <c r="D5" s="4084"/>
      <c r="E5" s="4102"/>
      <c r="F5" s="4102"/>
      <c r="G5" s="730" t="s">
        <v>5462</v>
      </c>
      <c r="H5" s="4526"/>
      <c r="I5" s="3230" t="s">
        <v>79</v>
      </c>
      <c r="J5" s="3230" t="s">
        <v>80</v>
      </c>
      <c r="K5" s="3230" t="s">
        <v>81</v>
      </c>
      <c r="L5" s="2954" t="s">
        <v>1759</v>
      </c>
      <c r="M5" s="1926" t="s">
        <v>27</v>
      </c>
      <c r="N5" s="3199" t="s">
        <v>127</v>
      </c>
      <c r="O5" s="3199" t="s">
        <v>4409</v>
      </c>
      <c r="P5" s="3199" t="s">
        <v>4757</v>
      </c>
      <c r="Q5" s="3199" t="s">
        <v>123</v>
      </c>
      <c r="R5" s="3199" t="s">
        <v>4758</v>
      </c>
      <c r="S5" s="3199" t="s">
        <v>4241</v>
      </c>
      <c r="T5" s="2350" t="s">
        <v>4410</v>
      </c>
      <c r="U5" s="2350" t="s">
        <v>4759</v>
      </c>
      <c r="V5" s="2350" t="s">
        <v>3541</v>
      </c>
      <c r="W5" s="3200" t="s">
        <v>4315</v>
      </c>
      <c r="X5" s="3200" t="s">
        <v>5435</v>
      </c>
      <c r="Y5" s="3908" t="s">
        <v>1354</v>
      </c>
      <c r="Z5" s="3200" t="s">
        <v>655</v>
      </c>
    </row>
    <row r="6" spans="1:66" s="3361" customFormat="1">
      <c r="A6" s="3362" t="s">
        <v>1839</v>
      </c>
      <c r="B6" s="3362">
        <v>1</v>
      </c>
      <c r="C6" s="3363">
        <f>_xlfn.XLOOKUP($D6, Tabla3[No.], Tabla3[FECHA DE INICIO (PRIMERA CLASE CALENDARIO)]," ")</f>
        <v>45590</v>
      </c>
      <c r="D6" s="3364">
        <v>797</v>
      </c>
      <c r="E6" s="3377" t="str">
        <f>_xlfn.XLOOKUP($D6,  Tabla3[No.],  Tabla3[CURP], " ")</f>
        <v>GAOE750502MJCRRL18</v>
      </c>
      <c r="F6" s="3378" t="str">
        <f>_xlfn.XLOOKUP($D6,  Tabla3[No.],  Tabla3[Matrícula Of. SEQ], " ")</f>
        <v>64LD04B</v>
      </c>
      <c r="G6" s="3379" t="str">
        <f>_xlfn.XLOOKUP($E6, Tabla3[CURP], Tabla3[NOMBRE])</f>
        <v>GARDUÑO ORGANISTA ELISA DE LOS ANGELES</v>
      </c>
      <c r="H6" s="3365" t="str">
        <f t="shared" ref="H6:H11" si="0">MID($E6,11,1)</f>
        <v>M</v>
      </c>
      <c r="I6" s="3365" t="str">
        <f t="shared" ref="I6:I11" si="1">MID($E6,5,2)</f>
        <v>75</v>
      </c>
      <c r="J6" s="3365" t="str">
        <f t="shared" ref="J6:J11" si="2">MID($E6,7,2)</f>
        <v>05</v>
      </c>
      <c r="K6" s="3365" t="str">
        <f t="shared" ref="K6:K11" si="3">MID($E6,9,2)</f>
        <v>02</v>
      </c>
      <c r="L6" s="3368" t="str">
        <f>_xlfn.XLOOKUP($D6,  Tabla3[No.],  Tabla3[ESTATUS ACADÉMICO], " ")</f>
        <v>EGRESADO</v>
      </c>
      <c r="M6" s="3366" t="str">
        <f>_xlfn.XLOOKUP($D6,  Tabla3[No.],  Tabla3[Grupo de clase], " ")</f>
        <v>JTLD04C</v>
      </c>
      <c r="N6" s="3365">
        <v>10</v>
      </c>
      <c r="O6" s="3367">
        <v>10</v>
      </c>
      <c r="P6" s="3368">
        <v>9.4</v>
      </c>
      <c r="Q6" s="3368">
        <v>10</v>
      </c>
      <c r="R6" s="3368">
        <v>10</v>
      </c>
      <c r="S6" s="3368">
        <v>10</v>
      </c>
      <c r="T6" s="3369">
        <v>10</v>
      </c>
      <c r="U6" s="3368">
        <v>10</v>
      </c>
      <c r="V6" s="3368">
        <v>9</v>
      </c>
      <c r="W6" s="3370"/>
      <c r="X6" s="3371"/>
      <c r="Y6" s="3371"/>
      <c r="Z6" s="3371"/>
    </row>
    <row r="7" spans="1:66" s="3361" customFormat="1">
      <c r="A7" s="3371" t="s">
        <v>1839</v>
      </c>
      <c r="B7" s="3371">
        <v>2</v>
      </c>
      <c r="C7" s="3372">
        <f>_xlfn.XLOOKUP($D7, Tabla3[No.], Tabla3[FECHA DE INICIO (PRIMERA CLASE CALENDARIO)]," ")</f>
        <v>45724</v>
      </c>
      <c r="D7" s="3373">
        <v>841</v>
      </c>
      <c r="E7" s="3380" t="str">
        <f>_xlfn.XLOOKUP($D7,  Tabla3[No.],  Tabla3[CURP], " ")</f>
        <v>SUMM970220MQRLYR08</v>
      </c>
      <c r="F7" s="3381" t="str">
        <f>_xlfn.XLOOKUP($D7,  Tabla3[No.],  Tabla3[Matrícula Of. SEQ], " ")</f>
        <v>64LD06A-03</v>
      </c>
      <c r="G7" s="908" t="str">
        <f>_xlfn.XLOOKUP($E7, Tabla3[CURP], Tabla3[NOMBRE])</f>
        <v>SULUB MAY MIRLEY SARAHI</v>
      </c>
      <c r="H7" s="3374" t="str">
        <f t="shared" si="0"/>
        <v>M</v>
      </c>
      <c r="I7" s="3374" t="str">
        <f t="shared" si="1"/>
        <v>97</v>
      </c>
      <c r="J7" s="3374" t="str">
        <f t="shared" si="2"/>
        <v>02</v>
      </c>
      <c r="K7" s="3374" t="str">
        <f t="shared" si="3"/>
        <v>20</v>
      </c>
      <c r="L7" s="3382" t="str">
        <f>_xlfn.XLOOKUP($D7,  Tabla3[No.],  Tabla3[ESTATUS ACADÉMICO], " ")</f>
        <v>BAJA</v>
      </c>
      <c r="M7" s="3375" t="str">
        <f>_xlfn.XLOOKUP($D7,  Tabla3[No.],  Tabla3[Grupo de clase], " ")</f>
        <v>JTLD04C</v>
      </c>
      <c r="N7" s="3374"/>
      <c r="O7" s="3376"/>
      <c r="P7" s="3370"/>
      <c r="Q7" s="3370">
        <v>10</v>
      </c>
      <c r="R7" s="3370">
        <v>8</v>
      </c>
      <c r="S7" s="3370">
        <v>10</v>
      </c>
      <c r="T7" s="1409">
        <v>10</v>
      </c>
      <c r="U7" s="3231" t="s">
        <v>136</v>
      </c>
      <c r="V7" s="3231"/>
      <c r="W7" s="3231"/>
      <c r="X7" s="3232"/>
      <c r="Y7" s="3232"/>
      <c r="Z7" s="3232"/>
    </row>
    <row r="8" spans="1:66" s="3361" customFormat="1">
      <c r="A8" s="3371"/>
      <c r="B8" s="3371">
        <v>3</v>
      </c>
      <c r="C8" s="3372">
        <f>_xlfn.XLOOKUP($D8, Tabla3[No.], Tabla3[FECHA DE INICIO (PRIMERA CLASE CALENDARIO)]," ")</f>
        <v>45773</v>
      </c>
      <c r="D8" s="3373">
        <v>846</v>
      </c>
      <c r="E8" s="3380" t="str">
        <f>_xlfn.XLOOKUP($D8,  Tabla3[No.],  Tabla3[CURP], " ")</f>
        <v>CATG781001HQRHRS04</v>
      </c>
      <c r="F8" s="3381" t="str">
        <f>_xlfn.XLOOKUP($D8,  Tabla3[No.],  Tabla3[Matrícula Of. SEQ], " ")</f>
        <v>64LD06A-01</v>
      </c>
      <c r="G8" s="908" t="str">
        <f>_xlfn.XLOOKUP($E8, Tabla3[CURP], Tabla3[NOMBRE])</f>
        <v>CHAN TORRES GUSTAVO</v>
      </c>
      <c r="H8" s="3374" t="str">
        <f t="shared" si="0"/>
        <v>H</v>
      </c>
      <c r="I8" s="3374" t="str">
        <f t="shared" si="1"/>
        <v>78</v>
      </c>
      <c r="J8" s="3374" t="str">
        <f t="shared" si="2"/>
        <v>10</v>
      </c>
      <c r="K8" s="3374" t="str">
        <f t="shared" si="3"/>
        <v>01</v>
      </c>
      <c r="L8" s="3382" t="str">
        <f>_xlfn.XLOOKUP($D8,  Tabla3[No.],  Tabla3[ESTATUS ACADÉMICO], " ")</f>
        <v>VIGENTE</v>
      </c>
      <c r="M8" s="3375" t="str">
        <f>_xlfn.XLOOKUP($D8,  Tabla3[No.],  Tabla3[Grupo de clase], " ")</f>
        <v>JTLD04C</v>
      </c>
      <c r="N8" s="3374"/>
      <c r="O8" s="3376"/>
      <c r="P8" s="3370"/>
      <c r="Q8" s="3370"/>
      <c r="R8" s="3370">
        <v>9</v>
      </c>
      <c r="S8" s="3370">
        <v>10</v>
      </c>
      <c r="T8" s="1409">
        <v>10</v>
      </c>
      <c r="U8" s="3370">
        <v>10</v>
      </c>
      <c r="V8" s="3370">
        <v>10</v>
      </c>
      <c r="W8" s="3370">
        <v>10</v>
      </c>
      <c r="X8" s="3371"/>
      <c r="Y8" s="3371"/>
      <c r="Z8" s="3371"/>
    </row>
    <row r="9" spans="1:66" s="3361" customFormat="1">
      <c r="A9" s="3371"/>
      <c r="B9" s="3371"/>
      <c r="C9" s="3372">
        <f>_xlfn.XLOOKUP($D9, Tabla3[No.], Tabla3[FECHA DE INICIO (PRIMERA CLASE CALENDARIO)]," ")</f>
        <v>45773</v>
      </c>
      <c r="D9" s="3373">
        <v>847</v>
      </c>
      <c r="E9" s="3380" t="str">
        <f>_xlfn.XLOOKUP($D9,  Tabla3[No.],  Tabla3[CURP], " ")</f>
        <v>GUHM860812MVZTRR05</v>
      </c>
      <c r="F9" s="3381" t="str">
        <f>_xlfn.XLOOKUP($D9,  Tabla3[No.],  Tabla3[Matrícula Of. SEQ], " ")</f>
        <v>64LD06A-02</v>
      </c>
      <c r="G9" s="908" t="str">
        <f>_xlfn.XLOOKUP($E9, Tabla3[CURP], Tabla3[NOMBRE])</f>
        <v>GUTIERREZ HERNANDEZ MIRIAM</v>
      </c>
      <c r="H9" s="3374" t="str">
        <f t="shared" si="0"/>
        <v>M</v>
      </c>
      <c r="I9" s="3374" t="str">
        <f t="shared" si="1"/>
        <v>86</v>
      </c>
      <c r="J9" s="3374" t="str">
        <f t="shared" si="2"/>
        <v>08</v>
      </c>
      <c r="K9" s="3374" t="str">
        <f t="shared" si="3"/>
        <v>12</v>
      </c>
      <c r="L9" s="3382" t="str">
        <f>_xlfn.XLOOKUP($D9,  Tabla3[No.],  Tabla3[ESTATUS ACADÉMICO], " ")</f>
        <v>VIGENTE</v>
      </c>
      <c r="M9" s="3375" t="str">
        <f>_xlfn.XLOOKUP($D9,  Tabla3[No.],  Tabla3[Grupo de clase], " ")</f>
        <v>JTLD04C</v>
      </c>
      <c r="N9" s="3374"/>
      <c r="O9" s="3376"/>
      <c r="P9" s="3370"/>
      <c r="Q9" s="3370"/>
      <c r="R9" s="3370">
        <v>8</v>
      </c>
      <c r="S9" s="3370">
        <v>10</v>
      </c>
      <c r="T9" s="1409">
        <v>9.6999999999999993</v>
      </c>
      <c r="U9" s="3370">
        <v>10</v>
      </c>
      <c r="V9" s="3370">
        <v>10</v>
      </c>
      <c r="W9" s="3370">
        <v>10</v>
      </c>
      <c r="X9" s="3371"/>
      <c r="Y9" s="3371"/>
      <c r="Z9" s="3371"/>
    </row>
    <row r="10" spans="1:66" s="3361" customFormat="1">
      <c r="A10" s="3371"/>
      <c r="B10" s="3371"/>
      <c r="C10" s="3372">
        <f>_xlfn.XLOOKUP($D10, Tabla3[No.], Tabla3[FECHA DE INICIO (PRIMERA CLASE CALENDARIO)]," ")</f>
        <v>43617</v>
      </c>
      <c r="D10" s="3373">
        <v>3</v>
      </c>
      <c r="E10" s="3380" t="str">
        <f>_xlfn.XLOOKUP($D10,  Tabla3[No.],  Tabla3[CURP], " ")</f>
        <v>AUMB970810HVZQNR04</v>
      </c>
      <c r="F10" s="3381" t="str">
        <f>_xlfn.XLOOKUP($D10,  Tabla3[No.],  Tabla3[Matrícula Of. SEQ], " ")</f>
        <v>64LD02B-03</v>
      </c>
      <c r="G10" s="908" t="str">
        <f>_xlfn.XLOOKUP($E10, Tabla3[CURP], Tabla3[NOMBRE])</f>
        <v>AQUINO MONTILLO BRIAN ELOY</v>
      </c>
      <c r="H10" s="3374" t="str">
        <f t="shared" si="0"/>
        <v>H</v>
      </c>
      <c r="I10" s="3374" t="str">
        <f t="shared" si="1"/>
        <v>97</v>
      </c>
      <c r="J10" s="3374" t="str">
        <f t="shared" si="2"/>
        <v>08</v>
      </c>
      <c r="K10" s="3374" t="str">
        <f t="shared" si="3"/>
        <v>10</v>
      </c>
      <c r="L10" s="3382" t="str">
        <f>_xlfn.XLOOKUP($D10,  Tabla3[No.],  Tabla3[ESTATUS ACADÉMICO], " ")</f>
        <v>VIGENTE</v>
      </c>
      <c r="M10" s="3375" t="str">
        <f>_xlfn.XLOOKUP($D10,  Tabla3[No.],  Tabla3[Grupo de clase], " ")</f>
        <v>LD02B</v>
      </c>
      <c r="N10" s="3374"/>
      <c r="O10" s="3376"/>
      <c r="P10" s="3370"/>
      <c r="Q10" s="3370"/>
      <c r="R10" s="3370">
        <v>9.1</v>
      </c>
      <c r="S10" s="3370">
        <v>9</v>
      </c>
      <c r="T10" s="1409">
        <v>9</v>
      </c>
      <c r="U10" s="3370">
        <v>10</v>
      </c>
      <c r="V10" s="3370"/>
      <c r="W10" s="3370"/>
      <c r="X10" s="3371"/>
      <c r="Y10" s="3371"/>
      <c r="Z10" s="3371"/>
    </row>
    <row r="11" spans="1:66" s="3361" customFormat="1" ht="15" customHeight="1">
      <c r="A11" s="3371"/>
      <c r="B11" s="3371"/>
      <c r="C11" s="3372">
        <f>_xlfn.XLOOKUP($D11, Tabla3[No.], Tabla3[FECHA DE INICIO (PRIMERA CLASE CALENDARIO)]," ")</f>
        <v>45892</v>
      </c>
      <c r="D11" s="3373">
        <v>872</v>
      </c>
      <c r="E11" s="3380" t="str">
        <f>_xlfn.XLOOKUP($D11,  Tabla3[No.],  Tabla3[CURP], " ")</f>
        <v>SOCE841211MDFTRL10</v>
      </c>
      <c r="F11" s="3381">
        <f>_xlfn.XLOOKUP($D11,  Tabla3[No.],  Tabla3[Matrícula Of. SEQ], " ")</f>
        <v>0</v>
      </c>
      <c r="G11" s="908" t="str">
        <f>_xlfn.XLOOKUP($E11, Tabla3[CURP], Tabla3[NOMBRE])</f>
        <v>SOTO CORELLA ELVIRA ZUGEILY</v>
      </c>
      <c r="H11" s="3374" t="str">
        <f t="shared" si="0"/>
        <v>M</v>
      </c>
      <c r="I11" s="3374" t="str">
        <f t="shared" si="1"/>
        <v>84</v>
      </c>
      <c r="J11" s="3374" t="str">
        <f t="shared" si="2"/>
        <v>12</v>
      </c>
      <c r="K11" s="3374" t="str">
        <f t="shared" si="3"/>
        <v>11</v>
      </c>
      <c r="L11" s="3382" t="str">
        <f>_xlfn.XLOOKUP($D11,  Tabla3[No.],  Tabla3[ESTATUS ACADÉMICO], " ")</f>
        <v>VIGENTE</v>
      </c>
      <c r="M11" s="3375" t="str">
        <f>_xlfn.XLOOKUP($D11,  Tabla3[No.],  Tabla3[Grupo de clase], " ")</f>
        <v>JTLD04C</v>
      </c>
      <c r="N11" s="3374"/>
      <c r="O11" s="3376"/>
      <c r="P11" s="3370"/>
      <c r="Q11" s="3370"/>
      <c r="R11" s="3370"/>
      <c r="S11" s="3370"/>
      <c r="T11" s="1409"/>
      <c r="U11" s="3370"/>
      <c r="V11" s="3370">
        <v>9</v>
      </c>
      <c r="W11" s="3370">
        <v>10</v>
      </c>
      <c r="X11" s="3371"/>
      <c r="Y11" s="3371"/>
      <c r="Z11" s="3371"/>
    </row>
    <row r="12" spans="1:66" ht="15" customHeight="1" thickBot="1"/>
    <row r="13" spans="1:66" ht="14.65" customHeight="1" thickBot="1">
      <c r="A13" s="700"/>
      <c r="B13" s="700"/>
      <c r="C13" s="700"/>
      <c r="D13" s="700"/>
      <c r="E13" s="700"/>
      <c r="F13" s="700"/>
      <c r="G13" s="700"/>
      <c r="H13" s="700"/>
      <c r="I13" s="700"/>
      <c r="J13" s="700"/>
      <c r="K13" s="700"/>
      <c r="L13" s="700"/>
      <c r="M13" s="700"/>
      <c r="N13" s="982"/>
      <c r="O13" s="4535" t="s">
        <v>1440</v>
      </c>
      <c r="P13" s="4536"/>
      <c r="Q13" s="4536"/>
      <c r="R13" s="4536"/>
      <c r="S13" s="4536"/>
      <c r="T13" s="4537"/>
      <c r="U13" s="4535" t="s">
        <v>1441</v>
      </c>
      <c r="V13" s="4536"/>
      <c r="W13" s="4536"/>
      <c r="X13" s="4536"/>
      <c r="Y13" s="4536"/>
      <c r="Z13" s="4537"/>
      <c r="AA13" s="4535" t="s">
        <v>1442</v>
      </c>
      <c r="AB13" s="4536"/>
      <c r="AC13" s="4536"/>
      <c r="AD13" s="4536"/>
      <c r="AE13" s="4536"/>
      <c r="AF13" s="4537"/>
      <c r="AG13" s="4535" t="s">
        <v>1443</v>
      </c>
      <c r="AH13" s="4536"/>
      <c r="AI13" s="4536"/>
      <c r="AJ13" s="4536"/>
      <c r="AK13" s="4536"/>
      <c r="AL13" s="4537"/>
      <c r="AM13" s="4535" t="s">
        <v>1444</v>
      </c>
      <c r="AN13" s="4536"/>
      <c r="AO13" s="4536"/>
      <c r="AP13" s="4536"/>
      <c r="AQ13" s="4536"/>
      <c r="AR13" s="4537"/>
      <c r="AS13" s="4564" t="s">
        <v>1344</v>
      </c>
      <c r="AT13" s="4565"/>
      <c r="AU13" s="4565"/>
      <c r="AV13" s="4565"/>
      <c r="AW13" s="4565"/>
      <c r="AX13" s="4566"/>
      <c r="AY13" s="4535" t="s">
        <v>1446</v>
      </c>
      <c r="AZ13" s="4536"/>
      <c r="BA13" s="4536"/>
      <c r="BB13" s="4536"/>
      <c r="BC13" s="4536"/>
      <c r="BD13" s="4537"/>
      <c r="BE13" s="4551" t="s">
        <v>1447</v>
      </c>
      <c r="BF13" s="4552"/>
      <c r="BG13" s="4552"/>
      <c r="BH13" s="4552"/>
      <c r="BI13" s="4552"/>
      <c r="BJ13" s="4553"/>
      <c r="BK13" s="700"/>
    </row>
    <row r="14" spans="1:66" ht="44.25" customHeight="1">
      <c r="A14" s="4569"/>
      <c r="B14" s="4562" t="s">
        <v>5</v>
      </c>
      <c r="C14" s="984" t="s">
        <v>1345</v>
      </c>
      <c r="D14" s="1672"/>
      <c r="E14" s="4560" t="s">
        <v>6</v>
      </c>
      <c r="F14" s="4560" t="s">
        <v>7</v>
      </c>
      <c r="G14" s="985" t="s">
        <v>8</v>
      </c>
      <c r="H14" s="4574" t="s">
        <v>9</v>
      </c>
      <c r="I14" s="4576" t="s">
        <v>10</v>
      </c>
      <c r="J14" s="4577"/>
      <c r="K14" s="4577"/>
      <c r="L14" s="4578" t="s">
        <v>27</v>
      </c>
      <c r="M14" s="4532" t="s">
        <v>1759</v>
      </c>
      <c r="N14" s="991"/>
      <c r="O14" s="993" t="s">
        <v>1346</v>
      </c>
      <c r="P14" s="994" t="s">
        <v>1347</v>
      </c>
      <c r="Q14" s="994" t="s">
        <v>1348</v>
      </c>
      <c r="R14" s="994" t="s">
        <v>1349</v>
      </c>
      <c r="S14" s="994" t="s">
        <v>1350</v>
      </c>
      <c r="T14" s="995" t="s">
        <v>1351</v>
      </c>
      <c r="U14" s="993" t="s">
        <v>1352</v>
      </c>
      <c r="V14" s="994" t="s">
        <v>1353</v>
      </c>
      <c r="W14" s="994" t="s">
        <v>1354</v>
      </c>
      <c r="X14" s="994" t="s">
        <v>1355</v>
      </c>
      <c r="Y14" s="994" t="s">
        <v>1356</v>
      </c>
      <c r="Z14" s="995" t="s">
        <v>1357</v>
      </c>
      <c r="AA14" s="998" t="s">
        <v>1358</v>
      </c>
      <c r="AB14" s="994" t="s">
        <v>1359</v>
      </c>
      <c r="AC14" s="994" t="s">
        <v>1360</v>
      </c>
      <c r="AD14" s="994" t="s">
        <v>1361</v>
      </c>
      <c r="AE14" s="994" t="s">
        <v>1362</v>
      </c>
      <c r="AF14" s="999" t="s">
        <v>1363</v>
      </c>
      <c r="AG14" s="993" t="s">
        <v>1364</v>
      </c>
      <c r="AH14" s="994" t="s">
        <v>1365</v>
      </c>
      <c r="AI14" s="994" t="s">
        <v>1366</v>
      </c>
      <c r="AJ14" s="994" t="s">
        <v>1367</v>
      </c>
      <c r="AK14" s="994" t="s">
        <v>1368</v>
      </c>
      <c r="AL14" s="995" t="s">
        <v>1369</v>
      </c>
      <c r="AM14" s="993" t="s">
        <v>1370</v>
      </c>
      <c r="AN14" s="994" t="s">
        <v>1371</v>
      </c>
      <c r="AO14" s="994" t="s">
        <v>1372</v>
      </c>
      <c r="AP14" s="1000" t="s">
        <v>1373</v>
      </c>
      <c r="AQ14" s="994" t="s">
        <v>1374</v>
      </c>
      <c r="AR14" s="995" t="s">
        <v>1375</v>
      </c>
      <c r="AS14" s="993" t="s">
        <v>1376</v>
      </c>
      <c r="AT14" s="994" t="s">
        <v>1377</v>
      </c>
      <c r="AU14" s="994" t="s">
        <v>1378</v>
      </c>
      <c r="AV14" s="1001" t="s">
        <v>1379</v>
      </c>
      <c r="AW14" s="994" t="s">
        <v>1380</v>
      </c>
      <c r="AX14" s="995" t="s">
        <v>1381</v>
      </c>
      <c r="AY14" s="998" t="s">
        <v>1382</v>
      </c>
      <c r="AZ14" s="1001" t="s">
        <v>1383</v>
      </c>
      <c r="BA14" s="994" t="s">
        <v>1384</v>
      </c>
      <c r="BB14" s="994" t="s">
        <v>1385</v>
      </c>
      <c r="BC14" s="994" t="s">
        <v>1386</v>
      </c>
      <c r="BD14" s="1002" t="s">
        <v>1387</v>
      </c>
      <c r="BE14" s="993" t="s">
        <v>1388</v>
      </c>
      <c r="BF14" s="1001" t="s">
        <v>1389</v>
      </c>
      <c r="BG14" s="994" t="s">
        <v>1390</v>
      </c>
      <c r="BH14" s="994" t="s">
        <v>1391</v>
      </c>
      <c r="BI14" s="1001" t="s">
        <v>1392</v>
      </c>
      <c r="BJ14" s="995" t="s">
        <v>1393</v>
      </c>
      <c r="BK14" s="4591" t="s">
        <v>1394</v>
      </c>
      <c r="BL14" s="4593" t="s">
        <v>1518</v>
      </c>
      <c r="BM14" s="3"/>
      <c r="BN14" s="3"/>
    </row>
    <row r="15" spans="1:66" ht="43.35" customHeight="1" thickBot="1">
      <c r="A15" s="4570"/>
      <c r="B15" s="4563"/>
      <c r="C15" s="986" t="s">
        <v>1448</v>
      </c>
      <c r="D15" s="1673"/>
      <c r="E15" s="4561"/>
      <c r="F15" s="4561"/>
      <c r="G15" s="987" t="s">
        <v>78</v>
      </c>
      <c r="H15" s="4575"/>
      <c r="I15" s="988" t="s">
        <v>79</v>
      </c>
      <c r="J15" s="988" t="s">
        <v>80</v>
      </c>
      <c r="K15" s="989" t="s">
        <v>81</v>
      </c>
      <c r="L15" s="4579"/>
      <c r="M15" s="4533"/>
      <c r="N15" s="992" t="s">
        <v>1149</v>
      </c>
      <c r="O15" s="996"/>
      <c r="P15" s="997"/>
      <c r="Q15" s="997"/>
      <c r="R15" s="997"/>
      <c r="S15" s="997"/>
      <c r="T15" s="990"/>
      <c r="U15" s="996"/>
      <c r="V15" s="997"/>
      <c r="W15" s="997"/>
      <c r="X15" s="997"/>
      <c r="Y15" s="997"/>
      <c r="Z15" s="990"/>
      <c r="AA15" s="996"/>
      <c r="AB15" s="997"/>
      <c r="AC15" s="997"/>
      <c r="AD15" s="997"/>
      <c r="AE15" s="997"/>
      <c r="AF15" s="990"/>
      <c r="AG15" s="996"/>
      <c r="AH15" s="997"/>
      <c r="AI15" s="997"/>
      <c r="AJ15" s="997"/>
      <c r="AK15" s="997"/>
      <c r="AL15" s="990"/>
      <c r="AM15" s="996"/>
      <c r="AN15" s="997"/>
      <c r="AO15" s="997"/>
      <c r="AP15" s="997"/>
      <c r="AQ15" s="997"/>
      <c r="AR15" s="990"/>
      <c r="AS15" s="996"/>
      <c r="AT15" s="997"/>
      <c r="AU15" s="997"/>
      <c r="AV15" s="997"/>
      <c r="AW15" s="997"/>
      <c r="AX15" s="990"/>
      <c r="AY15" s="996"/>
      <c r="AZ15" s="997"/>
      <c r="BA15" s="997"/>
      <c r="BB15" s="997"/>
      <c r="BC15" s="997"/>
      <c r="BD15" s="992"/>
      <c r="BE15" s="996"/>
      <c r="BF15" s="997"/>
      <c r="BG15" s="997"/>
      <c r="BH15" s="997"/>
      <c r="BI15" s="997"/>
      <c r="BJ15" s="990"/>
      <c r="BK15" s="4592"/>
      <c r="BL15" s="4594"/>
      <c r="BM15" s="3"/>
      <c r="BN15" s="3"/>
    </row>
    <row r="16" spans="1:66" s="3399" customFormat="1">
      <c r="A16" s="3383" t="s">
        <v>1345</v>
      </c>
      <c r="B16" s="3384">
        <v>1</v>
      </c>
      <c r="C16" s="3385">
        <v>44458</v>
      </c>
      <c r="D16" s="3385"/>
      <c r="E16" s="3384" t="s">
        <v>1395</v>
      </c>
      <c r="F16" s="3386" t="s">
        <v>1697</v>
      </c>
      <c r="G16" s="3387" t="str">
        <f>_xlfn.XLOOKUP($E16, Tabla3[CURP], Tabla3[NOMBRE])</f>
        <v>ADRIAN BAUTISTA  SPENCER</v>
      </c>
      <c r="H16" s="3388" t="str">
        <f t="shared" ref="H16:H34" si="4">MID(E16,11,1)</f>
        <v>H</v>
      </c>
      <c r="I16" s="3388" t="str">
        <f>MID(E16,5,2)</f>
        <v>85</v>
      </c>
      <c r="J16" s="3388" t="str">
        <f t="shared" ref="J16:J34" si="5">MID(E16,7,2)</f>
        <v>04</v>
      </c>
      <c r="K16" s="3388" t="str">
        <f t="shared" ref="K16:K34" si="6">MID(E16,9,2)</f>
        <v>16</v>
      </c>
      <c r="L16" s="3383"/>
      <c r="M16" s="3389"/>
      <c r="N16" s="3389"/>
      <c r="O16" s="3389">
        <v>10</v>
      </c>
      <c r="P16" s="3390">
        <v>10</v>
      </c>
      <c r="Q16" s="3390">
        <v>10</v>
      </c>
      <c r="R16" s="3390">
        <v>10</v>
      </c>
      <c r="S16" s="3390">
        <v>10</v>
      </c>
      <c r="T16" s="3390">
        <v>10</v>
      </c>
      <c r="U16" s="3391">
        <v>9.1999999999999993</v>
      </c>
      <c r="V16" s="3392">
        <v>9.8000000000000007</v>
      </c>
      <c r="W16" s="3392">
        <v>9.6999999999999993</v>
      </c>
      <c r="X16" s="3392">
        <v>9.8000000000000007</v>
      </c>
      <c r="Y16" s="3392">
        <v>9.1999999999999993</v>
      </c>
      <c r="Z16" s="3392">
        <v>9.8000000000000007</v>
      </c>
      <c r="AA16" s="3391">
        <v>9.1999999999999993</v>
      </c>
      <c r="AB16" s="3392">
        <v>9</v>
      </c>
      <c r="AC16" s="3392">
        <v>9</v>
      </c>
      <c r="AD16" s="3392">
        <v>9.8000000000000007</v>
      </c>
      <c r="AE16" s="3392">
        <v>9.6999999999999993</v>
      </c>
      <c r="AF16" s="3391">
        <v>9</v>
      </c>
      <c r="AG16" s="3392">
        <v>9.1999999999999993</v>
      </c>
      <c r="AH16" s="3393">
        <v>9.1999999999999993</v>
      </c>
      <c r="AI16" s="3393">
        <v>9.1999999999999993</v>
      </c>
      <c r="AJ16" s="3393">
        <v>9.1999999999999993</v>
      </c>
      <c r="AK16" s="3393">
        <v>9.1999999999999993</v>
      </c>
      <c r="AL16" s="3386">
        <v>9.1999999999999993</v>
      </c>
      <c r="AM16" s="3391">
        <v>9</v>
      </c>
      <c r="AN16" s="3393">
        <v>9.1999999999999993</v>
      </c>
      <c r="AO16" s="3393">
        <v>9.1999999999999993</v>
      </c>
      <c r="AP16" s="3393">
        <v>9.1999999999999993</v>
      </c>
      <c r="AQ16" s="3393">
        <v>9.1999999999999993</v>
      </c>
      <c r="AR16" s="3393">
        <v>9.1999999999999993</v>
      </c>
      <c r="AS16" s="3394"/>
      <c r="AT16" s="3394"/>
      <c r="AU16" s="3395"/>
      <c r="AV16" s="3396"/>
      <c r="AW16" s="3397"/>
      <c r="AX16" s="3395"/>
      <c r="AY16" s="3396"/>
      <c r="AZ16" s="3396"/>
      <c r="BA16" s="3397"/>
      <c r="BB16" s="3394"/>
      <c r="BC16" s="3394"/>
      <c r="BD16" s="3394"/>
      <c r="BE16" s="3395"/>
      <c r="BF16" s="3396"/>
      <c r="BG16" s="3397"/>
      <c r="BH16" s="3395"/>
      <c r="BI16" s="3396"/>
      <c r="BJ16" s="3397"/>
      <c r="BK16" s="3398">
        <f t="shared" ref="BK16:BK18" si="7">SUM(AB16:BG16)/18</f>
        <v>8.7055555555555557</v>
      </c>
      <c r="BL16" s="3389">
        <f>AVERAGE(O16:BJ16)</f>
        <v>9.4466666666666619</v>
      </c>
    </row>
    <row r="17" spans="1:64" s="3399" customFormat="1">
      <c r="A17" s="3400" t="s">
        <v>1345</v>
      </c>
      <c r="B17" s="3401">
        <v>2</v>
      </c>
      <c r="C17" s="3402">
        <v>44458</v>
      </c>
      <c r="D17" s="3402"/>
      <c r="E17" s="3401" t="s">
        <v>1396</v>
      </c>
      <c r="F17" s="3403" t="s">
        <v>1397</v>
      </c>
      <c r="G17" s="3387" t="str">
        <f>_xlfn.XLOOKUP($E17, Tabla3[CURP], Tabla3[NOMBRE])</f>
        <v>AVILA PECH LUIS ANTONIO</v>
      </c>
      <c r="H17" s="3404" t="str">
        <f t="shared" si="4"/>
        <v>H</v>
      </c>
      <c r="I17" s="3404" t="str">
        <f t="shared" ref="I17:I34" si="8">MID(E17,5,2)</f>
        <v>82</v>
      </c>
      <c r="J17" s="3404" t="str">
        <f t="shared" si="5"/>
        <v>09</v>
      </c>
      <c r="K17" s="3404" t="str">
        <f t="shared" si="6"/>
        <v>13</v>
      </c>
      <c r="L17" s="3400"/>
      <c r="M17" s="3405"/>
      <c r="N17" s="3389"/>
      <c r="O17" s="3406">
        <v>10</v>
      </c>
      <c r="P17" s="3407">
        <v>10</v>
      </c>
      <c r="Q17" s="3407">
        <v>10</v>
      </c>
      <c r="R17" s="3407">
        <v>10</v>
      </c>
      <c r="S17" s="3407">
        <v>10</v>
      </c>
      <c r="T17" s="3407">
        <v>10</v>
      </c>
      <c r="U17" s="3408">
        <v>10</v>
      </c>
      <c r="V17" s="3409">
        <v>9.3000000000000007</v>
      </c>
      <c r="W17" s="3409">
        <v>9.4</v>
      </c>
      <c r="X17" s="3409">
        <v>9.4</v>
      </c>
      <c r="Y17" s="3409">
        <v>9.4</v>
      </c>
      <c r="Z17" s="3410">
        <v>10</v>
      </c>
      <c r="AA17" s="3411">
        <v>9</v>
      </c>
      <c r="AB17" s="3409">
        <v>9</v>
      </c>
      <c r="AC17" s="3409">
        <v>9.1999999999999993</v>
      </c>
      <c r="AD17" s="3410">
        <v>9</v>
      </c>
      <c r="AE17" s="3409">
        <v>9</v>
      </c>
      <c r="AF17" s="3411">
        <v>7</v>
      </c>
      <c r="AG17" s="3409">
        <v>9</v>
      </c>
      <c r="AH17" s="3409">
        <v>9</v>
      </c>
      <c r="AI17" s="3409">
        <v>8</v>
      </c>
      <c r="AJ17" s="3409">
        <v>8</v>
      </c>
      <c r="AK17" s="3409">
        <v>10</v>
      </c>
      <c r="AL17" s="3403">
        <v>10</v>
      </c>
      <c r="AM17" s="3411">
        <v>7</v>
      </c>
      <c r="AN17" s="3409">
        <v>9</v>
      </c>
      <c r="AO17" s="3409">
        <v>9</v>
      </c>
      <c r="AP17" s="3409">
        <v>8</v>
      </c>
      <c r="AQ17" s="3409">
        <v>8</v>
      </c>
      <c r="AR17" s="3412">
        <v>10</v>
      </c>
      <c r="AS17" s="3413">
        <v>9</v>
      </c>
      <c r="AT17" s="3413">
        <v>9</v>
      </c>
      <c r="AU17" s="3414">
        <v>8</v>
      </c>
      <c r="AV17" s="3415"/>
      <c r="AW17" s="3416"/>
      <c r="AX17" s="3417"/>
      <c r="AY17" s="3415"/>
      <c r="AZ17" s="3415"/>
      <c r="BA17" s="3418">
        <v>8</v>
      </c>
      <c r="BB17" s="3413">
        <v>9</v>
      </c>
      <c r="BC17" s="3413">
        <v>9</v>
      </c>
      <c r="BD17" s="3419"/>
      <c r="BE17" s="3417"/>
      <c r="BF17" s="3415"/>
      <c r="BG17" s="3418">
        <v>9</v>
      </c>
      <c r="BH17" s="3417"/>
      <c r="BI17" s="3415"/>
      <c r="BJ17" s="3418">
        <v>8</v>
      </c>
      <c r="BK17" s="3420">
        <f t="shared" si="7"/>
        <v>11.622222222222222</v>
      </c>
      <c r="BL17" s="3405">
        <f>AVERAGE(O17:BJ17)</f>
        <v>9.0447368421052623</v>
      </c>
    </row>
    <row r="18" spans="1:64" s="3399" customFormat="1">
      <c r="A18" s="3400" t="s">
        <v>1345</v>
      </c>
      <c r="B18" s="3401">
        <v>3</v>
      </c>
      <c r="C18" s="3402">
        <v>44458</v>
      </c>
      <c r="D18" s="3402"/>
      <c r="E18" s="3401" t="s">
        <v>1399</v>
      </c>
      <c r="F18" s="3403" t="s">
        <v>1400</v>
      </c>
      <c r="G18" s="3387" t="str">
        <f>_xlfn.XLOOKUP($E18, Tabla3[CURP], Tabla3[NOMBRE])</f>
        <v>BALLESTEROS VALDEZ EDUARDO OMAR</v>
      </c>
      <c r="H18" s="3404" t="str">
        <f t="shared" si="4"/>
        <v>H</v>
      </c>
      <c r="I18" s="3404" t="str">
        <f t="shared" si="8"/>
        <v>76</v>
      </c>
      <c r="J18" s="3404" t="str">
        <f t="shared" si="5"/>
        <v>10</v>
      </c>
      <c r="K18" s="3404" t="str">
        <f t="shared" si="6"/>
        <v>13</v>
      </c>
      <c r="L18" s="3400"/>
      <c r="M18" s="3421"/>
      <c r="N18" s="3422"/>
      <c r="O18" s="3406">
        <v>10</v>
      </c>
      <c r="P18" s="3423">
        <v>9.6999999999999993</v>
      </c>
      <c r="Q18" s="3423">
        <v>9.5</v>
      </c>
      <c r="R18" s="3407">
        <v>10</v>
      </c>
      <c r="S18" s="3423">
        <v>9.8000000000000007</v>
      </c>
      <c r="T18" s="3407">
        <v>10</v>
      </c>
      <c r="U18" s="3411">
        <v>9.4</v>
      </c>
      <c r="V18" s="3424">
        <v>9.4</v>
      </c>
      <c r="W18" s="3409">
        <v>9.3000000000000007</v>
      </c>
      <c r="X18" s="3409">
        <v>9.4</v>
      </c>
      <c r="Y18" s="3409">
        <v>9.1999999999999993</v>
      </c>
      <c r="Z18" s="3409">
        <v>9.8000000000000007</v>
      </c>
      <c r="AA18" s="3452">
        <v>10</v>
      </c>
      <c r="AB18" s="3409">
        <v>9.1999999999999993</v>
      </c>
      <c r="AC18" s="3409">
        <v>9.1999999999999993</v>
      </c>
      <c r="AD18" s="3424">
        <v>9</v>
      </c>
      <c r="AE18" s="3426">
        <v>9.8000000000000007</v>
      </c>
      <c r="AF18" s="3427">
        <v>9</v>
      </c>
      <c r="AG18" s="3409">
        <v>9</v>
      </c>
      <c r="AH18" s="3409">
        <v>9.1999999999999993</v>
      </c>
      <c r="AI18" s="3412">
        <v>9.1999999999999993</v>
      </c>
      <c r="AJ18" s="3412">
        <v>9.1999999999999993</v>
      </c>
      <c r="AK18" s="3412">
        <v>9.1999999999999993</v>
      </c>
      <c r="AL18" s="3403">
        <v>9.1999999999999993</v>
      </c>
      <c r="AM18" s="3411">
        <v>9</v>
      </c>
      <c r="AN18" s="3409">
        <v>9</v>
      </c>
      <c r="AO18" s="3412">
        <v>9.1999999999999993</v>
      </c>
      <c r="AP18" s="3412">
        <v>9.1999999999999993</v>
      </c>
      <c r="AQ18" s="3412">
        <v>9.1999999999999993</v>
      </c>
      <c r="AR18" s="3412">
        <v>9.1999999999999993</v>
      </c>
      <c r="AS18" s="3428"/>
      <c r="AT18" s="3429"/>
      <c r="AU18" s="3430"/>
      <c r="AV18" s="3431"/>
      <c r="AW18" s="3432"/>
      <c r="AX18" s="3433"/>
      <c r="AY18" s="3434"/>
      <c r="AZ18" s="3435"/>
      <c r="BA18" s="3436"/>
      <c r="BB18" s="3429"/>
      <c r="BC18" s="3429"/>
      <c r="BD18" s="3428"/>
      <c r="BE18" s="3437"/>
      <c r="BF18" s="3435"/>
      <c r="BG18" s="3416"/>
      <c r="BH18" s="3438"/>
      <c r="BI18" s="3439"/>
      <c r="BJ18" s="3436"/>
      <c r="BK18" s="3420">
        <f t="shared" si="7"/>
        <v>8.6666666666666643</v>
      </c>
      <c r="BL18" s="3405">
        <f>AVERAGE(O18:BJ18)</f>
        <v>9.3833333333333311</v>
      </c>
    </row>
    <row r="19" spans="1:64" s="3399" customFormat="1">
      <c r="A19" s="3400"/>
      <c r="B19" s="3401"/>
      <c r="C19" s="3402"/>
      <c r="D19" s="3402"/>
      <c r="E19" s="3401"/>
      <c r="F19" s="3401"/>
      <c r="G19" s="3387" t="str">
        <f>_xlfn.XLOOKUP($E19, Tabla3[CURP], Tabla3[NOMBRE])</f>
        <v>CETINA RUIZ NAYELY GUADALUPE</v>
      </c>
      <c r="H19" s="3404" t="str">
        <f t="shared" si="4"/>
        <v/>
      </c>
      <c r="I19" s="3404" t="str">
        <f t="shared" si="8"/>
        <v/>
      </c>
      <c r="J19" s="3404" t="str">
        <f t="shared" si="5"/>
        <v/>
      </c>
      <c r="K19" s="3404" t="str">
        <f t="shared" si="6"/>
        <v/>
      </c>
      <c r="L19" s="3400"/>
      <c r="M19" s="3440" t="s">
        <v>1195</v>
      </c>
      <c r="N19" s="3441"/>
      <c r="O19" s="3406">
        <v>10</v>
      </c>
      <c r="P19" s="3407">
        <v>10</v>
      </c>
      <c r="Q19" s="3407">
        <v>10</v>
      </c>
      <c r="R19" s="3407">
        <v>10</v>
      </c>
      <c r="S19" s="3407">
        <v>10</v>
      </c>
      <c r="T19" s="3407">
        <v>10</v>
      </c>
      <c r="U19" s="3452">
        <v>10</v>
      </c>
      <c r="V19" s="3452">
        <v>10</v>
      </c>
      <c r="W19" s="3452">
        <v>10</v>
      </c>
      <c r="X19" s="3452">
        <v>10</v>
      </c>
      <c r="Y19" s="3410">
        <v>10</v>
      </c>
      <c r="Z19" s="3410">
        <v>10</v>
      </c>
      <c r="AA19" s="3443"/>
      <c r="AB19" s="3443"/>
      <c r="AC19" s="3443"/>
      <c r="AD19" s="3443"/>
      <c r="AF19" s="3444">
        <v>9.4</v>
      </c>
      <c r="AG19" s="3403"/>
      <c r="AH19" s="3403"/>
      <c r="AI19" s="3403"/>
      <c r="AJ19" s="3403"/>
      <c r="AK19" s="3403"/>
      <c r="AL19" s="3403"/>
      <c r="AM19" s="3403"/>
      <c r="AN19" s="3403"/>
      <c r="AO19" s="3403"/>
      <c r="AP19" s="3403"/>
      <c r="AQ19" s="3403"/>
      <c r="AR19" s="3403"/>
      <c r="AS19" s="3428"/>
      <c r="AT19" s="3429"/>
      <c r="AU19" s="3430"/>
      <c r="AV19" s="3431"/>
      <c r="AW19" s="3432"/>
      <c r="AX19" s="3433"/>
      <c r="AY19" s="3434"/>
      <c r="AZ19" s="3435"/>
      <c r="BA19" s="3436"/>
      <c r="BB19" s="3429"/>
      <c r="BC19" s="3429"/>
      <c r="BD19" s="3428"/>
      <c r="BE19" s="3438"/>
      <c r="BF19" s="3435"/>
      <c r="BG19" s="3445"/>
      <c r="BH19" s="3438"/>
      <c r="BI19" s="3439"/>
      <c r="BJ19" s="3436"/>
      <c r="BK19" s="3420"/>
      <c r="BL19" s="3405"/>
    </row>
    <row r="20" spans="1:64" s="3399" customFormat="1">
      <c r="A20" s="3400" t="s">
        <v>1345</v>
      </c>
      <c r="B20" s="3401">
        <v>5</v>
      </c>
      <c r="C20" s="3402">
        <v>44075</v>
      </c>
      <c r="D20" s="3402"/>
      <c r="E20" s="3401" t="s">
        <v>1402</v>
      </c>
      <c r="F20" s="3401" t="s">
        <v>1403</v>
      </c>
      <c r="G20" s="3387" t="str">
        <f>_xlfn.XLOOKUP($E20, Tabla3[CURP], Tabla3[NOMBRE])</f>
        <v>CORTES YAMA JAIME ARMIN</v>
      </c>
      <c r="H20" s="3404" t="str">
        <f t="shared" si="4"/>
        <v>H</v>
      </c>
      <c r="I20" s="3404" t="str">
        <f t="shared" si="8"/>
        <v>78</v>
      </c>
      <c r="J20" s="3404" t="str">
        <f t="shared" si="5"/>
        <v>07</v>
      </c>
      <c r="K20" s="3404" t="str">
        <f t="shared" si="6"/>
        <v>19</v>
      </c>
      <c r="L20" s="3400"/>
      <c r="M20" s="3421"/>
      <c r="N20" s="3422"/>
      <c r="O20" s="3446">
        <v>9.8000000000000007</v>
      </c>
      <c r="P20" s="3407">
        <v>10</v>
      </c>
      <c r="Q20" s="3407">
        <v>10</v>
      </c>
      <c r="R20" s="3447">
        <v>9.6999999999999993</v>
      </c>
      <c r="S20" s="3407">
        <v>10</v>
      </c>
      <c r="T20" s="3407">
        <v>10</v>
      </c>
      <c r="U20" s="3411">
        <v>9.8000000000000007</v>
      </c>
      <c r="V20" s="3409">
        <v>9.6999999999999993</v>
      </c>
      <c r="W20" s="3409">
        <v>9.9</v>
      </c>
      <c r="X20" s="3410">
        <v>10</v>
      </c>
      <c r="Y20" s="3410">
        <v>10</v>
      </c>
      <c r="Z20" s="3410">
        <v>10</v>
      </c>
      <c r="AA20" s="3425">
        <v>9.8000000000000007</v>
      </c>
      <c r="AB20" s="3409">
        <v>9.6999999999999993</v>
      </c>
      <c r="AC20" s="3409">
        <v>9.9</v>
      </c>
      <c r="AD20" s="3448">
        <v>9</v>
      </c>
      <c r="AE20" s="3448">
        <v>9.1999999999999993</v>
      </c>
      <c r="AF20" s="3449">
        <v>10</v>
      </c>
      <c r="AG20" s="3403">
        <v>9.9</v>
      </c>
      <c r="AH20" s="3449">
        <v>9.1999999999999993</v>
      </c>
      <c r="AI20" s="3449">
        <v>9.1999999999999993</v>
      </c>
      <c r="AJ20" s="3449">
        <v>9.1999999999999993</v>
      </c>
      <c r="AK20" s="3449">
        <v>9.1999999999999993</v>
      </c>
      <c r="AL20" s="3449">
        <v>9.1999999999999993</v>
      </c>
      <c r="AM20" s="3403">
        <v>9.9</v>
      </c>
      <c r="AN20" s="3449">
        <v>9.1999999999999993</v>
      </c>
      <c r="AO20" s="3449">
        <v>9.1999999999999993</v>
      </c>
      <c r="AP20" s="3449">
        <v>9.1999999999999993</v>
      </c>
      <c r="AQ20" s="3449">
        <v>9.1999999999999993</v>
      </c>
      <c r="AR20" s="3449">
        <v>9.1999999999999993</v>
      </c>
      <c r="AS20" s="3450">
        <v>9.8000000000000007</v>
      </c>
      <c r="AT20" s="3451">
        <v>9.6</v>
      </c>
      <c r="AU20" s="3451">
        <v>9.6999999999999993</v>
      </c>
      <c r="AV20" s="3442">
        <v>9.9</v>
      </c>
      <c r="AW20" s="3442">
        <v>9.6</v>
      </c>
      <c r="AX20" s="3449">
        <v>9.5</v>
      </c>
      <c r="AY20" s="3434"/>
      <c r="AZ20" s="3435"/>
      <c r="BA20" s="3436"/>
      <c r="BB20" s="3429"/>
      <c r="BC20" s="3429"/>
      <c r="BD20" s="3428"/>
      <c r="BE20" s="3438"/>
      <c r="BF20" s="3435"/>
      <c r="BG20" s="3445"/>
      <c r="BH20" s="3438"/>
      <c r="BI20" s="3439"/>
      <c r="BJ20" s="3436"/>
      <c r="BK20" s="3420">
        <f t="shared" ref="BK20:BK21" si="9">SUM(AF20:BG20)/18</f>
        <v>9.9944444444444454</v>
      </c>
      <c r="BL20" s="3405">
        <f t="shared" ref="BL20:BL33" si="10">AVERAGE(O20:BJ20)</f>
        <v>9.62222222222222</v>
      </c>
    </row>
    <row r="21" spans="1:64" s="3399" customFormat="1">
      <c r="A21" s="3400" t="s">
        <v>1345</v>
      </c>
      <c r="B21" s="3401">
        <v>6</v>
      </c>
      <c r="C21" s="3402">
        <v>44427</v>
      </c>
      <c r="D21" s="3402"/>
      <c r="E21" s="3401" t="s">
        <v>1405</v>
      </c>
      <c r="F21" s="3401" t="s">
        <v>1406</v>
      </c>
      <c r="G21" s="3387" t="str">
        <f>_xlfn.XLOOKUP($E21, Tabla3[CURP], Tabla3[NOMBRE])</f>
        <v>CONTRERAS CORDOVA JOSE LUIS</v>
      </c>
      <c r="H21" s="3404" t="str">
        <f t="shared" si="4"/>
        <v>H</v>
      </c>
      <c r="I21" s="3404" t="str">
        <f t="shared" si="8"/>
        <v>73</v>
      </c>
      <c r="J21" s="3404" t="str">
        <f t="shared" si="5"/>
        <v>05</v>
      </c>
      <c r="K21" s="3404" t="str">
        <f t="shared" si="6"/>
        <v>31</v>
      </c>
      <c r="L21" s="3400"/>
      <c r="M21" s="3421"/>
      <c r="N21" s="3422"/>
      <c r="O21" s="3406">
        <v>10</v>
      </c>
      <c r="P21" s="3423">
        <v>9.6999999999999993</v>
      </c>
      <c r="Q21" s="3423">
        <v>9.8000000000000007</v>
      </c>
      <c r="R21" s="3407">
        <v>10</v>
      </c>
      <c r="S21" s="3423">
        <v>9.4</v>
      </c>
      <c r="T21" s="3423">
        <v>9</v>
      </c>
      <c r="U21" s="3452">
        <v>10</v>
      </c>
      <c r="V21" s="3426">
        <v>10</v>
      </c>
      <c r="W21" s="3424">
        <v>9.8000000000000007</v>
      </c>
      <c r="X21" s="3453">
        <v>9.4</v>
      </c>
      <c r="Y21" s="3424">
        <v>9.3000000000000007</v>
      </c>
      <c r="Z21" s="3424">
        <v>9.6</v>
      </c>
      <c r="AA21" s="3452">
        <v>10</v>
      </c>
      <c r="AB21" s="3424">
        <v>10</v>
      </c>
      <c r="AC21" s="3424">
        <v>9.8000000000000007</v>
      </c>
      <c r="AD21" s="3442">
        <v>10</v>
      </c>
      <c r="AE21" s="3442">
        <v>10</v>
      </c>
      <c r="AF21" s="3412">
        <v>10</v>
      </c>
      <c r="AG21" s="3454">
        <v>9.8000000000000007</v>
      </c>
      <c r="AH21" s="3409">
        <v>9</v>
      </c>
      <c r="AI21" s="3409">
        <v>9</v>
      </c>
      <c r="AJ21" s="3409">
        <v>9</v>
      </c>
      <c r="AK21" s="3409">
        <v>9</v>
      </c>
      <c r="AL21" s="3409">
        <v>9</v>
      </c>
      <c r="AM21" s="3454">
        <v>9.8000000000000007</v>
      </c>
      <c r="AN21" s="3409">
        <v>9</v>
      </c>
      <c r="AO21" s="3409">
        <v>9</v>
      </c>
      <c r="AP21" s="3409">
        <v>9</v>
      </c>
      <c r="AQ21" s="3409">
        <v>9</v>
      </c>
      <c r="AR21" s="3409">
        <v>9</v>
      </c>
      <c r="AS21" s="3411">
        <v>9.8000000000000007</v>
      </c>
      <c r="AT21" s="3455">
        <v>9.6</v>
      </c>
      <c r="AU21" s="3455">
        <v>9.5</v>
      </c>
      <c r="AV21" s="3409">
        <v>9.6</v>
      </c>
      <c r="AW21" s="3409">
        <v>9.5</v>
      </c>
      <c r="AX21" s="3412">
        <v>9.5</v>
      </c>
      <c r="AY21" s="3434"/>
      <c r="AZ21" s="3435"/>
      <c r="BA21" s="3436"/>
      <c r="BB21" s="3429"/>
      <c r="BC21" s="3429"/>
      <c r="BD21" s="3428"/>
      <c r="BE21" s="3438"/>
      <c r="BF21" s="3435"/>
      <c r="BG21" s="3416"/>
      <c r="BH21" s="3438"/>
      <c r="BI21" s="3439"/>
      <c r="BJ21" s="3436"/>
      <c r="BK21" s="3420">
        <f t="shared" si="9"/>
        <v>9.8388888888888886</v>
      </c>
      <c r="BL21" s="3405">
        <f t="shared" si="10"/>
        <v>9.5250000000000021</v>
      </c>
    </row>
    <row r="22" spans="1:64" s="3399" customFormat="1">
      <c r="A22" s="3400" t="s">
        <v>1345</v>
      </c>
      <c r="B22" s="3401">
        <v>7</v>
      </c>
      <c r="C22" s="3402">
        <v>44427</v>
      </c>
      <c r="D22" s="3402"/>
      <c r="E22" s="3401" t="s">
        <v>1408</v>
      </c>
      <c r="F22" s="3401" t="s">
        <v>1409</v>
      </c>
      <c r="G22" s="3387" t="str">
        <f>_xlfn.XLOOKUP($E22, Tabla3[CURP], Tabla3[NOMBRE])</f>
        <v>CORONADO ZEQUEIDA NANCY AZUCENA</v>
      </c>
      <c r="H22" s="3404" t="str">
        <f t="shared" si="4"/>
        <v>M</v>
      </c>
      <c r="I22" s="3404" t="str">
        <f t="shared" si="8"/>
        <v>79</v>
      </c>
      <c r="J22" s="3404" t="str">
        <f t="shared" si="5"/>
        <v>10</v>
      </c>
      <c r="K22" s="3404" t="str">
        <f t="shared" si="6"/>
        <v>04</v>
      </c>
      <c r="L22" s="3400"/>
      <c r="M22" s="3421"/>
      <c r="N22" s="3422"/>
      <c r="O22" s="3406">
        <v>10</v>
      </c>
      <c r="P22" s="3447">
        <v>9.5</v>
      </c>
      <c r="Q22" s="3407">
        <v>10</v>
      </c>
      <c r="R22" s="3423">
        <v>9.8000000000000007</v>
      </c>
      <c r="S22" s="3407">
        <v>10</v>
      </c>
      <c r="T22" s="3407">
        <v>10</v>
      </c>
      <c r="U22" s="3456">
        <v>9</v>
      </c>
      <c r="V22" s="3457">
        <v>10</v>
      </c>
      <c r="W22" s="3458">
        <v>9.4</v>
      </c>
      <c r="X22" s="3458">
        <v>9.4</v>
      </c>
      <c r="Y22" s="3448">
        <v>9.1999999999999993</v>
      </c>
      <c r="Z22" s="3448">
        <v>9</v>
      </c>
      <c r="AA22" s="3459">
        <v>9</v>
      </c>
      <c r="AB22" s="3460">
        <v>9.1999999999999993</v>
      </c>
      <c r="AC22" s="3442">
        <v>9</v>
      </c>
      <c r="AD22" s="3410">
        <v>9</v>
      </c>
      <c r="AE22" s="3410">
        <v>9.1999999999999993</v>
      </c>
      <c r="AF22" s="3412">
        <v>9.1999999999999993</v>
      </c>
      <c r="AG22" s="3450">
        <v>9</v>
      </c>
      <c r="AH22" s="3412">
        <v>9.1999999999999993</v>
      </c>
      <c r="AI22" s="3409">
        <v>9</v>
      </c>
      <c r="AJ22" s="3409">
        <v>9</v>
      </c>
      <c r="AK22" s="3412">
        <v>9.1999999999999993</v>
      </c>
      <c r="AL22" s="3412">
        <v>9.1999999999999993</v>
      </c>
      <c r="AM22" s="3450">
        <v>9</v>
      </c>
      <c r="AN22" s="3412">
        <v>9.1999999999999993</v>
      </c>
      <c r="AO22" s="3409">
        <v>9</v>
      </c>
      <c r="AP22" s="3409">
        <v>9</v>
      </c>
      <c r="AQ22" s="3412">
        <v>9.1999999999999993</v>
      </c>
      <c r="AR22" s="3412">
        <v>9.1999999999999993</v>
      </c>
      <c r="AS22" s="3461">
        <v>7</v>
      </c>
      <c r="AT22" s="3462">
        <v>9</v>
      </c>
      <c r="AU22" s="3463">
        <v>9</v>
      </c>
      <c r="AV22" s="3431">
        <v>8</v>
      </c>
      <c r="AW22" s="3464">
        <v>10</v>
      </c>
      <c r="AX22" s="3433">
        <v>10</v>
      </c>
      <c r="AY22" s="3431">
        <v>7</v>
      </c>
      <c r="AZ22" s="3435">
        <v>10</v>
      </c>
      <c r="BA22" s="3465">
        <v>9</v>
      </c>
      <c r="BB22" s="3462">
        <v>10</v>
      </c>
      <c r="BC22" s="3462">
        <v>9.8000000000000007</v>
      </c>
      <c r="BD22" s="3461">
        <v>9.6999999999999993</v>
      </c>
      <c r="BE22" s="3466">
        <v>8</v>
      </c>
      <c r="BF22" s="3467">
        <v>8</v>
      </c>
      <c r="BG22" s="3468">
        <v>9</v>
      </c>
      <c r="BH22" s="3466">
        <v>9.8000000000000007</v>
      </c>
      <c r="BI22" s="3469">
        <v>9.9</v>
      </c>
      <c r="BJ22" s="3465">
        <v>9</v>
      </c>
      <c r="BK22" s="3420"/>
      <c r="BL22" s="3470">
        <f t="shared" si="10"/>
        <v>9.1937499999999979</v>
      </c>
    </row>
    <row r="23" spans="1:64" s="3399" customFormat="1">
      <c r="A23" s="3400" t="s">
        <v>1345</v>
      </c>
      <c r="B23" s="3401">
        <v>8</v>
      </c>
      <c r="C23" s="3402">
        <v>44427</v>
      </c>
      <c r="D23" s="3402"/>
      <c r="E23" s="3401" t="s">
        <v>1411</v>
      </c>
      <c r="F23" s="3401" t="s">
        <v>1412</v>
      </c>
      <c r="G23" s="3387" t="str">
        <f>_xlfn.XLOOKUP($E23, Tabla3[CURP], Tabla3[NOMBRE])</f>
        <v>EUAN PECH JUAN DE LA CRUZ</v>
      </c>
      <c r="H23" s="3404" t="str">
        <f t="shared" si="4"/>
        <v>H</v>
      </c>
      <c r="I23" s="3404" t="str">
        <f t="shared" si="8"/>
        <v>77</v>
      </c>
      <c r="J23" s="3404" t="str">
        <f t="shared" si="5"/>
        <v>11</v>
      </c>
      <c r="K23" s="3404" t="str">
        <f t="shared" si="6"/>
        <v>24</v>
      </c>
      <c r="L23" s="3400"/>
      <c r="M23" s="3421"/>
      <c r="N23" s="3422"/>
      <c r="O23" s="3406">
        <v>10</v>
      </c>
      <c r="P23" s="3407">
        <v>10</v>
      </c>
      <c r="Q23" s="3407">
        <v>10</v>
      </c>
      <c r="R23" s="3407">
        <v>10</v>
      </c>
      <c r="S23" s="3407">
        <v>10</v>
      </c>
      <c r="T23" s="3407">
        <v>10</v>
      </c>
      <c r="U23" s="3471">
        <v>9</v>
      </c>
      <c r="V23" s="3458">
        <v>9.1999999999999993</v>
      </c>
      <c r="W23" s="3448">
        <v>9.4</v>
      </c>
      <c r="X23" s="3458">
        <v>9.4</v>
      </c>
      <c r="Y23" s="3457">
        <v>10</v>
      </c>
      <c r="Z23" s="3457">
        <v>10</v>
      </c>
      <c r="AA23" s="3425">
        <v>9</v>
      </c>
      <c r="AB23" s="3409">
        <v>9.1999999999999993</v>
      </c>
      <c r="AC23" s="3409">
        <v>9.1999999999999993</v>
      </c>
      <c r="AD23" s="3409">
        <v>9</v>
      </c>
      <c r="AE23" s="3455">
        <v>10</v>
      </c>
      <c r="AF23" s="3412">
        <v>9.6</v>
      </c>
      <c r="AG23" s="3411">
        <v>7</v>
      </c>
      <c r="AH23" s="3409">
        <v>9</v>
      </c>
      <c r="AI23" s="3409">
        <v>9</v>
      </c>
      <c r="AJ23" s="3409">
        <v>8</v>
      </c>
      <c r="AK23" s="3409">
        <v>8</v>
      </c>
      <c r="AL23" s="3412">
        <v>10</v>
      </c>
      <c r="AM23" s="3411">
        <v>7</v>
      </c>
      <c r="AN23" s="3409">
        <v>9</v>
      </c>
      <c r="AO23" s="3409">
        <v>9</v>
      </c>
      <c r="AP23" s="3409">
        <v>8</v>
      </c>
      <c r="AQ23" s="3409">
        <v>8</v>
      </c>
      <c r="AR23" s="3412">
        <v>10</v>
      </c>
      <c r="AS23" s="3413">
        <v>9</v>
      </c>
      <c r="AT23" s="3413">
        <v>9</v>
      </c>
      <c r="AU23" s="3414">
        <v>8</v>
      </c>
      <c r="AV23" s="3431"/>
      <c r="AW23" s="3432"/>
      <c r="AX23" s="3433"/>
      <c r="AY23" s="3434"/>
      <c r="AZ23" s="3435"/>
      <c r="BA23" s="3472">
        <v>8</v>
      </c>
      <c r="BB23" s="3473">
        <v>9</v>
      </c>
      <c r="BC23" s="3413">
        <v>9</v>
      </c>
      <c r="BD23" s="3428"/>
      <c r="BE23" s="3438"/>
      <c r="BF23" s="3435"/>
      <c r="BG23" s="3474">
        <v>9</v>
      </c>
      <c r="BH23" s="3438"/>
      <c r="BI23" s="3439"/>
      <c r="BJ23" s="3472">
        <v>8</v>
      </c>
      <c r="BK23" s="3420">
        <f t="shared" ref="BK23:BK26" si="11">SUM(AF23:BG23)/18</f>
        <v>9.5888888888888886</v>
      </c>
      <c r="BL23" s="3405">
        <f t="shared" si="10"/>
        <v>9.0526315789473681</v>
      </c>
    </row>
    <row r="24" spans="1:64" s="3399" customFormat="1">
      <c r="A24" s="3400" t="s">
        <v>1345</v>
      </c>
      <c r="B24" s="3401">
        <v>9</v>
      </c>
      <c r="C24" s="3402">
        <v>44458</v>
      </c>
      <c r="D24" s="3402"/>
      <c r="E24" s="3401" t="s">
        <v>402</v>
      </c>
      <c r="F24" s="3401" t="s">
        <v>403</v>
      </c>
      <c r="G24" s="3387" t="str">
        <f>_xlfn.XLOOKUP($E24, Tabla3[CURP], Tabla3[NOMBRE])</f>
        <v>KUMUL PECH BERNALDO AGUILLER</v>
      </c>
      <c r="H24" s="3404" t="str">
        <f t="shared" si="4"/>
        <v>H</v>
      </c>
      <c r="I24" s="3404" t="str">
        <f t="shared" si="8"/>
        <v>73</v>
      </c>
      <c r="J24" s="3404" t="str">
        <f t="shared" si="5"/>
        <v>05</v>
      </c>
      <c r="K24" s="3404" t="str">
        <f t="shared" si="6"/>
        <v>11</v>
      </c>
      <c r="L24" s="3400"/>
      <c r="M24" s="3421"/>
      <c r="N24" s="3422"/>
      <c r="O24" s="3475">
        <v>9.5</v>
      </c>
      <c r="P24" s="3447">
        <v>7</v>
      </c>
      <c r="Q24" s="3407">
        <v>10</v>
      </c>
      <c r="R24" s="3447">
        <v>9.1999999999999993</v>
      </c>
      <c r="S24" s="3407">
        <v>10</v>
      </c>
      <c r="T24" s="3423">
        <v>9.5</v>
      </c>
      <c r="U24" s="3476">
        <v>10</v>
      </c>
      <c r="V24" s="3460">
        <v>10</v>
      </c>
      <c r="W24" s="3460">
        <v>10</v>
      </c>
      <c r="X24" s="3451">
        <v>9</v>
      </c>
      <c r="Y24" s="3442">
        <v>9</v>
      </c>
      <c r="Z24" s="3442">
        <v>9.6999999999999993</v>
      </c>
      <c r="AA24" s="3452">
        <v>10</v>
      </c>
      <c r="AB24" s="3452">
        <v>10</v>
      </c>
      <c r="AC24" s="3409">
        <v>9.5</v>
      </c>
      <c r="AD24" s="3409">
        <v>9</v>
      </c>
      <c r="AE24" s="3410">
        <v>9</v>
      </c>
      <c r="AF24" s="3412">
        <v>10</v>
      </c>
      <c r="AG24" s="3411">
        <v>8</v>
      </c>
      <c r="AH24" s="3409">
        <v>9</v>
      </c>
      <c r="AI24" s="3412">
        <v>9.6</v>
      </c>
      <c r="AJ24" s="3412">
        <v>9.6999999999999993</v>
      </c>
      <c r="AK24" s="3409">
        <v>7</v>
      </c>
      <c r="AL24" s="3455">
        <v>9.1999999999999993</v>
      </c>
      <c r="AM24" s="3411">
        <v>8</v>
      </c>
      <c r="AN24" s="3409">
        <v>9</v>
      </c>
      <c r="AO24" s="3412">
        <v>9.6</v>
      </c>
      <c r="AP24" s="3412">
        <v>9.6999999999999993</v>
      </c>
      <c r="AQ24" s="3409">
        <v>7</v>
      </c>
      <c r="AR24" s="3455">
        <v>9.1999999999999993</v>
      </c>
      <c r="AS24" s="3428"/>
      <c r="AT24" s="3429"/>
      <c r="AU24" s="3430"/>
      <c r="AV24" s="3431"/>
      <c r="AW24" s="3432"/>
      <c r="AX24" s="3433"/>
      <c r="AY24" s="3434"/>
      <c r="AZ24" s="3435"/>
      <c r="BA24" s="3436"/>
      <c r="BB24" s="3429"/>
      <c r="BC24" s="3429"/>
      <c r="BD24" s="3428"/>
      <c r="BE24" s="3438"/>
      <c r="BF24" s="3435"/>
      <c r="BG24" s="3445"/>
      <c r="BH24" s="3438"/>
      <c r="BI24" s="3439"/>
      <c r="BJ24" s="3436"/>
      <c r="BK24" s="3420">
        <f t="shared" si="11"/>
        <v>6.3888888888888893</v>
      </c>
      <c r="BL24" s="3405">
        <f t="shared" si="10"/>
        <v>9.18</v>
      </c>
    </row>
    <row r="25" spans="1:64" s="3399" customFormat="1">
      <c r="A25" s="3400" t="s">
        <v>1345</v>
      </c>
      <c r="B25" s="3401">
        <v>10</v>
      </c>
      <c r="C25" s="3402">
        <v>44427</v>
      </c>
      <c r="D25" s="3402"/>
      <c r="E25" s="3401" t="s">
        <v>1414</v>
      </c>
      <c r="F25" s="3401" t="s">
        <v>1415</v>
      </c>
      <c r="G25" s="3387" t="str">
        <f>_xlfn.XLOOKUP($E25, Tabla3[CURP], Tabla3[NOMBRE])</f>
        <v>LOPEZ BACAB MARIA EVANGELINA</v>
      </c>
      <c r="H25" s="3404" t="str">
        <f t="shared" si="4"/>
        <v>M</v>
      </c>
      <c r="I25" s="3404" t="str">
        <f t="shared" si="8"/>
        <v>83</v>
      </c>
      <c r="J25" s="3404" t="str">
        <f t="shared" si="5"/>
        <v>09</v>
      </c>
      <c r="K25" s="3404" t="str">
        <f t="shared" si="6"/>
        <v>02</v>
      </c>
      <c r="L25" s="3400"/>
      <c r="M25" s="3405"/>
      <c r="N25" s="3389"/>
      <c r="O25" s="3406">
        <v>10</v>
      </c>
      <c r="P25" s="3407">
        <v>10</v>
      </c>
      <c r="Q25" s="3447">
        <v>9.8000000000000007</v>
      </c>
      <c r="R25" s="3407">
        <v>10</v>
      </c>
      <c r="S25" s="3407">
        <v>10</v>
      </c>
      <c r="T25" s="3423">
        <v>8.9</v>
      </c>
      <c r="U25" s="3411">
        <v>9.4</v>
      </c>
      <c r="V25" s="3409">
        <v>9.1999999999999993</v>
      </c>
      <c r="W25" s="3452">
        <v>10</v>
      </c>
      <c r="X25" s="3410">
        <v>10</v>
      </c>
      <c r="Y25" s="3409">
        <v>9.1999999999999993</v>
      </c>
      <c r="Z25" s="3410">
        <v>10</v>
      </c>
      <c r="AA25" s="3425">
        <v>9.4</v>
      </c>
      <c r="AB25" s="3410">
        <v>9.1999999999999993</v>
      </c>
      <c r="AC25" s="3409">
        <v>9</v>
      </c>
      <c r="AD25" s="3409">
        <v>9.4</v>
      </c>
      <c r="AE25" s="3455">
        <v>10</v>
      </c>
      <c r="AF25" s="3412">
        <v>9.4</v>
      </c>
      <c r="AG25" s="3411">
        <v>9</v>
      </c>
      <c r="AH25" s="3412">
        <v>9.1999999999999993</v>
      </c>
      <c r="AI25" s="3412">
        <v>9.1999999999999993</v>
      </c>
      <c r="AJ25" s="3412">
        <v>9.1999999999999993</v>
      </c>
      <c r="AK25" s="3412">
        <v>9.1999999999999993</v>
      </c>
      <c r="AL25" s="3412">
        <v>9.1999999999999993</v>
      </c>
      <c r="AM25" s="3411">
        <v>9</v>
      </c>
      <c r="AN25" s="3412">
        <v>9.1999999999999993</v>
      </c>
      <c r="AO25" s="3412">
        <v>9.1999999999999993</v>
      </c>
      <c r="AP25" s="3412">
        <v>9.1999999999999993</v>
      </c>
      <c r="AQ25" s="3412">
        <v>9.1999999999999993</v>
      </c>
      <c r="AR25" s="3412">
        <v>9.1999999999999993</v>
      </c>
      <c r="AS25" s="3450">
        <v>9.9</v>
      </c>
      <c r="AT25" s="3451">
        <v>9.6</v>
      </c>
      <c r="AU25" s="3451">
        <v>9.5</v>
      </c>
      <c r="AV25" s="3442">
        <v>9.6</v>
      </c>
      <c r="AW25" s="3442">
        <v>9.5</v>
      </c>
      <c r="AX25" s="3449">
        <v>9.4</v>
      </c>
      <c r="AY25" s="3434"/>
      <c r="AZ25" s="3435"/>
      <c r="BA25" s="3436"/>
      <c r="BB25" s="3429"/>
      <c r="BC25" s="3429"/>
      <c r="BD25" s="3428"/>
      <c r="BE25" s="3438"/>
      <c r="BF25" s="3435"/>
      <c r="BG25" s="3445"/>
      <c r="BH25" s="3438"/>
      <c r="BI25" s="3439"/>
      <c r="BJ25" s="3436"/>
      <c r="BK25" s="3420">
        <f t="shared" si="11"/>
        <v>9.8277777777777775</v>
      </c>
      <c r="BL25" s="3405">
        <f t="shared" si="10"/>
        <v>9.4555555555555539</v>
      </c>
    </row>
    <row r="26" spans="1:64" s="3399" customFormat="1">
      <c r="A26" s="3400" t="s">
        <v>1345</v>
      </c>
      <c r="B26" s="3401">
        <v>11</v>
      </c>
      <c r="C26" s="3402">
        <v>44427</v>
      </c>
      <c r="D26" s="3402"/>
      <c r="E26" s="3401" t="s">
        <v>1417</v>
      </c>
      <c r="F26" s="3401" t="s">
        <v>1418</v>
      </c>
      <c r="G26" s="3387" t="str">
        <f>_xlfn.XLOOKUP($E26, Tabla3[CURP], Tabla3[NOMBRE])</f>
        <v xml:space="preserve">MAY SANTOS MARTIN ALFONSO </v>
      </c>
      <c r="H26" s="3404" t="str">
        <f t="shared" si="4"/>
        <v>H</v>
      </c>
      <c r="I26" s="3404" t="str">
        <f t="shared" si="8"/>
        <v>74</v>
      </c>
      <c r="J26" s="3404" t="str">
        <f t="shared" si="5"/>
        <v>03</v>
      </c>
      <c r="K26" s="3404" t="str">
        <f t="shared" si="6"/>
        <v>28</v>
      </c>
      <c r="L26" s="3400"/>
      <c r="M26" s="3421"/>
      <c r="N26" s="3422"/>
      <c r="O26" s="3475">
        <v>9.5</v>
      </c>
      <c r="P26" s="3447">
        <v>9.4</v>
      </c>
      <c r="Q26" s="3447">
        <v>9.6</v>
      </c>
      <c r="R26" s="3407">
        <v>10</v>
      </c>
      <c r="S26" s="3407">
        <v>10</v>
      </c>
      <c r="T26" s="3423">
        <v>9.8000000000000007</v>
      </c>
      <c r="U26" s="3411">
        <v>9.4</v>
      </c>
      <c r="V26" s="3424">
        <v>9.4</v>
      </c>
      <c r="W26" s="3409">
        <v>9.1999999999999993</v>
      </c>
      <c r="X26" s="3409">
        <v>9.4</v>
      </c>
      <c r="Y26" s="3424">
        <v>9.4</v>
      </c>
      <c r="Z26" s="3410">
        <v>10</v>
      </c>
      <c r="AA26" s="3425">
        <v>9.4</v>
      </c>
      <c r="AB26" s="3409">
        <v>9</v>
      </c>
      <c r="AC26" s="3410">
        <v>9.1999999999999993</v>
      </c>
      <c r="AD26" s="3455">
        <v>9.4</v>
      </c>
      <c r="AE26" s="3410">
        <v>9.3000000000000007</v>
      </c>
      <c r="AF26" s="3412">
        <v>9.5</v>
      </c>
      <c r="AG26" s="3427">
        <v>9.1999999999999993</v>
      </c>
      <c r="AH26" s="3409">
        <v>9</v>
      </c>
      <c r="AI26" s="3409">
        <v>9</v>
      </c>
      <c r="AJ26" s="3409">
        <v>9</v>
      </c>
      <c r="AK26" s="3409">
        <v>9</v>
      </c>
      <c r="AL26" s="3409">
        <v>9</v>
      </c>
      <c r="AM26" s="3427">
        <v>9.1999999999999993</v>
      </c>
      <c r="AN26" s="3409">
        <v>9</v>
      </c>
      <c r="AO26" s="3409">
        <v>9</v>
      </c>
      <c r="AP26" s="3409">
        <v>9</v>
      </c>
      <c r="AQ26" s="3409">
        <v>9</v>
      </c>
      <c r="AR26" s="3409">
        <v>9</v>
      </c>
      <c r="AS26" s="3399">
        <v>10</v>
      </c>
      <c r="AT26" s="3455">
        <v>9.6</v>
      </c>
      <c r="AU26" s="3455">
        <v>9.5</v>
      </c>
      <c r="AV26" s="3409">
        <v>9.6</v>
      </c>
      <c r="AW26" s="3409">
        <v>9.5</v>
      </c>
      <c r="AX26" s="3409">
        <v>9.4</v>
      </c>
      <c r="AY26" s="3431"/>
      <c r="AZ26" s="3431"/>
      <c r="BA26" s="3432"/>
      <c r="BB26" s="3429"/>
      <c r="BC26" s="3429"/>
      <c r="BD26" s="3428"/>
      <c r="BE26" s="3438"/>
      <c r="BF26" s="3435"/>
      <c r="BG26" s="3445"/>
      <c r="BH26" s="3438"/>
      <c r="BI26" s="3439"/>
      <c r="BJ26" s="3436"/>
      <c r="BK26" s="3420">
        <f t="shared" si="11"/>
        <v>9.75</v>
      </c>
      <c r="BL26" s="3405">
        <f t="shared" si="10"/>
        <v>9.3583333333333343</v>
      </c>
    </row>
    <row r="27" spans="1:64" s="3399" customFormat="1">
      <c r="A27" s="3400" t="s">
        <v>1345</v>
      </c>
      <c r="B27" s="3401">
        <v>12</v>
      </c>
      <c r="C27" s="3402" t="s">
        <v>1419</v>
      </c>
      <c r="D27" s="3402"/>
      <c r="E27" s="3401" t="s">
        <v>1420</v>
      </c>
      <c r="F27" s="3401" t="s">
        <v>1421</v>
      </c>
      <c r="G27" s="3387" t="str">
        <f>_xlfn.XLOOKUP($E27, Tabla3[CURP], Tabla3[NOMBRE])</f>
        <v>MARTINEZ ALCOCER MARTHA PATRICIA</v>
      </c>
      <c r="H27" s="3404" t="str">
        <f t="shared" si="4"/>
        <v>M</v>
      </c>
      <c r="I27" s="3404" t="str">
        <f t="shared" si="8"/>
        <v>84</v>
      </c>
      <c r="J27" s="3404" t="str">
        <f t="shared" si="5"/>
        <v>05</v>
      </c>
      <c r="K27" s="3404" t="str">
        <f t="shared" si="6"/>
        <v>31</v>
      </c>
      <c r="L27" s="3400" t="s">
        <v>1423</v>
      </c>
      <c r="M27" s="3441"/>
      <c r="N27" s="3477"/>
      <c r="O27" s="3478">
        <v>9</v>
      </c>
      <c r="P27" s="3479">
        <v>10</v>
      </c>
      <c r="Q27" s="3479">
        <v>10</v>
      </c>
      <c r="R27" s="3479">
        <v>9</v>
      </c>
      <c r="S27" s="3479">
        <v>9.5</v>
      </c>
      <c r="T27" s="3479">
        <v>10</v>
      </c>
      <c r="U27" s="3427">
        <v>9.1</v>
      </c>
      <c r="V27" s="3449">
        <v>9.1999999999999993</v>
      </c>
      <c r="W27" s="3412">
        <v>10</v>
      </c>
      <c r="X27" s="3412">
        <v>9.3000000000000007</v>
      </c>
      <c r="Y27" s="3449">
        <v>9.4</v>
      </c>
      <c r="Z27" s="3412">
        <v>10</v>
      </c>
      <c r="AA27" s="3425">
        <v>9.4</v>
      </c>
      <c r="AB27" s="3409">
        <v>9.3000000000000007</v>
      </c>
      <c r="AC27" s="3409">
        <v>9.4</v>
      </c>
      <c r="AD27" s="3455">
        <v>10</v>
      </c>
      <c r="AE27" s="3455">
        <v>9.6</v>
      </c>
      <c r="AF27" s="3412">
        <v>9.5</v>
      </c>
      <c r="AG27" s="3427">
        <v>9.1999999999999993</v>
      </c>
      <c r="AH27" s="3412">
        <v>9.1999999999999993</v>
      </c>
      <c r="AI27" s="3409">
        <v>9</v>
      </c>
      <c r="AJ27" s="3409">
        <v>9</v>
      </c>
      <c r="AK27" s="3412">
        <v>9.1999999999999993</v>
      </c>
      <c r="AL27" s="3412">
        <v>9.1999999999999993</v>
      </c>
      <c r="AM27" s="3427">
        <v>9.1999999999999993</v>
      </c>
      <c r="AN27" s="3412">
        <v>9.1999999999999993</v>
      </c>
      <c r="AO27" s="3409">
        <v>9</v>
      </c>
      <c r="AP27" s="3409">
        <v>9</v>
      </c>
      <c r="AQ27" s="3412">
        <v>9.1999999999999993</v>
      </c>
      <c r="AR27" s="3412">
        <v>9.1999999999999993</v>
      </c>
      <c r="AS27" s="3450">
        <v>9.9</v>
      </c>
      <c r="AT27" s="3449">
        <v>9.6</v>
      </c>
      <c r="AU27" s="3442">
        <v>9.5</v>
      </c>
      <c r="AV27" s="3442">
        <v>9.6</v>
      </c>
      <c r="AW27" s="3442">
        <v>9.5</v>
      </c>
      <c r="AX27" s="3442">
        <v>9.4</v>
      </c>
      <c r="AY27" s="3431">
        <v>9.6</v>
      </c>
      <c r="AZ27" s="3431">
        <v>9.6999999999999993</v>
      </c>
      <c r="BA27" s="3432"/>
      <c r="BB27" s="3461"/>
      <c r="BC27" s="3461"/>
      <c r="BD27" s="3461"/>
      <c r="BE27" s="3480"/>
      <c r="BF27" s="3431">
        <v>9.6999999999999993</v>
      </c>
      <c r="BG27" s="3432"/>
      <c r="BH27" s="3480"/>
      <c r="BI27" s="3431">
        <v>9.1</v>
      </c>
      <c r="BJ27" s="3481"/>
      <c r="BK27" s="3482"/>
      <c r="BL27" s="3405">
        <f t="shared" si="10"/>
        <v>9.4224999999999994</v>
      </c>
    </row>
    <row r="28" spans="1:64" s="3399" customFormat="1" ht="15.75" customHeight="1">
      <c r="A28" s="3400" t="s">
        <v>1345</v>
      </c>
      <c r="B28" s="3401">
        <v>13</v>
      </c>
      <c r="C28" s="3402" t="s">
        <v>1419</v>
      </c>
      <c r="D28" s="3402"/>
      <c r="E28" s="3401" t="s">
        <v>490</v>
      </c>
      <c r="F28" s="3401" t="s">
        <v>1424</v>
      </c>
      <c r="G28" s="3387" t="str">
        <f>_xlfn.XLOOKUP($E28, Tabla3[CURP], Tabla3[NOMBRE])</f>
        <v xml:space="preserve">MORENO GARCIA ANGELICA JANETT </v>
      </c>
      <c r="H28" s="3404" t="str">
        <f t="shared" si="4"/>
        <v>M</v>
      </c>
      <c r="I28" s="3404" t="str">
        <f t="shared" si="8"/>
        <v>85</v>
      </c>
      <c r="J28" s="3404" t="str">
        <f t="shared" si="5"/>
        <v>12</v>
      </c>
      <c r="K28" s="3404" t="str">
        <f t="shared" si="6"/>
        <v>28</v>
      </c>
      <c r="L28" s="3400" t="s">
        <v>1423</v>
      </c>
      <c r="M28" s="3440" t="s">
        <v>1195</v>
      </c>
      <c r="N28" s="3440"/>
      <c r="O28" s="3478">
        <v>10</v>
      </c>
      <c r="P28" s="3479">
        <v>10</v>
      </c>
      <c r="Q28" s="3479">
        <v>9.5</v>
      </c>
      <c r="R28" s="3479">
        <v>10</v>
      </c>
      <c r="S28" s="3479">
        <v>9.5</v>
      </c>
      <c r="T28" s="3479">
        <v>10</v>
      </c>
      <c r="U28" s="3427">
        <v>9.4</v>
      </c>
      <c r="V28" s="3483">
        <v>9.4</v>
      </c>
      <c r="W28" s="3412">
        <v>10</v>
      </c>
      <c r="X28" s="3483">
        <v>9.4</v>
      </c>
      <c r="Y28" s="3412">
        <v>10</v>
      </c>
      <c r="Z28" s="3412">
        <v>10</v>
      </c>
      <c r="AA28" s="3427">
        <v>9.4</v>
      </c>
      <c r="AB28" s="3409">
        <v>9.3000000000000007</v>
      </c>
      <c r="AC28" s="3412">
        <v>9.4</v>
      </c>
      <c r="AD28" s="3412">
        <v>10</v>
      </c>
      <c r="AE28" s="3412">
        <v>9.6</v>
      </c>
      <c r="AF28" s="3412">
        <v>9.3000000000000007</v>
      </c>
      <c r="AG28" s="3411">
        <v>9.1999999999999993</v>
      </c>
      <c r="AH28" s="3409">
        <v>9.1999999999999993</v>
      </c>
      <c r="AI28" s="3409">
        <v>9</v>
      </c>
      <c r="AJ28" s="3409">
        <v>9</v>
      </c>
      <c r="AK28" s="3410">
        <v>9.1999999999999993</v>
      </c>
      <c r="AL28" s="3409">
        <v>9.1999999999999993</v>
      </c>
      <c r="AM28" s="3484">
        <v>9.8000000000000007</v>
      </c>
      <c r="AN28" s="3485"/>
      <c r="AO28" s="3485"/>
      <c r="AP28" s="3485"/>
      <c r="AQ28" s="3486"/>
      <c r="AR28" s="3485"/>
      <c r="AS28" s="3487">
        <v>9</v>
      </c>
      <c r="AT28" s="3488">
        <v>8</v>
      </c>
      <c r="AU28" s="3489">
        <v>9</v>
      </c>
      <c r="AV28" s="3431">
        <v>9.5</v>
      </c>
      <c r="AW28" s="3432">
        <v>10</v>
      </c>
      <c r="AX28" s="3480">
        <v>7.5</v>
      </c>
      <c r="AY28" s="3431">
        <v>9</v>
      </c>
      <c r="AZ28" s="3431">
        <v>7</v>
      </c>
      <c r="BA28" s="3432">
        <v>8.5</v>
      </c>
      <c r="BB28" s="3419">
        <v>7</v>
      </c>
      <c r="BC28" s="3419">
        <v>7</v>
      </c>
      <c r="BD28" s="3419">
        <v>8</v>
      </c>
      <c r="BE28" s="3417">
        <v>8</v>
      </c>
      <c r="BF28" s="3415">
        <v>10</v>
      </c>
      <c r="BG28" s="3416">
        <v>9</v>
      </c>
      <c r="BH28" s="3417">
        <v>10</v>
      </c>
      <c r="BI28" s="3415">
        <v>10</v>
      </c>
      <c r="BJ28" s="3416">
        <v>8</v>
      </c>
      <c r="BK28" s="3420">
        <f>SUM(AF28:BG28)/18</f>
        <v>11.133333333333333</v>
      </c>
      <c r="BL28" s="3405">
        <f t="shared" si="10"/>
        <v>9.1465116279069765</v>
      </c>
    </row>
    <row r="29" spans="1:64" s="3399" customFormat="1" ht="15.75" customHeight="1">
      <c r="A29" s="3400" t="s">
        <v>1345</v>
      </c>
      <c r="B29" s="3401">
        <v>14</v>
      </c>
      <c r="C29" s="3402">
        <v>43374</v>
      </c>
      <c r="D29" s="3402"/>
      <c r="E29" s="3401" t="s">
        <v>1426</v>
      </c>
      <c r="F29" s="3401" t="s">
        <v>1427</v>
      </c>
      <c r="G29" s="3387" t="str">
        <f>_xlfn.XLOOKUP($E29, Tabla3[CURP], Tabla3[NOMBRE])</f>
        <v>NAHUAT ORTIZ CLARA BEATRIZ</v>
      </c>
      <c r="H29" s="3404" t="str">
        <f t="shared" si="4"/>
        <v>M</v>
      </c>
      <c r="I29" s="3404" t="str">
        <f t="shared" si="8"/>
        <v>85</v>
      </c>
      <c r="J29" s="3404" t="str">
        <f t="shared" si="5"/>
        <v>08</v>
      </c>
      <c r="K29" s="3404" t="str">
        <f t="shared" si="6"/>
        <v>26</v>
      </c>
      <c r="L29" s="3400"/>
      <c r="M29" s="3441"/>
      <c r="N29" s="3477"/>
      <c r="O29" s="3478">
        <v>10</v>
      </c>
      <c r="P29" s="3479">
        <v>10</v>
      </c>
      <c r="Q29" s="3479">
        <v>9.5</v>
      </c>
      <c r="R29" s="3479">
        <v>10</v>
      </c>
      <c r="S29" s="3479">
        <v>9.5</v>
      </c>
      <c r="T29" s="3479">
        <v>10</v>
      </c>
      <c r="U29" s="3427">
        <v>9.4</v>
      </c>
      <c r="V29" s="3449">
        <v>9.3000000000000007</v>
      </c>
      <c r="W29" s="3412">
        <v>9.4</v>
      </c>
      <c r="X29" s="3449">
        <v>10</v>
      </c>
      <c r="Y29" s="3412">
        <v>10</v>
      </c>
      <c r="Z29" s="3412">
        <v>10</v>
      </c>
      <c r="AA29" s="3427">
        <v>9.1</v>
      </c>
      <c r="AB29" s="3412">
        <v>9.1999999999999993</v>
      </c>
      <c r="AC29" s="3412">
        <v>9.1999999999999993</v>
      </c>
      <c r="AD29" s="3483">
        <v>9.5</v>
      </c>
      <c r="AE29" s="3483">
        <v>10</v>
      </c>
      <c r="AF29" s="3412">
        <v>9.3000000000000007</v>
      </c>
      <c r="AG29" s="3427">
        <v>9.1999999999999993</v>
      </c>
      <c r="AH29" s="3409">
        <v>9</v>
      </c>
      <c r="AI29" s="3409">
        <v>9</v>
      </c>
      <c r="AJ29" s="3409">
        <v>9</v>
      </c>
      <c r="AK29" s="3409">
        <v>9</v>
      </c>
      <c r="AL29" s="3409">
        <v>9</v>
      </c>
      <c r="AM29" s="3403">
        <v>9.1999999999999993</v>
      </c>
      <c r="AN29" s="3442">
        <v>9</v>
      </c>
      <c r="AO29" s="3442">
        <v>9</v>
      </c>
      <c r="AP29" s="3442">
        <v>9</v>
      </c>
      <c r="AQ29" s="3442">
        <v>9</v>
      </c>
      <c r="AR29" s="3442">
        <v>9</v>
      </c>
      <c r="AS29" s="3403">
        <v>9.9</v>
      </c>
      <c r="AT29" s="3451">
        <v>9.6</v>
      </c>
      <c r="AU29" s="3451">
        <v>9.5</v>
      </c>
      <c r="AV29" s="3442">
        <v>9.6</v>
      </c>
      <c r="AW29" s="3442">
        <v>9.5</v>
      </c>
      <c r="AX29" s="3442">
        <v>9.4</v>
      </c>
      <c r="AY29" s="3431"/>
      <c r="AZ29" s="3431"/>
      <c r="BA29" s="3432"/>
      <c r="BB29" s="3401"/>
      <c r="BC29" s="3401"/>
      <c r="BD29" s="3401"/>
      <c r="BE29" s="3490"/>
      <c r="BF29" s="3491"/>
      <c r="BG29" s="3481"/>
      <c r="BH29" s="3490"/>
      <c r="BI29" s="3491"/>
      <c r="BJ29" s="3481"/>
      <c r="BK29" s="3482"/>
      <c r="BL29" s="3405">
        <f t="shared" si="10"/>
        <v>9.4249999999999989</v>
      </c>
    </row>
    <row r="30" spans="1:64" s="3399" customFormat="1" ht="15.75" customHeight="1">
      <c r="A30" s="3400" t="s">
        <v>1345</v>
      </c>
      <c r="B30" s="3401">
        <v>15</v>
      </c>
      <c r="C30" s="3402">
        <v>44459</v>
      </c>
      <c r="D30" s="3402"/>
      <c r="E30" s="3401" t="s">
        <v>1429</v>
      </c>
      <c r="F30" s="3401" t="s">
        <v>1430</v>
      </c>
      <c r="G30" s="3387" t="str">
        <f>_xlfn.XLOOKUP($E30, Tabla3[CURP], Tabla3[NOMBRE])</f>
        <v>NAVA NEGRON MARIA DE LOS ANGELES</v>
      </c>
      <c r="H30" s="3404" t="str">
        <f t="shared" si="4"/>
        <v>M</v>
      </c>
      <c r="I30" s="3404" t="str">
        <f t="shared" si="8"/>
        <v>94</v>
      </c>
      <c r="J30" s="3404" t="str">
        <f t="shared" si="5"/>
        <v>11</v>
      </c>
      <c r="K30" s="3404" t="str">
        <f t="shared" si="6"/>
        <v>25</v>
      </c>
      <c r="L30" s="3400"/>
      <c r="M30" s="3441"/>
      <c r="N30" s="3477"/>
      <c r="O30" s="3478">
        <v>10</v>
      </c>
      <c r="P30" s="3479">
        <v>10</v>
      </c>
      <c r="Q30" s="3479">
        <v>10</v>
      </c>
      <c r="R30" s="3479">
        <v>10</v>
      </c>
      <c r="S30" s="3479">
        <v>10</v>
      </c>
      <c r="T30" s="3479">
        <v>10</v>
      </c>
      <c r="U30" s="3454">
        <v>9.5</v>
      </c>
      <c r="V30" s="3483">
        <v>10</v>
      </c>
      <c r="W30" s="3412">
        <v>9.3000000000000007</v>
      </c>
      <c r="X30" s="3412">
        <v>9.4</v>
      </c>
      <c r="Y30" s="3483">
        <v>10</v>
      </c>
      <c r="Z30" s="3483">
        <v>9.4</v>
      </c>
      <c r="AA30" s="3427">
        <v>9.4</v>
      </c>
      <c r="AB30" s="3409">
        <v>9</v>
      </c>
      <c r="AC30" s="3412">
        <v>9.1999999999999993</v>
      </c>
      <c r="AD30" s="3449">
        <v>9</v>
      </c>
      <c r="AE30" s="3449">
        <v>10</v>
      </c>
      <c r="AF30" s="3412">
        <v>9.5</v>
      </c>
      <c r="AG30" s="3427">
        <v>9.1999999999999993</v>
      </c>
      <c r="AH30" s="3412">
        <v>9.1999999999999993</v>
      </c>
      <c r="AI30" s="3409">
        <v>9</v>
      </c>
      <c r="AJ30" s="3409">
        <v>9</v>
      </c>
      <c r="AK30" s="3412">
        <v>9.1999999999999993</v>
      </c>
      <c r="AL30" s="3412">
        <v>9.1999999999999993</v>
      </c>
      <c r="AM30" s="3427">
        <v>9.1999999999999993</v>
      </c>
      <c r="AN30" s="3412">
        <v>9.1999999999999993</v>
      </c>
      <c r="AO30" s="3409">
        <v>9</v>
      </c>
      <c r="AP30" s="3409">
        <v>9</v>
      </c>
      <c r="AQ30" s="3412">
        <v>9.1999999999999993</v>
      </c>
      <c r="AR30" s="3412">
        <v>9.1999999999999993</v>
      </c>
      <c r="AS30" s="3427">
        <v>9.9</v>
      </c>
      <c r="AT30" s="3409">
        <v>9.6</v>
      </c>
      <c r="AU30" s="3412">
        <v>9.5</v>
      </c>
      <c r="AV30" s="3409">
        <v>9.6</v>
      </c>
      <c r="AW30" s="3409">
        <v>9.5</v>
      </c>
      <c r="AX30" s="3409">
        <v>9.4</v>
      </c>
      <c r="AY30" s="3431"/>
      <c r="AZ30" s="3431"/>
      <c r="BA30" s="3432"/>
      <c r="BB30" s="3401"/>
      <c r="BC30" s="3401"/>
      <c r="BD30" s="3401"/>
      <c r="BE30" s="3490"/>
      <c r="BF30" s="3431"/>
      <c r="BG30" s="3481"/>
      <c r="BH30" s="3490"/>
      <c r="BI30" s="3491"/>
      <c r="BJ30" s="3481"/>
      <c r="BK30" s="3482"/>
      <c r="BL30" s="3405">
        <f t="shared" si="10"/>
        <v>9.4666666666666632</v>
      </c>
    </row>
    <row r="31" spans="1:64" s="3399" customFormat="1" ht="15.75" customHeight="1">
      <c r="A31" s="3400" t="s">
        <v>1345</v>
      </c>
      <c r="B31" s="3401">
        <v>16</v>
      </c>
      <c r="C31" s="3402">
        <v>44459</v>
      </c>
      <c r="D31" s="3402"/>
      <c r="E31" s="3401" t="s">
        <v>1432</v>
      </c>
      <c r="F31" s="3401" t="s">
        <v>1433</v>
      </c>
      <c r="G31" s="3387" t="str">
        <f>_xlfn.XLOOKUP($E31, Tabla3[CURP], Tabla3[NOMBRE])</f>
        <v>NAVARRETE SIERRA EDWIN FERNANDO</v>
      </c>
      <c r="H31" s="3404" t="str">
        <f t="shared" si="4"/>
        <v>H</v>
      </c>
      <c r="I31" s="3404" t="str">
        <f t="shared" si="8"/>
        <v>82</v>
      </c>
      <c r="J31" s="3404" t="str">
        <f t="shared" si="5"/>
        <v>03</v>
      </c>
      <c r="K31" s="3404" t="str">
        <f t="shared" si="6"/>
        <v>07</v>
      </c>
      <c r="L31" s="3400"/>
      <c r="M31" s="3441"/>
      <c r="N31" s="3477"/>
      <c r="O31" s="3478">
        <v>9.8000000000000007</v>
      </c>
      <c r="P31" s="3479">
        <v>9.8000000000000007</v>
      </c>
      <c r="Q31" s="3479">
        <v>9.8000000000000007</v>
      </c>
      <c r="R31" s="3479">
        <v>9.8000000000000007</v>
      </c>
      <c r="S31" s="3479">
        <v>9.8000000000000007</v>
      </c>
      <c r="T31" s="3479">
        <v>9.8000000000000007</v>
      </c>
      <c r="U31" s="3403">
        <v>9.4</v>
      </c>
      <c r="V31" s="3449">
        <v>10</v>
      </c>
      <c r="W31" s="3412">
        <v>9.3000000000000007</v>
      </c>
      <c r="X31" s="3412">
        <v>9.4</v>
      </c>
      <c r="Y31" s="3449">
        <v>10</v>
      </c>
      <c r="Z31" s="3449">
        <v>10</v>
      </c>
      <c r="AA31" s="3427">
        <v>9.4</v>
      </c>
      <c r="AB31" s="3409">
        <v>9.3000000000000007</v>
      </c>
      <c r="AC31" s="3412">
        <v>9.4</v>
      </c>
      <c r="AD31" s="3412">
        <v>10</v>
      </c>
      <c r="AE31" s="3412">
        <v>9.6</v>
      </c>
      <c r="AF31" s="3412">
        <v>10</v>
      </c>
      <c r="AG31" s="3411">
        <v>8</v>
      </c>
      <c r="AH31" s="3409">
        <v>9</v>
      </c>
      <c r="AI31" s="3409">
        <v>9</v>
      </c>
      <c r="AJ31" s="3409">
        <v>8</v>
      </c>
      <c r="AK31" s="3409">
        <v>8</v>
      </c>
      <c r="AL31" s="3409">
        <v>9</v>
      </c>
      <c r="AM31" s="3492">
        <v>8</v>
      </c>
      <c r="AN31" s="3424">
        <v>9</v>
      </c>
      <c r="AO31" s="3424">
        <v>9</v>
      </c>
      <c r="AP31" s="3424">
        <v>8</v>
      </c>
      <c r="AQ31" s="3424">
        <v>8</v>
      </c>
      <c r="AR31" s="3424">
        <v>9</v>
      </c>
      <c r="AS31" s="3493">
        <v>8</v>
      </c>
      <c r="AT31" s="3494">
        <v>9</v>
      </c>
      <c r="AU31" s="3495">
        <v>8</v>
      </c>
      <c r="AV31" s="3431"/>
      <c r="AW31" s="3432"/>
      <c r="AX31" s="3480"/>
      <c r="AY31" s="3431"/>
      <c r="AZ31" s="3431"/>
      <c r="BA31" s="3432">
        <v>7</v>
      </c>
      <c r="BB31" s="3493">
        <v>9</v>
      </c>
      <c r="BC31" s="3493">
        <v>9</v>
      </c>
      <c r="BD31" s="3401"/>
      <c r="BE31" s="3490"/>
      <c r="BF31" s="3431"/>
      <c r="BG31" s="3496">
        <v>8</v>
      </c>
      <c r="BH31" s="3490"/>
      <c r="BI31" s="3491"/>
      <c r="BJ31" s="3496">
        <v>8</v>
      </c>
      <c r="BK31" s="3482"/>
      <c r="BL31" s="3405">
        <f t="shared" si="10"/>
        <v>9.0157894736842117</v>
      </c>
    </row>
    <row r="32" spans="1:64" s="3399" customFormat="1" ht="15.75" customHeight="1">
      <c r="A32" s="3400" t="s">
        <v>1345</v>
      </c>
      <c r="B32" s="3401">
        <v>17</v>
      </c>
      <c r="C32" s="3402">
        <v>43739</v>
      </c>
      <c r="D32" s="3402"/>
      <c r="E32" s="3401" t="s">
        <v>328</v>
      </c>
      <c r="F32" s="3401" t="s">
        <v>329</v>
      </c>
      <c r="G32" s="3387" t="str">
        <f>_xlfn.XLOOKUP($E32, Tabla3[CURP], Tabla3[NOMBRE])</f>
        <v xml:space="preserve">VIDAL GUAL MANUELA DE ATOCHA </v>
      </c>
      <c r="H32" s="3404" t="str">
        <f t="shared" si="4"/>
        <v>M</v>
      </c>
      <c r="I32" s="3404" t="str">
        <f t="shared" si="8"/>
        <v>71</v>
      </c>
      <c r="J32" s="3404" t="str">
        <f t="shared" si="5"/>
        <v>01</v>
      </c>
      <c r="K32" s="3404" t="str">
        <f t="shared" si="6"/>
        <v>29</v>
      </c>
      <c r="L32" s="3400"/>
      <c r="M32" s="3441"/>
      <c r="N32" s="3477"/>
      <c r="O32" s="3478">
        <v>10</v>
      </c>
      <c r="P32" s="3479">
        <v>10</v>
      </c>
      <c r="Q32" s="3479">
        <v>10</v>
      </c>
      <c r="R32" s="3479">
        <v>10</v>
      </c>
      <c r="S32" s="3479">
        <v>10</v>
      </c>
      <c r="T32" s="3479">
        <v>10</v>
      </c>
      <c r="U32" s="3427">
        <v>9.4</v>
      </c>
      <c r="V32" s="3412">
        <v>10</v>
      </c>
      <c r="W32" s="3412">
        <v>9.3000000000000007</v>
      </c>
      <c r="X32" s="3412">
        <v>9.4</v>
      </c>
      <c r="Y32" s="3412">
        <v>10</v>
      </c>
      <c r="Z32" s="3412">
        <v>10</v>
      </c>
      <c r="AA32" s="3454">
        <v>9.5</v>
      </c>
      <c r="AB32" s="3409">
        <v>9.1999999999999993</v>
      </c>
      <c r="AC32" s="3412">
        <v>9</v>
      </c>
      <c r="AD32" s="3412">
        <v>10</v>
      </c>
      <c r="AE32" s="3412">
        <v>10</v>
      </c>
      <c r="AF32" s="3483">
        <v>10</v>
      </c>
      <c r="AG32" s="3427">
        <v>9</v>
      </c>
      <c r="AH32" s="3412">
        <v>9.1</v>
      </c>
      <c r="AI32" s="3412">
        <v>9</v>
      </c>
      <c r="AJ32" s="3412">
        <v>9.6999999999999993</v>
      </c>
      <c r="AK32" s="3412">
        <v>8.4</v>
      </c>
      <c r="AL32" s="3412">
        <v>9.1</v>
      </c>
      <c r="AM32" s="3497">
        <v>7.2</v>
      </c>
      <c r="AN32" s="3444">
        <v>7.2</v>
      </c>
      <c r="AO32" s="3444">
        <v>7.2</v>
      </c>
      <c r="AP32" s="3444">
        <v>7.2</v>
      </c>
      <c r="AQ32" s="3444">
        <v>7.2</v>
      </c>
      <c r="AR32" s="3444">
        <v>7.2</v>
      </c>
      <c r="AS32" s="3401"/>
      <c r="AT32" s="3401"/>
      <c r="AU32" s="3490"/>
      <c r="AV32" s="3491"/>
      <c r="AW32" s="3481"/>
      <c r="AX32" s="3490"/>
      <c r="AY32" s="3491"/>
      <c r="AZ32" s="3491"/>
      <c r="BA32" s="3481"/>
      <c r="BB32" s="3401"/>
      <c r="BC32" s="3401"/>
      <c r="BD32" s="3401"/>
      <c r="BE32" s="3490"/>
      <c r="BF32" s="3491"/>
      <c r="BG32" s="3481"/>
      <c r="BH32" s="3490"/>
      <c r="BI32" s="3491"/>
      <c r="BJ32" s="3481"/>
      <c r="BK32" s="3482"/>
      <c r="BL32" s="3405">
        <f t="shared" si="10"/>
        <v>9.1099999999999977</v>
      </c>
    </row>
    <row r="33" spans="1:66" s="3399" customFormat="1" ht="15.75" customHeight="1">
      <c r="A33" s="3400" t="s">
        <v>1345</v>
      </c>
      <c r="B33" s="3401">
        <v>18</v>
      </c>
      <c r="C33" s="3402">
        <v>43739</v>
      </c>
      <c r="D33" s="3498"/>
      <c r="E33" s="3499" t="s">
        <v>314</v>
      </c>
      <c r="F33" s="3401" t="s">
        <v>315</v>
      </c>
      <c r="G33" s="3387" t="str">
        <f>_xlfn.XLOOKUP($E33, Tabla3[CURP], Tabla3[NOMBRE])</f>
        <v xml:space="preserve">SANTIAGO URGELL JUAN LORENZO </v>
      </c>
      <c r="H33" s="3500" t="str">
        <f t="shared" si="4"/>
        <v>H</v>
      </c>
      <c r="I33" s="3500" t="str">
        <f t="shared" si="8"/>
        <v>87</v>
      </c>
      <c r="J33" s="3500" t="str">
        <f t="shared" si="5"/>
        <v>09</v>
      </c>
      <c r="K33" s="3500" t="str">
        <f t="shared" si="6"/>
        <v>10</v>
      </c>
      <c r="L33" s="3501"/>
      <c r="M33" s="3502"/>
      <c r="N33" s="3503"/>
      <c r="O33" s="3478">
        <v>10</v>
      </c>
      <c r="P33" s="3479">
        <v>10</v>
      </c>
      <c r="Q33" s="3479">
        <v>10</v>
      </c>
      <c r="R33" s="3479">
        <v>10</v>
      </c>
      <c r="S33" s="3479">
        <v>10</v>
      </c>
      <c r="T33" s="3479">
        <v>10</v>
      </c>
      <c r="U33" s="3504">
        <v>9.4</v>
      </c>
      <c r="V33" s="3505">
        <v>10</v>
      </c>
      <c r="W33" s="3505">
        <v>9.3000000000000007</v>
      </c>
      <c r="X33" s="3505">
        <v>9.4</v>
      </c>
      <c r="Y33" s="3505">
        <v>10</v>
      </c>
      <c r="Z33" s="3505">
        <v>10</v>
      </c>
      <c r="AA33" s="3403">
        <v>9.4</v>
      </c>
      <c r="AB33" s="3409">
        <v>10</v>
      </c>
      <c r="AC33" s="3412">
        <v>9.3000000000000007</v>
      </c>
      <c r="AD33" s="3483">
        <v>10</v>
      </c>
      <c r="AE33" s="3483">
        <v>10</v>
      </c>
      <c r="AF33" s="3506">
        <v>10</v>
      </c>
      <c r="AG33" s="3507">
        <v>9</v>
      </c>
      <c r="AH33" s="3409">
        <v>7</v>
      </c>
      <c r="AI33" s="3409">
        <v>7</v>
      </c>
      <c r="AJ33" s="3409">
        <v>8.6999999999999993</v>
      </c>
      <c r="AK33" s="3409">
        <v>8.1</v>
      </c>
      <c r="AL33" s="3409">
        <v>8</v>
      </c>
      <c r="AM33" s="3456">
        <v>8.3000000000000007</v>
      </c>
      <c r="AN33" s="3508">
        <v>9.8000000000000007</v>
      </c>
      <c r="AO33" s="3508">
        <v>9</v>
      </c>
      <c r="AP33" s="3508">
        <v>7.9</v>
      </c>
      <c r="AQ33" s="3508">
        <v>9</v>
      </c>
      <c r="AR33" s="3508">
        <v>8.3000000000000007</v>
      </c>
      <c r="AS33" s="3497">
        <v>9.9</v>
      </c>
      <c r="AT33" s="3509">
        <v>9.6</v>
      </c>
      <c r="AU33" s="3509">
        <v>9.5</v>
      </c>
      <c r="AV33" s="3509">
        <v>9.6</v>
      </c>
      <c r="AW33" s="3509">
        <v>9.5</v>
      </c>
      <c r="AX33" s="3509">
        <v>9.4</v>
      </c>
      <c r="AY33" s="3510"/>
      <c r="AZ33" s="3510"/>
      <c r="BA33" s="3511"/>
      <c r="BB33" s="3512"/>
      <c r="BC33" s="3512"/>
      <c r="BD33" s="3512"/>
      <c r="BE33" s="3513"/>
      <c r="BF33" s="3510"/>
      <c r="BG33" s="3511"/>
      <c r="BH33" s="3513"/>
      <c r="BI33" s="3510"/>
      <c r="BJ33" s="3511"/>
      <c r="BK33" s="3514"/>
      <c r="BL33" s="3515">
        <f t="shared" si="10"/>
        <v>9.2888888888888896</v>
      </c>
    </row>
    <row r="34" spans="1:66" s="3399" customFormat="1" ht="15.75" customHeight="1">
      <c r="A34" s="3516" t="s">
        <v>1435</v>
      </c>
      <c r="B34" s="3517"/>
      <c r="C34" s="3518">
        <v>43831</v>
      </c>
      <c r="D34" s="3518"/>
      <c r="E34" s="3517" t="s">
        <v>627</v>
      </c>
      <c r="F34" s="3519" t="s">
        <v>1436</v>
      </c>
      <c r="G34" s="3387" t="str">
        <f>_xlfn.XLOOKUP($E34, Tabla3[CURP], Tabla3[NOMBRE])</f>
        <v xml:space="preserve">TORRES SANCHEZ OSIEL </v>
      </c>
      <c r="H34" s="3520" t="str">
        <f t="shared" si="4"/>
        <v>H</v>
      </c>
      <c r="I34" s="3520" t="str">
        <f t="shared" si="8"/>
        <v>83</v>
      </c>
      <c r="J34" s="3520" t="str">
        <f t="shared" si="5"/>
        <v>12</v>
      </c>
      <c r="K34" s="3520" t="str">
        <f t="shared" si="6"/>
        <v>01</v>
      </c>
      <c r="L34" s="3521"/>
      <c r="M34" s="3522" t="s">
        <v>1195</v>
      </c>
      <c r="N34" s="3523"/>
      <c r="O34" s="3524">
        <v>10</v>
      </c>
      <c r="P34" s="3525">
        <v>10</v>
      </c>
      <c r="Q34" s="3525">
        <v>10</v>
      </c>
      <c r="R34" s="3525">
        <v>10</v>
      </c>
      <c r="S34" s="3525">
        <v>10</v>
      </c>
      <c r="T34" s="3526">
        <v>10</v>
      </c>
      <c r="U34" s="3527"/>
      <c r="V34" s="3527"/>
      <c r="W34" s="3527"/>
      <c r="X34" s="3527"/>
      <c r="Y34" s="3527"/>
      <c r="Z34" s="3527"/>
      <c r="AA34" s="3528">
        <v>9.4</v>
      </c>
      <c r="AB34" s="3529">
        <v>10</v>
      </c>
      <c r="AC34" s="3530">
        <v>9.3000000000000007</v>
      </c>
      <c r="AD34" s="3530">
        <v>10</v>
      </c>
      <c r="AE34" s="3531">
        <v>10</v>
      </c>
      <c r="AF34" s="3527"/>
      <c r="AG34" s="3532"/>
      <c r="AH34" s="3533"/>
      <c r="AI34" s="3533"/>
      <c r="AJ34" s="3534"/>
      <c r="AK34" s="3534"/>
      <c r="AL34" s="3534"/>
      <c r="AM34" s="3535"/>
      <c r="AN34" s="3535"/>
      <c r="AO34" s="3535"/>
      <c r="AP34" s="3535"/>
      <c r="AQ34" s="3535"/>
      <c r="AR34" s="3535"/>
      <c r="AS34" s="3535"/>
      <c r="AT34" s="3535"/>
      <c r="AU34" s="3535"/>
      <c r="AV34" s="3535"/>
      <c r="AW34" s="3535"/>
      <c r="AX34" s="3535"/>
      <c r="AY34" s="3535"/>
      <c r="AZ34" s="3535"/>
      <c r="BA34" s="3535"/>
      <c r="BB34" s="3535"/>
      <c r="BC34" s="3535"/>
      <c r="BD34" s="3535"/>
      <c r="BE34" s="3535"/>
      <c r="BF34" s="3535"/>
      <c r="BG34" s="3535"/>
      <c r="BH34" s="3535"/>
      <c r="BI34" s="3535"/>
      <c r="BJ34" s="3535"/>
      <c r="BK34" s="3536"/>
      <c r="BL34" s="3536"/>
    </row>
    <row r="35" spans="1:66" ht="15.75" customHeight="1">
      <c r="BM35" s="3"/>
      <c r="BN35" s="3"/>
    </row>
    <row r="36" spans="1:66" ht="15.75" customHeight="1">
      <c r="A36" s="929"/>
      <c r="B36" s="930"/>
      <c r="C36" s="931"/>
      <c r="D36" s="931"/>
      <c r="E36" s="930"/>
      <c r="F36" s="930"/>
      <c r="G36" s="930"/>
      <c r="H36" s="932"/>
      <c r="I36" s="932"/>
      <c r="J36" s="932"/>
      <c r="K36" s="932"/>
      <c r="L36" s="929"/>
      <c r="M36" s="933"/>
      <c r="N36" s="933"/>
      <c r="O36" s="933"/>
      <c r="P36" s="933"/>
      <c r="Q36" s="933"/>
      <c r="R36" s="933"/>
      <c r="S36" s="933"/>
      <c r="T36" s="933"/>
      <c r="U36" s="934"/>
      <c r="V36" s="935"/>
      <c r="W36" s="935"/>
      <c r="X36" s="935"/>
      <c r="Y36" s="935"/>
      <c r="Z36" s="935"/>
      <c r="AA36" s="934"/>
      <c r="AB36" s="936"/>
      <c r="AC36" s="934"/>
      <c r="AD36" s="934"/>
      <c r="AE36" s="934"/>
      <c r="AF36" s="934"/>
      <c r="AG36" s="937"/>
      <c r="AH36" s="938"/>
      <c r="AI36" s="938"/>
      <c r="AJ36" s="939"/>
      <c r="AK36" s="939"/>
      <c r="AL36" s="939"/>
      <c r="AM36" s="940"/>
      <c r="AN36" s="940"/>
      <c r="AO36" s="940"/>
      <c r="AP36" s="941"/>
      <c r="AQ36" s="940"/>
      <c r="AR36" s="940"/>
      <c r="AS36" s="940"/>
      <c r="AT36" s="940"/>
      <c r="AU36" s="940"/>
      <c r="AV36" s="940"/>
      <c r="AW36" s="940"/>
      <c r="AX36" s="940"/>
      <c r="AY36" s="940"/>
      <c r="AZ36" s="940"/>
      <c r="BA36" s="940"/>
      <c r="BB36" s="940"/>
      <c r="BC36" s="940"/>
      <c r="BD36" s="940"/>
      <c r="BE36" s="940"/>
      <c r="BF36" s="940"/>
      <c r="BG36" s="940"/>
      <c r="BH36" s="940"/>
      <c r="BI36" s="940"/>
      <c r="BJ36" s="940"/>
      <c r="BK36" s="940"/>
      <c r="BL36" s="940"/>
      <c r="BM36" s="3"/>
      <c r="BN36" s="3"/>
    </row>
    <row r="37" spans="1:66" ht="26.1" customHeight="1" thickBot="1">
      <c r="A37" s="942"/>
      <c r="B37" s="942"/>
      <c r="C37" s="942"/>
      <c r="D37" s="942"/>
      <c r="E37" s="701"/>
      <c r="F37" s="943"/>
      <c r="G37" s="943"/>
      <c r="H37" s="946"/>
      <c r="I37" s="946"/>
      <c r="J37" s="946"/>
      <c r="K37" s="946"/>
      <c r="L37" s="701"/>
      <c r="M37" s="643"/>
      <c r="N37" s="643"/>
      <c r="O37" s="643"/>
      <c r="P37" s="643"/>
      <c r="Q37" s="643"/>
      <c r="R37" s="643"/>
      <c r="S37" s="643"/>
      <c r="T37" s="643"/>
      <c r="U37" s="643"/>
      <c r="V37" s="643"/>
      <c r="W37" s="643"/>
      <c r="X37" s="643"/>
      <c r="Y37" s="643"/>
      <c r="Z37" s="643"/>
      <c r="AA37" s="643"/>
      <c r="AB37" s="643"/>
      <c r="AC37" s="643"/>
      <c r="AD37" s="643"/>
      <c r="AE37" s="643"/>
      <c r="AF37" s="643"/>
      <c r="AG37" s="643"/>
      <c r="AH37" s="643"/>
      <c r="AI37" s="643"/>
      <c r="AJ37" s="643"/>
      <c r="AK37" s="643"/>
      <c r="AL37" s="643"/>
      <c r="AM37" s="643"/>
      <c r="AN37" s="643"/>
      <c r="AO37" s="643"/>
      <c r="AP37" s="4541" t="s">
        <v>1438</v>
      </c>
      <c r="AQ37" s="4542"/>
      <c r="AR37" s="4542"/>
      <c r="AS37" s="4542"/>
      <c r="AT37" s="4542"/>
      <c r="AU37" s="4542"/>
      <c r="AV37" s="4542"/>
      <c r="AW37" s="4542"/>
      <c r="AX37" s="4542"/>
      <c r="AY37" s="4542"/>
      <c r="AZ37" s="4542"/>
      <c r="BA37" s="4542"/>
      <c r="BB37" s="4542"/>
      <c r="BC37" s="4542"/>
      <c r="BD37" s="643"/>
      <c r="BE37" s="643"/>
      <c r="BF37" s="643"/>
      <c r="BG37" s="643"/>
      <c r="BH37" s="643"/>
      <c r="BI37" s="643"/>
      <c r="BJ37" s="643"/>
      <c r="BK37" s="643"/>
      <c r="BL37" s="643"/>
      <c r="BM37" s="643"/>
      <c r="BN37" s="643"/>
    </row>
    <row r="38" spans="1:66" ht="15.75" customHeight="1" thickBot="1">
      <c r="A38" s="1040"/>
      <c r="B38" s="700"/>
      <c r="C38" s="700"/>
      <c r="D38" s="700"/>
      <c r="E38" s="700"/>
      <c r="F38" s="700"/>
      <c r="G38" s="700"/>
      <c r="H38" s="700"/>
      <c r="I38" s="700"/>
      <c r="J38" s="700"/>
      <c r="K38" s="700"/>
      <c r="L38" s="700"/>
      <c r="M38" s="700"/>
      <c r="N38" s="1041"/>
      <c r="O38" s="4538" t="s">
        <v>1440</v>
      </c>
      <c r="P38" s="4539"/>
      <c r="Q38" s="4539"/>
      <c r="R38" s="4539"/>
      <c r="S38" s="4539"/>
      <c r="T38" s="4540"/>
      <c r="U38" s="4538" t="s">
        <v>1441</v>
      </c>
      <c r="V38" s="4539"/>
      <c r="W38" s="4539"/>
      <c r="X38" s="4539"/>
      <c r="Y38" s="4539"/>
      <c r="Z38" s="4540"/>
      <c r="AA38" s="4538" t="s">
        <v>1442</v>
      </c>
      <c r="AB38" s="4539"/>
      <c r="AC38" s="4539"/>
      <c r="AD38" s="4539"/>
      <c r="AE38" s="4539"/>
      <c r="AF38" s="4540"/>
      <c r="AG38" s="4538" t="s">
        <v>1443</v>
      </c>
      <c r="AH38" s="4539"/>
      <c r="AI38" s="4539"/>
      <c r="AJ38" s="4539"/>
      <c r="AK38" s="4539"/>
      <c r="AL38" s="4540"/>
      <c r="AM38" s="4538" t="s">
        <v>1444</v>
      </c>
      <c r="AN38" s="4539"/>
      <c r="AO38" s="4539"/>
      <c r="AP38" s="4539"/>
      <c r="AQ38" s="4539"/>
      <c r="AR38" s="4540"/>
      <c r="AS38" s="4538" t="s">
        <v>1445</v>
      </c>
      <c r="AT38" s="4539"/>
      <c r="AU38" s="4539"/>
      <c r="AV38" s="4539"/>
      <c r="AW38" s="4539"/>
      <c r="AX38" s="4540"/>
      <c r="AY38" s="4538" t="s">
        <v>1446</v>
      </c>
      <c r="AZ38" s="4539"/>
      <c r="BA38" s="4539"/>
      <c r="BB38" s="4539"/>
      <c r="BC38" s="4539"/>
      <c r="BD38" s="4540"/>
      <c r="BE38" s="4538" t="s">
        <v>1447</v>
      </c>
      <c r="BF38" s="4539"/>
      <c r="BG38" s="4539"/>
      <c r="BH38" s="4539"/>
      <c r="BI38" s="4539"/>
      <c r="BJ38" s="4540"/>
      <c r="BK38" s="1060"/>
      <c r="BL38" s="643"/>
      <c r="BM38" s="643"/>
      <c r="BN38" s="643"/>
    </row>
    <row r="39" spans="1:66" ht="38.1" customHeight="1">
      <c r="A39" s="4567"/>
      <c r="B39" s="4562" t="s">
        <v>5</v>
      </c>
      <c r="C39" s="1043" t="s">
        <v>1439</v>
      </c>
      <c r="D39" s="1674"/>
      <c r="E39" s="4560" t="s">
        <v>6</v>
      </c>
      <c r="F39" s="4560" t="s">
        <v>7</v>
      </c>
      <c r="G39" s="985" t="s">
        <v>8</v>
      </c>
      <c r="H39" s="4574" t="s">
        <v>9</v>
      </c>
      <c r="I39" s="4580" t="s">
        <v>10</v>
      </c>
      <c r="J39" s="4581"/>
      <c r="K39" s="4582"/>
      <c r="L39" s="4583" t="s">
        <v>27</v>
      </c>
      <c r="M39" s="4532" t="s">
        <v>1759</v>
      </c>
      <c r="N39" s="1044"/>
      <c r="O39" s="993" t="s">
        <v>1346</v>
      </c>
      <c r="P39" s="994" t="s">
        <v>1347</v>
      </c>
      <c r="Q39" s="994" t="s">
        <v>1348</v>
      </c>
      <c r="R39" s="994" t="s">
        <v>1349</v>
      </c>
      <c r="S39" s="994" t="s">
        <v>1350</v>
      </c>
      <c r="T39" s="995" t="s">
        <v>1351</v>
      </c>
      <c r="U39" s="1048" t="s">
        <v>1352</v>
      </c>
      <c r="V39" s="1049" t="s">
        <v>1353</v>
      </c>
      <c r="W39" s="1049" t="s">
        <v>1354</v>
      </c>
      <c r="X39" s="1049" t="s">
        <v>1355</v>
      </c>
      <c r="Y39" s="1049" t="s">
        <v>1356</v>
      </c>
      <c r="Z39" s="1050" t="s">
        <v>1357</v>
      </c>
      <c r="AA39" s="1051" t="s">
        <v>1358</v>
      </c>
      <c r="AB39" s="1049" t="s">
        <v>1359</v>
      </c>
      <c r="AC39" s="1049" t="s">
        <v>1360</v>
      </c>
      <c r="AD39" s="1049" t="s">
        <v>1361</v>
      </c>
      <c r="AE39" s="1049" t="s">
        <v>1362</v>
      </c>
      <c r="AF39" s="1052" t="s">
        <v>1363</v>
      </c>
      <c r="AG39" s="1048" t="s">
        <v>1364</v>
      </c>
      <c r="AH39" s="1049" t="s">
        <v>1365</v>
      </c>
      <c r="AI39" s="1049" t="s">
        <v>1366</v>
      </c>
      <c r="AJ39" s="1049" t="s">
        <v>1367</v>
      </c>
      <c r="AK39" s="1049" t="s">
        <v>1368</v>
      </c>
      <c r="AL39" s="1050" t="s">
        <v>1369</v>
      </c>
      <c r="AM39" s="1048" t="s">
        <v>1370</v>
      </c>
      <c r="AN39" s="1049" t="s">
        <v>1371</v>
      </c>
      <c r="AO39" s="1049" t="s">
        <v>1372</v>
      </c>
      <c r="AP39" s="1055" t="s">
        <v>1373</v>
      </c>
      <c r="AQ39" s="1049" t="s">
        <v>1374</v>
      </c>
      <c r="AR39" s="1050" t="s">
        <v>1375</v>
      </c>
      <c r="AS39" s="1048" t="s">
        <v>1376</v>
      </c>
      <c r="AT39" s="1049" t="s">
        <v>1377</v>
      </c>
      <c r="AU39" s="1049" t="s">
        <v>1378</v>
      </c>
      <c r="AV39" s="1056" t="s">
        <v>1379</v>
      </c>
      <c r="AW39" s="1049" t="s">
        <v>1380</v>
      </c>
      <c r="AX39" s="1050" t="s">
        <v>1381</v>
      </c>
      <c r="AY39" s="1051" t="s">
        <v>1382</v>
      </c>
      <c r="AZ39" s="1056" t="s">
        <v>1383</v>
      </c>
      <c r="BA39" s="1049" t="s">
        <v>1384</v>
      </c>
      <c r="BB39" s="1049" t="s">
        <v>1385</v>
      </c>
      <c r="BC39" s="1049" t="s">
        <v>1386</v>
      </c>
      <c r="BD39" s="1052" t="s">
        <v>1449</v>
      </c>
      <c r="BE39" s="1048" t="s">
        <v>1388</v>
      </c>
      <c r="BF39" s="1056" t="s">
        <v>1389</v>
      </c>
      <c r="BG39" s="1049" t="s">
        <v>1390</v>
      </c>
      <c r="BH39" s="1049" t="s">
        <v>1391</v>
      </c>
      <c r="BI39" s="1056" t="s">
        <v>1392</v>
      </c>
      <c r="BJ39" s="1050" t="s">
        <v>1393</v>
      </c>
      <c r="BK39" s="4587"/>
      <c r="BL39" s="4589"/>
      <c r="BM39" s="3"/>
      <c r="BN39" s="379" t="s">
        <v>1450</v>
      </c>
    </row>
    <row r="40" spans="1:66" ht="44.1" customHeight="1" thickBot="1">
      <c r="A40" s="4568"/>
      <c r="B40" s="4563"/>
      <c r="C40" s="986" t="s">
        <v>1448</v>
      </c>
      <c r="D40" s="1673"/>
      <c r="E40" s="4561"/>
      <c r="F40" s="4561"/>
      <c r="G40" s="987" t="s">
        <v>78</v>
      </c>
      <c r="H40" s="4575"/>
      <c r="I40" s="988" t="s">
        <v>79</v>
      </c>
      <c r="J40" s="988" t="s">
        <v>80</v>
      </c>
      <c r="K40" s="988" t="s">
        <v>81</v>
      </c>
      <c r="L40" s="4584"/>
      <c r="M40" s="4533"/>
      <c r="N40" s="990" t="s">
        <v>1149</v>
      </c>
      <c r="O40" s="1045"/>
      <c r="P40" s="1046"/>
      <c r="Q40" s="1046"/>
      <c r="R40" s="1046"/>
      <c r="S40" s="1046"/>
      <c r="T40" s="1047"/>
      <c r="U40" s="1045"/>
      <c r="V40" s="1046"/>
      <c r="W40" s="1046"/>
      <c r="X40" s="1046"/>
      <c r="Y40" s="1046"/>
      <c r="Z40" s="1047"/>
      <c r="AA40" s="1053"/>
      <c r="AB40" s="1046"/>
      <c r="AC40" s="1046"/>
      <c r="AD40" s="1046"/>
      <c r="AE40" s="1046"/>
      <c r="AF40" s="1054"/>
      <c r="AG40" s="1045"/>
      <c r="AH40" s="1046"/>
      <c r="AI40" s="1046"/>
      <c r="AJ40" s="1046"/>
      <c r="AK40" s="1046"/>
      <c r="AL40" s="1047"/>
      <c r="AM40" s="1039"/>
      <c r="AN40" s="779"/>
      <c r="AO40" s="779"/>
      <c r="AP40" s="777"/>
      <c r="AQ40" s="779"/>
      <c r="AR40" s="780"/>
      <c r="AS40" s="1039"/>
      <c r="AT40" s="779"/>
      <c r="AU40" s="779"/>
      <c r="AV40" s="1057" t="s">
        <v>1451</v>
      </c>
      <c r="AW40" s="779"/>
      <c r="AX40" s="780"/>
      <c r="AY40" s="1058" t="s">
        <v>1452</v>
      </c>
      <c r="AZ40" s="1059" t="s">
        <v>1453</v>
      </c>
      <c r="BA40" s="779"/>
      <c r="BB40" s="779"/>
      <c r="BC40" s="779"/>
      <c r="BD40" s="780"/>
      <c r="BE40" s="1039"/>
      <c r="BF40" s="779"/>
      <c r="BG40" s="779"/>
      <c r="BH40" s="779"/>
      <c r="BI40" s="1059" t="s">
        <v>1454</v>
      </c>
      <c r="BJ40" s="780"/>
      <c r="BK40" s="4588"/>
      <c r="BL40" s="4590"/>
      <c r="BM40" s="3"/>
      <c r="BN40" s="3"/>
    </row>
    <row r="41" spans="1:66" ht="15.75" customHeight="1">
      <c r="A41" s="366" t="s">
        <v>1439</v>
      </c>
      <c r="B41" s="366">
        <v>1</v>
      </c>
      <c r="C41" s="1042">
        <v>44459</v>
      </c>
      <c r="D41" s="1042"/>
      <c r="E41" s="381" t="s">
        <v>1455</v>
      </c>
      <c r="F41" s="893" t="s">
        <v>1456</v>
      </c>
      <c r="G41" s="1222" t="e">
        <f xml:space="preserve"> _xlfn.XLOOKUP($E41, Tabla3[CURP],#REF!)</f>
        <v>#REF!</v>
      </c>
      <c r="H41" s="983" t="str">
        <f t="shared" ref="H41:H61" si="12">MID(E41,11,1)</f>
        <v>H</v>
      </c>
      <c r="I41" s="983" t="str">
        <f t="shared" ref="I41:I61" si="13">MID(E41,5,2)</f>
        <v>77</v>
      </c>
      <c r="J41" s="983" t="str">
        <f t="shared" ref="J41:J61" si="14">MID(E41,7,2)</f>
        <v>11</v>
      </c>
      <c r="K41" s="983" t="str">
        <f t="shared" ref="K41:K61" si="15">MID(E41,9,2)</f>
        <v>27</v>
      </c>
      <c r="L41" s="894" t="s">
        <v>1439</v>
      </c>
      <c r="M41" s="896"/>
      <c r="N41" s="896"/>
      <c r="O41" s="980">
        <v>9.1999999999999993</v>
      </c>
      <c r="P41" s="980">
        <v>9.1999999999999993</v>
      </c>
      <c r="Q41" s="980">
        <v>9.1999999999999993</v>
      </c>
      <c r="R41" s="980">
        <v>9.1999999999999993</v>
      </c>
      <c r="S41" s="980">
        <v>9.1999999999999993</v>
      </c>
      <c r="T41" s="980">
        <v>9.3000000000000007</v>
      </c>
      <c r="U41" s="981">
        <v>9</v>
      </c>
      <c r="V41" s="980">
        <v>9.1999999999999993</v>
      </c>
      <c r="W41" s="980">
        <v>9.1999999999999993</v>
      </c>
      <c r="X41" s="980">
        <v>9.1999999999999993</v>
      </c>
      <c r="Y41" s="980">
        <v>9.1999999999999993</v>
      </c>
      <c r="Z41" s="980">
        <v>9.3000000000000007</v>
      </c>
      <c r="AA41" s="980">
        <v>10</v>
      </c>
      <c r="AB41" s="980">
        <v>9.1999999999999993</v>
      </c>
      <c r="AC41" s="980">
        <v>9.1999999999999993</v>
      </c>
      <c r="AD41" s="980">
        <v>9.1999999999999993</v>
      </c>
      <c r="AE41" s="980">
        <v>9.1999999999999993</v>
      </c>
      <c r="AF41" s="980">
        <v>9.3000000000000007</v>
      </c>
      <c r="AG41" s="981">
        <v>9</v>
      </c>
      <c r="AH41" s="980">
        <v>9.1</v>
      </c>
      <c r="AI41" s="980">
        <v>8.9</v>
      </c>
      <c r="AJ41" s="980">
        <v>9.1999999999999993</v>
      </c>
      <c r="AK41" s="980">
        <v>8.9</v>
      </c>
      <c r="AL41" s="980">
        <v>9.1999999999999993</v>
      </c>
      <c r="AM41" s="981">
        <v>9</v>
      </c>
      <c r="AN41" s="980">
        <v>9.1</v>
      </c>
      <c r="AO41" s="980">
        <v>8.9</v>
      </c>
      <c r="AP41" s="980">
        <v>9.1</v>
      </c>
      <c r="AQ41" s="981">
        <v>9</v>
      </c>
      <c r="AR41" s="981">
        <v>9.1999999999999993</v>
      </c>
      <c r="AS41" s="981">
        <v>9</v>
      </c>
      <c r="AT41" s="980">
        <v>9.1</v>
      </c>
      <c r="AU41" s="980">
        <v>8.9</v>
      </c>
      <c r="AV41" s="980">
        <v>9.4</v>
      </c>
      <c r="AW41" s="981">
        <v>9</v>
      </c>
      <c r="AX41" s="981">
        <v>9.1999999999999993</v>
      </c>
      <c r="AY41" s="896">
        <v>9.1999999999999993</v>
      </c>
      <c r="AZ41" s="896"/>
      <c r="BA41" s="896"/>
      <c r="BB41" s="896"/>
      <c r="BC41" s="896"/>
      <c r="BD41" s="896"/>
      <c r="BE41" s="896"/>
      <c r="BF41" s="896"/>
      <c r="BG41" s="896"/>
      <c r="BH41" s="896"/>
      <c r="BI41" s="896">
        <v>10</v>
      </c>
      <c r="BJ41" s="896"/>
      <c r="BK41" s="896"/>
      <c r="BL41" s="923">
        <f>SUM(O41:BJ41)/48</f>
        <v>7.268749999999998</v>
      </c>
      <c r="BM41" s="3"/>
      <c r="BN41" s="3"/>
    </row>
    <row r="42" spans="1:66" ht="15.75" customHeight="1">
      <c r="A42" s="366"/>
      <c r="B42" s="366"/>
      <c r="C42" s="969">
        <v>44228</v>
      </c>
      <c r="D42" s="1042"/>
      <c r="E42" s="25" t="s">
        <v>1458</v>
      </c>
      <c r="F42" s="372" t="s">
        <v>1459</v>
      </c>
      <c r="G42" s="385" t="s">
        <v>1460</v>
      </c>
      <c r="H42" s="368" t="str">
        <f t="shared" si="12"/>
        <v>H</v>
      </c>
      <c r="I42" s="368" t="str">
        <f t="shared" si="13"/>
        <v>67</v>
      </c>
      <c r="J42" s="368" t="str">
        <f t="shared" si="14"/>
        <v>01</v>
      </c>
      <c r="K42" s="368" t="str">
        <f t="shared" si="15"/>
        <v>18</v>
      </c>
      <c r="L42" s="40" t="s">
        <v>1461</v>
      </c>
      <c r="M42" s="179"/>
      <c r="N42" s="896"/>
      <c r="O42" s="14">
        <v>9.3000000000000007</v>
      </c>
      <c r="P42" s="14">
        <v>9.3000000000000007</v>
      </c>
      <c r="Q42" s="14">
        <v>9.3000000000000007</v>
      </c>
      <c r="R42" s="14">
        <v>9.3000000000000007</v>
      </c>
      <c r="S42" s="14">
        <v>9.3000000000000007</v>
      </c>
      <c r="T42" s="14">
        <v>9.3000000000000007</v>
      </c>
      <c r="U42" s="384">
        <v>9</v>
      </c>
      <c r="V42" s="14">
        <v>9.3000000000000007</v>
      </c>
      <c r="W42" s="14">
        <v>9.3000000000000007</v>
      </c>
      <c r="X42" s="14">
        <v>9.3000000000000007</v>
      </c>
      <c r="Y42" s="14">
        <v>9.3000000000000007</v>
      </c>
      <c r="Z42" s="14">
        <v>9.3000000000000007</v>
      </c>
      <c r="AA42" s="14">
        <v>9.6999999999999993</v>
      </c>
      <c r="AB42" s="14">
        <v>9.3000000000000007</v>
      </c>
      <c r="AC42" s="14">
        <v>9.3000000000000007</v>
      </c>
      <c r="AD42" s="14">
        <v>9.3000000000000007</v>
      </c>
      <c r="AE42" s="14">
        <v>9.3000000000000007</v>
      </c>
      <c r="AF42" s="14">
        <v>9.3000000000000007</v>
      </c>
      <c r="AG42" s="386"/>
      <c r="AH42" s="386"/>
      <c r="AI42" s="386"/>
      <c r="AJ42" s="386"/>
      <c r="AK42" s="386"/>
      <c r="AL42" s="386"/>
      <c r="AM42" s="387">
        <v>9.4</v>
      </c>
      <c r="AN42" s="387">
        <v>9.6999999999999993</v>
      </c>
      <c r="AO42" s="300">
        <v>9.8000000000000007</v>
      </c>
      <c r="AP42" s="387">
        <v>9.5</v>
      </c>
      <c r="AS42" s="388">
        <v>8</v>
      </c>
      <c r="AT42" s="388">
        <v>6</v>
      </c>
      <c r="AU42" s="388">
        <v>7</v>
      </c>
      <c r="AV42" s="179">
        <v>10</v>
      </c>
      <c r="AW42" s="388">
        <v>9</v>
      </c>
      <c r="AX42" s="388">
        <v>8</v>
      </c>
      <c r="AY42" s="179">
        <v>9.8000000000000007</v>
      </c>
      <c r="AZ42" s="179">
        <v>9.8000000000000007</v>
      </c>
      <c r="BA42" s="388">
        <v>8</v>
      </c>
      <c r="BB42" s="388">
        <v>9.8000000000000007</v>
      </c>
      <c r="BC42" s="388">
        <v>7</v>
      </c>
      <c r="BD42" s="179"/>
      <c r="BE42" s="179">
        <v>10</v>
      </c>
      <c r="BF42" s="179">
        <v>10</v>
      </c>
      <c r="BG42" s="179">
        <v>10</v>
      </c>
      <c r="BH42" s="179">
        <v>9.6999999999999993</v>
      </c>
      <c r="BI42" s="179">
        <v>10</v>
      </c>
      <c r="BJ42" s="179">
        <v>9.8000000000000007</v>
      </c>
      <c r="BK42" s="179"/>
      <c r="BL42" s="371">
        <f>SUM(O42:BJ42)/48</f>
        <v>7.4541666666666684</v>
      </c>
      <c r="BM42" s="3"/>
      <c r="BN42" s="3"/>
    </row>
    <row r="43" spans="1:66" ht="15.75" customHeight="1">
      <c r="A43" s="369" t="s">
        <v>1439</v>
      </c>
      <c r="B43" s="369">
        <v>3</v>
      </c>
      <c r="C43" s="970">
        <v>44459</v>
      </c>
      <c r="D43" s="970"/>
      <c r="E43" s="390" t="s">
        <v>1462</v>
      </c>
      <c r="F43" s="37" t="s">
        <v>1463</v>
      </c>
      <c r="G43" s="391" t="s">
        <v>1464</v>
      </c>
      <c r="H43" s="368" t="str">
        <f t="shared" si="12"/>
        <v>M</v>
      </c>
      <c r="I43" s="368" t="str">
        <f t="shared" si="13"/>
        <v>82</v>
      </c>
      <c r="J43" s="368" t="str">
        <f t="shared" si="14"/>
        <v>12</v>
      </c>
      <c r="K43" s="368" t="str">
        <f t="shared" si="15"/>
        <v>28</v>
      </c>
      <c r="L43" s="40" t="s">
        <v>1439</v>
      </c>
      <c r="M43" s="20"/>
      <c r="N43" s="20"/>
      <c r="O43" s="14">
        <v>9.3000000000000007</v>
      </c>
      <c r="P43" s="14">
        <v>9.3000000000000007</v>
      </c>
      <c r="Q43" s="14">
        <v>9.3000000000000007</v>
      </c>
      <c r="R43" s="14">
        <v>9.3000000000000007</v>
      </c>
      <c r="S43" s="14">
        <v>9.3000000000000007</v>
      </c>
      <c r="T43" s="14">
        <v>9.4</v>
      </c>
      <c r="U43" s="384">
        <v>9</v>
      </c>
      <c r="V43" s="14">
        <v>9.3000000000000007</v>
      </c>
      <c r="W43" s="14">
        <v>9.3000000000000007</v>
      </c>
      <c r="X43" s="14">
        <v>9.3000000000000007</v>
      </c>
      <c r="Y43" s="14">
        <v>9.3000000000000007</v>
      </c>
      <c r="Z43" s="14">
        <v>9.4</v>
      </c>
      <c r="AA43" s="14">
        <v>9.6</v>
      </c>
      <c r="AB43" s="14">
        <v>9.3000000000000007</v>
      </c>
      <c r="AC43" s="14">
        <v>9.3000000000000007</v>
      </c>
      <c r="AD43" s="14">
        <v>9.3000000000000007</v>
      </c>
      <c r="AE43" s="14">
        <v>9.3000000000000007</v>
      </c>
      <c r="AF43" s="14">
        <v>9.4</v>
      </c>
      <c r="AG43" s="384">
        <v>9</v>
      </c>
      <c r="AH43" s="383">
        <v>9.1</v>
      </c>
      <c r="AI43" s="383">
        <v>8.9</v>
      </c>
      <c r="AJ43" s="383">
        <v>9.1</v>
      </c>
      <c r="AK43" s="384">
        <v>9</v>
      </c>
      <c r="AL43" s="384">
        <v>9.1999999999999993</v>
      </c>
      <c r="AM43" s="384">
        <v>9</v>
      </c>
      <c r="AN43" s="392">
        <v>9.1</v>
      </c>
      <c r="AO43" s="392">
        <v>8.9</v>
      </c>
      <c r="AP43" s="392">
        <v>9.1</v>
      </c>
      <c r="AQ43" s="393">
        <v>9</v>
      </c>
      <c r="AR43" s="393">
        <v>9.1999999999999993</v>
      </c>
      <c r="AS43" s="393">
        <v>9</v>
      </c>
      <c r="AT43" s="392">
        <v>9.1</v>
      </c>
      <c r="AU43" s="392">
        <v>8.9</v>
      </c>
      <c r="AV43" s="392">
        <v>9.4</v>
      </c>
      <c r="AW43" s="393">
        <v>9</v>
      </c>
      <c r="AX43" s="393">
        <v>9.1999999999999993</v>
      </c>
      <c r="AY43" s="393">
        <v>9</v>
      </c>
      <c r="AZ43" s="392">
        <v>9.1</v>
      </c>
      <c r="BA43" s="392">
        <v>8.9</v>
      </c>
      <c r="BB43" s="392">
        <v>9.4</v>
      </c>
      <c r="BC43" s="393">
        <v>9</v>
      </c>
      <c r="BD43" s="393">
        <v>9.1999999999999993</v>
      </c>
      <c r="BE43" s="20"/>
      <c r="BF43" s="20"/>
      <c r="BG43" s="20"/>
      <c r="BH43" s="20"/>
      <c r="BI43" s="20">
        <v>10</v>
      </c>
      <c r="BJ43" s="20"/>
      <c r="BK43" s="20"/>
      <c r="BL43" s="365">
        <f>SUM(O43:BJ43)/48</f>
        <v>8.2395833333333321</v>
      </c>
      <c r="BM43" s="3"/>
      <c r="BN43" s="3"/>
    </row>
    <row r="44" spans="1:66" ht="15.75" customHeight="1">
      <c r="A44" s="369"/>
      <c r="B44" s="369"/>
      <c r="C44" s="969">
        <v>44228</v>
      </c>
      <c r="D44" s="1042"/>
      <c r="E44" s="25" t="s">
        <v>1465</v>
      </c>
      <c r="F44" s="372" t="s">
        <v>1466</v>
      </c>
      <c r="G44" s="385" t="s">
        <v>1467</v>
      </c>
      <c r="H44" s="368" t="str">
        <f t="shared" si="12"/>
        <v>H</v>
      </c>
      <c r="I44" s="368" t="str">
        <f t="shared" si="13"/>
        <v>60</v>
      </c>
      <c r="J44" s="368" t="str">
        <f t="shared" si="14"/>
        <v>12</v>
      </c>
      <c r="K44" s="368" t="str">
        <f t="shared" si="15"/>
        <v>13</v>
      </c>
      <c r="L44" s="40" t="s">
        <v>1461</v>
      </c>
      <c r="M44" s="20"/>
      <c r="N44" s="20"/>
      <c r="O44" s="14">
        <v>9.4</v>
      </c>
      <c r="P44" s="14">
        <v>9.4</v>
      </c>
      <c r="Q44" s="14">
        <v>9.4</v>
      </c>
      <c r="R44" s="14">
        <v>9.4</v>
      </c>
      <c r="S44" s="14">
        <v>9.3000000000000007</v>
      </c>
      <c r="T44" s="14">
        <v>9.4</v>
      </c>
      <c r="U44" s="384">
        <v>9</v>
      </c>
      <c r="V44" s="14">
        <v>9.4</v>
      </c>
      <c r="W44" s="14">
        <v>9.4</v>
      </c>
      <c r="X44" s="14">
        <v>9.4</v>
      </c>
      <c r="Y44" s="14">
        <v>9.3000000000000007</v>
      </c>
      <c r="Z44" s="14">
        <v>9.4</v>
      </c>
      <c r="AA44" s="14">
        <v>10</v>
      </c>
      <c r="AB44" s="14">
        <v>9.4</v>
      </c>
      <c r="AC44" s="14">
        <v>9.4</v>
      </c>
      <c r="AD44" s="14">
        <v>9.4</v>
      </c>
      <c r="AE44" s="14">
        <v>9.3000000000000007</v>
      </c>
      <c r="AF44" s="14">
        <v>9.4</v>
      </c>
      <c r="AG44" s="384">
        <v>9</v>
      </c>
      <c r="AH44" s="383">
        <v>9.1</v>
      </c>
      <c r="AI44" s="383">
        <v>9.1999999999999993</v>
      </c>
      <c r="AJ44" s="383">
        <v>9.1</v>
      </c>
      <c r="AK44" s="384">
        <v>9</v>
      </c>
      <c r="AL44" s="384">
        <v>9.1999999999999993</v>
      </c>
      <c r="AM44" s="384">
        <v>9</v>
      </c>
      <c r="AN44" s="383">
        <v>9.1</v>
      </c>
      <c r="AO44" s="383">
        <v>9.1999999999999993</v>
      </c>
      <c r="AP44" s="383">
        <v>9.1</v>
      </c>
      <c r="AQ44" s="384">
        <v>9</v>
      </c>
      <c r="AR44" s="384">
        <v>9.1999999999999993</v>
      </c>
      <c r="AS44" s="394">
        <v>10</v>
      </c>
      <c r="AT44" s="395">
        <v>10</v>
      </c>
      <c r="AU44" s="395">
        <v>9</v>
      </c>
      <c r="AV44" s="396"/>
      <c r="AW44" s="395"/>
      <c r="AX44" s="370"/>
      <c r="AY44" s="395">
        <v>8.5</v>
      </c>
      <c r="AZ44" s="396">
        <v>8.5</v>
      </c>
      <c r="BA44" s="395">
        <v>10</v>
      </c>
      <c r="BB44" s="395">
        <v>10</v>
      </c>
      <c r="BC44" s="395">
        <v>10</v>
      </c>
      <c r="BD44" s="397"/>
      <c r="BE44" s="370"/>
      <c r="BF44" s="395">
        <v>10</v>
      </c>
      <c r="BG44" s="395">
        <v>10</v>
      </c>
      <c r="BH44" s="398"/>
      <c r="BI44" s="396">
        <v>10</v>
      </c>
      <c r="BJ44" s="370">
        <v>10</v>
      </c>
      <c r="BK44" s="50"/>
      <c r="BL44" s="365"/>
      <c r="BM44" s="3"/>
      <c r="BN44" s="3"/>
    </row>
    <row r="45" spans="1:66" ht="15.75" customHeight="1">
      <c r="A45" s="369" t="s">
        <v>1439</v>
      </c>
      <c r="B45" s="369">
        <v>4</v>
      </c>
      <c r="C45" s="970">
        <v>44459</v>
      </c>
      <c r="D45" s="970"/>
      <c r="E45" s="390" t="s">
        <v>1468</v>
      </c>
      <c r="F45" s="37" t="s">
        <v>1469</v>
      </c>
      <c r="G45" s="184" t="s">
        <v>1470</v>
      </c>
      <c r="H45" s="368" t="str">
        <f t="shared" si="12"/>
        <v>H</v>
      </c>
      <c r="I45" s="368" t="str">
        <f t="shared" si="13"/>
        <v>75</v>
      </c>
      <c r="J45" s="368" t="str">
        <f t="shared" si="14"/>
        <v>04</v>
      </c>
      <c r="K45" s="368" t="str">
        <f t="shared" si="15"/>
        <v>01</v>
      </c>
      <c r="L45" s="40" t="s">
        <v>1439</v>
      </c>
      <c r="M45" s="20"/>
      <c r="N45" s="20"/>
      <c r="O45" s="14">
        <v>9.4</v>
      </c>
      <c r="P45" s="14">
        <v>9.4</v>
      </c>
      <c r="Q45" s="14">
        <v>9.4</v>
      </c>
      <c r="R45" s="14">
        <v>9.4</v>
      </c>
      <c r="S45" s="14">
        <v>9.4</v>
      </c>
      <c r="T45" s="14">
        <v>9.3000000000000007</v>
      </c>
      <c r="U45" s="384">
        <v>9</v>
      </c>
      <c r="V45" s="14">
        <v>9.4</v>
      </c>
      <c r="W45" s="14">
        <v>9.4</v>
      </c>
      <c r="X45" s="14">
        <v>9.4</v>
      </c>
      <c r="Y45" s="14">
        <v>9.4</v>
      </c>
      <c r="Z45" s="14">
        <v>9.3000000000000007</v>
      </c>
      <c r="AA45" s="14">
        <v>9.5</v>
      </c>
      <c r="AB45" s="14">
        <v>9.4</v>
      </c>
      <c r="AC45" s="14">
        <v>9.4</v>
      </c>
      <c r="AD45" s="14">
        <v>9.4</v>
      </c>
      <c r="AE45" s="14">
        <v>9.4</v>
      </c>
      <c r="AF45" s="14">
        <v>9.3000000000000007</v>
      </c>
      <c r="AG45" s="384">
        <v>9</v>
      </c>
      <c r="AH45" s="383">
        <v>9.1</v>
      </c>
      <c r="AI45" s="383">
        <v>9.1999999999999993</v>
      </c>
      <c r="AJ45" s="383">
        <v>9.1999999999999993</v>
      </c>
      <c r="AK45" s="383">
        <v>9.1</v>
      </c>
      <c r="AL45" s="383">
        <v>9.3000000000000007</v>
      </c>
      <c r="AM45" s="398">
        <v>9</v>
      </c>
      <c r="AN45" s="395">
        <v>10</v>
      </c>
      <c r="AO45" s="398">
        <v>7</v>
      </c>
      <c r="AP45" s="397">
        <v>8.5</v>
      </c>
      <c r="AQ45" s="398">
        <v>7</v>
      </c>
      <c r="AR45" s="398">
        <v>8</v>
      </c>
      <c r="AS45" s="384">
        <v>9</v>
      </c>
      <c r="AT45" s="383">
        <v>9.1</v>
      </c>
      <c r="AU45" s="383">
        <v>9.1999999999999993</v>
      </c>
      <c r="AV45" s="383">
        <v>9.4</v>
      </c>
      <c r="AW45" s="384">
        <v>9</v>
      </c>
      <c r="AX45" s="384">
        <v>9.1999999999999993</v>
      </c>
      <c r="AY45" s="398" t="s">
        <v>136</v>
      </c>
      <c r="AZ45" s="397">
        <v>8</v>
      </c>
      <c r="BA45" s="398">
        <v>7</v>
      </c>
      <c r="BB45" s="398">
        <v>8</v>
      </c>
      <c r="BC45" s="398">
        <v>6</v>
      </c>
      <c r="BD45" s="397">
        <v>8.5</v>
      </c>
      <c r="BE45" s="370"/>
      <c r="BF45" s="398">
        <v>7</v>
      </c>
      <c r="BG45" s="398">
        <v>9</v>
      </c>
      <c r="BH45" s="398">
        <v>8</v>
      </c>
      <c r="BI45" s="396">
        <v>10</v>
      </c>
      <c r="BJ45" s="370"/>
      <c r="BK45" s="50"/>
      <c r="BL45" s="365">
        <f>SUM(O45:BJ45)/48</f>
        <v>8.3208333333333329</v>
      </c>
      <c r="BM45" s="3"/>
      <c r="BN45" s="3"/>
    </row>
    <row r="46" spans="1:66" ht="15.75" customHeight="1">
      <c r="A46" s="369" t="s">
        <v>1439</v>
      </c>
      <c r="B46" s="369">
        <v>5</v>
      </c>
      <c r="C46" s="970">
        <v>44459</v>
      </c>
      <c r="D46" s="970"/>
      <c r="E46" s="390" t="s">
        <v>1471</v>
      </c>
      <c r="F46" s="372" t="s">
        <v>1472</v>
      </c>
      <c r="G46" s="1222" t="e">
        <f xml:space="preserve"> _xlfn.XLOOKUP($E46, Tabla3[CURP],#REF!)</f>
        <v>#REF!</v>
      </c>
      <c r="H46" s="368" t="str">
        <f t="shared" si="12"/>
        <v>M</v>
      </c>
      <c r="I46" s="368" t="str">
        <f t="shared" si="13"/>
        <v>74</v>
      </c>
      <c r="J46" s="368" t="str">
        <f t="shared" si="14"/>
        <v>12</v>
      </c>
      <c r="K46" s="368" t="str">
        <f t="shared" si="15"/>
        <v>20</v>
      </c>
      <c r="L46" s="40" t="s">
        <v>1439</v>
      </c>
      <c r="M46" s="20"/>
      <c r="N46" s="896"/>
      <c r="O46" s="383">
        <v>9.1999999999999993</v>
      </c>
      <c r="P46" s="383">
        <v>9.1999999999999993</v>
      </c>
      <c r="Q46" s="14">
        <v>9.4</v>
      </c>
      <c r="R46" s="383">
        <v>9.1999999999999993</v>
      </c>
      <c r="S46" s="14">
        <v>9.4</v>
      </c>
      <c r="T46" s="14">
        <v>9.4</v>
      </c>
      <c r="U46" s="384">
        <v>9</v>
      </c>
      <c r="V46" s="383">
        <v>9.1999999999999993</v>
      </c>
      <c r="W46" s="14">
        <v>9.4</v>
      </c>
      <c r="X46" s="383">
        <v>9.1999999999999993</v>
      </c>
      <c r="Y46" s="14">
        <v>9.4</v>
      </c>
      <c r="Z46" s="14">
        <v>9.4</v>
      </c>
      <c r="AA46" s="14">
        <v>10</v>
      </c>
      <c r="AB46" s="383">
        <v>9.1999999999999993</v>
      </c>
      <c r="AC46" s="14">
        <v>9.4</v>
      </c>
      <c r="AD46" s="383">
        <v>9.1999999999999993</v>
      </c>
      <c r="AE46" s="14">
        <v>9.4</v>
      </c>
      <c r="AF46" s="14">
        <v>9.4</v>
      </c>
      <c r="AG46" s="384">
        <v>9</v>
      </c>
      <c r="AH46" s="383">
        <v>9.1</v>
      </c>
      <c r="AI46" s="383">
        <v>9.1</v>
      </c>
      <c r="AJ46" s="383">
        <v>9.1</v>
      </c>
      <c r="AK46" s="384">
        <v>9</v>
      </c>
      <c r="AL46" s="384">
        <v>9.1999999999999993</v>
      </c>
      <c r="AM46" s="384">
        <v>9</v>
      </c>
      <c r="AN46" s="383">
        <v>9.1</v>
      </c>
      <c r="AO46" s="383">
        <v>9.1</v>
      </c>
      <c r="AP46" s="383">
        <v>9.1</v>
      </c>
      <c r="AQ46" s="384">
        <v>9</v>
      </c>
      <c r="AR46" s="384">
        <v>9.1999999999999993</v>
      </c>
      <c r="AS46" s="384">
        <v>9</v>
      </c>
      <c r="AT46" s="383">
        <v>9.1</v>
      </c>
      <c r="AU46" s="383">
        <v>9.1</v>
      </c>
      <c r="AV46" s="383">
        <v>9.4</v>
      </c>
      <c r="AW46" s="383">
        <v>9.3000000000000007</v>
      </c>
      <c r="AX46" s="384">
        <v>9.1999999999999993</v>
      </c>
      <c r="AY46" s="384">
        <v>9</v>
      </c>
      <c r="AZ46" s="383">
        <v>9.1</v>
      </c>
      <c r="BA46" s="383">
        <v>9.1999999999999993</v>
      </c>
      <c r="BB46" s="383">
        <v>9.4</v>
      </c>
      <c r="BC46" s="384">
        <v>9</v>
      </c>
      <c r="BD46" s="384">
        <v>9.1999999999999993</v>
      </c>
      <c r="BE46" s="20"/>
      <c r="BF46" s="14">
        <v>9</v>
      </c>
      <c r="BG46" s="20"/>
      <c r="BH46" s="20"/>
      <c r="BI46" s="20">
        <v>10</v>
      </c>
      <c r="BJ46" s="20"/>
      <c r="BK46" s="20"/>
      <c r="BL46" s="365">
        <f>SUM(O46:BJ46)/48</f>
        <v>8.4583333333333339</v>
      </c>
      <c r="BM46" s="3"/>
      <c r="BN46" s="3"/>
    </row>
    <row r="47" spans="1:66" ht="15.75" customHeight="1">
      <c r="A47" s="369" t="s">
        <v>1439</v>
      </c>
      <c r="B47" s="369">
        <v>6</v>
      </c>
      <c r="C47" s="970">
        <v>44459</v>
      </c>
      <c r="D47" s="970"/>
      <c r="E47" s="390" t="s">
        <v>1474</v>
      </c>
      <c r="F47" s="37" t="s">
        <v>1475</v>
      </c>
      <c r="G47" s="1222" t="e">
        <f xml:space="preserve"> _xlfn.XLOOKUP($E47, Tabla3[CURP],#REF!)</f>
        <v>#REF!</v>
      </c>
      <c r="H47" s="368" t="str">
        <f t="shared" si="12"/>
        <v>H</v>
      </c>
      <c r="I47" s="368" t="str">
        <f t="shared" si="13"/>
        <v>69</v>
      </c>
      <c r="J47" s="368" t="str">
        <f t="shared" si="14"/>
        <v>10</v>
      </c>
      <c r="K47" s="368" t="str">
        <f t="shared" si="15"/>
        <v>24</v>
      </c>
      <c r="L47" s="40" t="s">
        <v>1439</v>
      </c>
      <c r="M47" s="20"/>
      <c r="N47" s="20"/>
      <c r="O47" s="14">
        <v>9.3000000000000007</v>
      </c>
      <c r="P47" s="14">
        <v>9.3000000000000007</v>
      </c>
      <c r="Q47" s="14">
        <v>9.4</v>
      </c>
      <c r="R47" s="14">
        <v>9.3000000000000007</v>
      </c>
      <c r="S47" s="14">
        <v>9.3000000000000007</v>
      </c>
      <c r="T47" s="14">
        <v>9.4</v>
      </c>
      <c r="U47" s="384">
        <v>9</v>
      </c>
      <c r="V47" s="14">
        <v>9.3000000000000007</v>
      </c>
      <c r="W47" s="14">
        <v>9.4</v>
      </c>
      <c r="X47" s="14">
        <v>9.3000000000000007</v>
      </c>
      <c r="Y47" s="14">
        <v>9.3000000000000007</v>
      </c>
      <c r="Z47" s="14">
        <v>9.4</v>
      </c>
      <c r="AA47" s="14">
        <v>9.6999999999999993</v>
      </c>
      <c r="AB47" s="14">
        <v>9.3000000000000007</v>
      </c>
      <c r="AC47" s="14">
        <v>9.4</v>
      </c>
      <c r="AD47" s="14">
        <v>9.3000000000000007</v>
      </c>
      <c r="AE47" s="14">
        <v>9.3000000000000007</v>
      </c>
      <c r="AF47" s="14">
        <v>9.4</v>
      </c>
      <c r="AG47" s="384">
        <v>9</v>
      </c>
      <c r="AH47" s="383">
        <v>9.1</v>
      </c>
      <c r="AI47" s="383">
        <v>9.1</v>
      </c>
      <c r="AJ47" s="383">
        <v>9.1</v>
      </c>
      <c r="AK47" s="384">
        <v>9</v>
      </c>
      <c r="AL47" s="384">
        <v>9.1999999999999993</v>
      </c>
      <c r="AM47" s="384">
        <v>9</v>
      </c>
      <c r="AN47" s="383">
        <v>9.1</v>
      </c>
      <c r="AO47" s="383">
        <v>9.1</v>
      </c>
      <c r="AP47" s="383">
        <v>9.1</v>
      </c>
      <c r="AQ47" s="384">
        <v>9</v>
      </c>
      <c r="AR47" s="384">
        <v>9.1999999999999993</v>
      </c>
      <c r="AS47" s="384">
        <v>9</v>
      </c>
      <c r="AT47" s="383">
        <v>9.1</v>
      </c>
      <c r="AU47" s="383">
        <v>9.1</v>
      </c>
      <c r="AV47" s="383">
        <v>9.4</v>
      </c>
      <c r="AW47" s="383">
        <v>9.3000000000000007</v>
      </c>
      <c r="AX47" s="384">
        <v>9.1999999999999993</v>
      </c>
      <c r="AY47" s="20">
        <v>9.1999999999999993</v>
      </c>
      <c r="AZ47" s="14">
        <v>9.1</v>
      </c>
      <c r="BA47" s="20"/>
      <c r="BB47" s="20"/>
      <c r="BC47" s="20"/>
      <c r="BD47" s="20">
        <v>9.1999999999999993</v>
      </c>
      <c r="BE47" s="20"/>
      <c r="BF47" s="20">
        <v>9.3000000000000007</v>
      </c>
      <c r="BG47" s="20"/>
      <c r="BH47" s="20"/>
      <c r="BI47" s="20">
        <v>9</v>
      </c>
      <c r="BJ47" s="20"/>
      <c r="BK47" s="20"/>
      <c r="BL47" s="365">
        <f>SUM(O47:BJ47)/48</f>
        <v>7.8750000000000009</v>
      </c>
      <c r="BM47" s="3"/>
      <c r="BN47" s="3"/>
    </row>
    <row r="48" spans="1:66" ht="15.75" customHeight="1">
      <c r="A48" s="369"/>
      <c r="B48" s="369"/>
      <c r="C48" s="970" t="s">
        <v>1477</v>
      </c>
      <c r="D48" s="970"/>
      <c r="E48" s="390" t="s">
        <v>1478</v>
      </c>
      <c r="F48" s="37" t="s">
        <v>1479</v>
      </c>
      <c r="G48" s="1222" t="e">
        <f xml:space="preserve"> _xlfn.XLOOKUP($E48, Tabla3[CURP],#REF!)</f>
        <v>#REF!</v>
      </c>
      <c r="H48" s="368" t="str">
        <f t="shared" si="12"/>
        <v>H</v>
      </c>
      <c r="I48" s="368" t="str">
        <f t="shared" si="13"/>
        <v>79</v>
      </c>
      <c r="J48" s="368" t="str">
        <f t="shared" si="14"/>
        <v>02</v>
      </c>
      <c r="K48" s="368" t="str">
        <f t="shared" si="15"/>
        <v>02</v>
      </c>
      <c r="L48" s="40" t="s">
        <v>1439</v>
      </c>
      <c r="M48" s="20"/>
      <c r="N48" s="20"/>
      <c r="O48" s="14">
        <v>9.3000000000000007</v>
      </c>
      <c r="P48" s="14">
        <v>9.3000000000000007</v>
      </c>
      <c r="Q48" s="14">
        <v>9.3000000000000007</v>
      </c>
      <c r="R48" s="14">
        <v>9.3000000000000007</v>
      </c>
      <c r="S48" s="14">
        <v>9.3000000000000007</v>
      </c>
      <c r="T48" s="14">
        <v>9.3000000000000007</v>
      </c>
      <c r="U48" s="384">
        <v>9</v>
      </c>
      <c r="V48" s="14">
        <v>9.3000000000000007</v>
      </c>
      <c r="W48" s="14">
        <v>9.3000000000000007</v>
      </c>
      <c r="X48" s="14">
        <v>9.3000000000000007</v>
      </c>
      <c r="Y48" s="14">
        <v>9.3000000000000007</v>
      </c>
      <c r="Z48" s="14">
        <v>9.3000000000000007</v>
      </c>
      <c r="AA48" s="14">
        <v>10</v>
      </c>
      <c r="AB48" s="14">
        <v>9.3000000000000007</v>
      </c>
      <c r="AC48" s="14">
        <v>9.3000000000000007</v>
      </c>
      <c r="AD48" s="14">
        <v>9.3000000000000007</v>
      </c>
      <c r="AE48" s="14">
        <v>9.3000000000000007</v>
      </c>
      <c r="AF48" s="14">
        <v>9.3000000000000007</v>
      </c>
      <c r="AG48" s="384">
        <v>9.4</v>
      </c>
      <c r="AH48" s="383">
        <v>9.1</v>
      </c>
      <c r="AI48" s="383">
        <v>8.9</v>
      </c>
      <c r="AJ48" s="383">
        <v>9.1</v>
      </c>
      <c r="AK48" s="384">
        <v>9.4</v>
      </c>
      <c r="AL48" s="384">
        <v>9.1999999999999993</v>
      </c>
      <c r="AM48" s="384">
        <v>9.4</v>
      </c>
      <c r="AN48" s="383">
        <v>9.1</v>
      </c>
      <c r="AO48" s="383">
        <v>8.9</v>
      </c>
      <c r="AP48" s="383">
        <v>9.1</v>
      </c>
      <c r="AQ48" s="384">
        <v>9.4</v>
      </c>
      <c r="AR48" s="384">
        <v>9.1999999999999993</v>
      </c>
      <c r="AS48" s="383">
        <v>9.3000000000000007</v>
      </c>
      <c r="AT48" s="383">
        <v>9.1</v>
      </c>
      <c r="AU48" s="383">
        <v>9.1</v>
      </c>
      <c r="AV48" s="383">
        <v>9.4</v>
      </c>
      <c r="AW48" s="384">
        <v>9</v>
      </c>
      <c r="AX48" s="384">
        <v>9.1999999999999993</v>
      </c>
      <c r="AY48" s="383">
        <v>9.3000000000000007</v>
      </c>
      <c r="AZ48" s="383">
        <v>9.1</v>
      </c>
      <c r="BA48" s="383">
        <v>9.1</v>
      </c>
      <c r="BB48" s="383">
        <v>9.4</v>
      </c>
      <c r="BC48" s="384">
        <v>9</v>
      </c>
      <c r="BD48" s="384">
        <v>9.1999999999999993</v>
      </c>
      <c r="BF48" s="20"/>
      <c r="BG48" s="20"/>
      <c r="BH48" s="20"/>
      <c r="BI48" s="20"/>
      <c r="BJ48" s="20"/>
      <c r="BK48" s="20"/>
      <c r="BL48" s="365"/>
      <c r="BM48" s="3"/>
      <c r="BN48" s="3"/>
    </row>
    <row r="49" spans="1:66" ht="15.75" customHeight="1">
      <c r="A49" s="369" t="s">
        <v>1439</v>
      </c>
      <c r="B49" s="369">
        <v>9</v>
      </c>
      <c r="C49" s="970"/>
      <c r="D49" s="970"/>
      <c r="E49" s="399" t="s">
        <v>1481</v>
      </c>
      <c r="F49" s="37" t="s">
        <v>1479</v>
      </c>
      <c r="G49" s="1222" t="e">
        <f xml:space="preserve"> _xlfn.XLOOKUP($E49, Tabla3[CURP],#REF!)</f>
        <v>#REF!</v>
      </c>
      <c r="H49" s="368" t="str">
        <f t="shared" si="12"/>
        <v>H</v>
      </c>
      <c r="I49" s="368" t="str">
        <f t="shared" si="13"/>
        <v>93</v>
      </c>
      <c r="J49" s="368" t="str">
        <f t="shared" si="14"/>
        <v>05</v>
      </c>
      <c r="K49" s="368" t="str">
        <f t="shared" si="15"/>
        <v>05</v>
      </c>
      <c r="M49" s="20"/>
      <c r="N49" s="20"/>
      <c r="O49" s="14">
        <v>9.4</v>
      </c>
      <c r="P49" s="14">
        <v>9.3000000000000007</v>
      </c>
      <c r="Q49" s="14">
        <v>9.4</v>
      </c>
      <c r="R49" s="14">
        <v>9.4</v>
      </c>
      <c r="S49" s="14">
        <v>9.4</v>
      </c>
      <c r="T49" s="14">
        <v>9.4</v>
      </c>
      <c r="U49" s="384">
        <v>9</v>
      </c>
      <c r="V49" s="14">
        <v>9.3000000000000007</v>
      </c>
      <c r="W49" s="14">
        <v>9.4</v>
      </c>
      <c r="X49" s="14">
        <v>9.4</v>
      </c>
      <c r="Y49" s="14">
        <v>9.4</v>
      </c>
      <c r="Z49" s="14">
        <v>9.4</v>
      </c>
      <c r="AA49" s="14">
        <v>10</v>
      </c>
      <c r="AB49" s="14">
        <v>9.3000000000000007</v>
      </c>
      <c r="AC49" s="14">
        <v>9.4</v>
      </c>
      <c r="AD49" s="14">
        <v>9.4</v>
      </c>
      <c r="AE49" s="14">
        <v>9.4</v>
      </c>
      <c r="AF49" s="14">
        <v>9.4</v>
      </c>
      <c r="AG49" s="384">
        <v>9</v>
      </c>
      <c r="AH49" s="383">
        <v>9.1</v>
      </c>
      <c r="AI49" s="383">
        <v>8.9</v>
      </c>
      <c r="AJ49" s="383">
        <v>9.1</v>
      </c>
      <c r="AK49" s="384">
        <v>9</v>
      </c>
      <c r="AL49" s="384">
        <v>9.1999999999999993</v>
      </c>
      <c r="AM49" s="384">
        <v>9</v>
      </c>
      <c r="AN49" s="383">
        <v>9.1</v>
      </c>
      <c r="AO49" s="383">
        <v>8.9</v>
      </c>
      <c r="AP49" s="383">
        <v>9.1</v>
      </c>
      <c r="AQ49" s="384">
        <v>9</v>
      </c>
      <c r="AR49" s="384">
        <v>9.1999999999999993</v>
      </c>
      <c r="AS49" s="383">
        <v>8.9</v>
      </c>
      <c r="AT49" s="383">
        <v>9.1</v>
      </c>
      <c r="AU49" s="383">
        <v>9.1</v>
      </c>
      <c r="AV49" s="383">
        <v>9.4</v>
      </c>
      <c r="AW49" s="384">
        <v>9</v>
      </c>
      <c r="AX49" s="384">
        <v>9.1999999999999993</v>
      </c>
      <c r="AY49" s="383">
        <v>8.9</v>
      </c>
      <c r="AZ49" s="383">
        <v>9.1</v>
      </c>
      <c r="BA49" s="383">
        <v>9.1</v>
      </c>
      <c r="BB49" s="383">
        <v>9.4</v>
      </c>
      <c r="BC49" s="384">
        <v>9</v>
      </c>
      <c r="BD49" s="393">
        <v>9.1999999999999993</v>
      </c>
      <c r="BE49" s="20"/>
      <c r="BF49" s="20"/>
      <c r="BG49" s="20"/>
      <c r="BH49" s="20"/>
      <c r="BI49" s="20">
        <v>10</v>
      </c>
      <c r="BJ49" s="20"/>
      <c r="BK49" s="20"/>
      <c r="BL49" s="365">
        <f>SUM(O49:BJ49)/48</f>
        <v>8.2729166666666671</v>
      </c>
      <c r="BM49" s="3"/>
      <c r="BN49" s="3"/>
    </row>
    <row r="50" spans="1:66" ht="15.75" customHeight="1">
      <c r="A50" s="369"/>
      <c r="B50" s="369"/>
      <c r="C50" s="970" t="s">
        <v>1483</v>
      </c>
      <c r="D50" s="1675"/>
      <c r="E50" s="401" t="s">
        <v>1484</v>
      </c>
      <c r="F50" s="372" t="s">
        <v>1485</v>
      </c>
      <c r="G50" s="1223" t="e">
        <f xml:space="preserve"> _xlfn.XLOOKUP($E50, Tabla3[CURP],#REF!)</f>
        <v>#REF!</v>
      </c>
      <c r="H50" s="368" t="str">
        <f t="shared" si="12"/>
        <v>H</v>
      </c>
      <c r="I50" s="368" t="str">
        <f t="shared" si="13"/>
        <v>74</v>
      </c>
      <c r="J50" s="368" t="str">
        <f t="shared" si="14"/>
        <v>02</v>
      </c>
      <c r="K50" s="368" t="str">
        <f t="shared" si="15"/>
        <v>13</v>
      </c>
      <c r="L50" s="40" t="s">
        <v>1487</v>
      </c>
      <c r="M50" s="20"/>
      <c r="N50" s="20"/>
      <c r="O50" s="14">
        <v>9.4</v>
      </c>
      <c r="P50" s="14">
        <v>9.4</v>
      </c>
      <c r="Q50" s="14">
        <v>9.4</v>
      </c>
      <c r="R50" s="14">
        <v>9.4</v>
      </c>
      <c r="S50" s="14">
        <v>9.4</v>
      </c>
      <c r="T50" s="14">
        <v>9.4</v>
      </c>
      <c r="U50" s="402">
        <v>9</v>
      </c>
      <c r="V50" s="14">
        <v>9.4</v>
      </c>
      <c r="W50" s="14">
        <v>9.4</v>
      </c>
      <c r="X50" s="14">
        <v>9.4</v>
      </c>
      <c r="Y50" s="14">
        <v>9.4</v>
      </c>
      <c r="Z50" s="14">
        <v>9.4</v>
      </c>
      <c r="AA50" s="14">
        <v>10</v>
      </c>
      <c r="AB50" s="14">
        <v>9.1999999999999993</v>
      </c>
      <c r="AC50" s="14">
        <v>9.1999999999999993</v>
      </c>
      <c r="AD50" s="14">
        <v>9.1999999999999993</v>
      </c>
      <c r="AE50" s="14">
        <v>9.1999999999999993</v>
      </c>
      <c r="AF50" s="14">
        <v>9.1999999999999993</v>
      </c>
      <c r="AG50" s="384">
        <v>9</v>
      </c>
      <c r="AH50" s="383">
        <v>9.1</v>
      </c>
      <c r="AI50" s="383">
        <v>9.1</v>
      </c>
      <c r="AJ50" s="383">
        <v>9.1</v>
      </c>
      <c r="AK50" s="384">
        <v>9</v>
      </c>
      <c r="AL50" s="384">
        <v>9.1999999999999993</v>
      </c>
      <c r="AM50" s="384">
        <v>9</v>
      </c>
      <c r="AN50" s="383">
        <v>9.1</v>
      </c>
      <c r="AO50" s="383">
        <v>9.1</v>
      </c>
      <c r="AP50" s="383">
        <v>9.1</v>
      </c>
      <c r="AQ50" s="384">
        <v>9</v>
      </c>
      <c r="AR50" s="384">
        <v>9.1999999999999993</v>
      </c>
      <c r="AS50" s="20">
        <v>9.1999999999999993</v>
      </c>
      <c r="AT50" s="20">
        <v>9.4</v>
      </c>
      <c r="AU50" s="20">
        <v>9.8000000000000007</v>
      </c>
      <c r="AV50" s="20"/>
      <c r="AW50" s="20"/>
      <c r="AX50" s="20">
        <v>9.6</v>
      </c>
      <c r="AY50" s="20"/>
      <c r="AZ50" s="20">
        <v>10</v>
      </c>
      <c r="BA50" s="20">
        <v>9</v>
      </c>
      <c r="BB50" s="20">
        <v>9.3000000000000007</v>
      </c>
      <c r="BC50" s="20"/>
      <c r="BD50">
        <v>10</v>
      </c>
      <c r="BE50" s="20"/>
      <c r="BF50" s="20">
        <v>10</v>
      </c>
      <c r="BG50" s="20">
        <v>7.8</v>
      </c>
      <c r="BH50" s="403"/>
      <c r="BI50" s="20">
        <v>10</v>
      </c>
      <c r="BJ50" s="20">
        <v>9.3000000000000007</v>
      </c>
      <c r="BK50" s="20"/>
      <c r="BL50" s="365"/>
      <c r="BM50" s="3"/>
      <c r="BN50" s="3"/>
    </row>
    <row r="51" spans="1:66" ht="15.75" customHeight="1">
      <c r="A51" s="369" t="s">
        <v>1439</v>
      </c>
      <c r="B51" s="369">
        <v>11</v>
      </c>
      <c r="C51" s="970">
        <v>44216</v>
      </c>
      <c r="D51" s="970"/>
      <c r="E51" s="390" t="s">
        <v>317</v>
      </c>
      <c r="F51" s="37" t="s">
        <v>318</v>
      </c>
      <c r="G51" s="1222" t="e">
        <f xml:space="preserve"> _xlfn.XLOOKUP($E51, Tabla3[CURP],#REF!)</f>
        <v>#REF!</v>
      </c>
      <c r="H51" s="368" t="str">
        <f t="shared" si="12"/>
        <v>H</v>
      </c>
      <c r="I51" s="368" t="str">
        <f t="shared" si="13"/>
        <v>98</v>
      </c>
      <c r="J51" s="368" t="str">
        <f t="shared" si="14"/>
        <v>12</v>
      </c>
      <c r="K51" s="368" t="str">
        <f t="shared" si="15"/>
        <v>18</v>
      </c>
      <c r="L51" s="40" t="s">
        <v>1763</v>
      </c>
      <c r="M51" s="20"/>
      <c r="N51" s="20"/>
      <c r="O51" s="112">
        <v>10</v>
      </c>
      <c r="P51" s="113">
        <v>7</v>
      </c>
      <c r="Q51" s="113">
        <v>7</v>
      </c>
      <c r="R51" s="113">
        <v>7</v>
      </c>
      <c r="S51" s="114">
        <v>9.1999999999999993</v>
      </c>
      <c r="T51" s="115">
        <v>9.1999999999999993</v>
      </c>
      <c r="U51" s="116">
        <v>9.1</v>
      </c>
      <c r="V51" s="112">
        <v>9</v>
      </c>
      <c r="W51" s="54">
        <v>8</v>
      </c>
      <c r="X51" s="54">
        <v>9.1999999999999993</v>
      </c>
      <c r="Y51" s="113">
        <v>8</v>
      </c>
      <c r="Z51" s="54">
        <v>9.1999999999999993</v>
      </c>
      <c r="AA51" s="117">
        <v>9.1</v>
      </c>
      <c r="AB51" s="118">
        <v>9.6999999999999993</v>
      </c>
      <c r="AC51" s="119">
        <v>8</v>
      </c>
      <c r="AD51" s="120">
        <v>9.3000000000000007</v>
      </c>
      <c r="AE51" s="120">
        <v>9.3000000000000007</v>
      </c>
      <c r="AF51" s="120">
        <v>9.3000000000000007</v>
      </c>
      <c r="AG51" s="116">
        <v>10</v>
      </c>
      <c r="AH51" s="121">
        <v>9</v>
      </c>
      <c r="AI51" s="114">
        <v>9</v>
      </c>
      <c r="AJ51" s="114">
        <v>9</v>
      </c>
      <c r="AK51" s="114">
        <v>9</v>
      </c>
      <c r="AL51" s="114">
        <v>9</v>
      </c>
      <c r="AM51" s="122">
        <v>9</v>
      </c>
      <c r="AN51" s="76">
        <v>9</v>
      </c>
      <c r="AO51" s="41">
        <v>9</v>
      </c>
      <c r="AP51" s="50">
        <v>9</v>
      </c>
      <c r="AQ51" s="41">
        <v>9</v>
      </c>
      <c r="AR51" s="41">
        <v>9</v>
      </c>
      <c r="AS51" s="79">
        <v>9</v>
      </c>
      <c r="AT51" s="76">
        <v>8</v>
      </c>
      <c r="AU51" s="41">
        <v>9.3000000000000007</v>
      </c>
      <c r="AV51" s="41">
        <v>9.3000000000000007</v>
      </c>
      <c r="AW51" s="41">
        <v>10</v>
      </c>
      <c r="AX51" s="41">
        <v>9.3000000000000007</v>
      </c>
      <c r="AY51" s="79">
        <v>10</v>
      </c>
      <c r="AZ51" s="97">
        <v>8.1</v>
      </c>
      <c r="BA51" s="85">
        <v>9</v>
      </c>
      <c r="BB51" s="38">
        <v>10</v>
      </c>
      <c r="BC51" s="38">
        <v>9</v>
      </c>
      <c r="BD51" s="814">
        <v>10</v>
      </c>
      <c r="BE51" s="41">
        <v>10</v>
      </c>
      <c r="BF51" s="87">
        <v>10</v>
      </c>
      <c r="BG51" s="87">
        <v>9.5</v>
      </c>
      <c r="BH51" s="41">
        <v>10</v>
      </c>
      <c r="BI51" s="59">
        <v>10</v>
      </c>
      <c r="BJ51" s="1065">
        <v>10</v>
      </c>
      <c r="BK51" s="124">
        <v>0</v>
      </c>
      <c r="BL51" s="815">
        <v>10</v>
      </c>
      <c r="BM51" s="3"/>
      <c r="BN51" s="3"/>
    </row>
    <row r="52" spans="1:66" ht="15.75" customHeight="1">
      <c r="A52" s="369" t="s">
        <v>1439</v>
      </c>
      <c r="B52" s="369">
        <v>12</v>
      </c>
      <c r="C52" s="970">
        <v>44459</v>
      </c>
      <c r="D52" s="970"/>
      <c r="E52" s="390" t="s">
        <v>744</v>
      </c>
      <c r="F52" s="372" t="s">
        <v>1488</v>
      </c>
      <c r="G52" s="1223" t="e">
        <f xml:space="preserve"> _xlfn.XLOOKUP($E52, Tabla3[CURP],#REF!)</f>
        <v>#REF!</v>
      </c>
      <c r="H52" s="368" t="str">
        <f t="shared" si="12"/>
        <v>H</v>
      </c>
      <c r="I52" s="368" t="str">
        <f t="shared" si="13"/>
        <v>67</v>
      </c>
      <c r="J52" s="368" t="str">
        <f t="shared" si="14"/>
        <v>12</v>
      </c>
      <c r="K52" s="368" t="str">
        <f t="shared" si="15"/>
        <v>15</v>
      </c>
      <c r="L52" s="40" t="s">
        <v>1439</v>
      </c>
      <c r="M52" s="20"/>
      <c r="N52" s="20"/>
      <c r="O52" s="14">
        <v>9.3000000000000007</v>
      </c>
      <c r="P52" s="14">
        <v>9.3000000000000007</v>
      </c>
      <c r="Q52" s="14">
        <v>9.3000000000000007</v>
      </c>
      <c r="R52" s="14">
        <v>9.3000000000000007</v>
      </c>
      <c r="S52" s="14">
        <v>9.3000000000000007</v>
      </c>
      <c r="T52" s="14">
        <v>9.3000000000000007</v>
      </c>
      <c r="U52" s="402">
        <v>9</v>
      </c>
      <c r="V52" s="14">
        <v>9.3000000000000007</v>
      </c>
      <c r="W52" s="14">
        <v>9.3000000000000007</v>
      </c>
      <c r="X52" s="14">
        <v>9.3000000000000007</v>
      </c>
      <c r="Y52" s="14">
        <v>9.3000000000000007</v>
      </c>
      <c r="Z52" s="14">
        <v>9.3000000000000007</v>
      </c>
      <c r="AA52" s="402">
        <v>9</v>
      </c>
      <c r="AB52" s="14">
        <v>9.3000000000000007</v>
      </c>
      <c r="AC52" s="14">
        <v>9.3000000000000007</v>
      </c>
      <c r="AD52" s="14">
        <v>9.3000000000000007</v>
      </c>
      <c r="AE52" s="14">
        <v>9.3000000000000007</v>
      </c>
      <c r="AF52" s="14">
        <v>9.3000000000000007</v>
      </c>
      <c r="AG52" s="384">
        <v>9</v>
      </c>
      <c r="AH52" s="384">
        <v>9</v>
      </c>
      <c r="AI52" s="384">
        <v>9</v>
      </c>
      <c r="AJ52" s="383">
        <v>9.1</v>
      </c>
      <c r="AK52" s="384">
        <v>9</v>
      </c>
      <c r="AL52" s="384">
        <v>9.1999999999999993</v>
      </c>
      <c r="AM52" s="384">
        <v>9</v>
      </c>
      <c r="AN52" s="384">
        <v>9</v>
      </c>
      <c r="AO52" s="384">
        <v>9</v>
      </c>
      <c r="AP52" s="383">
        <v>9.1</v>
      </c>
      <c r="AQ52" s="384">
        <v>9</v>
      </c>
      <c r="AR52" s="384">
        <v>9.1999999999999993</v>
      </c>
      <c r="AS52" s="20">
        <v>7</v>
      </c>
      <c r="AT52" s="20">
        <v>7</v>
      </c>
      <c r="AU52" s="20">
        <v>8</v>
      </c>
      <c r="AV52" s="114">
        <v>9.6999999999999993</v>
      </c>
      <c r="AW52" s="20">
        <v>10</v>
      </c>
      <c r="AX52" s="20">
        <v>7.5</v>
      </c>
      <c r="AY52" s="20">
        <v>10</v>
      </c>
      <c r="AZ52" s="20">
        <v>6.5</v>
      </c>
      <c r="BA52" s="31">
        <v>7</v>
      </c>
      <c r="BB52" s="31">
        <v>6</v>
      </c>
      <c r="BC52" s="31">
        <v>7</v>
      </c>
      <c r="BD52" s="114">
        <v>9.5</v>
      </c>
      <c r="BE52" s="20">
        <v>8</v>
      </c>
      <c r="BF52" s="20">
        <v>9</v>
      </c>
      <c r="BG52" s="20">
        <v>7</v>
      </c>
      <c r="BH52" s="114">
        <v>9.4</v>
      </c>
      <c r="BI52" s="114">
        <v>9.5</v>
      </c>
      <c r="BJ52" s="114">
        <v>9.5</v>
      </c>
      <c r="BK52" s="20"/>
      <c r="BL52" s="365">
        <f>SUM(O52:BJ52)/48</f>
        <v>8.8125</v>
      </c>
      <c r="BM52" s="3"/>
      <c r="BN52" s="3"/>
    </row>
    <row r="53" spans="1:66" ht="15.75" customHeight="1">
      <c r="A53" s="369"/>
      <c r="B53" s="369"/>
      <c r="C53" s="970">
        <v>44348</v>
      </c>
      <c r="D53" s="970"/>
      <c r="E53" s="367" t="s">
        <v>1490</v>
      </c>
      <c r="F53" s="37" t="s">
        <v>1491</v>
      </c>
      <c r="G53" s="1222" t="e">
        <f xml:space="preserve"> _xlfn.XLOOKUP($E53, Tabla3[CURP],#REF!)</f>
        <v>#REF!</v>
      </c>
      <c r="H53" s="368" t="str">
        <f t="shared" si="12"/>
        <v>M</v>
      </c>
      <c r="I53" s="368" t="str">
        <f t="shared" si="13"/>
        <v>74</v>
      </c>
      <c r="J53" s="368" t="str">
        <f t="shared" si="14"/>
        <v>08</v>
      </c>
      <c r="K53" s="368" t="str">
        <f t="shared" si="15"/>
        <v>23</v>
      </c>
      <c r="L53" s="41" t="s">
        <v>1493</v>
      </c>
      <c r="M53" s="318"/>
      <c r="N53" s="318"/>
      <c r="O53" s="14">
        <v>9.3000000000000007</v>
      </c>
      <c r="P53" s="14">
        <v>9.3000000000000007</v>
      </c>
      <c r="Q53" s="14">
        <v>9.3000000000000007</v>
      </c>
      <c r="R53" s="14">
        <v>9.3000000000000007</v>
      </c>
      <c r="S53" s="14">
        <v>9.3000000000000007</v>
      </c>
      <c r="T53" s="14">
        <v>9.4</v>
      </c>
      <c r="U53" s="402">
        <v>9</v>
      </c>
      <c r="V53" s="14">
        <v>9.3000000000000007</v>
      </c>
      <c r="W53" s="14">
        <v>9.3000000000000007</v>
      </c>
      <c r="X53" s="14">
        <v>9.3000000000000007</v>
      </c>
      <c r="Y53" s="14">
        <v>9.3000000000000007</v>
      </c>
      <c r="Z53" s="14">
        <v>9.4</v>
      </c>
      <c r="AA53" s="14">
        <v>9.5</v>
      </c>
      <c r="AB53" s="14">
        <v>9.3000000000000007</v>
      </c>
      <c r="AC53" s="14">
        <v>9.3000000000000007</v>
      </c>
      <c r="AD53" s="14">
        <v>9.3000000000000007</v>
      </c>
      <c r="AE53" s="14">
        <v>9.3000000000000007</v>
      </c>
      <c r="AF53" s="14">
        <v>9.4</v>
      </c>
      <c r="AG53" s="384">
        <v>9.4</v>
      </c>
      <c r="AH53" s="383">
        <v>9.3000000000000007</v>
      </c>
      <c r="AI53" s="383">
        <v>9.1999999999999993</v>
      </c>
      <c r="AJ53" s="383">
        <v>9.1</v>
      </c>
      <c r="AK53" s="384">
        <v>9.4</v>
      </c>
      <c r="AL53" s="384">
        <v>9.1999999999999993</v>
      </c>
      <c r="AM53" s="384">
        <v>9.4</v>
      </c>
      <c r="AN53" s="383">
        <v>9.3000000000000007</v>
      </c>
      <c r="AO53" s="383">
        <v>9.1999999999999993</v>
      </c>
      <c r="AP53" s="383">
        <v>9.1</v>
      </c>
      <c r="AQ53" s="384">
        <v>9.4</v>
      </c>
      <c r="AR53" s="384">
        <v>9.1999999999999993</v>
      </c>
      <c r="AS53" s="20"/>
      <c r="AT53" s="20"/>
      <c r="AU53" s="20"/>
      <c r="AV53" s="20"/>
      <c r="AW53" s="20"/>
      <c r="AX53" s="20"/>
      <c r="AY53" s="20"/>
      <c r="AZ53" s="20">
        <v>9.5</v>
      </c>
      <c r="BA53" s="31"/>
      <c r="BB53" s="31"/>
      <c r="BC53" s="31"/>
      <c r="BD53" s="20"/>
      <c r="BE53" s="20"/>
      <c r="BF53" s="20">
        <v>9.6999999999999993</v>
      </c>
      <c r="BG53" s="20"/>
      <c r="BH53" s="20"/>
      <c r="BI53" s="20">
        <v>8.8000000000000007</v>
      </c>
      <c r="BJ53" s="20"/>
      <c r="BK53" s="20"/>
      <c r="BL53" s="365"/>
      <c r="BM53" s="3"/>
      <c r="BN53" s="3"/>
    </row>
    <row r="54" spans="1:66" ht="15.75" customHeight="1">
      <c r="A54" s="369" t="s">
        <v>1439</v>
      </c>
      <c r="B54" s="369">
        <v>14</v>
      </c>
      <c r="C54" s="970">
        <v>44459</v>
      </c>
      <c r="D54" s="970"/>
      <c r="E54" s="390" t="s">
        <v>748</v>
      </c>
      <c r="F54" s="372" t="s">
        <v>1494</v>
      </c>
      <c r="G54" s="1222" t="e">
        <f xml:space="preserve"> _xlfn.XLOOKUP($E54, Tabla3[CURP],#REF!)</f>
        <v>#REF!</v>
      </c>
      <c r="H54" s="368" t="str">
        <f t="shared" si="12"/>
        <v>M</v>
      </c>
      <c r="I54" s="368" t="str">
        <f t="shared" si="13"/>
        <v>93</v>
      </c>
      <c r="J54" s="368" t="str">
        <f t="shared" si="14"/>
        <v>02</v>
      </c>
      <c r="K54" s="368" t="str">
        <f t="shared" si="15"/>
        <v>19</v>
      </c>
      <c r="L54" s="40" t="s">
        <v>1439</v>
      </c>
      <c r="M54" s="20"/>
      <c r="N54" s="20"/>
      <c r="O54" s="14">
        <v>9.4</v>
      </c>
      <c r="P54" s="14">
        <v>9.4</v>
      </c>
      <c r="Q54" s="14">
        <v>9.4</v>
      </c>
      <c r="R54" s="14">
        <v>9.4</v>
      </c>
      <c r="S54" s="14">
        <v>9.3000000000000007</v>
      </c>
      <c r="T54" s="14">
        <v>9.4</v>
      </c>
      <c r="U54" s="384">
        <v>9</v>
      </c>
      <c r="V54" s="14">
        <v>9.4</v>
      </c>
      <c r="W54" s="14">
        <v>9.4</v>
      </c>
      <c r="X54" s="14">
        <v>9.4</v>
      </c>
      <c r="Y54" s="14">
        <v>9.3000000000000007</v>
      </c>
      <c r="Z54" s="14">
        <v>9.4</v>
      </c>
      <c r="AA54" s="402">
        <v>9</v>
      </c>
      <c r="AB54" s="14">
        <v>9.4</v>
      </c>
      <c r="AC54" s="14">
        <v>9.4</v>
      </c>
      <c r="AD54" s="14">
        <v>9.4</v>
      </c>
      <c r="AE54" s="14">
        <v>9.3000000000000007</v>
      </c>
      <c r="AF54" s="14">
        <v>9.4</v>
      </c>
      <c r="AG54" s="384">
        <v>9</v>
      </c>
      <c r="AH54" s="383">
        <v>9.1</v>
      </c>
      <c r="AI54" s="383">
        <v>9.3000000000000007</v>
      </c>
      <c r="AJ54" s="383">
        <v>9.1</v>
      </c>
      <c r="AK54" s="384">
        <v>9</v>
      </c>
      <c r="AL54" s="384">
        <v>9.1999999999999993</v>
      </c>
      <c r="AM54" s="384">
        <v>9</v>
      </c>
      <c r="AN54" s="383">
        <v>9.1</v>
      </c>
      <c r="AO54" s="383">
        <v>9.3000000000000007</v>
      </c>
      <c r="AP54" s="383">
        <v>9.1</v>
      </c>
      <c r="AQ54" s="384">
        <v>9</v>
      </c>
      <c r="AR54" s="384">
        <v>9.1999999999999993</v>
      </c>
      <c r="AS54" s="384">
        <v>9</v>
      </c>
      <c r="AT54" s="383">
        <v>9.1</v>
      </c>
      <c r="AU54" s="383">
        <v>8.9</v>
      </c>
      <c r="AV54" s="383">
        <v>9.4</v>
      </c>
      <c r="AW54" s="384">
        <v>9</v>
      </c>
      <c r="AX54" s="383">
        <v>9.3000000000000007</v>
      </c>
      <c r="AY54" s="384">
        <v>9</v>
      </c>
      <c r="AZ54" s="383">
        <v>9.1</v>
      </c>
      <c r="BA54" s="383">
        <v>8.9</v>
      </c>
      <c r="BB54" s="383">
        <v>9.4</v>
      </c>
      <c r="BC54" s="384">
        <v>9</v>
      </c>
      <c r="BD54" s="383">
        <v>9.3000000000000007</v>
      </c>
      <c r="BE54" s="20"/>
      <c r="BF54" s="20"/>
      <c r="BG54" s="20"/>
      <c r="BH54" s="20"/>
      <c r="BI54" s="20"/>
      <c r="BJ54" s="20"/>
      <c r="BK54" s="20"/>
      <c r="BL54" s="365">
        <f>SUM(O54:BJ54)/48</f>
        <v>8.0604166666666668</v>
      </c>
      <c r="BM54" s="3"/>
      <c r="BN54" s="3"/>
    </row>
    <row r="55" spans="1:66" ht="15.75" customHeight="1">
      <c r="A55" s="369"/>
      <c r="B55" s="369"/>
      <c r="C55" s="970">
        <v>44440</v>
      </c>
      <c r="D55" s="970"/>
      <c r="E55" s="390" t="s">
        <v>1495</v>
      </c>
      <c r="F55" s="37" t="s">
        <v>1496</v>
      </c>
      <c r="G55" s="1223" t="e">
        <f xml:space="preserve"> _xlfn.XLOOKUP($E55, Tabla3[CURP],#REF!)</f>
        <v>#REF!</v>
      </c>
      <c r="H55" s="368" t="str">
        <f t="shared" si="12"/>
        <v>M</v>
      </c>
      <c r="I55" s="368" t="str">
        <f t="shared" si="13"/>
        <v>75</v>
      </c>
      <c r="J55" s="368" t="str">
        <f t="shared" si="14"/>
        <v>02</v>
      </c>
      <c r="K55" s="368" t="str">
        <f t="shared" si="15"/>
        <v>27</v>
      </c>
      <c r="L55" s="41" t="s">
        <v>1493</v>
      </c>
      <c r="M55" s="20"/>
      <c r="N55" s="20"/>
      <c r="O55" s="14">
        <v>9.4</v>
      </c>
      <c r="P55" s="14">
        <v>9.4</v>
      </c>
      <c r="Q55" s="14">
        <v>9.4</v>
      </c>
      <c r="R55" s="14">
        <v>9.4</v>
      </c>
      <c r="S55" s="14">
        <v>9.4</v>
      </c>
      <c r="T55" s="14">
        <v>9.4</v>
      </c>
      <c r="U55" s="384">
        <v>9</v>
      </c>
      <c r="V55" s="14">
        <v>9.4</v>
      </c>
      <c r="W55" s="14">
        <v>9.4</v>
      </c>
      <c r="X55" s="14">
        <v>9.4</v>
      </c>
      <c r="Y55" s="14">
        <v>9.4</v>
      </c>
      <c r="Z55" s="14">
        <v>9.4</v>
      </c>
      <c r="AA55" s="14">
        <v>10</v>
      </c>
      <c r="AB55" s="14">
        <v>9.6</v>
      </c>
      <c r="AC55" s="14">
        <v>9.6999999999999993</v>
      </c>
      <c r="AD55" s="14">
        <v>9.4</v>
      </c>
      <c r="AE55" s="14">
        <v>9.4</v>
      </c>
      <c r="AF55" s="14">
        <v>9.4</v>
      </c>
      <c r="AG55" s="384">
        <v>9</v>
      </c>
      <c r="AH55" s="383">
        <v>9.1</v>
      </c>
      <c r="AI55" s="383">
        <v>9.3000000000000007</v>
      </c>
      <c r="AJ55" s="383">
        <v>9.1</v>
      </c>
      <c r="AK55" s="384">
        <v>9</v>
      </c>
      <c r="AL55" s="384">
        <v>9.1999999999999993</v>
      </c>
      <c r="AM55" s="384">
        <v>9</v>
      </c>
      <c r="AN55" s="383">
        <v>9.1</v>
      </c>
      <c r="AO55" s="383">
        <v>9.3000000000000007</v>
      </c>
      <c r="AP55" s="383">
        <v>9.1</v>
      </c>
      <c r="AQ55" s="384">
        <v>9</v>
      </c>
      <c r="AR55" s="384">
        <v>9.1999999999999993</v>
      </c>
      <c r="AS55" s="20"/>
      <c r="AT55" s="20"/>
      <c r="AU55" s="20"/>
      <c r="AV55" s="20"/>
      <c r="AW55" s="20"/>
      <c r="AX55" s="20"/>
      <c r="AY55" s="20"/>
      <c r="AZ55" s="20">
        <v>10</v>
      </c>
      <c r="BA55" s="20"/>
      <c r="BB55" s="20"/>
      <c r="BC55" s="20"/>
      <c r="BD55" s="20">
        <v>10</v>
      </c>
      <c r="BE55" s="20"/>
      <c r="BF55" s="20">
        <v>10</v>
      </c>
      <c r="BG55" s="20"/>
      <c r="BH55" s="20"/>
      <c r="BI55" s="20">
        <v>10</v>
      </c>
      <c r="BJ55" s="20"/>
      <c r="BK55" s="20"/>
      <c r="BL55" s="365"/>
      <c r="BM55" s="3"/>
      <c r="BN55" s="3"/>
    </row>
    <row r="56" spans="1:66" ht="15.75" customHeight="1">
      <c r="A56" s="369" t="s">
        <v>1439</v>
      </c>
      <c r="B56" s="369">
        <v>15</v>
      </c>
      <c r="C56" s="970">
        <v>44459</v>
      </c>
      <c r="D56" s="970"/>
      <c r="E56" s="390" t="s">
        <v>1498</v>
      </c>
      <c r="F56" s="372" t="s">
        <v>1499</v>
      </c>
      <c r="G56" s="1222" t="e">
        <f xml:space="preserve"> _xlfn.XLOOKUP($E56, Tabla3[CURP],#REF!)</f>
        <v>#REF!</v>
      </c>
      <c r="H56" s="368" t="str">
        <f t="shared" si="12"/>
        <v>M</v>
      </c>
      <c r="I56" s="368" t="str">
        <f t="shared" si="13"/>
        <v>65</v>
      </c>
      <c r="J56" s="368" t="str">
        <f t="shared" si="14"/>
        <v>01</v>
      </c>
      <c r="K56" s="368" t="str">
        <f t="shared" si="15"/>
        <v>30</v>
      </c>
      <c r="L56" s="40" t="s">
        <v>1439</v>
      </c>
      <c r="M56" s="20"/>
      <c r="N56" s="896"/>
      <c r="O56" s="383">
        <v>9.1999999999999993</v>
      </c>
      <c r="P56" s="383">
        <v>9.1999999999999993</v>
      </c>
      <c r="Q56" s="383">
        <v>9.1999999999999993</v>
      </c>
      <c r="R56" s="383">
        <v>9.1999999999999993</v>
      </c>
      <c r="S56" s="14">
        <v>9.4</v>
      </c>
      <c r="T56" s="383">
        <v>9.1999999999999993</v>
      </c>
      <c r="U56" s="384">
        <v>9</v>
      </c>
      <c r="V56" s="383">
        <v>9.1999999999999993</v>
      </c>
      <c r="W56" s="383">
        <v>9.1999999999999993</v>
      </c>
      <c r="X56" s="383">
        <v>9.1999999999999993</v>
      </c>
      <c r="Y56" s="14">
        <v>9.4</v>
      </c>
      <c r="Z56" s="383">
        <v>9.1999999999999993</v>
      </c>
      <c r="AA56" s="14">
        <v>9.1</v>
      </c>
      <c r="AB56" s="383">
        <v>9.1999999999999993</v>
      </c>
      <c r="AC56" s="383">
        <v>9.1999999999999993</v>
      </c>
      <c r="AD56" s="383">
        <v>9.1999999999999993</v>
      </c>
      <c r="AE56" s="14">
        <v>9.4</v>
      </c>
      <c r="AF56" s="383">
        <v>9.1999999999999993</v>
      </c>
      <c r="AG56" s="384">
        <v>9</v>
      </c>
      <c r="AH56" s="383">
        <v>9.1</v>
      </c>
      <c r="AI56" s="383">
        <v>9.1</v>
      </c>
      <c r="AJ56" s="383">
        <v>9.1</v>
      </c>
      <c r="AK56" s="384">
        <v>9</v>
      </c>
      <c r="AL56" s="384">
        <v>9.1999999999999993</v>
      </c>
      <c r="AM56" s="384">
        <v>9</v>
      </c>
      <c r="AN56" s="383">
        <v>9.1</v>
      </c>
      <c r="AO56" s="383">
        <v>9.1</v>
      </c>
      <c r="AP56" s="383">
        <v>9.1</v>
      </c>
      <c r="AQ56" s="384">
        <v>9</v>
      </c>
      <c r="AR56" s="384">
        <v>9.1999999999999993</v>
      </c>
      <c r="AS56" s="384">
        <v>9.4</v>
      </c>
      <c r="AT56" s="383">
        <v>9.3000000000000007</v>
      </c>
      <c r="AU56" s="383">
        <v>9.1999999999999993</v>
      </c>
      <c r="AV56" s="383">
        <v>9.4</v>
      </c>
      <c r="AW56" s="384">
        <v>9.4</v>
      </c>
      <c r="AX56" s="384">
        <v>9.1999999999999993</v>
      </c>
      <c r="AY56" s="384">
        <v>9.4</v>
      </c>
      <c r="AZ56" s="383">
        <v>9.3000000000000007</v>
      </c>
      <c r="BA56" s="383">
        <v>9.1999999999999993</v>
      </c>
      <c r="BB56" s="383">
        <v>9.4</v>
      </c>
      <c r="BC56" s="384">
        <v>9.4</v>
      </c>
      <c r="BD56" s="384">
        <v>9.1999999999999993</v>
      </c>
      <c r="BE56" s="20"/>
      <c r="BF56" s="20"/>
      <c r="BG56" s="20"/>
      <c r="BH56" s="20"/>
      <c r="BI56" s="20">
        <v>10</v>
      </c>
      <c r="BJ56" s="20"/>
      <c r="BK56" s="20"/>
      <c r="BL56" s="365">
        <f>SUM(O56:BJ56)/48</f>
        <v>8.264583333333329</v>
      </c>
      <c r="BM56" s="3"/>
      <c r="BN56" s="3"/>
    </row>
    <row r="57" spans="1:66" ht="15.75" customHeight="1">
      <c r="A57" s="369"/>
      <c r="B57" s="369"/>
      <c r="C57" s="970">
        <v>44409</v>
      </c>
      <c r="D57" s="970"/>
      <c r="E57" s="37" t="s">
        <v>1501</v>
      </c>
      <c r="F57" s="37" t="s">
        <v>1502</v>
      </c>
      <c r="G57" s="1223" t="e">
        <f xml:space="preserve"> _xlfn.XLOOKUP($E57, Tabla3[CURP],#REF!)</f>
        <v>#REF!</v>
      </c>
      <c r="H57" s="368" t="str">
        <f t="shared" si="12"/>
        <v>M</v>
      </c>
      <c r="I57" s="368" t="str">
        <f t="shared" si="13"/>
        <v>77</v>
      </c>
      <c r="J57" s="368" t="str">
        <f t="shared" si="14"/>
        <v>03</v>
      </c>
      <c r="K57" s="368" t="str">
        <f t="shared" si="15"/>
        <v>03</v>
      </c>
      <c r="L57" s="41" t="s">
        <v>1493</v>
      </c>
      <c r="M57" s="20"/>
      <c r="N57" s="20"/>
      <c r="O57" s="14">
        <v>9.3000000000000007</v>
      </c>
      <c r="P57" s="14">
        <v>9.3000000000000007</v>
      </c>
      <c r="Q57" s="14">
        <v>9.3000000000000007</v>
      </c>
      <c r="R57" s="14">
        <v>9.3000000000000007</v>
      </c>
      <c r="S57" s="14">
        <v>9.3000000000000007</v>
      </c>
      <c r="T57" s="14">
        <v>9.3000000000000007</v>
      </c>
      <c r="U57" s="384">
        <v>9</v>
      </c>
      <c r="V57" s="14">
        <v>9.3000000000000007</v>
      </c>
      <c r="W57" s="14">
        <v>9.3000000000000007</v>
      </c>
      <c r="X57" s="14">
        <v>9.3000000000000007</v>
      </c>
      <c r="Y57" s="14">
        <v>9.3000000000000007</v>
      </c>
      <c r="Z57" s="14">
        <v>9.3000000000000007</v>
      </c>
      <c r="AA57" s="14">
        <v>10</v>
      </c>
      <c r="AB57" s="14">
        <v>9.3000000000000007</v>
      </c>
      <c r="AC57" s="14">
        <v>9.3000000000000007</v>
      </c>
      <c r="AD57" s="14">
        <v>9.3000000000000007</v>
      </c>
      <c r="AE57" s="14">
        <v>9.3000000000000007</v>
      </c>
      <c r="AF57" s="14">
        <v>9.3000000000000007</v>
      </c>
      <c r="AG57" s="384">
        <v>9</v>
      </c>
      <c r="AH57" s="383">
        <v>9.1</v>
      </c>
      <c r="AI57" s="383">
        <v>8.9</v>
      </c>
      <c r="AJ57" s="383">
        <v>9.1</v>
      </c>
      <c r="AK57" s="384">
        <v>9</v>
      </c>
      <c r="AL57" s="384">
        <v>9.1999999999999993</v>
      </c>
      <c r="AM57" s="384">
        <v>9</v>
      </c>
      <c r="AN57" s="383">
        <v>9.1</v>
      </c>
      <c r="AO57" s="383">
        <v>8.9</v>
      </c>
      <c r="AP57" s="383">
        <v>9.1</v>
      </c>
      <c r="AQ57" s="384">
        <v>9</v>
      </c>
      <c r="AR57" s="384">
        <v>9.1999999999999993</v>
      </c>
      <c r="AS57" s="20">
        <v>7</v>
      </c>
      <c r="AT57" s="20">
        <v>9</v>
      </c>
      <c r="AU57" s="20">
        <v>7</v>
      </c>
      <c r="AV57" s="20"/>
      <c r="AW57" s="20"/>
      <c r="AX57" s="20"/>
      <c r="AY57" s="20"/>
      <c r="AZ57" s="20"/>
      <c r="BA57" s="20">
        <v>7</v>
      </c>
      <c r="BB57" s="20">
        <v>7</v>
      </c>
      <c r="BC57" s="20">
        <v>10</v>
      </c>
      <c r="BD57" s="20">
        <v>10</v>
      </c>
      <c r="BE57" s="20"/>
      <c r="BF57" s="20">
        <v>9.6999999999999993</v>
      </c>
      <c r="BG57" s="20">
        <v>7</v>
      </c>
      <c r="BH57" s="20"/>
      <c r="BI57" s="20">
        <v>9.6</v>
      </c>
      <c r="BJ57" s="20">
        <v>8</v>
      </c>
      <c r="BK57" s="20"/>
      <c r="BL57" s="365"/>
      <c r="BM57" s="3"/>
      <c r="BN57" s="3"/>
    </row>
    <row r="58" spans="1:66" ht="15.75" customHeight="1">
      <c r="A58" s="369" t="s">
        <v>1439</v>
      </c>
      <c r="B58" s="369">
        <v>17</v>
      </c>
      <c r="C58" s="970">
        <v>44459</v>
      </c>
      <c r="D58" s="970"/>
      <c r="E58" s="390" t="s">
        <v>1503</v>
      </c>
      <c r="F58" s="372" t="s">
        <v>1504</v>
      </c>
      <c r="G58" s="1222" t="e">
        <f xml:space="preserve"> _xlfn.XLOOKUP($E58, Tabla3[CURP],#REF!)</f>
        <v>#REF!</v>
      </c>
      <c r="H58" s="368" t="str">
        <f t="shared" si="12"/>
        <v>M</v>
      </c>
      <c r="I58" s="368" t="str">
        <f t="shared" si="13"/>
        <v>76</v>
      </c>
      <c r="J58" s="368" t="str">
        <f t="shared" si="14"/>
        <v>12</v>
      </c>
      <c r="K58" s="368" t="str">
        <f t="shared" si="15"/>
        <v>29</v>
      </c>
      <c r="L58" s="40" t="s">
        <v>1439</v>
      </c>
      <c r="M58" s="20"/>
      <c r="N58" s="20"/>
      <c r="O58" s="14">
        <v>9.3000000000000007</v>
      </c>
      <c r="P58" s="14">
        <v>9.3000000000000007</v>
      </c>
      <c r="Q58" s="14">
        <v>9.3000000000000007</v>
      </c>
      <c r="R58" s="14">
        <v>9.3000000000000007</v>
      </c>
      <c r="S58" s="14">
        <v>9.3000000000000007</v>
      </c>
      <c r="T58" s="14">
        <v>9.3000000000000007</v>
      </c>
      <c r="U58" s="384">
        <v>9</v>
      </c>
      <c r="V58" s="14">
        <v>9.3000000000000007</v>
      </c>
      <c r="W58" s="14">
        <v>9.3000000000000007</v>
      </c>
      <c r="X58" s="14">
        <v>9.3000000000000007</v>
      </c>
      <c r="Y58" s="14">
        <v>9.3000000000000007</v>
      </c>
      <c r="Z58" s="14">
        <v>9.3000000000000007</v>
      </c>
      <c r="AA58" s="14">
        <v>9.3000000000000007</v>
      </c>
      <c r="AB58" s="14">
        <v>9.3000000000000007</v>
      </c>
      <c r="AC58" s="14">
        <v>9.3000000000000007</v>
      </c>
      <c r="AD58" s="14">
        <v>9.3000000000000007</v>
      </c>
      <c r="AE58" s="14">
        <v>9.3000000000000007</v>
      </c>
      <c r="AF58" s="14">
        <v>9.3000000000000007</v>
      </c>
      <c r="AG58" s="384">
        <v>9</v>
      </c>
      <c r="AH58" s="383">
        <v>9.1</v>
      </c>
      <c r="AI58" s="383">
        <v>9.1</v>
      </c>
      <c r="AJ58" s="383">
        <v>9.1</v>
      </c>
      <c r="AK58" s="384">
        <v>9</v>
      </c>
      <c r="AL58" s="384">
        <v>9.1999999999999993</v>
      </c>
      <c r="AM58" s="384">
        <v>9</v>
      </c>
      <c r="AN58" s="383">
        <v>9.1</v>
      </c>
      <c r="AO58" s="383">
        <v>9.1</v>
      </c>
      <c r="AP58" s="383">
        <v>9.1</v>
      </c>
      <c r="AQ58" s="384">
        <v>9</v>
      </c>
      <c r="AR58" s="384">
        <v>9.1999999999999993</v>
      </c>
      <c r="AS58" s="384">
        <v>9</v>
      </c>
      <c r="AT58" s="383">
        <v>9.1</v>
      </c>
      <c r="AU58" s="383">
        <v>9.3000000000000007</v>
      </c>
      <c r="AV58" s="383">
        <v>9.4</v>
      </c>
      <c r="AW58" s="384">
        <v>9</v>
      </c>
      <c r="AX58" s="384">
        <v>9.1999999999999993</v>
      </c>
      <c r="AY58" s="384">
        <v>9</v>
      </c>
      <c r="AZ58" s="383">
        <v>9.1</v>
      </c>
      <c r="BA58" s="383">
        <v>9.3000000000000007</v>
      </c>
      <c r="BB58" s="383">
        <v>9.4</v>
      </c>
      <c r="BC58" s="384">
        <v>9</v>
      </c>
      <c r="BD58" s="384">
        <v>9.1999999999999993</v>
      </c>
      <c r="BE58" s="20"/>
      <c r="BF58" s="20">
        <v>10</v>
      </c>
      <c r="BG58" s="20"/>
      <c r="BH58" s="20"/>
      <c r="BI58" s="20">
        <v>10</v>
      </c>
      <c r="BJ58" s="20"/>
      <c r="BK58" s="20"/>
      <c r="BL58" s="365">
        <f>SUM(O58:BJ58)/48</f>
        <v>8.4604166666666654</v>
      </c>
      <c r="BM58" s="3"/>
      <c r="BN58" s="3"/>
    </row>
    <row r="59" spans="1:66" ht="15.75" customHeight="1">
      <c r="A59" s="369" t="s">
        <v>1439</v>
      </c>
      <c r="B59" s="369">
        <v>18</v>
      </c>
      <c r="C59" s="970">
        <v>44520</v>
      </c>
      <c r="D59" s="970"/>
      <c r="E59" s="390" t="s">
        <v>1506</v>
      </c>
      <c r="F59" s="37" t="s">
        <v>1507</v>
      </c>
      <c r="G59" s="1222" t="e">
        <f xml:space="preserve"> _xlfn.XLOOKUP($E59, Tabla3[CURP],#REF!)</f>
        <v>#REF!</v>
      </c>
      <c r="H59" s="368" t="str">
        <f t="shared" si="12"/>
        <v>M</v>
      </c>
      <c r="I59" s="368" t="str">
        <f t="shared" si="13"/>
        <v>88</v>
      </c>
      <c r="J59" s="368" t="str">
        <f t="shared" si="14"/>
        <v>06</v>
      </c>
      <c r="K59" s="368" t="str">
        <f t="shared" si="15"/>
        <v>15</v>
      </c>
      <c r="L59" s="40" t="s">
        <v>1439</v>
      </c>
      <c r="M59" s="20"/>
      <c r="N59" s="20"/>
      <c r="O59" s="14">
        <v>9.4</v>
      </c>
      <c r="P59" s="14">
        <v>9.4</v>
      </c>
      <c r="Q59" s="14">
        <v>9.4</v>
      </c>
      <c r="R59" s="14">
        <v>9.4</v>
      </c>
      <c r="S59" s="14">
        <v>9.4</v>
      </c>
      <c r="T59" s="14">
        <v>9.4</v>
      </c>
      <c r="U59" s="384">
        <v>9</v>
      </c>
      <c r="V59" s="14">
        <v>9.4</v>
      </c>
      <c r="W59" s="14">
        <v>9.4</v>
      </c>
      <c r="X59" s="14">
        <v>9.4</v>
      </c>
      <c r="Y59" s="14">
        <v>9.4</v>
      </c>
      <c r="Z59" s="14">
        <v>9.4</v>
      </c>
      <c r="AA59" s="402">
        <v>8</v>
      </c>
      <c r="AB59" s="14">
        <v>9.4</v>
      </c>
      <c r="AC59" s="14">
        <v>9.4</v>
      </c>
      <c r="AD59" s="14">
        <v>9.4</v>
      </c>
      <c r="AE59" s="14">
        <v>9.4</v>
      </c>
      <c r="AF59" s="14">
        <v>9.4</v>
      </c>
      <c r="AG59" s="384">
        <v>9</v>
      </c>
      <c r="AH59" s="383">
        <v>9.1</v>
      </c>
      <c r="AI59" s="384">
        <v>9</v>
      </c>
      <c r="AJ59" s="383">
        <v>9.1</v>
      </c>
      <c r="AK59" s="384">
        <v>9</v>
      </c>
      <c r="AL59" s="384">
        <v>9.1999999999999993</v>
      </c>
      <c r="AM59" s="384">
        <v>9</v>
      </c>
      <c r="AN59" s="383">
        <v>9.1</v>
      </c>
      <c r="AO59" s="384">
        <v>9</v>
      </c>
      <c r="AP59" s="383">
        <v>9.1</v>
      </c>
      <c r="AQ59" s="384">
        <v>9</v>
      </c>
      <c r="AR59" s="384">
        <v>9.1999999999999993</v>
      </c>
      <c r="AS59" s="384">
        <v>9</v>
      </c>
      <c r="AT59" s="383">
        <v>9.1</v>
      </c>
      <c r="AU59" s="383">
        <v>9.3000000000000007</v>
      </c>
      <c r="AV59" s="383">
        <v>9.4</v>
      </c>
      <c r="AW59" s="384">
        <v>9</v>
      </c>
      <c r="AX59" s="384">
        <v>9.1999999999999993</v>
      </c>
      <c r="AY59" s="384">
        <v>9</v>
      </c>
      <c r="AZ59" s="383">
        <v>9.1</v>
      </c>
      <c r="BA59" s="383">
        <v>9.3000000000000007</v>
      </c>
      <c r="BB59" s="383">
        <v>9.4</v>
      </c>
      <c r="BC59" s="384">
        <v>9</v>
      </c>
      <c r="BD59" s="384">
        <v>9.1999999999999993</v>
      </c>
      <c r="BE59" s="20"/>
      <c r="BF59" s="20"/>
      <c r="BG59" s="20"/>
      <c r="BH59" s="20"/>
      <c r="BI59" s="20">
        <v>9.6999999999999993</v>
      </c>
      <c r="BJ59" s="20"/>
      <c r="BK59" s="20"/>
      <c r="BL59" s="365">
        <f>SUM(O59:BJ59)/48</f>
        <v>8.2479166666666668</v>
      </c>
      <c r="BM59" s="3"/>
      <c r="BN59" s="3"/>
    </row>
    <row r="60" spans="1:66" ht="15.75" customHeight="1">
      <c r="A60" s="369" t="s">
        <v>1439</v>
      </c>
      <c r="B60" s="369">
        <v>19</v>
      </c>
      <c r="C60" s="970">
        <v>44459</v>
      </c>
      <c r="D60" s="970"/>
      <c r="E60" s="213" t="s">
        <v>1509</v>
      </c>
      <c r="F60" s="260" t="s">
        <v>1510</v>
      </c>
      <c r="G60" s="1223" t="e">
        <f xml:space="preserve"> _xlfn.XLOOKUP($E60, Tabla3[CURP],#REF!)</f>
        <v>#REF!</v>
      </c>
      <c r="H60" s="368" t="str">
        <f t="shared" si="12"/>
        <v>M</v>
      </c>
      <c r="I60" s="368" t="str">
        <f t="shared" si="13"/>
        <v>79</v>
      </c>
      <c r="J60" s="368" t="str">
        <f t="shared" si="14"/>
        <v>10</v>
      </c>
      <c r="K60" s="368" t="str">
        <f t="shared" si="15"/>
        <v>04</v>
      </c>
      <c r="L60" s="41" t="s">
        <v>1493</v>
      </c>
      <c r="O60" s="14">
        <v>9.4</v>
      </c>
      <c r="P60" s="14">
        <v>9.4</v>
      </c>
      <c r="Q60" s="14">
        <v>9.4</v>
      </c>
      <c r="R60" s="14">
        <v>9.4</v>
      </c>
      <c r="S60" s="14">
        <v>9.4</v>
      </c>
      <c r="T60" s="14">
        <v>9.4</v>
      </c>
      <c r="U60" s="384">
        <v>9</v>
      </c>
      <c r="V60" s="14">
        <v>9.4</v>
      </c>
      <c r="W60" s="14">
        <v>9.4</v>
      </c>
      <c r="X60" s="14">
        <v>9.4</v>
      </c>
      <c r="Y60" s="14">
        <v>9.4</v>
      </c>
      <c r="Z60" s="14">
        <v>9.4</v>
      </c>
      <c r="AA60" s="402">
        <v>8</v>
      </c>
      <c r="AB60" s="14">
        <v>9.4</v>
      </c>
      <c r="AC60" s="14">
        <v>9.4</v>
      </c>
      <c r="AD60" s="14">
        <v>9.4</v>
      </c>
      <c r="AE60" s="14">
        <v>9.4</v>
      </c>
      <c r="AF60" s="14">
        <v>9.4</v>
      </c>
      <c r="AG60" s="384">
        <v>9.4</v>
      </c>
      <c r="AH60" s="383">
        <v>9.3000000000000007</v>
      </c>
      <c r="AI60" s="383">
        <v>9.1999999999999993</v>
      </c>
      <c r="AJ60" s="383">
        <v>9.1</v>
      </c>
      <c r="AK60" s="384">
        <v>9.4</v>
      </c>
      <c r="AL60" s="384">
        <v>9.1999999999999993</v>
      </c>
      <c r="AM60" s="384">
        <v>9.4</v>
      </c>
      <c r="AN60" s="383">
        <v>9.3000000000000007</v>
      </c>
      <c r="AO60" s="383">
        <v>9.1999999999999993</v>
      </c>
      <c r="AP60" s="383">
        <v>9.1</v>
      </c>
      <c r="AQ60" s="384">
        <v>9.4</v>
      </c>
      <c r="AR60" s="384">
        <v>9.1999999999999993</v>
      </c>
      <c r="AS60" s="20">
        <v>8</v>
      </c>
      <c r="AT60" s="20">
        <v>8</v>
      </c>
      <c r="AU60" s="20">
        <v>10</v>
      </c>
      <c r="AV60" s="20"/>
      <c r="AW60" s="20"/>
      <c r="AX60" s="20"/>
      <c r="AY60" s="20"/>
      <c r="AZ60" s="20">
        <v>9.5</v>
      </c>
      <c r="BA60" s="20">
        <v>8</v>
      </c>
      <c r="BB60" s="20">
        <v>9</v>
      </c>
      <c r="BC60" s="20">
        <v>8</v>
      </c>
      <c r="BD60" s="20"/>
      <c r="BE60" s="351"/>
      <c r="BF60" s="351">
        <v>10</v>
      </c>
      <c r="BG60" s="351">
        <v>10</v>
      </c>
      <c r="BH60" s="351"/>
      <c r="BI60" s="351">
        <v>10</v>
      </c>
      <c r="BJ60" s="351">
        <v>9</v>
      </c>
      <c r="BK60" s="351"/>
      <c r="BL60" s="926">
        <f>SUM(O60:BJ60)/48</f>
        <v>7.8770833333333341</v>
      </c>
      <c r="BM60" s="3"/>
      <c r="BN60" s="3"/>
    </row>
    <row r="61" spans="1:66" ht="15.75" customHeight="1">
      <c r="A61" s="41"/>
      <c r="B61" s="41"/>
      <c r="C61" s="252">
        <v>44075</v>
      </c>
      <c r="D61" s="252"/>
      <c r="E61" s="182" t="s">
        <v>1512</v>
      </c>
      <c r="F61" s="37" t="s">
        <v>1513</v>
      </c>
      <c r="G61" s="1222" t="e">
        <f xml:space="preserve"> _xlfn.XLOOKUP($E61, Tabla3[CURP],#REF!)</f>
        <v>#REF!</v>
      </c>
      <c r="H61" s="368" t="str">
        <f t="shared" si="12"/>
        <v>M</v>
      </c>
      <c r="I61" s="368" t="str">
        <f t="shared" si="13"/>
        <v>78</v>
      </c>
      <c r="J61" s="368" t="str">
        <f t="shared" si="14"/>
        <v>10</v>
      </c>
      <c r="K61" s="368" t="str">
        <f t="shared" si="15"/>
        <v>10</v>
      </c>
      <c r="L61" s="41" t="s">
        <v>1493</v>
      </c>
      <c r="M61" s="20"/>
      <c r="N61" s="20"/>
      <c r="O61" s="14">
        <v>9.4</v>
      </c>
      <c r="P61" s="14">
        <v>9.4</v>
      </c>
      <c r="Q61" s="14">
        <v>9.4</v>
      </c>
      <c r="R61" s="14">
        <v>9.4</v>
      </c>
      <c r="S61" s="14">
        <v>9.4</v>
      </c>
      <c r="T61" s="14">
        <v>9.4</v>
      </c>
      <c r="U61" s="384">
        <v>9</v>
      </c>
      <c r="V61" s="14">
        <v>9.4</v>
      </c>
      <c r="W61" s="14">
        <v>9.4</v>
      </c>
      <c r="X61" s="14">
        <v>9.4</v>
      </c>
      <c r="Y61" s="14">
        <v>9.4</v>
      </c>
      <c r="Z61" s="14">
        <v>9.4</v>
      </c>
      <c r="AA61" s="14">
        <v>9.3000000000000007</v>
      </c>
      <c r="AB61" s="14">
        <v>9.3000000000000007</v>
      </c>
      <c r="AC61" s="14">
        <v>9.3000000000000007</v>
      </c>
      <c r="AD61" s="14">
        <v>9.3000000000000007</v>
      </c>
      <c r="AE61" s="14">
        <v>9.3000000000000007</v>
      </c>
      <c r="AF61" s="14">
        <v>9.3000000000000007</v>
      </c>
      <c r="AG61" s="384">
        <v>9.4</v>
      </c>
      <c r="AH61" s="383">
        <v>9.3000000000000007</v>
      </c>
      <c r="AI61" s="383">
        <v>9.1999999999999993</v>
      </c>
      <c r="AJ61" s="383">
        <v>9.1</v>
      </c>
      <c r="AK61" s="384">
        <v>9.4</v>
      </c>
      <c r="AL61" s="384">
        <v>9.1999999999999993</v>
      </c>
      <c r="AM61" s="384">
        <v>9.4</v>
      </c>
      <c r="AN61" s="383">
        <v>9.3000000000000007</v>
      </c>
      <c r="AO61" s="383">
        <v>9.1999999999999993</v>
      </c>
      <c r="AP61" s="383">
        <v>9.1</v>
      </c>
      <c r="AQ61" s="384">
        <v>9.4</v>
      </c>
      <c r="AR61" s="384">
        <v>9.1999999999999993</v>
      </c>
      <c r="AS61" s="383">
        <v>9.3000000000000007</v>
      </c>
      <c r="AT61" s="383">
        <v>9.3000000000000007</v>
      </c>
      <c r="AU61" s="383">
        <v>9.1</v>
      </c>
      <c r="AV61" s="392">
        <v>9.4</v>
      </c>
      <c r="AW61" s="384">
        <v>9</v>
      </c>
      <c r="AX61" s="384">
        <v>9.1999999999999993</v>
      </c>
      <c r="AY61" s="383">
        <v>9.3000000000000007</v>
      </c>
      <c r="AZ61" s="383">
        <v>9.3000000000000007</v>
      </c>
      <c r="BA61" s="383">
        <v>9.1</v>
      </c>
      <c r="BB61" s="383">
        <v>9.4</v>
      </c>
      <c r="BC61" s="384">
        <v>9</v>
      </c>
      <c r="BD61" s="947">
        <v>9.1999999999999993</v>
      </c>
      <c r="BE61" s="637"/>
      <c r="BF61" s="637"/>
      <c r="BG61" s="637"/>
      <c r="BH61" s="637"/>
      <c r="BI61" s="637">
        <v>9</v>
      </c>
      <c r="BJ61" s="637"/>
      <c r="BK61" s="637"/>
      <c r="BL61" s="637"/>
      <c r="BM61" s="3"/>
      <c r="BN61" s="3"/>
    </row>
    <row r="62" spans="1:66" ht="15.75" customHeight="1">
      <c r="A62" s="701"/>
      <c r="B62" s="701"/>
      <c r="C62" s="948"/>
      <c r="D62" s="948"/>
      <c r="E62" s="886"/>
      <c r="F62" s="944"/>
      <c r="G62" s="949"/>
      <c r="H62" s="944"/>
      <c r="I62" s="944"/>
      <c r="J62" s="944"/>
      <c r="K62" s="944"/>
      <c r="L62" s="701"/>
      <c r="M62" s="643"/>
      <c r="N62" s="643"/>
      <c r="O62" s="950"/>
      <c r="P62" s="950"/>
      <c r="Q62" s="950"/>
      <c r="R62" s="950"/>
      <c r="S62" s="950"/>
      <c r="T62" s="950"/>
      <c r="U62" s="951"/>
      <c r="V62" s="950"/>
      <c r="W62" s="950"/>
      <c r="X62" s="950"/>
      <c r="Y62" s="950"/>
      <c r="Z62" s="950"/>
      <c r="AA62" s="950"/>
      <c r="AB62" s="950"/>
      <c r="AC62" s="950"/>
      <c r="AD62" s="950"/>
      <c r="AE62" s="950"/>
      <c r="AF62" s="950"/>
      <c r="AG62" s="951"/>
      <c r="AH62" s="950"/>
      <c r="AI62" s="950"/>
      <c r="AJ62" s="950"/>
      <c r="AK62" s="951"/>
      <c r="AL62" s="951"/>
      <c r="AM62" s="951"/>
      <c r="AN62" s="950"/>
      <c r="AO62" s="950"/>
      <c r="AP62" s="950"/>
      <c r="AQ62" s="952"/>
      <c r="AR62" s="952"/>
      <c r="AS62" s="950"/>
      <c r="AT62" s="950"/>
      <c r="AU62" s="950"/>
      <c r="AV62" s="950"/>
      <c r="AW62" s="951"/>
      <c r="AX62" s="951"/>
      <c r="AY62" s="950"/>
      <c r="AZ62" s="950"/>
      <c r="BA62" s="950"/>
      <c r="BB62" s="950"/>
      <c r="BC62" s="951"/>
      <c r="BD62" s="951"/>
      <c r="BE62" s="643"/>
      <c r="BF62" s="643"/>
      <c r="BG62" s="643"/>
      <c r="BH62" s="643"/>
      <c r="BI62" s="643"/>
      <c r="BJ62" s="643"/>
      <c r="BK62" s="643"/>
      <c r="BL62" s="643"/>
      <c r="BM62" s="3"/>
      <c r="BN62" s="3"/>
    </row>
    <row r="63" spans="1:66" ht="15.75" customHeight="1">
      <c r="A63" s="2"/>
      <c r="B63" s="2"/>
      <c r="C63" s="2"/>
      <c r="D63" s="2"/>
      <c r="AQ63" s="643"/>
      <c r="AR63" s="64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</row>
    <row r="64" spans="1:66" ht="15.75" customHeight="1" thickBot="1">
      <c r="A64" s="353"/>
      <c r="B64" s="353"/>
      <c r="C64" s="353"/>
      <c r="D64" s="1671"/>
      <c r="E64" s="353"/>
      <c r="F64" s="353"/>
      <c r="G64" s="354"/>
      <c r="H64" s="354"/>
      <c r="I64" s="354"/>
      <c r="J64" s="354"/>
      <c r="K64" s="354"/>
      <c r="L64" s="354"/>
      <c r="M64" s="202"/>
      <c r="N64" s="898"/>
      <c r="O64" s="202"/>
      <c r="P64" s="355" t="s">
        <v>1342</v>
      </c>
      <c r="Q64" s="202"/>
      <c r="R64" s="356" t="s">
        <v>1343</v>
      </c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353"/>
      <c r="BL64" s="357"/>
      <c r="BM64" s="358"/>
      <c r="BN64" s="358"/>
    </row>
    <row r="65" spans="1:66" ht="15.75" customHeight="1" thickBot="1">
      <c r="A65" s="1013"/>
      <c r="B65" s="1014"/>
      <c r="C65" s="1014"/>
      <c r="D65" s="1014"/>
      <c r="E65" s="1014"/>
      <c r="F65" s="1014"/>
      <c r="G65" s="1014"/>
      <c r="H65" s="1014"/>
      <c r="I65" s="1014"/>
      <c r="J65" s="1014"/>
      <c r="K65" s="1014"/>
      <c r="L65" s="1015"/>
      <c r="M65" s="1016"/>
      <c r="N65" s="1017"/>
      <c r="O65" s="4551"/>
      <c r="P65" s="4552"/>
      <c r="Q65" s="4552"/>
      <c r="R65" s="4552"/>
      <c r="S65" s="4552"/>
      <c r="T65" s="4553"/>
      <c r="U65" s="4551"/>
      <c r="V65" s="4552"/>
      <c r="W65" s="4552"/>
      <c r="X65" s="4552"/>
      <c r="Y65" s="4552"/>
      <c r="Z65" s="4553"/>
      <c r="AA65" s="4551"/>
      <c r="AB65" s="4552"/>
      <c r="AC65" s="4552"/>
      <c r="AD65" s="4552"/>
      <c r="AE65" s="4552"/>
      <c r="AF65" s="4553"/>
      <c r="AG65" s="4571"/>
      <c r="AH65" s="4572"/>
      <c r="AI65" s="4572"/>
      <c r="AJ65" s="4572"/>
      <c r="AK65" s="4572"/>
      <c r="AL65" s="4573"/>
      <c r="AM65" s="4557" t="s">
        <v>1516</v>
      </c>
      <c r="AN65" s="4558"/>
      <c r="AO65" s="4558"/>
      <c r="AP65" s="4558"/>
      <c r="AQ65" s="4558"/>
      <c r="AR65" s="4559"/>
      <c r="AS65" s="4571"/>
      <c r="AT65" s="4572"/>
      <c r="AU65" s="4572"/>
      <c r="AV65" s="4572"/>
      <c r="AW65" s="4572"/>
      <c r="AX65" s="4573"/>
      <c r="AY65" s="4571"/>
      <c r="AZ65" s="4572"/>
      <c r="BA65" s="4572"/>
      <c r="BB65" s="4572"/>
      <c r="BC65" s="4572"/>
      <c r="BD65" s="4573"/>
      <c r="BE65" s="4571"/>
      <c r="BF65" s="4572"/>
      <c r="BG65" s="4572"/>
      <c r="BH65" s="4572"/>
      <c r="BI65" s="4572"/>
      <c r="BJ65" s="4573"/>
      <c r="BK65" s="1038"/>
      <c r="BL65" s="1018"/>
      <c r="BM65" s="358"/>
      <c r="BN65" s="358"/>
    </row>
    <row r="66" spans="1:66" ht="48" customHeight="1">
      <c r="A66" s="4597"/>
      <c r="B66" s="4599" t="s">
        <v>5</v>
      </c>
      <c r="C66" s="1006" t="s">
        <v>1515</v>
      </c>
      <c r="D66" s="1006"/>
      <c r="E66" s="4601" t="s">
        <v>6</v>
      </c>
      <c r="F66" s="4601" t="s">
        <v>7</v>
      </c>
      <c r="G66" s="1007" t="s">
        <v>8</v>
      </c>
      <c r="H66" s="4603" t="s">
        <v>9</v>
      </c>
      <c r="I66" s="4605" t="s">
        <v>10</v>
      </c>
      <c r="J66" s="4605"/>
      <c r="K66" s="4605"/>
      <c r="L66" s="4606" t="s">
        <v>27</v>
      </c>
      <c r="M66" s="4532" t="s">
        <v>1759</v>
      </c>
      <c r="N66" s="1008"/>
      <c r="O66" s="1019" t="s">
        <v>1346</v>
      </c>
      <c r="P66" s="1020" t="s">
        <v>1347</v>
      </c>
      <c r="Q66" s="1020" t="s">
        <v>1348</v>
      </c>
      <c r="R66" s="1020" t="s">
        <v>1349</v>
      </c>
      <c r="S66" s="1020" t="s">
        <v>1350</v>
      </c>
      <c r="T66" s="1008" t="s">
        <v>1351</v>
      </c>
      <c r="U66" s="1019" t="s">
        <v>1352</v>
      </c>
      <c r="V66" s="1020" t="s">
        <v>1353</v>
      </c>
      <c r="W66" s="1020" t="s">
        <v>1354</v>
      </c>
      <c r="X66" s="1020" t="s">
        <v>1355</v>
      </c>
      <c r="Y66" s="1020" t="s">
        <v>1356</v>
      </c>
      <c r="Z66" s="1026" t="s">
        <v>1357</v>
      </c>
      <c r="AA66" s="1028" t="s">
        <v>1358</v>
      </c>
      <c r="AB66" s="1029" t="s">
        <v>1359</v>
      </c>
      <c r="AC66" s="1029" t="s">
        <v>1360</v>
      </c>
      <c r="AD66" s="1029" t="s">
        <v>1361</v>
      </c>
      <c r="AE66" s="1029" t="s">
        <v>1362</v>
      </c>
      <c r="AF66" s="1026" t="s">
        <v>1363</v>
      </c>
      <c r="AG66" s="1019" t="s">
        <v>1364</v>
      </c>
      <c r="AH66" s="1020" t="s">
        <v>1365</v>
      </c>
      <c r="AI66" s="1020" t="s">
        <v>1366</v>
      </c>
      <c r="AJ66" s="1020" t="s">
        <v>1367</v>
      </c>
      <c r="AK66" s="1020" t="s">
        <v>1368</v>
      </c>
      <c r="AL66" s="1008" t="s">
        <v>1369</v>
      </c>
      <c r="AM66" s="1019" t="s">
        <v>1370</v>
      </c>
      <c r="AN66" s="1020" t="s">
        <v>1371</v>
      </c>
      <c r="AO66" s="1020" t="s">
        <v>1372</v>
      </c>
      <c r="AP66" s="1035" t="s">
        <v>1373</v>
      </c>
      <c r="AQ66" s="1020" t="s">
        <v>1374</v>
      </c>
      <c r="AR66" s="1008" t="s">
        <v>1375</v>
      </c>
      <c r="AS66" s="1019" t="s">
        <v>1376</v>
      </c>
      <c r="AT66" s="1020" t="s">
        <v>1377</v>
      </c>
      <c r="AU66" s="1029" t="s">
        <v>1378</v>
      </c>
      <c r="AV66" s="1035" t="s">
        <v>1379</v>
      </c>
      <c r="AW66" s="1029" t="s">
        <v>1380</v>
      </c>
      <c r="AX66" s="1026" t="s">
        <v>1381</v>
      </c>
      <c r="AY66" s="1028" t="s">
        <v>1382</v>
      </c>
      <c r="AZ66" s="1029" t="s">
        <v>1383</v>
      </c>
      <c r="BA66" s="1035" t="s">
        <v>1384</v>
      </c>
      <c r="BB66" s="1029" t="s">
        <v>1385</v>
      </c>
      <c r="BC66" s="1029" t="s">
        <v>1386</v>
      </c>
      <c r="BD66" s="1026" t="s">
        <v>1517</v>
      </c>
      <c r="BE66" s="1028" t="s">
        <v>1388</v>
      </c>
      <c r="BF66" s="1029" t="s">
        <v>1389</v>
      </c>
      <c r="BG66" s="1029" t="s">
        <v>1390</v>
      </c>
      <c r="BH66" s="1029" t="s">
        <v>1391</v>
      </c>
      <c r="BI66" s="1029" t="s">
        <v>1392</v>
      </c>
      <c r="BJ66" s="1026" t="s">
        <v>1393</v>
      </c>
      <c r="BK66" s="4595" t="s">
        <v>1394</v>
      </c>
      <c r="BL66" s="4585" t="s">
        <v>1518</v>
      </c>
      <c r="BM66" s="3"/>
      <c r="BN66" s="3"/>
    </row>
    <row r="67" spans="1:66" ht="48" customHeight="1" thickBot="1">
      <c r="A67" s="4598"/>
      <c r="B67" s="4600"/>
      <c r="C67" s="1009" t="s">
        <v>1448</v>
      </c>
      <c r="D67" s="1009"/>
      <c r="E67" s="4602"/>
      <c r="F67" s="4602"/>
      <c r="G67" s="1010" t="s">
        <v>78</v>
      </c>
      <c r="H67" s="4604"/>
      <c r="I67" s="1011" t="s">
        <v>79</v>
      </c>
      <c r="J67" s="1011" t="s">
        <v>80</v>
      </c>
      <c r="K67" s="1011" t="s">
        <v>81</v>
      </c>
      <c r="L67" s="4607"/>
      <c r="M67" s="4533"/>
      <c r="N67" s="1012" t="s">
        <v>1149</v>
      </c>
      <c r="O67" s="1021"/>
      <c r="P67" s="1022"/>
      <c r="Q67" s="1022"/>
      <c r="R67" s="1022"/>
      <c r="S67" s="1022"/>
      <c r="T67" s="1012"/>
      <c r="U67" s="1021"/>
      <c r="V67" s="1022"/>
      <c r="W67" s="1022"/>
      <c r="X67" s="1022"/>
      <c r="Y67" s="1022"/>
      <c r="Z67" s="1027"/>
      <c r="AA67" s="1030"/>
      <c r="AB67" s="1031"/>
      <c r="AC67" s="1031"/>
      <c r="AD67" s="1031"/>
      <c r="AE67" s="1031"/>
      <c r="AF67" s="1027"/>
      <c r="AG67" s="1021"/>
      <c r="AH67" s="1022"/>
      <c r="AI67" s="1022"/>
      <c r="AJ67" s="1022"/>
      <c r="AK67" s="1022"/>
      <c r="AL67" s="1012"/>
      <c r="AM67" s="1021"/>
      <c r="AN67" s="1022"/>
      <c r="AO67" s="1022"/>
      <c r="AP67" s="1036"/>
      <c r="AQ67" s="1022"/>
      <c r="AR67" s="1012"/>
      <c r="AS67" s="1021"/>
      <c r="AT67" s="1022"/>
      <c r="AU67" s="1031"/>
      <c r="AV67" s="1036"/>
      <c r="AW67" s="1031"/>
      <c r="AX67" s="1027"/>
      <c r="AY67" s="1030"/>
      <c r="AZ67" s="1031"/>
      <c r="BA67" s="1036"/>
      <c r="BB67" s="1031"/>
      <c r="BC67" s="1031"/>
      <c r="BD67" s="1027"/>
      <c r="BE67" s="1030"/>
      <c r="BF67" s="1031"/>
      <c r="BG67" s="1031"/>
      <c r="BH67" s="1031"/>
      <c r="BI67" s="1031"/>
      <c r="BJ67" s="1027"/>
      <c r="BK67" s="4596"/>
      <c r="BL67" s="4586"/>
      <c r="BM67" s="3"/>
      <c r="BN67" s="3"/>
    </row>
    <row r="68" spans="1:66" ht="15.75" customHeight="1">
      <c r="A68" s="366"/>
      <c r="B68" s="1003"/>
      <c r="C68" s="1004"/>
      <c r="D68" s="1004"/>
      <c r="E68" s="893" t="s">
        <v>1519</v>
      </c>
      <c r="F68" s="1005" t="s">
        <v>1520</v>
      </c>
      <c r="G68" s="1224" t="e">
        <f xml:space="preserve"> _xlfn.XLOOKUP($E68, Tabla3[CURP],#REF!)</f>
        <v>#REF!</v>
      </c>
      <c r="H68" s="983" t="str">
        <f t="shared" ref="H68:H79" si="16">MID(E68,11,1)</f>
        <v>M</v>
      </c>
      <c r="I68" s="983" t="str">
        <f t="shared" ref="I68:I79" si="17">MID(E68,5,2)</f>
        <v>82</v>
      </c>
      <c r="J68" s="983" t="str">
        <f t="shared" ref="J68:J79" si="18">MID(E68,7,2)</f>
        <v>01</v>
      </c>
      <c r="K68" s="983" t="str">
        <f t="shared" ref="K68:K79" si="19">MID(E68,9,2)</f>
        <v>21</v>
      </c>
      <c r="L68" s="894"/>
      <c r="M68" s="896"/>
      <c r="N68" s="896"/>
      <c r="O68" s="981">
        <v>9</v>
      </c>
      <c r="P68" s="980">
        <v>9.1999999999999993</v>
      </c>
      <c r="Q68" s="980">
        <v>9.1999999999999993</v>
      </c>
      <c r="R68" s="980">
        <v>9.1999999999999993</v>
      </c>
      <c r="S68" s="980">
        <v>9.1999999999999993</v>
      </c>
      <c r="T68" s="980">
        <v>9.3000000000000007</v>
      </c>
      <c r="U68" s="1023"/>
      <c r="V68" s="1024"/>
      <c r="W68" s="1024"/>
      <c r="X68" s="1024"/>
      <c r="Y68" s="1024"/>
      <c r="Z68" s="1025"/>
      <c r="AA68" s="981">
        <v>9.1</v>
      </c>
      <c r="AB68" s="980">
        <v>9.1999999999999993</v>
      </c>
      <c r="AC68" s="980">
        <v>9.1999999999999993</v>
      </c>
      <c r="AD68" s="980">
        <v>9.1999999999999993</v>
      </c>
      <c r="AE68" s="980">
        <v>9.1999999999999993</v>
      </c>
      <c r="AF68" s="980">
        <v>9.3000000000000007</v>
      </c>
      <c r="AG68" s="700"/>
      <c r="AH68" s="1032"/>
      <c r="AI68" s="1032"/>
      <c r="AJ68" s="1032"/>
      <c r="AK68" s="1032"/>
      <c r="AL68" s="1033"/>
      <c r="AM68" s="1034"/>
      <c r="AN68" s="896"/>
      <c r="AO68" s="896"/>
      <c r="AP68" s="894"/>
      <c r="AQ68" s="896"/>
      <c r="AR68" s="896"/>
      <c r="AS68" s="896"/>
      <c r="AT68" s="896"/>
      <c r="AU68" s="896"/>
      <c r="AV68" s="1037"/>
      <c r="AW68" s="896"/>
      <c r="AX68" s="896"/>
      <c r="AY68" s="1037"/>
      <c r="AZ68" s="896">
        <v>8</v>
      </c>
      <c r="BA68" s="896"/>
      <c r="BB68" s="896"/>
      <c r="BC68" s="896"/>
      <c r="BD68" s="896"/>
      <c r="BE68" s="896"/>
      <c r="BF68" s="896"/>
      <c r="BG68" s="896"/>
      <c r="BH68" s="896"/>
      <c r="BI68" s="896">
        <v>7</v>
      </c>
      <c r="BJ68" s="896"/>
      <c r="BK68" s="20"/>
      <c r="BL68" s="20"/>
      <c r="BM68" s="3"/>
      <c r="BN68" s="3"/>
    </row>
    <row r="69" spans="1:66" ht="15.75" customHeight="1">
      <c r="A69" s="369"/>
      <c r="B69" s="183"/>
      <c r="C69" s="971">
        <v>44075</v>
      </c>
      <c r="D69" s="1004"/>
      <c r="E69" s="372" t="s">
        <v>1522</v>
      </c>
      <c r="F69" s="260" t="s">
        <v>1523</v>
      </c>
      <c r="G69" s="1222" t="e">
        <f xml:space="preserve"> _xlfn.XLOOKUP($E69, Tabla3[CURP],#REF!)</f>
        <v>#REF!</v>
      </c>
      <c r="H69" s="368" t="str">
        <f t="shared" si="16"/>
        <v>H</v>
      </c>
      <c r="I69" s="368" t="str">
        <f t="shared" si="17"/>
        <v>82</v>
      </c>
      <c r="J69" s="368" t="str">
        <f t="shared" si="18"/>
        <v>03</v>
      </c>
      <c r="K69" s="368" t="str">
        <f t="shared" si="19"/>
        <v>15</v>
      </c>
      <c r="L69" s="40" t="s">
        <v>1439</v>
      </c>
      <c r="M69" s="20"/>
      <c r="N69" s="896"/>
      <c r="O69" s="384">
        <v>9</v>
      </c>
      <c r="P69" s="14">
        <v>9.3000000000000007</v>
      </c>
      <c r="Q69" s="14">
        <v>9.3000000000000007</v>
      </c>
      <c r="R69" s="14">
        <v>9.3000000000000007</v>
      </c>
      <c r="S69" s="14">
        <v>9.3000000000000007</v>
      </c>
      <c r="T69" s="14">
        <v>9.3000000000000007</v>
      </c>
      <c r="U69" s="384">
        <v>9</v>
      </c>
      <c r="V69" s="14">
        <v>9.3000000000000007</v>
      </c>
      <c r="W69" s="14">
        <v>9.5</v>
      </c>
      <c r="X69" s="14">
        <v>9.3000000000000007</v>
      </c>
      <c r="Y69" s="14">
        <v>9.3000000000000007</v>
      </c>
      <c r="Z69" s="14">
        <v>9.3000000000000007</v>
      </c>
      <c r="AA69" s="384">
        <v>9.1</v>
      </c>
      <c r="AB69" s="14">
        <v>9.3000000000000007</v>
      </c>
      <c r="AC69" s="14">
        <v>9.3000000000000007</v>
      </c>
      <c r="AD69" s="14">
        <v>9.3000000000000007</v>
      </c>
      <c r="AE69" s="14">
        <v>9.3000000000000007</v>
      </c>
      <c r="AF69" s="14">
        <v>9.3000000000000007</v>
      </c>
      <c r="AG69" s="121">
        <v>9</v>
      </c>
      <c r="AH69" s="114">
        <v>9.1</v>
      </c>
      <c r="AI69" s="114">
        <v>8.9</v>
      </c>
      <c r="AJ69" s="114">
        <v>9.1999999999999993</v>
      </c>
      <c r="AK69" s="114">
        <v>8.9</v>
      </c>
      <c r="AL69" s="122">
        <v>9.1999999999999993</v>
      </c>
      <c r="AM69" s="336"/>
      <c r="AN69" s="20"/>
      <c r="AO69" s="20"/>
      <c r="AP69" s="41"/>
      <c r="AQ69" s="20"/>
      <c r="AR69" s="20"/>
      <c r="AS69" s="20"/>
      <c r="AT69" s="20"/>
      <c r="AU69" s="20"/>
      <c r="AV69" s="20">
        <v>9.8000000000000007</v>
      </c>
      <c r="AW69" s="20"/>
      <c r="AX69" s="20"/>
      <c r="AY69" s="20">
        <v>10</v>
      </c>
      <c r="AZ69" s="20"/>
      <c r="BA69" s="20"/>
      <c r="BB69" s="20"/>
      <c r="BC69" s="20"/>
      <c r="BD69" s="20"/>
      <c r="BE69" s="20"/>
      <c r="BF69" s="20"/>
      <c r="BG69" s="20"/>
      <c r="BH69" s="20"/>
      <c r="BI69" s="20">
        <v>10</v>
      </c>
      <c r="BJ69" s="20"/>
      <c r="BK69" s="20"/>
      <c r="BL69" s="20"/>
      <c r="BM69" s="3"/>
      <c r="BN69" s="3"/>
    </row>
    <row r="70" spans="1:66" ht="15.75" customHeight="1">
      <c r="A70" s="369"/>
      <c r="B70" s="183"/>
      <c r="C70" s="971">
        <v>44256</v>
      </c>
      <c r="D70" s="1004"/>
      <c r="E70" s="372" t="s">
        <v>1525</v>
      </c>
      <c r="F70" s="260" t="s">
        <v>1526</v>
      </c>
      <c r="G70" s="1224" t="e">
        <f xml:space="preserve"> _xlfn.XLOOKUP($E70, Tabla3[CURP],#REF!)</f>
        <v>#REF!</v>
      </c>
      <c r="H70" s="368" t="str">
        <f t="shared" si="16"/>
        <v>H</v>
      </c>
      <c r="I70" s="368" t="str">
        <f t="shared" si="17"/>
        <v>68</v>
      </c>
      <c r="J70" s="368" t="str">
        <f t="shared" si="18"/>
        <v>04</v>
      </c>
      <c r="K70" s="368" t="str">
        <f t="shared" si="19"/>
        <v>02</v>
      </c>
      <c r="L70" s="40"/>
      <c r="M70" s="20"/>
      <c r="N70" s="896"/>
      <c r="O70" s="384">
        <v>9</v>
      </c>
      <c r="P70" s="14">
        <v>9.3000000000000007</v>
      </c>
      <c r="Q70" s="14">
        <v>9.3000000000000007</v>
      </c>
      <c r="R70" s="412">
        <v>5</v>
      </c>
      <c r="S70" s="412">
        <v>5</v>
      </c>
      <c r="T70" s="412">
        <v>5</v>
      </c>
      <c r="U70" s="410"/>
      <c r="V70" s="298"/>
      <c r="W70" s="298"/>
      <c r="X70" s="298"/>
      <c r="Y70" s="298"/>
      <c r="Z70" s="411"/>
      <c r="AA70" s="87"/>
      <c r="AB70" s="114"/>
      <c r="AC70" s="114"/>
      <c r="AD70" s="114"/>
      <c r="AE70" s="114"/>
      <c r="AF70" s="41"/>
      <c r="AG70" s="121"/>
      <c r="AH70" s="114"/>
      <c r="AI70" s="114"/>
      <c r="AJ70" s="114"/>
      <c r="AK70" s="114"/>
      <c r="AL70" s="122"/>
      <c r="AM70" s="336"/>
      <c r="AN70" s="20"/>
      <c r="AO70" s="20"/>
      <c r="AP70" s="41"/>
      <c r="AQ70" s="20"/>
      <c r="AR70" s="20"/>
      <c r="AS70" s="20"/>
      <c r="AT70" s="20"/>
      <c r="AU70" s="20"/>
      <c r="AV70" s="20"/>
      <c r="AW70" s="20"/>
      <c r="AX70" s="20"/>
      <c r="AY70" s="20">
        <v>8.1</v>
      </c>
      <c r="AZ70" s="20" t="s">
        <v>136</v>
      </c>
      <c r="BA70" s="20"/>
      <c r="BB70" s="20"/>
      <c r="BC70" s="20"/>
      <c r="BD70" s="20"/>
      <c r="BE70" s="20"/>
      <c r="BF70" s="20"/>
      <c r="BG70" s="20"/>
      <c r="BH70" s="20"/>
      <c r="BI70" s="20" t="s">
        <v>136</v>
      </c>
      <c r="BJ70" s="20"/>
      <c r="BK70" s="20"/>
      <c r="BL70" s="20"/>
      <c r="BM70" s="3"/>
      <c r="BN70" s="3"/>
    </row>
    <row r="71" spans="1:66" ht="15.75" customHeight="1">
      <c r="A71" s="369"/>
      <c r="B71" s="183"/>
      <c r="C71" s="971">
        <v>44348</v>
      </c>
      <c r="D71" s="1004"/>
      <c r="E71" s="372" t="s">
        <v>1528</v>
      </c>
      <c r="F71" s="260" t="s">
        <v>1529</v>
      </c>
      <c r="G71" s="1222" t="e">
        <f xml:space="preserve"> _xlfn.XLOOKUP($E71, Tabla3[CURP],#REF!)</f>
        <v>#REF!</v>
      </c>
      <c r="H71" s="368" t="str">
        <f t="shared" si="16"/>
        <v>H</v>
      </c>
      <c r="I71" s="368" t="str">
        <f t="shared" si="17"/>
        <v>84</v>
      </c>
      <c r="J71" s="368" t="str">
        <f t="shared" si="18"/>
        <v>10</v>
      </c>
      <c r="K71" s="368" t="str">
        <f t="shared" si="19"/>
        <v>30</v>
      </c>
      <c r="L71" s="40" t="s">
        <v>1439</v>
      </c>
      <c r="M71" s="20"/>
      <c r="N71" s="896"/>
      <c r="O71" s="384">
        <v>9</v>
      </c>
      <c r="P71" s="14">
        <v>9.4</v>
      </c>
      <c r="Q71" s="14">
        <v>9.4</v>
      </c>
      <c r="R71" s="14">
        <v>9.4</v>
      </c>
      <c r="S71" s="14">
        <v>9.3000000000000007</v>
      </c>
      <c r="T71" s="14">
        <v>9.4</v>
      </c>
      <c r="U71" s="384">
        <v>9</v>
      </c>
      <c r="V71" s="14">
        <v>9.4</v>
      </c>
      <c r="W71" s="14">
        <v>9.4</v>
      </c>
      <c r="X71" s="14">
        <v>9.4</v>
      </c>
      <c r="Y71" s="14">
        <v>9.3000000000000007</v>
      </c>
      <c r="Z71" s="14">
        <v>9.4</v>
      </c>
      <c r="AA71" s="413" t="s">
        <v>1531</v>
      </c>
      <c r="AB71" s="114">
        <v>9.3000000000000007</v>
      </c>
      <c r="AC71" s="114">
        <v>9.4</v>
      </c>
      <c r="AD71" s="114">
        <v>9.3000000000000007</v>
      </c>
      <c r="AE71" s="114">
        <v>9.3000000000000007</v>
      </c>
      <c r="AF71" s="41">
        <v>10</v>
      </c>
      <c r="AG71" s="121">
        <v>9.4</v>
      </c>
      <c r="AH71" s="114">
        <v>9.1</v>
      </c>
      <c r="AI71" s="114">
        <v>8.9</v>
      </c>
      <c r="AJ71" s="114">
        <v>9.1999999999999993</v>
      </c>
      <c r="AK71" s="114">
        <v>8.9</v>
      </c>
      <c r="AL71" s="122">
        <v>9.1999999999999993</v>
      </c>
      <c r="AM71" s="336"/>
      <c r="AN71" s="20"/>
      <c r="AO71" s="20"/>
      <c r="AP71" s="41"/>
      <c r="AQ71" s="20"/>
      <c r="AR71" s="20"/>
      <c r="AS71" s="20"/>
      <c r="AT71" s="20"/>
      <c r="AU71" s="20"/>
      <c r="AV71" s="20">
        <v>10</v>
      </c>
      <c r="AW71" s="20"/>
      <c r="AX71" s="20"/>
      <c r="AY71" s="20">
        <v>10</v>
      </c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3"/>
      <c r="BN71" s="3"/>
    </row>
    <row r="72" spans="1:66" ht="15.75" customHeight="1">
      <c r="A72" s="369" t="s">
        <v>1423</v>
      </c>
      <c r="B72" s="183">
        <v>1</v>
      </c>
      <c r="C72" s="971"/>
      <c r="D72" s="971"/>
      <c r="E72" s="25" t="s">
        <v>1532</v>
      </c>
      <c r="F72" s="260" t="s">
        <v>1533</v>
      </c>
      <c r="G72" s="1222" t="e">
        <f xml:space="preserve"> _xlfn.XLOOKUP($E72, Tabla3[CURP],#REF!)</f>
        <v>#REF!</v>
      </c>
      <c r="H72" s="368" t="str">
        <f t="shared" si="16"/>
        <v>H</v>
      </c>
      <c r="I72" s="368" t="str">
        <f t="shared" si="17"/>
        <v>83</v>
      </c>
      <c r="J72" s="368" t="str">
        <f t="shared" si="18"/>
        <v>10</v>
      </c>
      <c r="K72" s="368" t="str">
        <f t="shared" si="19"/>
        <v>21</v>
      </c>
      <c r="L72" s="40"/>
      <c r="O72" s="384">
        <v>9</v>
      </c>
      <c r="P72" s="14">
        <v>9.4</v>
      </c>
      <c r="Q72" s="14">
        <v>9.4</v>
      </c>
      <c r="R72" s="14">
        <v>9.4</v>
      </c>
      <c r="S72" s="14">
        <v>9.3000000000000007</v>
      </c>
      <c r="T72" s="14">
        <v>9.4</v>
      </c>
      <c r="U72" s="384">
        <v>9</v>
      </c>
      <c r="V72" s="14">
        <v>9.4</v>
      </c>
      <c r="W72" s="14">
        <v>9.4</v>
      </c>
      <c r="X72" s="14">
        <v>9.1999999999999993</v>
      </c>
      <c r="Y72" s="14">
        <v>9.3000000000000007</v>
      </c>
      <c r="Z72" s="14">
        <v>9.4</v>
      </c>
      <c r="AB72" s="413"/>
      <c r="AC72" s="413"/>
      <c r="AD72" s="413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41"/>
      <c r="AQ72" s="20"/>
      <c r="AR72" s="20"/>
      <c r="AS72" s="20"/>
      <c r="AT72" s="20"/>
      <c r="AU72" s="20"/>
      <c r="AV72" s="20" t="s">
        <v>136</v>
      </c>
      <c r="AW72" s="20"/>
      <c r="AX72" s="20"/>
      <c r="AY72" s="20" t="s">
        <v>136</v>
      </c>
      <c r="AZ72" s="20"/>
      <c r="BA72" s="20"/>
      <c r="BB72" s="20"/>
      <c r="BC72" s="20"/>
      <c r="BD72" s="20"/>
      <c r="BE72" s="20"/>
      <c r="BF72" s="20"/>
      <c r="BG72" s="20"/>
      <c r="BH72" s="20"/>
      <c r="BI72" s="20">
        <v>10</v>
      </c>
      <c r="BJ72" s="20"/>
      <c r="BK72" s="20"/>
      <c r="BL72" s="20"/>
      <c r="BM72" s="3"/>
      <c r="BN72" s="3"/>
    </row>
    <row r="73" spans="1:66" ht="15.75" customHeight="1">
      <c r="A73" s="369" t="s">
        <v>1423</v>
      </c>
      <c r="B73" s="183">
        <v>2</v>
      </c>
      <c r="C73" s="971">
        <v>44408</v>
      </c>
      <c r="D73" s="1004"/>
      <c r="E73" s="218" t="s">
        <v>1535</v>
      </c>
      <c r="F73" s="260" t="s">
        <v>1536</v>
      </c>
      <c r="G73" s="1222" t="e">
        <f xml:space="preserve"> _xlfn.XLOOKUP($E73, Tabla3[CURP],#REF!)</f>
        <v>#REF!</v>
      </c>
      <c r="H73" s="368" t="str">
        <f t="shared" si="16"/>
        <v>M</v>
      </c>
      <c r="I73" s="368" t="str">
        <f t="shared" si="17"/>
        <v>81</v>
      </c>
      <c r="J73" s="368" t="str">
        <f t="shared" si="18"/>
        <v>09</v>
      </c>
      <c r="K73" s="368" t="str">
        <f t="shared" si="19"/>
        <v>07</v>
      </c>
      <c r="L73" s="40"/>
      <c r="M73" s="20"/>
      <c r="N73" s="896"/>
      <c r="O73" s="384">
        <v>9</v>
      </c>
      <c r="P73" s="14">
        <v>9.4</v>
      </c>
      <c r="Q73" s="14">
        <v>9.4</v>
      </c>
      <c r="R73" s="14">
        <v>9.4</v>
      </c>
      <c r="S73" s="14">
        <v>9.3000000000000007</v>
      </c>
      <c r="T73" s="14">
        <v>9.4</v>
      </c>
      <c r="U73" s="384">
        <v>9</v>
      </c>
      <c r="V73" s="383">
        <v>9.1999999999999993</v>
      </c>
      <c r="W73" s="383">
        <v>9.1999999999999993</v>
      </c>
      <c r="X73" s="383">
        <v>9.1999999999999993</v>
      </c>
      <c r="Y73" s="383">
        <v>9.1999999999999993</v>
      </c>
      <c r="Z73" s="14">
        <v>9.3000000000000007</v>
      </c>
      <c r="AA73" s="384">
        <v>9.1</v>
      </c>
      <c r="AB73" s="14">
        <v>9.4</v>
      </c>
      <c r="AC73" s="14">
        <v>9.4</v>
      </c>
      <c r="AD73" s="14">
        <v>9.4</v>
      </c>
      <c r="AE73" s="14">
        <v>9.3000000000000007</v>
      </c>
      <c r="AF73" s="14">
        <v>9.4</v>
      </c>
      <c r="AG73" s="20"/>
      <c r="AH73" s="20"/>
      <c r="AI73" s="20"/>
      <c r="AJ73" s="20"/>
      <c r="AK73" s="20"/>
      <c r="AL73" s="20"/>
      <c r="AM73" s="20"/>
      <c r="AN73" s="20"/>
      <c r="AO73" s="20"/>
      <c r="AP73" s="41"/>
      <c r="AQ73" s="20"/>
      <c r="AR73" s="20"/>
      <c r="AS73" s="20"/>
      <c r="AT73" s="20"/>
      <c r="AU73" s="20"/>
      <c r="AV73" s="20"/>
      <c r="AW73" s="20"/>
      <c r="AX73" s="20"/>
      <c r="AY73" s="20">
        <v>8.4</v>
      </c>
      <c r="AZ73" s="20">
        <v>8.8000000000000007</v>
      </c>
      <c r="BA73" s="20"/>
      <c r="BB73" s="20"/>
      <c r="BC73" s="20"/>
      <c r="BD73" s="20"/>
      <c r="BE73" s="20"/>
      <c r="BF73" s="20" t="s">
        <v>136</v>
      </c>
      <c r="BG73" s="20"/>
      <c r="BH73" s="20"/>
      <c r="BI73" s="20">
        <v>5.9</v>
      </c>
      <c r="BJ73" s="20"/>
      <c r="BK73" s="20"/>
      <c r="BL73" s="20"/>
      <c r="BM73" s="3"/>
      <c r="BN73" s="3"/>
    </row>
    <row r="74" spans="1:66" ht="15.75" customHeight="1">
      <c r="A74" s="369" t="s">
        <v>1423</v>
      </c>
      <c r="B74" s="183">
        <v>3</v>
      </c>
      <c r="C74" s="971">
        <v>44378</v>
      </c>
      <c r="D74" s="1004"/>
      <c r="E74" s="414" t="s">
        <v>1538</v>
      </c>
      <c r="F74" s="260" t="s">
        <v>1539</v>
      </c>
      <c r="G74" s="1222" t="e">
        <f xml:space="preserve"> _xlfn.XLOOKUP($E74, Tabla3[CURP],#REF!)</f>
        <v>#REF!</v>
      </c>
      <c r="H74" s="368" t="str">
        <f t="shared" si="16"/>
        <v>M</v>
      </c>
      <c r="I74" s="368" t="str">
        <f t="shared" si="17"/>
        <v>79</v>
      </c>
      <c r="J74" s="368" t="str">
        <f t="shared" si="18"/>
        <v>01</v>
      </c>
      <c r="K74" s="368" t="str">
        <f t="shared" si="19"/>
        <v>19</v>
      </c>
      <c r="L74" s="40" t="s">
        <v>1439</v>
      </c>
      <c r="M74" s="20"/>
      <c r="N74" s="896"/>
      <c r="O74" s="384">
        <v>9</v>
      </c>
      <c r="P74" s="14">
        <v>9.4</v>
      </c>
      <c r="Q74" s="14">
        <v>9.4</v>
      </c>
      <c r="R74" s="14">
        <v>9.4</v>
      </c>
      <c r="S74" s="14">
        <v>9.3000000000000007</v>
      </c>
      <c r="T74" s="14">
        <v>9.4</v>
      </c>
      <c r="U74" s="384">
        <v>9</v>
      </c>
      <c r="V74" s="383">
        <v>9.1999999999999993</v>
      </c>
      <c r="W74" s="383">
        <v>9.1999999999999993</v>
      </c>
      <c r="X74" s="383">
        <v>9.1999999999999993</v>
      </c>
      <c r="Y74" s="383">
        <v>9.1999999999999993</v>
      </c>
      <c r="Z74" s="14">
        <v>9.3000000000000007</v>
      </c>
      <c r="AA74" s="384">
        <v>9.1</v>
      </c>
      <c r="AB74" s="402">
        <v>9</v>
      </c>
      <c r="AC74" s="14">
        <v>9.3000000000000007</v>
      </c>
      <c r="AD74" s="14">
        <v>9.3000000000000007</v>
      </c>
      <c r="AE74" s="402">
        <v>9</v>
      </c>
      <c r="AF74" s="14">
        <v>9.3000000000000007</v>
      </c>
      <c r="AG74" s="121">
        <v>9</v>
      </c>
      <c r="AH74" s="114">
        <v>9.1</v>
      </c>
      <c r="AI74" s="114">
        <v>9.3000000000000007</v>
      </c>
      <c r="AJ74" s="114">
        <v>9.1999999999999993</v>
      </c>
      <c r="AK74" s="114">
        <v>8.9</v>
      </c>
      <c r="AL74" s="122">
        <v>9.1999999999999993</v>
      </c>
      <c r="AM74" s="336"/>
      <c r="AN74" s="20"/>
      <c r="AO74" s="20"/>
      <c r="AP74" s="41"/>
      <c r="AQ74" s="20"/>
      <c r="AR74" s="20"/>
      <c r="AS74" s="20"/>
      <c r="AT74" s="20"/>
      <c r="AU74" s="20"/>
      <c r="AV74" s="20" t="s">
        <v>136</v>
      </c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3"/>
      <c r="BN74" s="3"/>
    </row>
    <row r="75" spans="1:66" ht="15.75" customHeight="1">
      <c r="A75" s="369"/>
      <c r="B75" s="183"/>
      <c r="C75" s="971"/>
      <c r="D75" s="1004"/>
      <c r="E75" s="414" t="s">
        <v>1540</v>
      </c>
      <c r="F75" s="260" t="s">
        <v>1541</v>
      </c>
      <c r="G75" s="1222" t="e">
        <f xml:space="preserve"> _xlfn.XLOOKUP($E75, Tabla3[CURP],#REF!)</f>
        <v>#REF!</v>
      </c>
      <c r="H75" s="368" t="str">
        <f t="shared" si="16"/>
        <v>H</v>
      </c>
      <c r="I75" s="368" t="str">
        <f t="shared" si="17"/>
        <v>77</v>
      </c>
      <c r="J75" s="368" t="str">
        <f t="shared" si="18"/>
        <v>06</v>
      </c>
      <c r="K75" s="368" t="str">
        <f t="shared" si="19"/>
        <v>21</v>
      </c>
      <c r="L75" s="415"/>
      <c r="M75" s="20"/>
      <c r="N75" s="896"/>
      <c r="O75" s="384">
        <v>9</v>
      </c>
      <c r="P75" s="14">
        <v>9.3000000000000007</v>
      </c>
      <c r="Q75" s="14">
        <v>9.3000000000000007</v>
      </c>
      <c r="R75" s="14">
        <v>9.3000000000000007</v>
      </c>
      <c r="S75" s="14">
        <v>9.3000000000000007</v>
      </c>
      <c r="T75" s="14">
        <v>9.4</v>
      </c>
      <c r="U75" s="384">
        <v>9</v>
      </c>
      <c r="V75" s="383">
        <v>9.1999999999999993</v>
      </c>
      <c r="W75" s="383">
        <v>9.1999999999999993</v>
      </c>
      <c r="X75" s="383">
        <v>9.1999999999999993</v>
      </c>
      <c r="Y75" s="383">
        <v>9.1999999999999993</v>
      </c>
      <c r="Z75" s="14">
        <v>9.3000000000000007</v>
      </c>
      <c r="AA75" s="384">
        <v>9.1</v>
      </c>
      <c r="AB75" s="384">
        <v>9</v>
      </c>
      <c r="AC75" s="402">
        <v>9</v>
      </c>
      <c r="AD75" s="14">
        <v>9.3000000000000007</v>
      </c>
      <c r="AE75" s="384">
        <v>9</v>
      </c>
      <c r="AF75" s="14">
        <v>9.3000000000000007</v>
      </c>
      <c r="AG75" s="336"/>
      <c r="AH75" s="20"/>
      <c r="AI75" s="20"/>
      <c r="AJ75" s="20"/>
      <c r="AK75" s="20"/>
      <c r="AL75" s="194"/>
      <c r="AM75" s="336"/>
      <c r="AN75" s="20"/>
      <c r="AO75" s="20"/>
      <c r="AP75" s="41"/>
      <c r="AQ75" s="20"/>
      <c r="AR75" s="20"/>
      <c r="AS75" s="20"/>
      <c r="AT75" s="20"/>
      <c r="AU75" s="20"/>
      <c r="AV75" s="20"/>
      <c r="AW75" s="20"/>
      <c r="AX75" s="20"/>
      <c r="AY75" s="20"/>
      <c r="AZ75" s="20">
        <v>10</v>
      </c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3"/>
      <c r="BN75" s="3"/>
    </row>
    <row r="76" spans="1:66" ht="15.75" customHeight="1">
      <c r="A76" s="369"/>
      <c r="B76" s="183"/>
      <c r="C76" s="971"/>
      <c r="D76" s="1004"/>
      <c r="E76" s="222" t="s">
        <v>1543</v>
      </c>
      <c r="F76" s="260" t="s">
        <v>1544</v>
      </c>
      <c r="G76" s="1222" t="e">
        <f xml:space="preserve"> _xlfn.XLOOKUP($E76, Tabla3[CURP],#REF!)</f>
        <v>#REF!</v>
      </c>
      <c r="H76" s="368" t="str">
        <f t="shared" si="16"/>
        <v>H</v>
      </c>
      <c r="I76" s="368" t="str">
        <f t="shared" si="17"/>
        <v>84</v>
      </c>
      <c r="J76" s="368" t="str">
        <f t="shared" si="18"/>
        <v>12</v>
      </c>
      <c r="K76" s="368" t="str">
        <f t="shared" si="19"/>
        <v>21</v>
      </c>
      <c r="L76" s="40"/>
      <c r="M76" s="20"/>
      <c r="N76" s="896"/>
      <c r="O76" s="384">
        <v>9</v>
      </c>
      <c r="P76" s="14">
        <v>9.3000000000000007</v>
      </c>
      <c r="Q76" s="14">
        <v>9.3000000000000007</v>
      </c>
      <c r="R76" s="14">
        <v>9.3000000000000007</v>
      </c>
      <c r="S76" s="14">
        <v>9.3000000000000007</v>
      </c>
      <c r="T76" s="14">
        <v>9.4</v>
      </c>
      <c r="U76" s="384">
        <v>9</v>
      </c>
      <c r="V76" s="383">
        <v>9.1999999999999993</v>
      </c>
      <c r="W76" s="383">
        <v>9.1999999999999993</v>
      </c>
      <c r="X76" s="383">
        <v>9.1999999999999993</v>
      </c>
      <c r="Y76" s="383">
        <v>9.1999999999999993</v>
      </c>
      <c r="Z76" s="14">
        <v>9.3000000000000007</v>
      </c>
      <c r="AA76" s="384">
        <v>9.1</v>
      </c>
      <c r="AB76" s="402">
        <v>9</v>
      </c>
      <c r="AC76" s="384">
        <v>9</v>
      </c>
      <c r="AD76" s="402">
        <v>9</v>
      </c>
      <c r="AE76" s="14">
        <v>9.1999999999999993</v>
      </c>
      <c r="AF76" s="14">
        <v>9.3000000000000007</v>
      </c>
      <c r="AG76" s="336"/>
      <c r="AH76" s="20"/>
      <c r="AI76" s="20"/>
      <c r="AJ76" s="20"/>
      <c r="AK76" s="20"/>
      <c r="AL76" s="194"/>
      <c r="AM76" s="336"/>
      <c r="AN76" s="20"/>
      <c r="AO76" s="20"/>
      <c r="AP76" s="41"/>
      <c r="AQ76" s="20"/>
      <c r="AR76" s="20"/>
      <c r="AS76" s="20"/>
      <c r="AT76" s="20"/>
      <c r="AU76" s="20"/>
      <c r="AV76" s="20"/>
      <c r="AW76" s="20"/>
      <c r="AX76" s="20"/>
      <c r="AY76" s="20"/>
      <c r="AZ76" s="20">
        <v>10</v>
      </c>
      <c r="BA76" s="20"/>
      <c r="BB76" s="20"/>
      <c r="BC76" s="20"/>
      <c r="BD76" s="20"/>
      <c r="BE76" s="20"/>
      <c r="BF76" s="20"/>
      <c r="BG76" s="20"/>
      <c r="BH76" s="20"/>
      <c r="BI76" s="20">
        <v>10</v>
      </c>
      <c r="BJ76" s="20"/>
      <c r="BK76" s="20"/>
      <c r="BL76" s="20"/>
      <c r="BM76" s="3"/>
      <c r="BN76" s="3"/>
    </row>
    <row r="77" spans="1:66" ht="15.75" customHeight="1">
      <c r="A77" s="369"/>
      <c r="B77" s="183"/>
      <c r="C77" s="971"/>
      <c r="D77" s="1004"/>
      <c r="E77" s="381"/>
      <c r="F77" s="416"/>
      <c r="G77" s="1123"/>
      <c r="H77" s="368" t="str">
        <f t="shared" si="16"/>
        <v/>
      </c>
      <c r="I77" s="368" t="str">
        <f t="shared" si="17"/>
        <v/>
      </c>
      <c r="J77" s="368" t="str">
        <f t="shared" si="18"/>
        <v/>
      </c>
      <c r="K77" s="368" t="str">
        <f t="shared" si="19"/>
        <v/>
      </c>
      <c r="L77" s="40"/>
      <c r="M77" s="20"/>
      <c r="N77" s="336"/>
      <c r="O77" s="336"/>
      <c r="P77" s="20"/>
      <c r="Q77" s="20"/>
      <c r="R77" s="20"/>
      <c r="S77" s="20"/>
      <c r="T77" s="194"/>
      <c r="U77" s="336"/>
      <c r="V77" s="20"/>
      <c r="W77" s="20"/>
      <c r="X77" s="20"/>
      <c r="Y77" s="20"/>
      <c r="Z77" s="194"/>
      <c r="AA77" s="336"/>
      <c r="AB77" s="20"/>
      <c r="AC77" s="20"/>
      <c r="AD77" s="20"/>
      <c r="AE77" s="20"/>
      <c r="AF77" s="20"/>
      <c r="AG77" s="336"/>
      <c r="AH77" s="20"/>
      <c r="AI77" s="20"/>
      <c r="AJ77" s="20"/>
      <c r="AK77" s="20"/>
      <c r="AL77" s="194"/>
      <c r="AM77" s="336"/>
      <c r="AN77" s="20"/>
      <c r="AO77" s="20"/>
      <c r="AP77" s="41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3"/>
      <c r="BN77" s="3"/>
    </row>
    <row r="78" spans="1:66" ht="15.75" customHeight="1">
      <c r="A78" s="369"/>
      <c r="B78" s="183"/>
      <c r="C78" s="971"/>
      <c r="D78" s="1004"/>
      <c r="E78" s="381"/>
      <c r="F78" s="416"/>
      <c r="G78" s="390"/>
      <c r="H78" s="368" t="str">
        <f t="shared" si="16"/>
        <v/>
      </c>
      <c r="I78" s="368" t="str">
        <f t="shared" si="17"/>
        <v/>
      </c>
      <c r="J78" s="368" t="str">
        <f t="shared" si="18"/>
        <v/>
      </c>
      <c r="K78" s="368" t="str">
        <f t="shared" si="19"/>
        <v/>
      </c>
      <c r="L78" s="40"/>
      <c r="M78" s="20"/>
      <c r="N78" s="336"/>
      <c r="O78" s="336"/>
      <c r="P78" s="20"/>
      <c r="Q78" s="20"/>
      <c r="R78" s="20"/>
      <c r="S78" s="20"/>
      <c r="T78" s="194"/>
      <c r="U78" s="336"/>
      <c r="V78" s="20"/>
      <c r="W78" s="20"/>
      <c r="X78" s="20"/>
      <c r="Y78" s="20"/>
      <c r="Z78" s="194"/>
      <c r="AA78" s="336"/>
      <c r="AB78" s="20"/>
      <c r="AC78" s="20"/>
      <c r="AD78" s="20"/>
      <c r="AE78" s="20"/>
      <c r="AF78" s="20"/>
      <c r="AG78" s="336"/>
      <c r="AH78" s="20"/>
      <c r="AI78" s="20"/>
      <c r="AJ78" s="20"/>
      <c r="AK78" s="20"/>
      <c r="AL78" s="194"/>
      <c r="AM78" s="336"/>
      <c r="AN78" s="20"/>
      <c r="AO78" s="20"/>
      <c r="AP78" s="41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3"/>
      <c r="BN78" s="3"/>
    </row>
    <row r="79" spans="1:66" ht="15.75" customHeight="1">
      <c r="A79" s="925"/>
      <c r="B79" s="960"/>
      <c r="C79" s="973">
        <v>44228</v>
      </c>
      <c r="D79" s="1676"/>
      <c r="E79" s="1069" t="s">
        <v>746</v>
      </c>
      <c r="F79" s="1070" t="s">
        <v>1546</v>
      </c>
      <c r="G79" s="1225" t="e">
        <f xml:space="preserve"> _xlfn.XLOOKUP($E79, Tabla3[CURP],#REF!)</f>
        <v>#REF!</v>
      </c>
      <c r="H79" s="924" t="str">
        <f t="shared" si="16"/>
        <v>H</v>
      </c>
      <c r="I79" s="924" t="str">
        <f t="shared" si="17"/>
        <v>84</v>
      </c>
      <c r="J79" s="924" t="str">
        <f t="shared" si="18"/>
        <v>12</v>
      </c>
      <c r="K79" s="924" t="str">
        <f t="shared" si="19"/>
        <v>29</v>
      </c>
      <c r="L79" s="262" t="s">
        <v>1423</v>
      </c>
      <c r="M79" s="1071"/>
      <c r="N79" s="1071"/>
      <c r="O79" s="1071">
        <v>9</v>
      </c>
      <c r="P79" s="1071">
        <v>9.4</v>
      </c>
      <c r="Q79" s="1071">
        <v>9.4</v>
      </c>
      <c r="R79" s="1071">
        <v>9.4</v>
      </c>
      <c r="S79" s="1071">
        <v>9.3000000000000007</v>
      </c>
      <c r="T79" s="1071">
        <v>9.4</v>
      </c>
      <c r="U79" s="1071">
        <v>9</v>
      </c>
      <c r="V79" s="1071">
        <v>9.4</v>
      </c>
      <c r="W79" s="1071">
        <v>9.4</v>
      </c>
      <c r="X79" s="1071">
        <v>9.4</v>
      </c>
      <c r="Y79" s="1071">
        <v>9.3000000000000007</v>
      </c>
      <c r="Z79" s="1071">
        <v>9.4</v>
      </c>
      <c r="AA79" s="351" t="s">
        <v>136</v>
      </c>
      <c r="AB79" s="351"/>
      <c r="AC79" s="351"/>
      <c r="AD79" s="1072"/>
      <c r="AE79" s="1072"/>
      <c r="AF79" s="207" t="s">
        <v>135</v>
      </c>
      <c r="AG79" s="1073"/>
      <c r="AH79" s="1072"/>
      <c r="AI79" s="1072"/>
      <c r="AJ79" s="1072"/>
      <c r="AK79" s="1072"/>
      <c r="AL79" s="1074"/>
      <c r="AM79" s="1075"/>
      <c r="AN79" s="351"/>
      <c r="AO79" s="351"/>
      <c r="AP79" s="262"/>
      <c r="AQ79" s="351"/>
      <c r="AR79" s="351"/>
      <c r="AS79" s="351">
        <v>8</v>
      </c>
      <c r="AT79" s="351">
        <v>8</v>
      </c>
      <c r="AU79" s="351">
        <v>7</v>
      </c>
      <c r="AV79" s="351">
        <v>9.3000000000000007</v>
      </c>
      <c r="AW79" s="351"/>
      <c r="AX79" s="351"/>
      <c r="AY79" s="351">
        <v>9.1999999999999993</v>
      </c>
      <c r="AZ79" s="351" t="s">
        <v>136</v>
      </c>
      <c r="BA79" s="351"/>
      <c r="BB79" s="351">
        <v>8</v>
      </c>
      <c r="BC79" s="351">
        <v>10</v>
      </c>
      <c r="BD79" s="351"/>
      <c r="BE79" s="351"/>
      <c r="BF79" s="351" t="s">
        <v>136</v>
      </c>
      <c r="BG79" s="351">
        <v>8</v>
      </c>
      <c r="BH79" s="351"/>
      <c r="BI79" s="351">
        <v>10</v>
      </c>
      <c r="BJ79" s="351">
        <v>8</v>
      </c>
      <c r="BK79" s="351"/>
      <c r="BL79" s="351"/>
      <c r="BM79" s="3"/>
      <c r="BN79" s="3"/>
    </row>
    <row r="80" spans="1:66" ht="15.75" customHeight="1">
      <c r="A80" s="1076"/>
      <c r="B80" s="1076"/>
      <c r="C80" s="1077">
        <v>44520</v>
      </c>
      <c r="D80" s="1077"/>
      <c r="E80" s="1076" t="s">
        <v>1766</v>
      </c>
      <c r="F80" s="910"/>
      <c r="G80" s="1222" t="e">
        <f xml:space="preserve"> _xlfn.XLOOKUP($E80, Tabla3[CURP],#REF!)</f>
        <v>#REF!</v>
      </c>
      <c r="H80" s="910" t="str">
        <f>MID(E80,11,1)</f>
        <v>H</v>
      </c>
      <c r="I80" s="910" t="str">
        <f>MID(E80,5,2)</f>
        <v>70</v>
      </c>
      <c r="J80" s="910" t="str">
        <f>MID(E80,7,2)</f>
        <v>09</v>
      </c>
      <c r="K80" s="910" t="str">
        <f>MID(E80,9,2)</f>
        <v>27</v>
      </c>
      <c r="L80" s="1078"/>
      <c r="M80" s="1079"/>
      <c r="N80" s="1079"/>
      <c r="O80" s="1079"/>
      <c r="P80" s="1079"/>
      <c r="Q80" s="1079"/>
      <c r="R80" s="1079"/>
      <c r="S80" s="1079"/>
      <c r="T80" s="1079"/>
      <c r="U80" s="1080"/>
      <c r="V80" s="1081"/>
      <c r="W80" s="1081"/>
      <c r="X80" s="1081"/>
      <c r="Y80" s="1081"/>
      <c r="Z80" s="1081"/>
      <c r="AA80" s="1080"/>
      <c r="AB80" s="1082"/>
      <c r="AC80" s="1080"/>
      <c r="AD80" s="1080"/>
      <c r="AE80" s="1080"/>
      <c r="AF80" s="1083">
        <v>10</v>
      </c>
      <c r="AG80" s="1084"/>
      <c r="AH80" s="1085"/>
      <c r="AI80" s="1085"/>
      <c r="AJ80" s="1086"/>
      <c r="AK80" s="1086"/>
      <c r="AL80" s="1086"/>
      <c r="AM80" s="637"/>
      <c r="AN80" s="637"/>
      <c r="AO80" s="637"/>
      <c r="AP80" s="630"/>
      <c r="AQ80" s="637"/>
      <c r="AR80" s="637"/>
      <c r="AS80" s="637"/>
      <c r="AT80" s="637"/>
      <c r="AU80" s="637"/>
      <c r="AV80" s="637"/>
      <c r="AW80" s="637"/>
      <c r="AX80" s="637"/>
      <c r="AY80" s="637"/>
      <c r="AZ80" s="637">
        <v>10</v>
      </c>
      <c r="BA80" s="637"/>
      <c r="BB80" s="637"/>
      <c r="BC80" s="637"/>
      <c r="BD80" s="637">
        <v>10</v>
      </c>
      <c r="BE80" s="637"/>
      <c r="BF80" s="637"/>
      <c r="BG80" s="637"/>
      <c r="BH80" s="637"/>
      <c r="BI80" s="637">
        <v>8.3000000000000007</v>
      </c>
      <c r="BJ80" s="637"/>
      <c r="BK80" s="637"/>
      <c r="BL80" s="637"/>
      <c r="BM80" s="3"/>
      <c r="BN80" s="3"/>
    </row>
    <row r="81" spans="1:66" ht="15.75" customHeight="1">
      <c r="A81" s="942"/>
      <c r="B81" s="945"/>
      <c r="C81" s="957"/>
      <c r="D81" s="957"/>
      <c r="E81" s="943"/>
      <c r="F81" s="944"/>
      <c r="G81" s="886"/>
      <c r="H81" s="944"/>
      <c r="I81" s="944"/>
      <c r="J81" s="944"/>
      <c r="K81" s="944"/>
      <c r="L81" s="701"/>
      <c r="M81" s="958"/>
      <c r="N81" s="958"/>
      <c r="O81" s="958"/>
      <c r="P81" s="958"/>
      <c r="Q81" s="958"/>
      <c r="R81" s="958"/>
      <c r="S81" s="958"/>
      <c r="T81" s="958"/>
      <c r="U81" s="958"/>
      <c r="V81" s="958"/>
      <c r="W81" s="958"/>
      <c r="X81" s="958"/>
      <c r="Y81" s="958"/>
      <c r="Z81" s="958"/>
      <c r="AA81" s="643"/>
      <c r="AB81" s="643"/>
      <c r="AC81" s="643"/>
      <c r="AD81" s="643"/>
      <c r="AE81" s="643"/>
      <c r="AF81" s="959"/>
      <c r="AG81" s="643"/>
      <c r="AH81" s="643"/>
      <c r="AI81" s="643"/>
      <c r="AJ81" s="643"/>
      <c r="AK81" s="643"/>
      <c r="AL81" s="643"/>
      <c r="AM81" s="643"/>
      <c r="AN81" s="643"/>
      <c r="AO81" s="643"/>
      <c r="AP81" s="701"/>
      <c r="AQ81" s="643"/>
      <c r="AR81" s="643"/>
      <c r="AS81" s="643"/>
      <c r="AT81" s="643"/>
      <c r="AU81" s="643"/>
      <c r="AV81" s="643"/>
      <c r="AW81" s="643"/>
      <c r="AX81" s="643"/>
      <c r="AY81" s="643"/>
      <c r="AZ81" s="643"/>
      <c r="BA81" s="643"/>
      <c r="BB81" s="643"/>
      <c r="BC81" s="643"/>
      <c r="BD81" s="643"/>
      <c r="BE81" s="643"/>
      <c r="BF81" s="643"/>
      <c r="BG81" s="643"/>
      <c r="BH81" s="643"/>
      <c r="BI81" s="643"/>
      <c r="BJ81" s="643"/>
      <c r="BK81" s="643"/>
      <c r="BL81" s="643"/>
      <c r="BM81" s="3"/>
      <c r="BN81" s="3"/>
    </row>
    <row r="82" spans="1:66" ht="15.75" customHeight="1">
      <c r="A82" s="953"/>
      <c r="B82" s="954"/>
      <c r="C82" s="955"/>
      <c r="D82" s="955"/>
      <c r="E82" s="956"/>
      <c r="F82" s="956"/>
      <c r="G82" s="956"/>
      <c r="H82" s="954"/>
      <c r="I82" s="954"/>
      <c r="J82" s="954"/>
      <c r="K82" s="954"/>
      <c r="L82" s="899"/>
      <c r="M82" s="928"/>
      <c r="N82" s="928"/>
      <c r="O82" s="928"/>
      <c r="P82" s="928"/>
      <c r="Q82" s="928"/>
      <c r="R82" s="928"/>
      <c r="S82" s="928"/>
      <c r="T82" s="928"/>
      <c r="U82" s="928"/>
      <c r="V82" s="928"/>
      <c r="W82" s="928"/>
      <c r="X82" s="928"/>
      <c r="Y82" s="928"/>
      <c r="Z82" s="928"/>
      <c r="AA82" s="928"/>
      <c r="AB82" s="928"/>
      <c r="AC82" s="928"/>
      <c r="AD82" s="928"/>
      <c r="AE82" s="928"/>
      <c r="AF82" s="928"/>
      <c r="AG82" s="928"/>
      <c r="AH82" s="928"/>
      <c r="AI82" s="928"/>
      <c r="AJ82" s="928"/>
      <c r="AK82" s="928"/>
      <c r="AL82" s="928"/>
      <c r="AM82" s="928"/>
      <c r="AN82" s="928"/>
      <c r="AO82" s="928"/>
      <c r="AP82" s="899"/>
      <c r="AQ82" s="928"/>
      <c r="AR82" s="928"/>
      <c r="AS82" s="928"/>
      <c r="AT82" s="928"/>
      <c r="AU82" s="928"/>
      <c r="AV82" s="928"/>
      <c r="AW82" s="928"/>
      <c r="AX82" s="928"/>
      <c r="AY82" s="928"/>
      <c r="AZ82" s="928"/>
      <c r="BA82" s="928"/>
      <c r="BB82" s="928"/>
      <c r="BC82" s="928"/>
      <c r="BD82" s="928"/>
      <c r="BE82" s="928"/>
      <c r="BF82" s="928"/>
      <c r="BG82" s="928"/>
      <c r="BH82" s="928"/>
      <c r="BI82" s="928"/>
      <c r="BJ82" s="928"/>
      <c r="BK82" s="928"/>
      <c r="BL82" s="928"/>
      <c r="BM82" s="3"/>
      <c r="BN82" s="3"/>
    </row>
    <row r="83" spans="1:66" ht="15.75" customHeight="1" thickBot="1">
      <c r="A83" s="4556"/>
      <c r="B83" s="4166" t="s">
        <v>5</v>
      </c>
      <c r="C83" s="177" t="s">
        <v>1547</v>
      </c>
      <c r="D83" s="1677"/>
      <c r="E83" s="4161" t="s">
        <v>6</v>
      </c>
      <c r="F83" s="4161" t="s">
        <v>7</v>
      </c>
      <c r="G83" s="359" t="s">
        <v>8</v>
      </c>
      <c r="H83" s="4544" t="s">
        <v>9</v>
      </c>
      <c r="I83" s="4545" t="s">
        <v>10</v>
      </c>
      <c r="J83" s="4458"/>
      <c r="K83" s="4546"/>
      <c r="L83" s="405"/>
      <c r="M83" s="406"/>
      <c r="N83" s="406"/>
      <c r="O83" s="406"/>
      <c r="P83" s="406"/>
      <c r="Q83" s="406"/>
      <c r="R83" s="406"/>
      <c r="S83" s="406"/>
      <c r="T83" s="406"/>
      <c r="U83" s="406"/>
      <c r="V83" s="406"/>
      <c r="W83" s="406"/>
      <c r="X83" s="406"/>
      <c r="Y83" s="406"/>
      <c r="Z83" s="406"/>
      <c r="AA83" s="406"/>
      <c r="AB83" s="406"/>
      <c r="AC83" s="406"/>
      <c r="AD83" s="406"/>
      <c r="AE83" s="406"/>
      <c r="AF83" s="406"/>
      <c r="AG83" s="406"/>
      <c r="AH83" s="406"/>
      <c r="AI83" s="406"/>
      <c r="AJ83" s="406"/>
      <c r="AK83" s="406"/>
      <c r="AL83" s="406"/>
      <c r="AM83" s="4550" t="s">
        <v>1516</v>
      </c>
      <c r="AN83" s="4458"/>
      <c r="AO83" s="4458"/>
      <c r="AP83" s="4458"/>
      <c r="AQ83" s="4458"/>
      <c r="AR83" s="4546"/>
      <c r="AS83" s="406"/>
      <c r="AT83" s="406"/>
      <c r="AU83" s="406"/>
      <c r="AV83" s="406"/>
      <c r="AW83" s="406"/>
      <c r="AX83" s="406"/>
      <c r="AY83" s="406"/>
      <c r="AZ83" s="406"/>
      <c r="BA83" s="406"/>
      <c r="BB83" s="406"/>
      <c r="BC83" s="406"/>
      <c r="BD83" s="406"/>
      <c r="BE83" s="406"/>
      <c r="BF83" s="406"/>
      <c r="BG83" s="406"/>
      <c r="BH83" s="406"/>
      <c r="BI83" s="406"/>
      <c r="BJ83" s="406"/>
      <c r="BK83" s="407"/>
      <c r="BL83" s="203"/>
      <c r="BM83" s="358"/>
      <c r="BN83" s="3"/>
    </row>
    <row r="84" spans="1:66" ht="45" customHeight="1">
      <c r="A84" s="4167"/>
      <c r="B84" s="4167"/>
      <c r="C84" s="180" t="s">
        <v>1548</v>
      </c>
      <c r="D84" s="1664"/>
      <c r="E84" s="4167"/>
      <c r="F84" s="4167"/>
      <c r="G84" s="361" t="s">
        <v>78</v>
      </c>
      <c r="H84" s="4167"/>
      <c r="I84" s="181" t="s">
        <v>79</v>
      </c>
      <c r="J84" s="181" t="s">
        <v>80</v>
      </c>
      <c r="K84" s="181" t="s">
        <v>81</v>
      </c>
      <c r="L84" s="408" t="s">
        <v>27</v>
      </c>
      <c r="M84" s="4532" t="s">
        <v>1759</v>
      </c>
      <c r="N84" s="408"/>
      <c r="O84" s="408" t="s">
        <v>1346</v>
      </c>
      <c r="P84" s="408" t="s">
        <v>1347</v>
      </c>
      <c r="Q84" s="408" t="s">
        <v>1348</v>
      </c>
      <c r="R84" s="408" t="s">
        <v>1349</v>
      </c>
      <c r="S84" s="408" t="s">
        <v>1350</v>
      </c>
      <c r="T84" s="408" t="s">
        <v>1351</v>
      </c>
      <c r="U84" s="408" t="s">
        <v>1352</v>
      </c>
      <c r="V84" s="408" t="s">
        <v>1353</v>
      </c>
      <c r="W84" s="408" t="s">
        <v>1354</v>
      </c>
      <c r="X84" s="408" t="s">
        <v>1355</v>
      </c>
      <c r="Y84" s="408" t="s">
        <v>1356</v>
      </c>
      <c r="Z84" s="406" t="s">
        <v>1357</v>
      </c>
      <c r="AA84" s="406" t="s">
        <v>1358</v>
      </c>
      <c r="AB84" s="406" t="s">
        <v>1359</v>
      </c>
      <c r="AC84" s="406" t="s">
        <v>1360</v>
      </c>
      <c r="AD84" s="406" t="s">
        <v>1361</v>
      </c>
      <c r="AE84" s="406" t="s">
        <v>1362</v>
      </c>
      <c r="AF84" s="406" t="s">
        <v>1363</v>
      </c>
      <c r="AG84" s="408" t="s">
        <v>1364</v>
      </c>
      <c r="AH84" s="408" t="s">
        <v>1365</v>
      </c>
      <c r="AI84" s="408" t="s">
        <v>1366</v>
      </c>
      <c r="AJ84" s="408" t="s">
        <v>1367</v>
      </c>
      <c r="AK84" s="408" t="s">
        <v>1368</v>
      </c>
      <c r="AL84" s="408" t="s">
        <v>1369</v>
      </c>
      <c r="AM84" s="408" t="s">
        <v>1370</v>
      </c>
      <c r="AN84" s="408" t="s">
        <v>1371</v>
      </c>
      <c r="AO84" s="408" t="s">
        <v>1372</v>
      </c>
      <c r="AP84" s="408" t="s">
        <v>1373</v>
      </c>
      <c r="AQ84" s="408" t="s">
        <v>1374</v>
      </c>
      <c r="AR84" s="408" t="s">
        <v>1375</v>
      </c>
      <c r="AS84" s="408" t="s">
        <v>1376</v>
      </c>
      <c r="AT84" s="408" t="s">
        <v>1377</v>
      </c>
      <c r="AU84" s="406" t="s">
        <v>1378</v>
      </c>
      <c r="AV84" s="406" t="s">
        <v>1379</v>
      </c>
      <c r="AW84" s="406" t="s">
        <v>1380</v>
      </c>
      <c r="AX84" s="406" t="s">
        <v>1381</v>
      </c>
      <c r="AY84" s="406" t="s">
        <v>1382</v>
      </c>
      <c r="AZ84" s="406" t="s">
        <v>1383</v>
      </c>
      <c r="BA84" s="406" t="s">
        <v>1384</v>
      </c>
      <c r="BB84" s="406" t="s">
        <v>1385</v>
      </c>
      <c r="BC84" s="406" t="s">
        <v>1386</v>
      </c>
      <c r="BD84" s="406" t="s">
        <v>1517</v>
      </c>
      <c r="BE84" s="406" t="s">
        <v>1388</v>
      </c>
      <c r="BF84" s="406" t="s">
        <v>1389</v>
      </c>
      <c r="BG84" s="406" t="s">
        <v>1390</v>
      </c>
      <c r="BH84" s="406" t="s">
        <v>1391</v>
      </c>
      <c r="BI84" s="406" t="s">
        <v>1392</v>
      </c>
      <c r="BJ84" s="406" t="s">
        <v>1393</v>
      </c>
      <c r="BK84" s="38" t="s">
        <v>1394</v>
      </c>
      <c r="BL84" s="158" t="s">
        <v>1518</v>
      </c>
      <c r="BM84" s="3"/>
      <c r="BN84" s="3"/>
    </row>
    <row r="85" spans="1:66" ht="15.75" customHeight="1" thickBot="1">
      <c r="A85" s="369"/>
      <c r="B85" s="183"/>
      <c r="C85" s="409"/>
      <c r="D85" s="409"/>
      <c r="E85" s="390"/>
      <c r="F85" s="416"/>
      <c r="G85" s="417"/>
      <c r="H85" s="373"/>
      <c r="I85" s="373"/>
      <c r="J85" s="373"/>
      <c r="K85" s="373"/>
      <c r="L85" s="40"/>
      <c r="M85" s="4533"/>
      <c r="N85" s="336"/>
      <c r="O85" s="336"/>
      <c r="P85" s="20"/>
      <c r="Q85" s="20"/>
      <c r="R85" s="20"/>
      <c r="S85" s="20"/>
      <c r="T85" s="194"/>
      <c r="U85" s="336"/>
      <c r="V85" s="20"/>
      <c r="W85" s="20"/>
      <c r="X85" s="20"/>
      <c r="Y85" s="20"/>
      <c r="Z85" s="194"/>
      <c r="AA85" s="336"/>
      <c r="AB85" s="20"/>
      <c r="AC85" s="20"/>
      <c r="AD85" s="20"/>
      <c r="AE85" s="20"/>
      <c r="AF85" s="20"/>
      <c r="AG85" s="336"/>
      <c r="AH85" s="20"/>
      <c r="AI85" s="20"/>
      <c r="AJ85" s="20"/>
      <c r="AK85" s="20"/>
      <c r="AL85" s="194"/>
      <c r="AM85" s="336"/>
      <c r="AN85" s="20"/>
      <c r="AO85" s="20"/>
      <c r="AP85" s="41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3"/>
      <c r="BN85" s="3"/>
    </row>
    <row r="86" spans="1:66" ht="15.75" customHeight="1">
      <c r="A86" s="369"/>
      <c r="B86" s="183"/>
      <c r="C86" s="971"/>
      <c r="D86" s="971"/>
      <c r="E86" s="25" t="s">
        <v>1549</v>
      </c>
      <c r="F86" s="418" t="s">
        <v>1546</v>
      </c>
      <c r="G86" s="1222" t="e">
        <f xml:space="preserve"> _xlfn.XLOOKUP($E86, Tabla3[CURP],#REF!)</f>
        <v>#REF!</v>
      </c>
      <c r="H86" s="368" t="str">
        <f t="shared" ref="H86:H91" si="20">MID(E86,11,1)</f>
        <v>M</v>
      </c>
      <c r="I86" s="368" t="str">
        <f t="shared" ref="I86:I91" si="21">MID(E86,5,2)</f>
        <v>72</v>
      </c>
      <c r="J86" s="368" t="str">
        <f t="shared" ref="J86:J91" si="22">MID(E86,7,2)</f>
        <v>12</v>
      </c>
      <c r="K86" s="368" t="str">
        <f t="shared" ref="K86:K91" si="23">MID(E86,9,2)</f>
        <v>12</v>
      </c>
      <c r="L86" s="41" t="s">
        <v>1493</v>
      </c>
      <c r="M86" s="20"/>
      <c r="N86" s="336"/>
      <c r="O86" s="336"/>
      <c r="P86" s="20"/>
      <c r="Q86" s="20"/>
      <c r="R86" s="20"/>
      <c r="S86" s="20"/>
      <c r="T86" s="194"/>
      <c r="U86" s="336"/>
      <c r="V86" s="20"/>
      <c r="W86" s="20"/>
      <c r="X86" s="20"/>
      <c r="Y86" s="20"/>
      <c r="Z86" s="194"/>
      <c r="AA86" s="336"/>
      <c r="AB86" s="20"/>
      <c r="AC86" s="20"/>
      <c r="AD86" s="20"/>
      <c r="AE86" s="20"/>
      <c r="AF86" s="20"/>
      <c r="AG86" s="336"/>
      <c r="AH86" s="20"/>
      <c r="AI86" s="20"/>
      <c r="AJ86" s="20"/>
      <c r="AK86" s="20"/>
      <c r="AL86" s="194"/>
      <c r="AM86" s="336"/>
      <c r="AN86" s="20"/>
      <c r="AO86" s="20"/>
      <c r="AP86" s="41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3"/>
      <c r="BN86" s="3"/>
    </row>
    <row r="87" spans="1:66" ht="15.75" customHeight="1">
      <c r="A87" s="369"/>
      <c r="B87" s="183"/>
      <c r="C87" s="971"/>
      <c r="D87" s="1004"/>
      <c r="E87" s="414" t="s">
        <v>1551</v>
      </c>
      <c r="F87" s="418" t="s">
        <v>1552</v>
      </c>
      <c r="G87" s="1222" t="e">
        <f xml:space="preserve"> _xlfn.XLOOKUP($E87, Tabla3[CURP],#REF!)</f>
        <v>#REF!</v>
      </c>
      <c r="H87" s="368" t="str">
        <f t="shared" si="20"/>
        <v>M</v>
      </c>
      <c r="I87" s="368" t="str">
        <f t="shared" si="21"/>
        <v>90</v>
      </c>
      <c r="J87" s="368" t="str">
        <f t="shared" si="22"/>
        <v>05</v>
      </c>
      <c r="K87" s="368" t="str">
        <f t="shared" si="23"/>
        <v>21</v>
      </c>
      <c r="L87" s="41" t="s">
        <v>1493</v>
      </c>
      <c r="M87" s="20"/>
      <c r="N87" s="336"/>
      <c r="O87" s="336"/>
      <c r="P87" s="20"/>
      <c r="Q87" s="20"/>
      <c r="R87" s="20"/>
      <c r="S87" s="20"/>
      <c r="T87" s="194"/>
      <c r="U87" s="336"/>
      <c r="V87" s="20"/>
      <c r="W87" s="20"/>
      <c r="X87" s="20"/>
      <c r="Y87" s="20"/>
      <c r="Z87" s="194"/>
      <c r="AA87" s="336"/>
      <c r="AB87" s="20"/>
      <c r="AC87" s="20"/>
      <c r="AD87" s="20"/>
      <c r="AE87" s="20"/>
      <c r="AF87" s="20">
        <v>8</v>
      </c>
      <c r="AG87" s="336"/>
      <c r="AH87" s="20"/>
      <c r="AI87" s="20"/>
      <c r="AJ87" s="20"/>
      <c r="AK87" s="20"/>
      <c r="AL87" s="194"/>
      <c r="AM87" s="336"/>
      <c r="AN87" s="20"/>
      <c r="AO87" s="20"/>
      <c r="AP87" s="41"/>
      <c r="AQ87" s="20"/>
      <c r="AR87" s="20"/>
      <c r="AS87" s="20"/>
      <c r="AT87" s="20"/>
      <c r="AU87" s="20"/>
      <c r="AV87" s="20"/>
      <c r="AW87" s="20"/>
      <c r="AX87" s="20"/>
      <c r="AY87" s="20"/>
      <c r="AZ87" s="20">
        <v>9.8000000000000007</v>
      </c>
      <c r="BA87" s="20"/>
      <c r="BB87" s="20"/>
      <c r="BC87" s="20"/>
      <c r="BD87" s="20">
        <v>10</v>
      </c>
      <c r="BE87" s="20"/>
      <c r="BF87" s="20"/>
      <c r="BG87" s="20"/>
      <c r="BH87" s="20"/>
      <c r="BI87" s="20">
        <v>8.3000000000000007</v>
      </c>
      <c r="BJ87" s="20"/>
      <c r="BK87" s="20"/>
      <c r="BL87" s="20"/>
      <c r="BM87" s="3"/>
      <c r="BN87" s="3"/>
    </row>
    <row r="88" spans="1:66" ht="15.75" customHeight="1">
      <c r="A88" s="369"/>
      <c r="B88" s="183"/>
      <c r="C88" s="971"/>
      <c r="D88" s="1004"/>
      <c r="E88" s="222"/>
      <c r="F88" s="418" t="s">
        <v>1554</v>
      </c>
      <c r="G88" s="1222" t="e">
        <f xml:space="preserve"> _xlfn.XLOOKUP($E88, Tabla3[CURP],#REF!)</f>
        <v>#REF!</v>
      </c>
      <c r="H88" s="368" t="str">
        <f t="shared" si="20"/>
        <v/>
      </c>
      <c r="I88" s="368" t="str">
        <f t="shared" si="21"/>
        <v/>
      </c>
      <c r="J88" s="368" t="str">
        <f t="shared" si="22"/>
        <v/>
      </c>
      <c r="K88" s="368" t="str">
        <f t="shared" si="23"/>
        <v/>
      </c>
      <c r="L88" s="41" t="s">
        <v>1493</v>
      </c>
      <c r="M88" s="20"/>
      <c r="N88" s="336"/>
      <c r="O88" s="336"/>
      <c r="P88" s="20"/>
      <c r="Q88" s="20"/>
      <c r="R88" s="20"/>
      <c r="S88" s="20"/>
      <c r="T88" s="194"/>
      <c r="U88" s="336"/>
      <c r="V88" s="20"/>
      <c r="W88" s="20"/>
      <c r="X88" s="20"/>
      <c r="Y88" s="20"/>
      <c r="Z88" s="194"/>
      <c r="AA88" s="336">
        <v>10</v>
      </c>
      <c r="AB88" s="20"/>
      <c r="AC88" s="20"/>
      <c r="AD88" s="20"/>
      <c r="AE88" s="20"/>
      <c r="AF88" s="20">
        <v>10</v>
      </c>
      <c r="AG88" s="336"/>
      <c r="AH88" s="20"/>
      <c r="AI88" s="20"/>
      <c r="AJ88" s="20"/>
      <c r="AK88" s="20"/>
      <c r="AL88" s="194"/>
      <c r="AM88" s="336"/>
      <c r="AN88" s="20"/>
      <c r="AO88" s="20"/>
      <c r="AP88" s="41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>
        <v>10</v>
      </c>
      <c r="BG88" s="20"/>
      <c r="BH88" s="20"/>
      <c r="BI88" s="20">
        <v>10</v>
      </c>
      <c r="BJ88" s="20"/>
      <c r="BK88" s="20"/>
      <c r="BL88" s="20"/>
      <c r="BM88" s="3"/>
      <c r="BN88" s="3"/>
    </row>
    <row r="89" spans="1:66" ht="15.75" customHeight="1">
      <c r="A89" s="369"/>
      <c r="B89" s="183"/>
      <c r="C89" s="971"/>
      <c r="D89" s="1004"/>
      <c r="E89" s="222" t="s">
        <v>1555</v>
      </c>
      <c r="F89" s="418" t="s">
        <v>1556</v>
      </c>
      <c r="G89" s="1222" t="e">
        <f xml:space="preserve"> _xlfn.XLOOKUP($E89, Tabla3[CURP],#REF!)</f>
        <v>#REF!</v>
      </c>
      <c r="H89" s="368" t="str">
        <f t="shared" si="20"/>
        <v>M</v>
      </c>
      <c r="I89" s="368" t="str">
        <f t="shared" si="21"/>
        <v>79</v>
      </c>
      <c r="J89" s="368" t="str">
        <f t="shared" si="22"/>
        <v>03</v>
      </c>
      <c r="K89" s="368" t="str">
        <f t="shared" si="23"/>
        <v>26</v>
      </c>
      <c r="L89" s="41" t="s">
        <v>1493</v>
      </c>
      <c r="M89" s="20"/>
      <c r="N89" s="336"/>
      <c r="O89" s="336"/>
      <c r="P89" s="20"/>
      <c r="Q89" s="20"/>
      <c r="R89" s="20"/>
      <c r="S89" s="20"/>
      <c r="T89" s="194"/>
      <c r="U89" s="336"/>
      <c r="V89" s="20"/>
      <c r="W89" s="20"/>
      <c r="X89" s="20"/>
      <c r="Y89" s="20"/>
      <c r="Z89" s="194"/>
      <c r="AA89" s="336">
        <v>10</v>
      </c>
      <c r="AB89" s="20"/>
      <c r="AC89" s="20"/>
      <c r="AD89" s="20"/>
      <c r="AE89" s="20"/>
      <c r="AF89" s="20">
        <v>9.6999999999999993</v>
      </c>
      <c r="AG89" s="336"/>
      <c r="AH89" s="20"/>
      <c r="AI89" s="20"/>
      <c r="AJ89" s="20"/>
      <c r="AK89" s="20"/>
      <c r="AL89" s="194"/>
      <c r="AM89" s="336"/>
      <c r="AN89" s="20"/>
      <c r="AO89" s="20"/>
      <c r="AP89" s="41"/>
      <c r="AQ89" s="20"/>
      <c r="AR89" s="20"/>
      <c r="AS89" s="20"/>
      <c r="AT89" s="20"/>
      <c r="AU89" s="20"/>
      <c r="AV89" s="20"/>
      <c r="AW89" s="20"/>
      <c r="AX89" s="20"/>
      <c r="AY89" s="20"/>
      <c r="AZ89" s="20">
        <v>9.6</v>
      </c>
      <c r="BA89" s="20"/>
      <c r="BB89" s="20"/>
      <c r="BC89" s="20"/>
      <c r="BD89" s="20">
        <v>10</v>
      </c>
      <c r="BE89" s="20"/>
      <c r="BF89" s="20">
        <v>9.6999999999999993</v>
      </c>
      <c r="BG89" s="20"/>
      <c r="BH89" s="20"/>
      <c r="BI89" s="20">
        <v>9.6</v>
      </c>
      <c r="BJ89" s="20"/>
      <c r="BK89" s="20"/>
      <c r="BL89" s="20"/>
      <c r="BM89" s="3"/>
      <c r="BN89" s="3"/>
    </row>
    <row r="90" spans="1:66" ht="15.75" customHeight="1">
      <c r="A90" s="369"/>
      <c r="B90" s="183"/>
      <c r="C90" s="971"/>
      <c r="D90" s="1004"/>
      <c r="E90" s="222" t="s">
        <v>1558</v>
      </c>
      <c r="F90" s="418" t="s">
        <v>1559</v>
      </c>
      <c r="G90" s="1222" t="e">
        <f xml:space="preserve"> _xlfn.XLOOKUP($E90, Tabla3[CURP],#REF!)</f>
        <v>#REF!</v>
      </c>
      <c r="H90" s="368" t="str">
        <f t="shared" si="20"/>
        <v>M</v>
      </c>
      <c r="I90" s="368" t="str">
        <f t="shared" si="21"/>
        <v>72</v>
      </c>
      <c r="J90" s="368" t="str">
        <f t="shared" si="22"/>
        <v>02</v>
      </c>
      <c r="K90" s="368" t="str">
        <f t="shared" si="23"/>
        <v>10</v>
      </c>
      <c r="L90" s="41" t="s">
        <v>1493</v>
      </c>
      <c r="M90" s="20"/>
      <c r="N90" s="336"/>
      <c r="O90" s="336"/>
      <c r="P90" s="20"/>
      <c r="Q90" s="20"/>
      <c r="R90" s="20"/>
      <c r="S90" s="20"/>
      <c r="T90" s="194"/>
      <c r="U90" s="336"/>
      <c r="V90" s="20"/>
      <c r="W90" s="20"/>
      <c r="X90" s="20"/>
      <c r="Y90" s="20"/>
      <c r="Z90" s="194"/>
      <c r="AA90" s="336">
        <v>10</v>
      </c>
      <c r="AB90" s="20"/>
      <c r="AC90" s="20"/>
      <c r="AD90" s="20"/>
      <c r="AE90" s="20"/>
      <c r="AF90" s="20">
        <v>10</v>
      </c>
      <c r="AG90" s="336"/>
      <c r="AH90" s="20"/>
      <c r="AI90" s="20"/>
      <c r="AJ90" s="20"/>
      <c r="AK90" s="20"/>
      <c r="AL90" s="194"/>
      <c r="AM90" s="336"/>
      <c r="AN90" s="20"/>
      <c r="AO90" s="20"/>
      <c r="AP90" s="41"/>
      <c r="AQ90" s="20"/>
      <c r="AR90" s="20"/>
      <c r="AS90" s="20"/>
      <c r="AT90" s="20"/>
      <c r="AU90" s="20"/>
      <c r="AV90" s="20"/>
      <c r="AW90" s="20"/>
      <c r="AX90" s="20"/>
      <c r="AY90" s="20"/>
      <c r="AZ90" s="635" t="s">
        <v>135</v>
      </c>
      <c r="BA90" s="20"/>
      <c r="BB90" s="20"/>
      <c r="BC90" s="20"/>
      <c r="BD90" s="635" t="s">
        <v>135</v>
      </c>
      <c r="BE90" s="20"/>
      <c r="BF90" s="20">
        <v>10</v>
      </c>
      <c r="BG90" s="20"/>
      <c r="BH90" s="20"/>
      <c r="BI90" s="20">
        <v>10</v>
      </c>
      <c r="BJ90" s="20"/>
      <c r="BK90" s="20"/>
      <c r="BL90" s="20"/>
      <c r="BM90" s="3"/>
      <c r="BN90" s="3"/>
    </row>
    <row r="91" spans="1:66" ht="17.25" customHeight="1">
      <c r="A91" s="369"/>
      <c r="B91" s="180"/>
      <c r="C91" s="972"/>
      <c r="D91" s="1678"/>
      <c r="E91" s="222" t="s">
        <v>1561</v>
      </c>
      <c r="F91" s="418" t="s">
        <v>1562</v>
      </c>
      <c r="G91" s="1222" t="e">
        <f xml:space="preserve"> _xlfn.XLOOKUP($E91, Tabla3[CURP],#REF!)</f>
        <v>#REF!</v>
      </c>
      <c r="H91" s="368" t="str">
        <f t="shared" si="20"/>
        <v>H</v>
      </c>
      <c r="I91" s="368" t="str">
        <f t="shared" si="21"/>
        <v>84</v>
      </c>
      <c r="J91" s="368" t="str">
        <f t="shared" si="22"/>
        <v>03</v>
      </c>
      <c r="K91" s="368" t="str">
        <f t="shared" si="23"/>
        <v>11</v>
      </c>
      <c r="L91" s="41" t="s">
        <v>1493</v>
      </c>
      <c r="M91" s="20"/>
      <c r="N91" s="336"/>
      <c r="O91" s="336"/>
      <c r="P91" s="20"/>
      <c r="Q91" s="20"/>
      <c r="R91" s="20"/>
      <c r="S91" s="406"/>
      <c r="T91" s="419"/>
      <c r="U91" s="420"/>
      <c r="V91" s="406"/>
      <c r="W91" s="406"/>
      <c r="X91" s="406"/>
      <c r="Y91" s="406"/>
      <c r="Z91" s="419"/>
      <c r="AA91" s="420"/>
      <c r="AB91" s="406"/>
      <c r="AC91" s="406"/>
      <c r="AD91" s="406"/>
      <c r="AE91" s="406"/>
      <c r="AF91" s="406"/>
      <c r="AG91" s="420"/>
      <c r="AH91" s="406"/>
      <c r="AI91" s="406"/>
      <c r="AJ91" s="406"/>
      <c r="AK91" s="406"/>
      <c r="AL91" s="419"/>
      <c r="AM91" s="421"/>
      <c r="AN91" s="422"/>
      <c r="AO91" s="422"/>
      <c r="AP91" s="422"/>
      <c r="AQ91" s="422"/>
      <c r="AR91" s="422"/>
      <c r="AS91" s="406"/>
      <c r="AT91" s="406"/>
      <c r="AU91" s="406"/>
      <c r="AV91" s="406"/>
      <c r="AW91" s="406"/>
      <c r="AX91" s="406"/>
      <c r="AY91" s="406"/>
      <c r="AZ91" s="406">
        <v>10</v>
      </c>
      <c r="BA91" s="406"/>
      <c r="BB91" s="406"/>
      <c r="BC91" s="406"/>
      <c r="BD91" s="406">
        <v>10</v>
      </c>
      <c r="BE91" s="406"/>
      <c r="BF91" s="406"/>
      <c r="BG91" s="406"/>
      <c r="BH91" s="406"/>
      <c r="BI91" s="406"/>
      <c r="BJ91" s="406"/>
      <c r="BK91" s="407"/>
      <c r="BL91" s="20"/>
      <c r="BM91" s="3"/>
      <c r="BN91" s="3"/>
    </row>
    <row r="92" spans="1:66" ht="24.75" customHeight="1" thickBot="1">
      <c r="A92" s="912"/>
      <c r="B92" s="914"/>
      <c r="C92" s="915"/>
      <c r="D92" s="1679"/>
      <c r="E92" s="916"/>
      <c r="F92" s="917"/>
      <c r="G92" s="917"/>
      <c r="H92" s="918"/>
      <c r="I92" s="919"/>
      <c r="J92" s="919"/>
      <c r="K92" s="919"/>
      <c r="L92" s="919"/>
      <c r="M92" s="920"/>
      <c r="N92" s="920"/>
      <c r="O92" s="920"/>
      <c r="P92" s="920"/>
      <c r="Q92" s="920"/>
      <c r="R92" s="920"/>
      <c r="S92" s="920"/>
      <c r="T92" s="920"/>
      <c r="U92" s="920"/>
      <c r="V92" s="920"/>
      <c r="W92" s="920"/>
      <c r="X92" s="920"/>
      <c r="Y92" s="920"/>
      <c r="Z92" s="920"/>
      <c r="AA92" s="920"/>
      <c r="AB92" s="920"/>
      <c r="AC92" s="920"/>
      <c r="AD92" s="920"/>
      <c r="AE92" s="920"/>
      <c r="AF92" s="920"/>
      <c r="AG92" s="920"/>
      <c r="AH92" s="920"/>
      <c r="AI92" s="920"/>
      <c r="AJ92" s="920"/>
      <c r="AK92" s="920"/>
      <c r="AL92" s="920"/>
      <c r="AM92" s="921"/>
      <c r="AN92" s="921"/>
      <c r="AO92" s="921"/>
      <c r="AP92" s="921"/>
      <c r="AQ92" s="921"/>
      <c r="AR92" s="921"/>
      <c r="AS92" s="920"/>
      <c r="AT92" s="920"/>
      <c r="AU92" s="920"/>
      <c r="AV92" s="920"/>
      <c r="AW92" s="920"/>
      <c r="AX92" s="920"/>
      <c r="AY92" s="920"/>
      <c r="AZ92" s="920"/>
      <c r="BA92" s="920"/>
      <c r="BB92" s="920"/>
      <c r="BC92" s="920"/>
      <c r="BD92" s="920"/>
      <c r="BE92" s="920"/>
      <c r="BF92" s="920"/>
      <c r="BG92" s="920"/>
      <c r="BH92" s="920"/>
      <c r="BI92" s="920"/>
      <c r="BJ92" s="920"/>
      <c r="BK92" s="922"/>
      <c r="BL92" s="913"/>
      <c r="BM92" s="3"/>
      <c r="BN92" s="3"/>
    </row>
    <row r="93" spans="1:66" ht="24.75" customHeight="1">
      <c r="A93" s="4554"/>
      <c r="B93" s="4166" t="s">
        <v>5</v>
      </c>
      <c r="C93" s="177" t="s">
        <v>1564</v>
      </c>
      <c r="D93" s="1677"/>
      <c r="E93" s="4161" t="s">
        <v>6</v>
      </c>
      <c r="F93" s="4161" t="s">
        <v>7</v>
      </c>
      <c r="G93" s="359" t="s">
        <v>8</v>
      </c>
      <c r="H93" s="4544" t="s">
        <v>9</v>
      </c>
      <c r="I93" s="4545" t="s">
        <v>10</v>
      </c>
      <c r="J93" s="4458"/>
      <c r="K93" s="4546"/>
      <c r="L93" s="405"/>
      <c r="M93" s="4532" t="s">
        <v>1759</v>
      </c>
      <c r="N93" s="406"/>
      <c r="O93" s="406"/>
      <c r="P93" s="406"/>
      <c r="Q93" s="406"/>
      <c r="R93" s="406"/>
      <c r="S93" s="406"/>
      <c r="T93" s="406"/>
      <c r="U93" s="406"/>
      <c r="V93" s="406"/>
      <c r="W93" s="406"/>
      <c r="X93" s="406"/>
      <c r="Y93" s="406"/>
      <c r="Z93" s="406"/>
      <c r="AA93" s="406"/>
      <c r="AB93" s="406"/>
      <c r="AC93" s="406"/>
      <c r="AD93" s="406"/>
      <c r="AE93" s="406"/>
      <c r="AF93" s="406"/>
      <c r="AG93" s="406"/>
      <c r="AH93" s="406"/>
      <c r="AI93" s="406"/>
      <c r="AJ93" s="406"/>
      <c r="AK93" s="406"/>
      <c r="AL93" s="406"/>
      <c r="AM93" s="4550" t="s">
        <v>1516</v>
      </c>
      <c r="AN93" s="4458"/>
      <c r="AO93" s="4458"/>
      <c r="AP93" s="4458"/>
      <c r="AQ93" s="4458"/>
      <c r="AR93" s="4546"/>
      <c r="AS93" s="406"/>
      <c r="AT93" s="406"/>
      <c r="AU93" s="406"/>
      <c r="AV93" s="406"/>
      <c r="AW93" s="406"/>
      <c r="AX93" s="406"/>
      <c r="AY93" s="406"/>
      <c r="AZ93" s="406"/>
      <c r="BA93" s="406"/>
      <c r="BB93" s="406"/>
      <c r="BC93" s="406"/>
      <c r="BD93" s="406"/>
      <c r="BE93" s="406"/>
      <c r="BF93" s="406"/>
      <c r="BG93" s="406"/>
      <c r="BH93" s="406"/>
      <c r="BI93" s="406"/>
      <c r="BJ93" s="406"/>
      <c r="BK93" s="407"/>
      <c r="BL93" s="20"/>
      <c r="BM93" s="3"/>
      <c r="BN93" s="3"/>
    </row>
    <row r="94" spans="1:66" ht="47.25" customHeight="1" thickBot="1">
      <c r="A94" s="4555"/>
      <c r="B94" s="4167"/>
      <c r="C94" s="180" t="s">
        <v>1548</v>
      </c>
      <c r="D94" s="1664"/>
      <c r="E94" s="4167"/>
      <c r="F94" s="4167"/>
      <c r="G94" s="361" t="s">
        <v>78</v>
      </c>
      <c r="H94" s="4167"/>
      <c r="I94" s="181" t="s">
        <v>79</v>
      </c>
      <c r="J94" s="181" t="s">
        <v>80</v>
      </c>
      <c r="K94" s="181" t="s">
        <v>81</v>
      </c>
      <c r="L94" s="408" t="s">
        <v>27</v>
      </c>
      <c r="M94" s="4533"/>
      <c r="N94" s="408"/>
      <c r="O94" s="408" t="s">
        <v>1346</v>
      </c>
      <c r="P94" s="408" t="s">
        <v>1347</v>
      </c>
      <c r="Q94" s="408" t="s">
        <v>1348</v>
      </c>
      <c r="R94" s="408" t="s">
        <v>1349</v>
      </c>
      <c r="S94" s="408" t="s">
        <v>1350</v>
      </c>
      <c r="T94" s="408" t="s">
        <v>1351</v>
      </c>
      <c r="U94" s="408" t="s">
        <v>1352</v>
      </c>
      <c r="V94" s="408" t="s">
        <v>1353</v>
      </c>
      <c r="W94" s="408" t="s">
        <v>1354</v>
      </c>
      <c r="X94" s="408" t="s">
        <v>1355</v>
      </c>
      <c r="Y94" s="408" t="s">
        <v>1356</v>
      </c>
      <c r="Z94" s="406" t="s">
        <v>1357</v>
      </c>
      <c r="AA94" s="406" t="s">
        <v>1358</v>
      </c>
      <c r="AB94" s="406" t="s">
        <v>1359</v>
      </c>
      <c r="AC94" s="406" t="s">
        <v>1360</v>
      </c>
      <c r="AD94" s="406" t="s">
        <v>1361</v>
      </c>
      <c r="AE94" s="406" t="s">
        <v>1362</v>
      </c>
      <c r="AF94" s="406" t="s">
        <v>1363</v>
      </c>
      <c r="AG94" s="408" t="s">
        <v>1364</v>
      </c>
      <c r="AH94" s="408" t="s">
        <v>1365</v>
      </c>
      <c r="AI94" s="408" t="s">
        <v>1366</v>
      </c>
      <c r="AJ94" s="408" t="s">
        <v>1367</v>
      </c>
      <c r="AK94" s="408" t="s">
        <v>1368</v>
      </c>
      <c r="AL94" s="408" t="s">
        <v>1369</v>
      </c>
      <c r="AM94" s="408" t="s">
        <v>1370</v>
      </c>
      <c r="AN94" s="408" t="s">
        <v>1371</v>
      </c>
      <c r="AO94" s="408" t="s">
        <v>1372</v>
      </c>
      <c r="AP94" s="408" t="s">
        <v>1373</v>
      </c>
      <c r="AQ94" s="408" t="s">
        <v>1374</v>
      </c>
      <c r="AR94" s="408" t="s">
        <v>1375</v>
      </c>
      <c r="AS94" s="408" t="s">
        <v>1376</v>
      </c>
      <c r="AT94" s="408" t="s">
        <v>1377</v>
      </c>
      <c r="AU94" s="406" t="s">
        <v>1378</v>
      </c>
      <c r="AV94" s="406" t="s">
        <v>1379</v>
      </c>
      <c r="AW94" s="406" t="s">
        <v>1380</v>
      </c>
      <c r="AX94" s="406" t="s">
        <v>1381</v>
      </c>
      <c r="AY94" s="406" t="s">
        <v>1382</v>
      </c>
      <c r="AZ94" s="406" t="s">
        <v>1383</v>
      </c>
      <c r="BA94" s="406" t="s">
        <v>1384</v>
      </c>
      <c r="BB94" s="406" t="s">
        <v>1385</v>
      </c>
      <c r="BC94" s="406" t="s">
        <v>1386</v>
      </c>
      <c r="BD94" s="406" t="s">
        <v>1517</v>
      </c>
      <c r="BE94" s="406" t="s">
        <v>1388</v>
      </c>
      <c r="BF94" s="406" t="s">
        <v>1389</v>
      </c>
      <c r="BG94" s="406" t="s">
        <v>1390</v>
      </c>
      <c r="BH94" s="406" t="s">
        <v>1391</v>
      </c>
      <c r="BI94" s="406" t="s">
        <v>1392</v>
      </c>
      <c r="BJ94" s="406" t="s">
        <v>1393</v>
      </c>
      <c r="BK94" s="38" t="s">
        <v>1394</v>
      </c>
      <c r="BL94" s="20"/>
      <c r="BM94" s="3"/>
      <c r="BN94" s="3"/>
    </row>
    <row r="95" spans="1:66" ht="15.75" customHeight="1">
      <c r="A95" s="369"/>
      <c r="B95" s="183"/>
      <c r="C95" s="971"/>
      <c r="D95" s="1680"/>
      <c r="E95" s="401" t="s">
        <v>1565</v>
      </c>
      <c r="F95" s="37" t="s">
        <v>1566</v>
      </c>
      <c r="G95" s="1222" t="e">
        <f xml:space="preserve"> _xlfn.XLOOKUP($E95, Tabla3[CURP],#REF!)</f>
        <v>#REF!</v>
      </c>
      <c r="H95" s="368" t="str">
        <f t="shared" ref="H95:H103" si="24">MID(E95,11,1)</f>
        <v>H</v>
      </c>
      <c r="I95" s="368" t="str">
        <f t="shared" ref="I95:I103" si="25">MID(E95,5,2)</f>
        <v>72</v>
      </c>
      <c r="J95" s="368" t="str">
        <f t="shared" ref="J95:J103" si="26">MID(E95,7,2)</f>
        <v>09</v>
      </c>
      <c r="K95" s="368" t="str">
        <f t="shared" ref="K95:K103" si="27">MID(E95,9,2)</f>
        <v>29</v>
      </c>
      <c r="L95" s="2"/>
      <c r="M95" s="20"/>
      <c r="N95" s="336"/>
      <c r="O95" s="336"/>
      <c r="P95" s="20"/>
      <c r="Q95" s="20"/>
      <c r="R95" s="20"/>
      <c r="S95" s="20"/>
      <c r="T95" s="194"/>
      <c r="U95" s="336"/>
      <c r="V95" s="20"/>
      <c r="W95" s="20"/>
      <c r="X95" s="20"/>
      <c r="Y95" s="20"/>
      <c r="Z95" s="194"/>
      <c r="AA95" s="336">
        <v>10</v>
      </c>
      <c r="AB95" s="20"/>
      <c r="AC95" s="20"/>
      <c r="AD95" s="20"/>
      <c r="AE95" s="20"/>
      <c r="AF95" s="20">
        <v>9.9</v>
      </c>
      <c r="AG95" s="336"/>
      <c r="AH95" s="20"/>
      <c r="AI95" s="20"/>
      <c r="AJ95" s="20"/>
      <c r="AK95" s="20"/>
      <c r="AL95" s="194"/>
      <c r="AM95" s="336"/>
      <c r="AN95" s="20"/>
      <c r="AO95" s="20"/>
      <c r="AP95" s="41"/>
      <c r="AQ95" s="20"/>
      <c r="AR95" s="20"/>
      <c r="AS95" s="20"/>
      <c r="AT95" s="20"/>
      <c r="AU95" s="20"/>
      <c r="AV95" s="69"/>
      <c r="AW95" s="20"/>
      <c r="AX95" s="20"/>
      <c r="AY95" s="69"/>
      <c r="AZ95" s="20">
        <v>9.8000000000000007</v>
      </c>
      <c r="BA95" s="20"/>
      <c r="BB95" s="20"/>
      <c r="BC95" s="20"/>
      <c r="BD95" s="20">
        <v>10</v>
      </c>
      <c r="BE95" s="20"/>
      <c r="BF95" s="20" t="s">
        <v>136</v>
      </c>
      <c r="BG95" s="20"/>
      <c r="BH95" s="20"/>
      <c r="BI95" s="69"/>
      <c r="BJ95" s="20"/>
      <c r="BK95" s="20"/>
      <c r="BL95" s="20"/>
      <c r="BM95" s="3"/>
      <c r="BN95" s="3"/>
    </row>
    <row r="96" spans="1:66" ht="15.75" customHeight="1">
      <c r="A96" s="369" t="s">
        <v>1423</v>
      </c>
      <c r="B96" s="183">
        <v>4</v>
      </c>
      <c r="C96" s="971">
        <v>44378</v>
      </c>
      <c r="D96" s="971"/>
      <c r="E96" s="390" t="s">
        <v>1568</v>
      </c>
      <c r="F96" s="390" t="s">
        <v>1566</v>
      </c>
      <c r="G96" s="1222" t="e">
        <f xml:space="preserve"> _xlfn.XLOOKUP($E96, Tabla3[CURP],#REF!)</f>
        <v>#REF!</v>
      </c>
      <c r="H96" s="368" t="str">
        <f t="shared" si="24"/>
        <v>M</v>
      </c>
      <c r="I96" s="368" t="str">
        <f t="shared" si="25"/>
        <v>77</v>
      </c>
      <c r="J96" s="368" t="str">
        <f t="shared" si="26"/>
        <v>10</v>
      </c>
      <c r="K96" s="368" t="str">
        <f t="shared" si="27"/>
        <v>12</v>
      </c>
      <c r="L96" s="41" t="s">
        <v>1423</v>
      </c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>
        <v>10</v>
      </c>
      <c r="AB96" s="20"/>
      <c r="AC96" s="20"/>
      <c r="AD96" s="20"/>
      <c r="AE96" s="20"/>
      <c r="AF96" s="20">
        <v>10</v>
      </c>
      <c r="AG96" s="20"/>
      <c r="AH96" s="20"/>
      <c r="AI96" s="20"/>
      <c r="AJ96" s="20"/>
      <c r="AK96" s="20"/>
      <c r="AL96" s="20"/>
      <c r="AM96" s="20"/>
      <c r="AN96" s="20"/>
      <c r="AO96" s="20"/>
      <c r="AP96" s="41"/>
      <c r="AQ96" s="20"/>
      <c r="AR96" s="20"/>
      <c r="AS96" s="20"/>
      <c r="AT96" s="20"/>
      <c r="AU96" s="20"/>
      <c r="AV96" s="20"/>
      <c r="AW96" s="20"/>
      <c r="AX96" s="20"/>
      <c r="AY96" s="20"/>
      <c r="AZ96" s="20">
        <v>9.6</v>
      </c>
      <c r="BA96" s="20"/>
      <c r="BB96" s="20"/>
      <c r="BC96" s="20"/>
      <c r="BD96" s="20">
        <v>10</v>
      </c>
      <c r="BE96" s="20"/>
      <c r="BF96" s="20">
        <v>9.6999999999999993</v>
      </c>
      <c r="BG96" s="20"/>
      <c r="BH96" s="20"/>
      <c r="BI96" s="20">
        <v>10</v>
      </c>
      <c r="BJ96" s="20"/>
      <c r="BK96" s="20"/>
      <c r="BL96" s="20"/>
      <c r="BM96" s="3"/>
      <c r="BN96" s="3"/>
    </row>
    <row r="97" spans="1:66" ht="15.75" customHeight="1">
      <c r="A97" s="925" t="s">
        <v>1423</v>
      </c>
      <c r="B97" s="960">
        <v>5</v>
      </c>
      <c r="C97" s="973"/>
      <c r="D97" s="973"/>
      <c r="E97" s="961"/>
      <c r="F97" s="961"/>
      <c r="G97" s="961"/>
      <c r="H97" s="368" t="str">
        <f t="shared" si="24"/>
        <v/>
      </c>
      <c r="I97" s="368" t="str">
        <f t="shared" si="25"/>
        <v/>
      </c>
      <c r="J97" s="368" t="str">
        <f t="shared" si="26"/>
        <v/>
      </c>
      <c r="K97" s="368" t="str">
        <f t="shared" si="27"/>
        <v/>
      </c>
      <c r="L97" s="262"/>
      <c r="M97" s="351"/>
      <c r="N97" s="351"/>
      <c r="O97" s="351"/>
      <c r="P97" s="351"/>
      <c r="Q97" s="351"/>
      <c r="R97" s="351"/>
      <c r="S97" s="351"/>
      <c r="T97" s="351"/>
      <c r="U97" s="351"/>
      <c r="V97" s="351"/>
      <c r="W97" s="351"/>
      <c r="X97" s="351"/>
      <c r="Y97" s="351"/>
      <c r="Z97" s="351"/>
      <c r="AA97" s="351"/>
      <c r="AB97" s="351"/>
      <c r="AC97" s="351"/>
      <c r="AD97" s="351"/>
      <c r="AE97" s="351"/>
      <c r="AF97" s="351"/>
      <c r="AG97" s="351"/>
      <c r="AH97" s="351"/>
      <c r="AI97" s="351"/>
      <c r="AJ97" s="351"/>
      <c r="AK97" s="351"/>
      <c r="AL97" s="351"/>
      <c r="AM97" s="351"/>
      <c r="AN97" s="351"/>
      <c r="AO97" s="351"/>
      <c r="AP97" s="262"/>
      <c r="AQ97" s="351"/>
      <c r="AR97" s="351"/>
      <c r="AS97" s="351"/>
      <c r="AT97" s="351"/>
      <c r="AU97" s="351"/>
      <c r="AV97" s="351"/>
      <c r="AW97" s="351"/>
      <c r="AX97" s="351"/>
      <c r="AY97" s="351"/>
      <c r="AZ97" s="351"/>
      <c r="BA97" s="351"/>
      <c r="BB97" s="351"/>
      <c r="BC97" s="351"/>
      <c r="BD97" s="351"/>
      <c r="BE97" s="351"/>
      <c r="BF97" s="351"/>
      <c r="BG97" s="351"/>
      <c r="BH97" s="351"/>
      <c r="BI97" s="351"/>
      <c r="BJ97" s="351"/>
      <c r="BK97" s="351"/>
      <c r="BL97" s="351"/>
      <c r="BM97" s="3"/>
      <c r="BN97" s="3"/>
    </row>
    <row r="98" spans="1:66" ht="15.75" customHeight="1">
      <c r="A98" s="630"/>
      <c r="B98" s="630"/>
      <c r="C98" s="974"/>
      <c r="D98" s="974"/>
      <c r="E98" s="630"/>
      <c r="F98" s="630"/>
      <c r="G98" s="630"/>
      <c r="H98" s="368" t="str">
        <f t="shared" si="24"/>
        <v/>
      </c>
      <c r="I98" s="368" t="str">
        <f t="shared" si="25"/>
        <v/>
      </c>
      <c r="J98" s="368" t="str">
        <f t="shared" si="26"/>
        <v/>
      </c>
      <c r="K98" s="368" t="str">
        <f t="shared" si="27"/>
        <v/>
      </c>
      <c r="L98" s="630"/>
      <c r="M98" s="744"/>
      <c r="N98" s="744"/>
      <c r="O98" s="637"/>
      <c r="P98" s="637"/>
      <c r="Q98" s="637"/>
      <c r="R98" s="637"/>
      <c r="S98" s="637"/>
      <c r="T98" s="637"/>
      <c r="U98" s="637"/>
      <c r="V98" s="637"/>
      <c r="W98" s="637"/>
      <c r="X98" s="637"/>
      <c r="Y98" s="637"/>
      <c r="Z98" s="637"/>
      <c r="AA98" s="637"/>
      <c r="AB98" s="637"/>
      <c r="AC98" s="637"/>
      <c r="AD98" s="637"/>
      <c r="AE98" s="637"/>
      <c r="AF98" s="637"/>
      <c r="AG98" s="637"/>
      <c r="AH98" s="637"/>
      <c r="AI98" s="637"/>
      <c r="AJ98" s="637"/>
      <c r="AK98" s="637"/>
      <c r="AL98" s="637"/>
      <c r="AM98" s="637"/>
      <c r="AN98" s="637"/>
      <c r="AO98" s="637"/>
      <c r="AP98" s="630"/>
      <c r="AQ98" s="637"/>
      <c r="AR98" s="637"/>
      <c r="AS98" s="637"/>
      <c r="AT98" s="637"/>
      <c r="AU98" s="637"/>
      <c r="AV98" s="637"/>
      <c r="AW98" s="637"/>
      <c r="AX98" s="637"/>
      <c r="AY98" s="637"/>
      <c r="AZ98" s="637"/>
      <c r="BA98" s="637"/>
      <c r="BB98" s="637"/>
      <c r="BC98" s="637"/>
      <c r="BD98" s="637"/>
      <c r="BE98" s="637"/>
      <c r="BF98" s="637"/>
      <c r="BG98" s="637"/>
      <c r="BH98" s="637"/>
      <c r="BI98" s="637"/>
      <c r="BJ98" s="637"/>
      <c r="BK98" s="637"/>
      <c r="BL98" s="637"/>
      <c r="BM98" s="3"/>
      <c r="BN98" s="3"/>
    </row>
    <row r="99" spans="1:66" ht="15.75" customHeight="1">
      <c r="A99" s="742"/>
      <c r="B99" s="742"/>
      <c r="C99" s="975"/>
      <c r="D99" s="975"/>
      <c r="E99" s="962" t="s">
        <v>1540</v>
      </c>
      <c r="F99" s="962" t="s">
        <v>1502</v>
      </c>
      <c r="G99" s="1224" t="e">
        <f xml:space="preserve"> _xlfn.XLOOKUP($E99, Tabla3[CURP],#REF!)</f>
        <v>#REF!</v>
      </c>
      <c r="H99" s="976" t="str">
        <f t="shared" si="24"/>
        <v>H</v>
      </c>
      <c r="I99" s="976" t="str">
        <f t="shared" si="25"/>
        <v>77</v>
      </c>
      <c r="J99" s="976" t="str">
        <f t="shared" si="26"/>
        <v>06</v>
      </c>
      <c r="K99" s="976" t="str">
        <f t="shared" si="27"/>
        <v>21</v>
      </c>
      <c r="L99" s="749" t="s">
        <v>1439</v>
      </c>
      <c r="M99" s="637"/>
      <c r="N99" s="637"/>
      <c r="O99" s="963">
        <v>9.1999999999999993</v>
      </c>
      <c r="P99" s="963">
        <v>9.1999999999999993</v>
      </c>
      <c r="Q99" s="963">
        <v>9.1999999999999993</v>
      </c>
      <c r="R99" s="963">
        <v>9.1999999999999993</v>
      </c>
      <c r="S99" s="963">
        <v>9.4</v>
      </c>
      <c r="T99" s="963">
        <v>9.1999999999999993</v>
      </c>
      <c r="U99" s="963">
        <v>9</v>
      </c>
      <c r="V99" s="963">
        <v>9.1999999999999993</v>
      </c>
      <c r="W99" s="963">
        <v>9.1999999999999993</v>
      </c>
      <c r="X99" s="963">
        <v>9.1999999999999993</v>
      </c>
      <c r="Y99" s="963">
        <v>9.4</v>
      </c>
      <c r="Z99" s="963">
        <v>9.1999999999999993</v>
      </c>
      <c r="AA99" s="630">
        <v>9.1</v>
      </c>
      <c r="AB99" s="963">
        <v>9.1999999999999993</v>
      </c>
      <c r="AC99" s="963">
        <v>9.1999999999999993</v>
      </c>
      <c r="AD99" s="963">
        <v>9.1999999999999993</v>
      </c>
      <c r="AE99" s="963">
        <v>9.4</v>
      </c>
      <c r="AF99" s="630">
        <v>10</v>
      </c>
      <c r="AG99" s="963">
        <v>9</v>
      </c>
      <c r="AH99" s="963">
        <v>9.1</v>
      </c>
      <c r="AI99" s="963">
        <v>8.9</v>
      </c>
      <c r="AJ99" s="963">
        <v>9.1999999999999993</v>
      </c>
      <c r="AK99" s="963">
        <v>8.9</v>
      </c>
      <c r="AL99" s="963">
        <v>9.1999999999999993</v>
      </c>
      <c r="AM99" s="637"/>
      <c r="AN99" s="637"/>
      <c r="AO99" s="637"/>
      <c r="AP99" s="742"/>
      <c r="AQ99" s="964"/>
      <c r="AR99" s="965"/>
      <c r="AS99" s="964"/>
      <c r="AT99" s="965"/>
      <c r="AU99" s="965"/>
      <c r="AV99" s="964">
        <v>8.5</v>
      </c>
      <c r="AW99" s="964"/>
      <c r="AX99" s="964"/>
      <c r="AY99" s="964">
        <v>9.6</v>
      </c>
      <c r="AZ99" s="964"/>
      <c r="BA99" s="964"/>
      <c r="BB99" s="964"/>
      <c r="BC99" s="964"/>
      <c r="BD99" s="964"/>
      <c r="BE99" s="964"/>
      <c r="BF99" s="964"/>
      <c r="BG99" s="964"/>
      <c r="BH99" s="964"/>
      <c r="BI99" s="964">
        <v>10</v>
      </c>
      <c r="BJ99" s="964"/>
      <c r="BK99" s="742"/>
      <c r="BL99" s="742"/>
      <c r="BM99" s="358"/>
      <c r="BN99" s="358"/>
    </row>
    <row r="100" spans="1:66" ht="15.75" customHeight="1">
      <c r="A100" s="742"/>
      <c r="B100" s="742"/>
      <c r="C100" s="975"/>
      <c r="D100" s="975"/>
      <c r="E100" s="744"/>
      <c r="F100" s="744"/>
      <c r="G100" s="744"/>
      <c r="H100" s="368" t="str">
        <f t="shared" si="24"/>
        <v/>
      </c>
      <c r="I100" s="368" t="str">
        <f t="shared" si="25"/>
        <v/>
      </c>
      <c r="J100" s="368" t="str">
        <f t="shared" si="26"/>
        <v/>
      </c>
      <c r="K100" s="368" t="str">
        <f t="shared" si="27"/>
        <v/>
      </c>
      <c r="L100" s="744"/>
      <c r="M100" s="744"/>
      <c r="N100" s="744"/>
      <c r="O100" s="744"/>
      <c r="P100" s="744"/>
      <c r="Q100" s="744"/>
      <c r="R100" s="744"/>
      <c r="S100" s="744"/>
      <c r="T100" s="744"/>
      <c r="U100" s="744"/>
      <c r="V100" s="744"/>
      <c r="W100" s="744"/>
      <c r="X100" s="744"/>
      <c r="Y100" s="744"/>
      <c r="Z100" s="744"/>
      <c r="AA100" s="744"/>
      <c r="AB100" s="744"/>
      <c r="AC100" s="744"/>
      <c r="AD100" s="744"/>
      <c r="AE100" s="744"/>
      <c r="AF100" s="744"/>
      <c r="AG100" s="744"/>
      <c r="AH100" s="744"/>
      <c r="AI100" s="744"/>
      <c r="AJ100" s="744"/>
      <c r="AK100" s="744"/>
      <c r="AL100" s="744"/>
      <c r="AM100" s="744"/>
      <c r="AN100" s="744"/>
      <c r="AO100" s="637"/>
      <c r="AP100" s="630"/>
      <c r="AQ100" s="742"/>
      <c r="AR100" s="742"/>
      <c r="AS100" s="964"/>
      <c r="AT100" s="742"/>
      <c r="AU100" s="742"/>
      <c r="AV100" s="964"/>
      <c r="AW100" s="964"/>
      <c r="AX100" s="964"/>
      <c r="AY100" s="964"/>
      <c r="AZ100" s="964"/>
      <c r="BA100" s="964"/>
      <c r="BB100" s="742"/>
      <c r="BC100" s="742"/>
      <c r="BD100" s="964"/>
      <c r="BE100" s="964"/>
      <c r="BF100" s="964"/>
      <c r="BG100" s="742"/>
      <c r="BH100" s="964"/>
      <c r="BI100" s="964"/>
      <c r="BJ100" s="964"/>
      <c r="BK100" s="742"/>
      <c r="BL100" s="742"/>
      <c r="BM100" s="358"/>
      <c r="BN100" s="358"/>
    </row>
    <row r="101" spans="1:66" ht="15.75" customHeight="1">
      <c r="A101" s="630"/>
      <c r="B101" s="630"/>
      <c r="C101" s="974"/>
      <c r="D101" s="974"/>
      <c r="E101" s="744"/>
      <c r="F101" s="744"/>
      <c r="G101" s="744"/>
      <c r="H101" s="368" t="str">
        <f t="shared" si="24"/>
        <v/>
      </c>
      <c r="I101" s="368" t="str">
        <f t="shared" si="25"/>
        <v/>
      </c>
      <c r="J101" s="368" t="str">
        <f t="shared" si="26"/>
        <v/>
      </c>
      <c r="K101" s="368" t="str">
        <f t="shared" si="27"/>
        <v/>
      </c>
      <c r="L101" s="744"/>
      <c r="M101" s="744"/>
      <c r="N101" s="744"/>
      <c r="O101" s="744"/>
      <c r="P101" s="744"/>
      <c r="Q101" s="744"/>
      <c r="R101" s="744"/>
      <c r="S101" s="744"/>
      <c r="T101" s="744"/>
      <c r="U101" s="744"/>
      <c r="V101" s="744"/>
      <c r="W101" s="744"/>
      <c r="X101" s="744"/>
      <c r="Y101" s="744"/>
      <c r="Z101" s="744"/>
      <c r="AA101" s="744"/>
      <c r="AB101" s="744"/>
      <c r="AC101" s="744"/>
      <c r="AD101" s="744"/>
      <c r="AE101" s="744"/>
      <c r="AF101" s="744"/>
      <c r="AG101" s="744"/>
      <c r="AH101" s="744"/>
      <c r="AI101" s="744"/>
      <c r="AJ101" s="744"/>
      <c r="AK101" s="744"/>
      <c r="AL101" s="744"/>
      <c r="AM101" s="744"/>
      <c r="AN101" s="744"/>
      <c r="AO101" s="744"/>
      <c r="AP101" s="630"/>
      <c r="AQ101" s="966"/>
      <c r="AR101" s="966"/>
      <c r="AS101" s="630"/>
      <c r="AT101" s="966"/>
      <c r="AU101" s="966"/>
      <c r="AV101" s="630"/>
      <c r="AW101" s="742"/>
      <c r="AX101" s="742"/>
      <c r="AY101" s="742"/>
      <c r="AZ101" s="742"/>
      <c r="BA101" s="742"/>
      <c r="BB101" s="964"/>
      <c r="BC101" s="964"/>
      <c r="BD101" s="742"/>
      <c r="BE101" s="742"/>
      <c r="BF101" s="742"/>
      <c r="BG101" s="966"/>
      <c r="BH101" s="630"/>
      <c r="BI101" s="630"/>
      <c r="BJ101" s="630"/>
      <c r="BK101" s="630"/>
      <c r="BL101" s="630"/>
      <c r="BM101" s="3"/>
      <c r="BN101" s="3"/>
    </row>
    <row r="102" spans="1:66" ht="15.75" customHeight="1">
      <c r="A102" s="630"/>
      <c r="B102" s="630"/>
      <c r="C102" s="974"/>
      <c r="D102" s="974"/>
      <c r="E102" s="962" t="s">
        <v>1570</v>
      </c>
      <c r="F102" s="962" t="s">
        <v>1571</v>
      </c>
      <c r="G102" s="1224" t="e">
        <f xml:space="preserve"> _xlfn.XLOOKUP($E102, Tabla3[CURP],#REF!)</f>
        <v>#REF!</v>
      </c>
      <c r="H102" s="976" t="str">
        <f t="shared" si="24"/>
        <v>H</v>
      </c>
      <c r="I102" s="976" t="str">
        <f t="shared" si="25"/>
        <v>93</v>
      </c>
      <c r="J102" s="976" t="str">
        <f t="shared" si="26"/>
        <v>03</v>
      </c>
      <c r="K102" s="976" t="str">
        <f t="shared" si="27"/>
        <v>14</v>
      </c>
      <c r="L102" s="749" t="s">
        <v>1423</v>
      </c>
      <c r="M102" s="967"/>
      <c r="N102" s="967"/>
      <c r="O102" s="630"/>
      <c r="P102" s="630"/>
      <c r="Q102" s="630"/>
      <c r="R102" s="630"/>
      <c r="S102" s="630"/>
      <c r="T102" s="630"/>
      <c r="U102" s="630"/>
      <c r="V102" s="630"/>
      <c r="W102" s="630"/>
      <c r="X102" s="630"/>
      <c r="Y102" s="630"/>
      <c r="Z102" s="630"/>
      <c r="AA102" s="630" t="s">
        <v>135</v>
      </c>
      <c r="AB102" s="630"/>
      <c r="AC102" s="630"/>
      <c r="AD102" s="630"/>
      <c r="AE102" s="630"/>
      <c r="AF102" s="630" t="s">
        <v>136</v>
      </c>
      <c r="AG102" s="630"/>
      <c r="AH102" s="630"/>
      <c r="AI102" s="630"/>
      <c r="AJ102" s="630"/>
      <c r="AK102" s="630"/>
      <c r="AL102" s="630"/>
      <c r="AM102" s="630"/>
      <c r="AN102" s="630"/>
      <c r="AO102" s="630"/>
      <c r="AP102" s="630"/>
      <c r="AQ102" s="630"/>
      <c r="AR102" s="630"/>
      <c r="AS102" s="630"/>
      <c r="AT102" s="630"/>
      <c r="AU102" s="630"/>
      <c r="AV102" s="630"/>
      <c r="AW102" s="742"/>
      <c r="AX102" s="968"/>
      <c r="AY102" s="968"/>
      <c r="AZ102" s="742"/>
      <c r="BA102" s="742"/>
      <c r="BB102" s="742"/>
      <c r="BC102" s="742"/>
      <c r="BD102" s="968"/>
      <c r="BE102" s="742"/>
      <c r="BF102" s="742">
        <v>9.6999999999999993</v>
      </c>
      <c r="BG102" s="630"/>
      <c r="BH102" s="630"/>
      <c r="BI102" s="630"/>
      <c r="BJ102" s="630"/>
      <c r="BK102" s="630"/>
      <c r="BL102" s="630"/>
      <c r="BM102" s="3"/>
      <c r="BN102" s="3"/>
    </row>
    <row r="103" spans="1:66" ht="15.75" customHeight="1">
      <c r="A103" s="630"/>
      <c r="B103" s="630"/>
      <c r="C103" s="974"/>
      <c r="D103" s="974"/>
      <c r="E103" s="962" t="s">
        <v>1573</v>
      </c>
      <c r="F103" s="962" t="s">
        <v>1574</v>
      </c>
      <c r="G103" s="1224" t="e">
        <f xml:space="preserve"> _xlfn.XLOOKUP($E103, Tabla3[CURP],#REF!)</f>
        <v>#REF!</v>
      </c>
      <c r="H103" s="976" t="str">
        <f t="shared" si="24"/>
        <v>M</v>
      </c>
      <c r="I103" s="976" t="str">
        <f t="shared" si="25"/>
        <v>75</v>
      </c>
      <c r="J103" s="976" t="str">
        <f t="shared" si="26"/>
        <v>09</v>
      </c>
      <c r="K103" s="976" t="str">
        <f t="shared" si="27"/>
        <v>11</v>
      </c>
      <c r="L103" s="749" t="s">
        <v>1423</v>
      </c>
      <c r="M103" s="630"/>
      <c r="N103" s="630"/>
      <c r="O103" s="630"/>
      <c r="P103" s="630"/>
      <c r="Q103" s="630"/>
      <c r="R103" s="630"/>
      <c r="S103" s="630"/>
      <c r="T103" s="630"/>
      <c r="U103" s="630"/>
      <c r="V103" s="630"/>
      <c r="W103" s="630"/>
      <c r="X103" s="630"/>
      <c r="Y103" s="630"/>
      <c r="Z103" s="637"/>
      <c r="AA103" s="630" t="s">
        <v>135</v>
      </c>
      <c r="AB103" s="630"/>
      <c r="AC103" s="630"/>
      <c r="AD103" s="630"/>
      <c r="AE103" s="630"/>
      <c r="AF103" s="630" t="s">
        <v>136</v>
      </c>
      <c r="AG103" s="630"/>
      <c r="AH103" s="630"/>
      <c r="AI103" s="630"/>
      <c r="AJ103" s="630"/>
      <c r="AK103" s="630"/>
      <c r="AL103" s="630"/>
      <c r="AM103" s="630"/>
      <c r="AN103" s="630"/>
      <c r="AO103" s="630"/>
      <c r="AP103" s="630"/>
      <c r="AQ103" s="630"/>
      <c r="AR103" s="630"/>
      <c r="AS103" s="630"/>
      <c r="AT103" s="630"/>
      <c r="AU103" s="630"/>
      <c r="AV103" s="630"/>
      <c r="AW103" s="742"/>
      <c r="AX103" s="742"/>
      <c r="AY103" s="742"/>
      <c r="AZ103" s="742">
        <v>0</v>
      </c>
      <c r="BA103" s="742"/>
      <c r="BB103" s="742"/>
      <c r="BC103" s="742"/>
      <c r="BD103" s="742"/>
      <c r="BE103" s="742"/>
      <c r="BF103" s="742" t="s">
        <v>136</v>
      </c>
      <c r="BG103" s="630"/>
      <c r="BH103" s="630"/>
      <c r="BI103" s="630"/>
      <c r="BJ103" s="630"/>
      <c r="BK103" s="630"/>
      <c r="BL103" s="630"/>
      <c r="BM103" s="3"/>
      <c r="BN103" s="3"/>
    </row>
    <row r="104" spans="1:66" ht="15.75" customHeight="1">
      <c r="A104" s="2"/>
      <c r="B104" s="2"/>
      <c r="C104" s="2"/>
      <c r="D104" s="2"/>
      <c r="E104" s="2"/>
      <c r="F104" s="2"/>
      <c r="G104" s="2"/>
      <c r="H104" s="185"/>
      <c r="I104" s="185"/>
      <c r="J104" s="185"/>
      <c r="K104" s="185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219"/>
      <c r="BH104" s="2"/>
      <c r="BI104" s="2"/>
      <c r="BJ104" s="2"/>
      <c r="BK104" s="2"/>
      <c r="BL104" s="2"/>
      <c r="BM104" s="3"/>
      <c r="BN104" s="3"/>
    </row>
    <row r="105" spans="1:66" ht="15.75" customHeight="1">
      <c r="A105" s="2"/>
      <c r="B105" s="2"/>
      <c r="C105" s="2"/>
      <c r="D105" s="2"/>
      <c r="E105" s="2"/>
      <c r="F105" s="2"/>
      <c r="G105" s="2"/>
      <c r="H105" s="185"/>
      <c r="I105" s="185"/>
      <c r="J105" s="185"/>
      <c r="K105" s="185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424"/>
      <c r="BH105" s="2"/>
      <c r="BI105" s="2"/>
      <c r="BJ105" s="2"/>
      <c r="BK105" s="2"/>
      <c r="BL105" s="2"/>
      <c r="BM105" s="3"/>
      <c r="BN105" s="3"/>
    </row>
    <row r="106" spans="1:66" ht="15.75" customHeight="1" thickBot="1">
      <c r="A106" s="2" t="s">
        <v>580</v>
      </c>
      <c r="B106" s="2"/>
      <c r="C106" s="2"/>
      <c r="D106" s="2"/>
      <c r="E106" s="2"/>
      <c r="F106" s="2"/>
      <c r="G106" s="2"/>
      <c r="H106" s="185"/>
      <c r="I106" s="185"/>
      <c r="J106" s="185"/>
      <c r="K106" s="185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424"/>
      <c r="BH106" s="2"/>
      <c r="BI106" s="2"/>
      <c r="BJ106" s="2"/>
      <c r="BK106" s="2"/>
      <c r="BL106" s="2"/>
      <c r="BM106" s="3"/>
      <c r="BN106" s="3"/>
    </row>
    <row r="107" spans="1:66" ht="15.75" customHeight="1">
      <c r="A107" s="353"/>
      <c r="B107" s="4166" t="s">
        <v>5</v>
      </c>
      <c r="C107" s="198" t="s">
        <v>1576</v>
      </c>
      <c r="D107" s="1670"/>
      <c r="E107" s="4464" t="s">
        <v>6</v>
      </c>
      <c r="F107" s="4547" t="s">
        <v>7</v>
      </c>
      <c r="G107" s="178" t="s">
        <v>8</v>
      </c>
      <c r="H107" s="4544" t="s">
        <v>9</v>
      </c>
      <c r="I107" s="4545" t="s">
        <v>10</v>
      </c>
      <c r="J107" s="4458"/>
      <c r="K107" s="4458"/>
      <c r="L107" s="4549"/>
      <c r="M107" s="4532" t="s">
        <v>1759</v>
      </c>
      <c r="N107" s="898"/>
      <c r="O107" s="202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  <c r="AI107" s="202"/>
      <c r="AJ107" s="202"/>
      <c r="AK107" s="202"/>
      <c r="AL107" s="202"/>
      <c r="AM107" s="4543" t="s">
        <v>1516</v>
      </c>
      <c r="AN107" s="4133"/>
      <c r="AO107" s="4133"/>
      <c r="AP107" s="4133"/>
      <c r="AQ107" s="4133"/>
      <c r="AR107" s="4134"/>
      <c r="AS107" s="202"/>
      <c r="AT107" s="202"/>
      <c r="AU107" s="202"/>
      <c r="AV107" s="202"/>
      <c r="AW107" s="202"/>
      <c r="AX107" s="202"/>
      <c r="AY107" s="202"/>
      <c r="AZ107" s="202"/>
      <c r="BA107" s="202"/>
      <c r="BB107" s="202"/>
      <c r="BC107" s="202"/>
      <c r="BD107" s="202"/>
      <c r="BE107" s="202"/>
      <c r="BF107" s="202"/>
      <c r="BG107" s="202"/>
      <c r="BH107" s="202"/>
      <c r="BI107" s="202"/>
      <c r="BJ107" s="202"/>
      <c r="BK107" s="353"/>
      <c r="BL107" s="357"/>
      <c r="BM107" s="358"/>
      <c r="BN107" s="358"/>
    </row>
    <row r="108" spans="1:66" ht="42.6" customHeight="1" thickBot="1">
      <c r="A108" s="219" t="s">
        <v>1577</v>
      </c>
      <c r="B108" s="4162"/>
      <c r="C108" s="11" t="s">
        <v>1448</v>
      </c>
      <c r="D108" s="888"/>
      <c r="E108" s="4466"/>
      <c r="F108" s="4548"/>
      <c r="G108" s="425" t="s">
        <v>78</v>
      </c>
      <c r="H108" s="4456"/>
      <c r="I108" s="12" t="s">
        <v>79</v>
      </c>
      <c r="J108" s="12" t="s">
        <v>80</v>
      </c>
      <c r="K108" s="13" t="s">
        <v>81</v>
      </c>
      <c r="L108" s="360" t="s">
        <v>27</v>
      </c>
      <c r="M108" s="4533"/>
      <c r="N108" s="360"/>
      <c r="O108" s="360" t="s">
        <v>1346</v>
      </c>
      <c r="P108" s="360" t="s">
        <v>1347</v>
      </c>
      <c r="Q108" s="360" t="s">
        <v>1348</v>
      </c>
      <c r="R108" s="360" t="s">
        <v>1349</v>
      </c>
      <c r="S108" s="360" t="s">
        <v>1350</v>
      </c>
      <c r="T108" s="360" t="s">
        <v>1351</v>
      </c>
      <c r="U108" s="360" t="s">
        <v>1352</v>
      </c>
      <c r="V108" s="360" t="s">
        <v>1353</v>
      </c>
      <c r="W108" s="360" t="s">
        <v>1354</v>
      </c>
      <c r="X108" s="360" t="s">
        <v>1355</v>
      </c>
      <c r="Y108" s="360" t="s">
        <v>1356</v>
      </c>
      <c r="Z108" s="201" t="s">
        <v>1357</v>
      </c>
      <c r="AA108" s="201" t="s">
        <v>1358</v>
      </c>
      <c r="AB108" s="201" t="s">
        <v>1359</v>
      </c>
      <c r="AC108" s="201" t="s">
        <v>1360</v>
      </c>
      <c r="AD108" s="201" t="s">
        <v>1361</v>
      </c>
      <c r="AE108" s="201" t="s">
        <v>1362</v>
      </c>
      <c r="AF108" s="201" t="s">
        <v>1363</v>
      </c>
      <c r="AG108" s="360" t="s">
        <v>1364</v>
      </c>
      <c r="AH108" s="360" t="s">
        <v>1365</v>
      </c>
      <c r="AI108" s="360" t="s">
        <v>1366</v>
      </c>
      <c r="AJ108" s="360" t="s">
        <v>1367</v>
      </c>
      <c r="AK108" s="360" t="s">
        <v>1368</v>
      </c>
      <c r="AL108" s="360" t="s">
        <v>1369</v>
      </c>
      <c r="AM108" s="360" t="s">
        <v>1370</v>
      </c>
      <c r="AN108" s="360" t="s">
        <v>1371</v>
      </c>
      <c r="AO108" s="360" t="s">
        <v>1372</v>
      </c>
      <c r="AP108" s="360" t="s">
        <v>1373</v>
      </c>
      <c r="AQ108" s="360" t="s">
        <v>1374</v>
      </c>
      <c r="AR108" s="360" t="s">
        <v>1375</v>
      </c>
      <c r="AS108" s="426" t="s">
        <v>1376</v>
      </c>
      <c r="AT108" s="426" t="s">
        <v>1377</v>
      </c>
      <c r="AU108" s="426" t="s">
        <v>1378</v>
      </c>
      <c r="AV108" s="426" t="s">
        <v>1578</v>
      </c>
      <c r="AW108" s="426" t="s">
        <v>1380</v>
      </c>
      <c r="AX108" s="426" t="s">
        <v>1381</v>
      </c>
      <c r="AY108" s="426" t="s">
        <v>1382</v>
      </c>
      <c r="AZ108" s="426" t="s">
        <v>1383</v>
      </c>
      <c r="BA108" s="426" t="s">
        <v>1384</v>
      </c>
      <c r="BB108" s="426" t="s">
        <v>1385</v>
      </c>
      <c r="BC108" s="426" t="s">
        <v>1386</v>
      </c>
      <c r="BD108" s="426" t="s">
        <v>1517</v>
      </c>
      <c r="BE108" s="426" t="s">
        <v>1388</v>
      </c>
      <c r="BF108" s="426" t="s">
        <v>1389</v>
      </c>
      <c r="BG108" s="426" t="s">
        <v>1390</v>
      </c>
      <c r="BH108" s="426" t="s">
        <v>1391</v>
      </c>
      <c r="BI108" s="426" t="s">
        <v>1392</v>
      </c>
      <c r="BJ108" s="201" t="s">
        <v>1393</v>
      </c>
      <c r="BK108" s="219" t="s">
        <v>1394</v>
      </c>
      <c r="BL108" s="427" t="s">
        <v>1518</v>
      </c>
      <c r="BM108" s="3"/>
      <c r="BN108" s="3"/>
    </row>
    <row r="109" spans="1:66" ht="15.75" customHeight="1">
      <c r="A109" s="367" t="s">
        <v>1345</v>
      </c>
      <c r="B109" s="367">
        <v>1</v>
      </c>
      <c r="C109" s="428">
        <v>44247</v>
      </c>
      <c r="D109" s="428"/>
      <c r="E109" s="195" t="s">
        <v>624</v>
      </c>
      <c r="F109" s="367" t="s">
        <v>1579</v>
      </c>
      <c r="G109" s="1222" t="e">
        <f xml:space="preserve"> _xlfn.XLOOKUP($E109, Tabla3[CURP],#REF!)</f>
        <v>#REF!</v>
      </c>
      <c r="H109" s="977" t="str">
        <f t="shared" ref="H109:H112" si="28">MID(E109,11,1)</f>
        <v>M</v>
      </c>
      <c r="I109" s="977" t="str">
        <f t="shared" ref="I109:I112" si="29">MID(E109,5,2)</f>
        <v>74</v>
      </c>
      <c r="J109" s="977" t="str">
        <f t="shared" ref="J109:J112" si="30">MID(E109,7,2)</f>
        <v>06</v>
      </c>
      <c r="K109" s="977" t="str">
        <f t="shared" ref="K109:K112" si="31">MID(E109,9,2)</f>
        <v>01</v>
      </c>
      <c r="L109" s="367" t="s">
        <v>1207</v>
      </c>
      <c r="M109" s="429"/>
      <c r="N109" s="429"/>
      <c r="O109" s="430">
        <v>10</v>
      </c>
      <c r="P109" s="431">
        <v>10</v>
      </c>
      <c r="Q109" s="431">
        <v>10</v>
      </c>
      <c r="R109" s="431">
        <v>10</v>
      </c>
      <c r="S109" s="431">
        <v>10</v>
      </c>
      <c r="T109" s="431">
        <v>10</v>
      </c>
      <c r="U109" s="430">
        <v>10</v>
      </c>
      <c r="V109" s="432">
        <v>10</v>
      </c>
      <c r="W109" s="432">
        <v>10</v>
      </c>
      <c r="X109" s="432">
        <v>10</v>
      </c>
      <c r="Y109" s="432">
        <v>10</v>
      </c>
      <c r="Z109" s="432">
        <v>10</v>
      </c>
      <c r="AA109" s="433">
        <v>10</v>
      </c>
      <c r="AB109" s="433">
        <v>10</v>
      </c>
      <c r="AC109" s="433">
        <v>10</v>
      </c>
      <c r="AD109" s="433">
        <v>10</v>
      </c>
      <c r="AE109" s="434">
        <v>9.4</v>
      </c>
      <c r="AF109" s="434">
        <v>8.1</v>
      </c>
      <c r="AG109" s="434">
        <v>10</v>
      </c>
      <c r="AH109" s="433">
        <v>10</v>
      </c>
      <c r="AI109" s="433">
        <v>10</v>
      </c>
      <c r="AJ109" s="433">
        <v>10</v>
      </c>
      <c r="AK109" s="434">
        <v>9.1999999999999993</v>
      </c>
      <c r="AL109" s="433">
        <v>10</v>
      </c>
      <c r="AM109" s="430">
        <v>10</v>
      </c>
      <c r="AN109" s="434">
        <v>9.6</v>
      </c>
      <c r="AO109" s="430">
        <v>10</v>
      </c>
      <c r="AP109" s="434">
        <v>9.6</v>
      </c>
      <c r="AQ109" s="433">
        <v>10</v>
      </c>
      <c r="AR109" s="434">
        <v>8.5</v>
      </c>
      <c r="AS109" s="434">
        <v>9</v>
      </c>
      <c r="AT109" s="433">
        <v>10</v>
      </c>
      <c r="AU109" s="433">
        <v>10</v>
      </c>
      <c r="AV109" s="433">
        <v>10</v>
      </c>
      <c r="AW109" s="430">
        <v>10</v>
      </c>
      <c r="AX109" s="430">
        <v>10</v>
      </c>
      <c r="AY109" s="433">
        <v>10</v>
      </c>
      <c r="AZ109" s="430">
        <v>10</v>
      </c>
      <c r="BA109" s="430">
        <v>10</v>
      </c>
      <c r="BB109" s="430">
        <v>10</v>
      </c>
      <c r="BC109" s="433">
        <v>10</v>
      </c>
      <c r="BD109" s="430">
        <v>10</v>
      </c>
      <c r="BE109" s="430">
        <v>10</v>
      </c>
      <c r="BF109" s="435">
        <v>9</v>
      </c>
      <c r="BG109" s="434">
        <v>9.6</v>
      </c>
      <c r="BH109" s="435">
        <v>10</v>
      </c>
      <c r="BI109" s="434">
        <v>9.6</v>
      </c>
      <c r="BJ109" s="433">
        <v>10</v>
      </c>
      <c r="BK109" s="365">
        <f t="shared" ref="BK109:BK113" si="32">SUM(AB109:BG109)/18</f>
        <v>17.333333333333332</v>
      </c>
      <c r="BL109" s="365">
        <f>AVERAGE(O109:BJ109)</f>
        <v>9.8250000000000011</v>
      </c>
      <c r="BM109" s="3"/>
      <c r="BN109" s="3"/>
    </row>
    <row r="110" spans="1:66" ht="15.75" customHeight="1">
      <c r="A110" s="369" t="s">
        <v>1345</v>
      </c>
      <c r="B110" s="367">
        <v>2</v>
      </c>
      <c r="C110" s="428">
        <v>44216</v>
      </c>
      <c r="D110" s="428"/>
      <c r="E110" s="390" t="s">
        <v>627</v>
      </c>
      <c r="F110" s="367" t="s">
        <v>628</v>
      </c>
      <c r="G110" s="1222" t="e">
        <f xml:space="preserve"> _xlfn.XLOOKUP($E110, Tabla3[CURP],#REF!)</f>
        <v>#REF!</v>
      </c>
      <c r="H110" s="977" t="str">
        <f t="shared" si="28"/>
        <v>H</v>
      </c>
      <c r="I110" s="977" t="str">
        <f t="shared" si="29"/>
        <v>83</v>
      </c>
      <c r="J110" s="977" t="str">
        <f t="shared" si="30"/>
        <v>12</v>
      </c>
      <c r="K110" s="977" t="str">
        <f t="shared" si="31"/>
        <v>01</v>
      </c>
      <c r="L110" s="369"/>
      <c r="M110" s="436"/>
      <c r="N110" s="436"/>
      <c r="O110" s="437">
        <v>10</v>
      </c>
      <c r="P110" s="437">
        <v>10</v>
      </c>
      <c r="Q110" s="437">
        <v>10</v>
      </c>
      <c r="R110" s="437">
        <v>10</v>
      </c>
      <c r="S110" s="437">
        <v>10</v>
      </c>
      <c r="T110" s="437">
        <v>10</v>
      </c>
      <c r="U110" s="430">
        <v>9</v>
      </c>
      <c r="V110" s="433">
        <v>8</v>
      </c>
      <c r="W110" s="433">
        <v>8</v>
      </c>
      <c r="X110" s="433">
        <v>9</v>
      </c>
      <c r="Y110" s="433">
        <v>9</v>
      </c>
      <c r="Z110" s="430">
        <v>9.5</v>
      </c>
      <c r="AA110" s="430">
        <v>10</v>
      </c>
      <c r="AB110" s="430">
        <v>10</v>
      </c>
      <c r="AC110" s="433">
        <v>8</v>
      </c>
      <c r="AD110" s="438">
        <v>8</v>
      </c>
      <c r="AE110" s="433">
        <v>9</v>
      </c>
      <c r="AF110" s="430">
        <v>8</v>
      </c>
      <c r="AG110" s="433">
        <v>8</v>
      </c>
      <c r="AH110" s="433">
        <v>8</v>
      </c>
      <c r="AI110" s="433">
        <v>9</v>
      </c>
      <c r="AJ110" s="433">
        <v>8</v>
      </c>
      <c r="AK110" s="433">
        <v>7</v>
      </c>
      <c r="AL110" s="433">
        <v>9</v>
      </c>
      <c r="AM110" s="430">
        <v>10</v>
      </c>
      <c r="AN110" s="433">
        <v>9</v>
      </c>
      <c r="AO110" s="433">
        <v>9</v>
      </c>
      <c r="AP110" s="430">
        <v>10</v>
      </c>
      <c r="AQ110" s="433">
        <v>8</v>
      </c>
      <c r="AR110" s="433">
        <v>9</v>
      </c>
      <c r="AS110" s="430">
        <v>9.5</v>
      </c>
      <c r="AT110" s="433">
        <v>9</v>
      </c>
      <c r="AU110" s="433">
        <v>9</v>
      </c>
      <c r="AV110" s="430">
        <v>10</v>
      </c>
      <c r="AW110" s="430">
        <v>9</v>
      </c>
      <c r="AX110" s="430">
        <v>10</v>
      </c>
      <c r="AY110" s="430">
        <v>10</v>
      </c>
      <c r="AZ110" s="430">
        <v>10</v>
      </c>
      <c r="BA110" s="433">
        <v>8</v>
      </c>
      <c r="BB110" s="433">
        <v>8</v>
      </c>
      <c r="BC110" s="433">
        <v>8</v>
      </c>
      <c r="BD110" s="430">
        <v>10</v>
      </c>
      <c r="BE110" s="430">
        <v>10</v>
      </c>
      <c r="BF110" s="430">
        <v>9</v>
      </c>
      <c r="BG110" s="433">
        <v>8</v>
      </c>
      <c r="BH110" s="430">
        <v>10</v>
      </c>
      <c r="BI110" s="430">
        <v>8</v>
      </c>
      <c r="BJ110" s="433">
        <v>9</v>
      </c>
      <c r="BK110" s="365">
        <f t="shared" si="32"/>
        <v>15.805555555555555</v>
      </c>
      <c r="BL110" s="371">
        <f>AVERAGE(O110:BJ110)</f>
        <v>9.0416666666666661</v>
      </c>
      <c r="BM110" s="3"/>
      <c r="BN110" s="3"/>
    </row>
    <row r="111" spans="1:66" ht="15.75" customHeight="1">
      <c r="A111" s="367" t="s">
        <v>1580</v>
      </c>
      <c r="B111" s="367">
        <v>3</v>
      </c>
      <c r="C111" s="439">
        <v>44367</v>
      </c>
      <c r="D111" s="439"/>
      <c r="E111" s="195" t="s">
        <v>664</v>
      </c>
      <c r="F111" s="367" t="s">
        <v>1113</v>
      </c>
      <c r="G111" s="1222" t="e">
        <f xml:space="preserve"> _xlfn.XLOOKUP($E111, Tabla3[CURP],#REF!)</f>
        <v>#REF!</v>
      </c>
      <c r="H111" s="977" t="str">
        <f t="shared" si="28"/>
        <v>M</v>
      </c>
      <c r="I111" s="977" t="str">
        <f t="shared" si="29"/>
        <v>89</v>
      </c>
      <c r="J111" s="977" t="str">
        <f t="shared" si="30"/>
        <v>04</v>
      </c>
      <c r="K111" s="977" t="str">
        <f t="shared" si="31"/>
        <v>08</v>
      </c>
      <c r="L111" s="367"/>
      <c r="M111" s="429"/>
      <c r="N111" s="429"/>
      <c r="O111" s="433">
        <v>6</v>
      </c>
      <c r="P111" s="433">
        <v>7</v>
      </c>
      <c r="Q111" s="433">
        <v>7</v>
      </c>
      <c r="R111" s="433">
        <v>7</v>
      </c>
      <c r="S111" s="433">
        <v>7</v>
      </c>
      <c r="T111" s="438">
        <v>9</v>
      </c>
      <c r="U111" s="430">
        <v>9</v>
      </c>
      <c r="V111" s="433">
        <v>7</v>
      </c>
      <c r="W111" s="433">
        <v>9</v>
      </c>
      <c r="X111" s="433">
        <v>8</v>
      </c>
      <c r="Y111" s="433">
        <v>6</v>
      </c>
      <c r="Z111" s="440">
        <v>9.5</v>
      </c>
      <c r="AA111" s="430">
        <v>10</v>
      </c>
      <c r="AB111" s="430">
        <v>10</v>
      </c>
      <c r="AC111" s="433">
        <v>8</v>
      </c>
      <c r="AD111" s="433">
        <v>7</v>
      </c>
      <c r="AE111" s="433">
        <v>6</v>
      </c>
      <c r="AF111" s="430">
        <v>10</v>
      </c>
      <c r="AG111" s="433">
        <v>9</v>
      </c>
      <c r="AH111" s="433">
        <v>8</v>
      </c>
      <c r="AI111" s="433">
        <v>7</v>
      </c>
      <c r="AJ111" s="433">
        <v>7</v>
      </c>
      <c r="AK111" s="433">
        <v>9</v>
      </c>
      <c r="AL111" s="433">
        <v>7</v>
      </c>
      <c r="AM111" s="430">
        <v>10</v>
      </c>
      <c r="AN111" s="433">
        <v>6</v>
      </c>
      <c r="AO111" s="433">
        <v>6</v>
      </c>
      <c r="AP111" s="430">
        <v>10</v>
      </c>
      <c r="AQ111" s="433">
        <v>8</v>
      </c>
      <c r="AR111" s="433">
        <v>6</v>
      </c>
      <c r="AS111" s="433">
        <v>6</v>
      </c>
      <c r="AT111" s="433">
        <v>6</v>
      </c>
      <c r="AU111" s="433">
        <v>7</v>
      </c>
      <c r="AV111" s="430">
        <v>10</v>
      </c>
      <c r="AW111" s="430">
        <v>9</v>
      </c>
      <c r="AX111" s="430">
        <v>10</v>
      </c>
      <c r="AY111" s="430">
        <v>10</v>
      </c>
      <c r="AZ111" s="430">
        <v>10</v>
      </c>
      <c r="BA111" s="433">
        <v>6</v>
      </c>
      <c r="BB111" s="433">
        <v>6</v>
      </c>
      <c r="BC111" s="433">
        <v>7</v>
      </c>
      <c r="BD111" s="430">
        <v>10</v>
      </c>
      <c r="BE111" s="430">
        <v>10</v>
      </c>
      <c r="BF111" s="437">
        <v>10</v>
      </c>
      <c r="BG111" s="433">
        <v>6</v>
      </c>
      <c r="BH111" s="430">
        <v>10</v>
      </c>
      <c r="BI111" s="430">
        <v>8</v>
      </c>
      <c r="BJ111" s="433">
        <v>6</v>
      </c>
      <c r="BK111" s="365">
        <f t="shared" si="32"/>
        <v>14.277777777777779</v>
      </c>
      <c r="BL111" s="371">
        <f>AVERAGE(O111:BJ111)</f>
        <v>7.96875</v>
      </c>
      <c r="BM111" s="3"/>
      <c r="BN111" s="3"/>
    </row>
    <row r="112" spans="1:66" ht="15.75" customHeight="1">
      <c r="A112" s="441" t="s">
        <v>1581</v>
      </c>
      <c r="B112" s="376">
        <v>4</v>
      </c>
      <c r="C112" s="262"/>
      <c r="D112" s="262"/>
      <c r="E112" s="195" t="s">
        <v>1582</v>
      </c>
      <c r="F112" s="376"/>
      <c r="G112" s="1222" t="e">
        <f xml:space="preserve"> _xlfn.XLOOKUP($E112, Tabla3[CURP],#REF!)</f>
        <v>#REF!</v>
      </c>
      <c r="H112" s="977" t="str">
        <f t="shared" si="28"/>
        <v>H</v>
      </c>
      <c r="I112" s="977" t="str">
        <f t="shared" si="29"/>
        <v>78</v>
      </c>
      <c r="J112" s="977" t="str">
        <f t="shared" si="30"/>
        <v>10</v>
      </c>
      <c r="K112" s="977" t="str">
        <f t="shared" si="31"/>
        <v>20</v>
      </c>
      <c r="L112" s="369"/>
      <c r="M112" s="429"/>
      <c r="N112" s="429"/>
      <c r="O112" s="433">
        <v>7</v>
      </c>
      <c r="P112" s="433">
        <v>7</v>
      </c>
      <c r="Q112" s="433">
        <v>7</v>
      </c>
      <c r="R112" s="433">
        <v>7</v>
      </c>
      <c r="S112" s="433">
        <v>8</v>
      </c>
      <c r="T112" s="433">
        <v>9</v>
      </c>
      <c r="U112" s="430">
        <v>9</v>
      </c>
      <c r="V112" s="433">
        <v>8</v>
      </c>
      <c r="W112" s="433">
        <v>10</v>
      </c>
      <c r="X112" s="433">
        <v>9</v>
      </c>
      <c r="Y112" s="433">
        <v>7</v>
      </c>
      <c r="Z112" s="440">
        <v>9.5</v>
      </c>
      <c r="AA112" s="430">
        <v>10</v>
      </c>
      <c r="AB112" s="430">
        <v>10</v>
      </c>
      <c r="AC112" s="430">
        <v>8</v>
      </c>
      <c r="AD112" s="430">
        <v>8</v>
      </c>
      <c r="AE112" s="430">
        <v>10</v>
      </c>
      <c r="AF112" s="430">
        <v>10</v>
      </c>
      <c r="AG112" s="430">
        <v>8</v>
      </c>
      <c r="AH112" s="433">
        <v>8</v>
      </c>
      <c r="AI112" s="433">
        <v>8</v>
      </c>
      <c r="AJ112" s="433">
        <v>7</v>
      </c>
      <c r="AK112" s="433">
        <v>10</v>
      </c>
      <c r="AL112" s="433">
        <v>9</v>
      </c>
      <c r="AM112" s="430">
        <v>10</v>
      </c>
      <c r="AN112" s="433">
        <v>8</v>
      </c>
      <c r="AO112" s="433">
        <v>7</v>
      </c>
      <c r="AP112" s="430">
        <v>10</v>
      </c>
      <c r="AQ112" s="438">
        <v>9</v>
      </c>
      <c r="AR112" s="438">
        <v>7</v>
      </c>
      <c r="AS112" s="433">
        <v>8</v>
      </c>
      <c r="AT112" s="438">
        <v>7</v>
      </c>
      <c r="AU112" s="438">
        <v>8</v>
      </c>
      <c r="AV112" s="430">
        <v>10</v>
      </c>
      <c r="AW112" s="430">
        <v>9</v>
      </c>
      <c r="AX112" s="430">
        <v>10</v>
      </c>
      <c r="AY112" s="430">
        <v>10</v>
      </c>
      <c r="AZ112" s="430">
        <v>10</v>
      </c>
      <c r="BA112" s="438">
        <v>7</v>
      </c>
      <c r="BB112" s="433">
        <v>8</v>
      </c>
      <c r="BC112" s="433">
        <v>8</v>
      </c>
      <c r="BD112" s="430">
        <v>10</v>
      </c>
      <c r="BE112" s="430">
        <v>10</v>
      </c>
      <c r="BF112" s="430">
        <v>10</v>
      </c>
      <c r="BG112" s="438">
        <v>8</v>
      </c>
      <c r="BH112" s="430">
        <v>10</v>
      </c>
      <c r="BI112" s="430">
        <v>10</v>
      </c>
      <c r="BJ112" s="433">
        <v>9</v>
      </c>
      <c r="BK112" s="365">
        <f t="shared" si="32"/>
        <v>15.555555555555555</v>
      </c>
      <c r="BL112" s="371">
        <f>AVERAGE(O112:BJ112)</f>
        <v>8.6770833333333339</v>
      </c>
      <c r="BM112" s="3"/>
      <c r="BN112" s="3"/>
    </row>
    <row r="113" spans="1:66" ht="15.75" customHeight="1">
      <c r="A113" s="378"/>
      <c r="B113" s="377"/>
      <c r="C113" s="56"/>
      <c r="D113" s="701"/>
      <c r="E113" s="2"/>
      <c r="F113" s="377"/>
      <c r="G113" s="377"/>
      <c r="H113" s="442"/>
      <c r="I113" s="442"/>
      <c r="J113" s="442"/>
      <c r="K113" s="442"/>
      <c r="L113" s="3"/>
      <c r="M113" s="362"/>
      <c r="N113" s="979"/>
      <c r="O113" s="362"/>
      <c r="P113" s="362"/>
      <c r="Q113" s="362"/>
      <c r="R113" s="362"/>
      <c r="S113" s="362"/>
      <c r="T113" s="362"/>
      <c r="U113" s="362"/>
      <c r="V113" s="362"/>
      <c r="W113" s="362"/>
      <c r="X113" s="362"/>
      <c r="Y113" s="362"/>
      <c r="Z113" s="362"/>
      <c r="AA113" s="362"/>
      <c r="AB113" s="362"/>
      <c r="AC113" s="362"/>
      <c r="AD113" s="362"/>
      <c r="AE113" s="362"/>
      <c r="AF113" s="362"/>
      <c r="AG113" s="362"/>
      <c r="AH113" s="362"/>
      <c r="AI113" s="362"/>
      <c r="AJ113" s="362"/>
      <c r="AK113" s="362"/>
      <c r="AL113" s="362"/>
      <c r="AM113" s="362"/>
      <c r="AN113" s="362"/>
      <c r="AO113" s="362"/>
      <c r="AP113" s="362"/>
      <c r="AQ113" s="362"/>
      <c r="AR113" s="362"/>
      <c r="AS113" s="362"/>
      <c r="AT113" s="362"/>
      <c r="AU113" s="362"/>
      <c r="AV113" s="362"/>
      <c r="AW113" s="362"/>
      <c r="AX113" s="362"/>
      <c r="AY113" s="362"/>
      <c r="AZ113" s="362"/>
      <c r="BA113" s="362"/>
      <c r="BB113" s="362"/>
      <c r="BC113" s="362"/>
      <c r="BD113" s="362"/>
      <c r="BE113" s="362"/>
      <c r="BF113" s="362"/>
      <c r="BG113" s="362"/>
      <c r="BH113" s="362"/>
      <c r="BI113" s="362"/>
      <c r="BJ113" s="362"/>
      <c r="BK113" s="364">
        <f t="shared" si="32"/>
        <v>0</v>
      </c>
      <c r="BL113" s="365" t="e">
        <f>AVERAGE(O113:BJ113)</f>
        <v>#DIV/0!</v>
      </c>
      <c r="BM113" s="3"/>
      <c r="BN113" s="3"/>
    </row>
    <row r="114" spans="1:66" ht="15.75" customHeight="1">
      <c r="A114" s="2"/>
      <c r="B114" s="2"/>
      <c r="C114" s="2"/>
      <c r="D114" s="2"/>
      <c r="E114" s="2"/>
      <c r="F114" s="2"/>
      <c r="G114" s="2"/>
      <c r="H114" s="185"/>
      <c r="I114" s="185"/>
      <c r="J114" s="185"/>
      <c r="K114" s="185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424"/>
      <c r="BH114" s="2"/>
      <c r="BI114" s="2"/>
      <c r="BJ114" s="2"/>
      <c r="BK114" s="2"/>
      <c r="BL114" s="2"/>
      <c r="BM114" s="3"/>
      <c r="BN114" s="3"/>
    </row>
    <row r="115" spans="1:66" ht="15.75" customHeight="1">
      <c r="A115" s="2"/>
      <c r="B115" s="2"/>
      <c r="C115" s="2"/>
      <c r="D115" s="2"/>
      <c r="E115" s="2"/>
      <c r="F115" s="2"/>
      <c r="G115" s="2"/>
      <c r="H115" s="185"/>
      <c r="I115" s="185"/>
      <c r="J115" s="185"/>
      <c r="K115" s="185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443"/>
      <c r="BH115" s="2"/>
      <c r="BI115" s="2"/>
      <c r="BJ115" s="2"/>
      <c r="BK115" s="2"/>
      <c r="BL115" s="2"/>
      <c r="BM115" s="3"/>
      <c r="BN115" s="3"/>
    </row>
    <row r="116" spans="1:66" ht="15.75" customHeight="1">
      <c r="A116" s="2"/>
      <c r="B116" s="2"/>
      <c r="C116" s="2"/>
      <c r="D116" s="2"/>
      <c r="E116" s="2"/>
      <c r="F116" s="2"/>
      <c r="G116" s="2"/>
      <c r="H116" s="185"/>
      <c r="I116" s="185"/>
      <c r="J116" s="185"/>
      <c r="K116" s="185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424"/>
      <c r="BH116" s="2"/>
      <c r="BI116" s="2"/>
      <c r="BJ116" s="2"/>
      <c r="BK116" s="2"/>
      <c r="BL116" s="2"/>
      <c r="BM116" s="3"/>
      <c r="BN116" s="3"/>
    </row>
    <row r="117" spans="1:66" ht="15.75" customHeight="1">
      <c r="A117" s="2"/>
      <c r="B117" s="2"/>
      <c r="C117" s="2"/>
      <c r="D117" s="2"/>
      <c r="E117" s="2"/>
      <c r="F117" s="2"/>
      <c r="G117" s="2"/>
      <c r="H117" s="185"/>
      <c r="I117" s="185"/>
      <c r="J117" s="185"/>
      <c r="K117" s="185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443"/>
      <c r="BH117" s="2"/>
      <c r="BI117" s="2"/>
      <c r="BJ117" s="2"/>
      <c r="BK117" s="2"/>
      <c r="BL117" s="2"/>
      <c r="BM117" s="3"/>
      <c r="BN117" s="3"/>
    </row>
    <row r="118" spans="1:66" ht="15.75" customHeight="1" thickBot="1">
      <c r="A118" s="2"/>
      <c r="B118" s="2"/>
      <c r="C118" s="2"/>
      <c r="D118" s="2"/>
      <c r="E118" s="2"/>
      <c r="F118" s="2"/>
      <c r="G118" s="2"/>
      <c r="H118" s="185"/>
      <c r="I118" s="185"/>
      <c r="J118" s="185"/>
      <c r="K118" s="185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3"/>
      <c r="BN118" s="3"/>
    </row>
    <row r="119" spans="1:66" ht="15.75" customHeight="1">
      <c r="A119" s="3"/>
      <c r="C119" s="2" t="s">
        <v>1760</v>
      </c>
      <c r="D119" s="2"/>
      <c r="L119" s="2"/>
      <c r="M119" s="4532" t="s">
        <v>1759</v>
      </c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3"/>
      <c r="BN119" s="3"/>
    </row>
    <row r="120" spans="1:66" ht="15.75" customHeight="1">
      <c r="A120" s="3" t="s">
        <v>1584</v>
      </c>
      <c r="B120" s="2">
        <v>1</v>
      </c>
      <c r="E120" s="17" t="s">
        <v>1585</v>
      </c>
      <c r="F120" s="15" t="s">
        <v>1586</v>
      </c>
      <c r="G120" s="1222" t="e">
        <f xml:space="preserve"> _xlfn.XLOOKUP($E120, Tabla3[CURP],#REF!)</f>
        <v>#REF!</v>
      </c>
      <c r="H120" s="977" t="str">
        <f t="shared" ref="H120:H121" si="33">MID(E120,11,1)</f>
        <v>H</v>
      </c>
      <c r="I120" s="977" t="str">
        <f t="shared" ref="I120:I121" si="34">MID(E120,5,2)</f>
        <v>58</v>
      </c>
      <c r="J120" s="977" t="str">
        <f t="shared" ref="J120:J121" si="35">MID(E120,7,2)</f>
        <v>06</v>
      </c>
      <c r="K120" s="1087" t="str">
        <f t="shared" ref="K120:K121" si="36">MID(E120,9,2)</f>
        <v>03</v>
      </c>
      <c r="L120" s="630" t="s">
        <v>134</v>
      </c>
      <c r="M120" s="4534"/>
      <c r="N120" s="630"/>
      <c r="O120" s="630"/>
      <c r="P120" s="630"/>
      <c r="Q120" s="630"/>
      <c r="R120" s="630"/>
      <c r="S120" s="630"/>
      <c r="T120" s="630"/>
      <c r="U120" s="630"/>
      <c r="V120" s="630"/>
      <c r="W120" s="630"/>
      <c r="X120" s="630"/>
      <c r="Y120" s="630"/>
      <c r="Z120" s="630"/>
      <c r="AA120" s="630"/>
      <c r="AB120" s="630"/>
      <c r="AC120" s="630"/>
      <c r="AD120" s="630"/>
      <c r="AE120" s="630"/>
      <c r="AF120" s="630">
        <v>7.4</v>
      </c>
      <c r="AG120" s="630"/>
      <c r="AH120" s="630"/>
      <c r="AI120" s="630"/>
      <c r="AJ120" s="630"/>
      <c r="AK120" s="630"/>
      <c r="AL120" s="630"/>
      <c r="AM120" s="630"/>
      <c r="AN120" s="630"/>
      <c r="AO120" s="630"/>
      <c r="AP120" s="630"/>
      <c r="AQ120" s="630"/>
      <c r="AR120" s="630"/>
      <c r="AS120" s="630"/>
      <c r="AT120" s="630"/>
      <c r="AU120" s="630"/>
      <c r="AV120" s="630"/>
      <c r="AW120" s="630"/>
      <c r="AX120" s="630"/>
      <c r="AY120" s="630"/>
      <c r="AZ120" s="630">
        <v>9.9</v>
      </c>
      <c r="BA120" s="630"/>
      <c r="BB120" s="630"/>
      <c r="BC120" s="630"/>
      <c r="BD120" s="630">
        <v>10</v>
      </c>
      <c r="BE120" s="630"/>
      <c r="BF120" s="630"/>
      <c r="BG120" s="630"/>
      <c r="BH120" s="630"/>
      <c r="BI120" s="630">
        <v>9.1999999999999993</v>
      </c>
      <c r="BJ120" s="630"/>
      <c r="BK120" s="2"/>
      <c r="BL120" s="2"/>
      <c r="BM120" s="3"/>
      <c r="BN120" s="3"/>
    </row>
    <row r="121" spans="1:66" ht="15.75" customHeight="1">
      <c r="A121" s="2"/>
      <c r="B121" s="2">
        <v>2</v>
      </c>
      <c r="C121" s="2"/>
      <c r="D121" s="2"/>
      <c r="E121" s="17" t="s">
        <v>1699</v>
      </c>
      <c r="F121" s="15"/>
      <c r="G121" s="1222" t="e">
        <f xml:space="preserve"> _xlfn.XLOOKUP($E121, Tabla3[CURP],#REF!)</f>
        <v>#REF!</v>
      </c>
      <c r="H121" s="977" t="str">
        <f t="shared" si="33"/>
        <v>H</v>
      </c>
      <c r="I121" s="977" t="str">
        <f t="shared" si="34"/>
        <v>93</v>
      </c>
      <c r="J121" s="977" t="str">
        <f t="shared" si="35"/>
        <v>06</v>
      </c>
      <c r="K121" s="1087" t="str">
        <f t="shared" si="36"/>
        <v>25</v>
      </c>
      <c r="L121" s="630" t="s">
        <v>134</v>
      </c>
      <c r="M121" s="630"/>
      <c r="N121" s="630"/>
      <c r="O121" s="630"/>
      <c r="P121" s="630"/>
      <c r="Q121" s="630"/>
      <c r="R121" s="630"/>
      <c r="S121" s="630"/>
      <c r="T121" s="630"/>
      <c r="U121" s="630"/>
      <c r="V121" s="630"/>
      <c r="W121" s="630"/>
      <c r="X121" s="630"/>
      <c r="Y121" s="630"/>
      <c r="Z121" s="630"/>
      <c r="AA121" s="630"/>
      <c r="AB121" s="630"/>
      <c r="AC121" s="630"/>
      <c r="AD121" s="630"/>
      <c r="AE121" s="630"/>
      <c r="AF121" s="630" t="s">
        <v>135</v>
      </c>
      <c r="AG121" s="630"/>
      <c r="AH121" s="630"/>
      <c r="AI121" s="630"/>
      <c r="AJ121" s="630"/>
      <c r="AK121" s="630"/>
      <c r="AL121" s="630"/>
      <c r="AM121" s="630"/>
      <c r="AN121" s="630"/>
      <c r="AO121" s="630"/>
      <c r="AP121" s="630"/>
      <c r="AQ121" s="630"/>
      <c r="AR121" s="630"/>
      <c r="AS121" s="630"/>
      <c r="AT121" s="630"/>
      <c r="AU121" s="630"/>
      <c r="AV121" s="630"/>
      <c r="AW121" s="630"/>
      <c r="AX121" s="630"/>
      <c r="AY121" s="630"/>
      <c r="AZ121" s="630"/>
      <c r="BA121" s="630"/>
      <c r="BB121" s="630"/>
      <c r="BC121" s="630"/>
      <c r="BD121" s="630"/>
      <c r="BE121" s="630"/>
      <c r="BF121" s="630"/>
      <c r="BG121" s="630"/>
      <c r="BH121" s="630"/>
      <c r="BI121" s="630"/>
      <c r="BJ121" s="630"/>
      <c r="BK121" s="2"/>
      <c r="BL121" s="2"/>
      <c r="BM121" s="3"/>
      <c r="BN121" s="3"/>
    </row>
    <row r="122" spans="1:66" ht="15.75" customHeight="1">
      <c r="A122" s="2"/>
      <c r="B122" s="2"/>
      <c r="C122" s="2"/>
      <c r="D122" s="2"/>
      <c r="E122" s="2"/>
      <c r="F122" s="2"/>
      <c r="G122" s="2"/>
      <c r="H122" s="185"/>
      <c r="I122" s="185"/>
      <c r="J122" s="185"/>
      <c r="K122" s="185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3"/>
      <c r="BN122" s="3"/>
    </row>
    <row r="123" spans="1:66" ht="15.75" customHeight="1">
      <c r="A123" s="2"/>
      <c r="B123" s="2"/>
      <c r="C123" s="2"/>
      <c r="D123" s="2"/>
      <c r="E123" s="2"/>
      <c r="F123" s="2"/>
      <c r="G123" s="2"/>
      <c r="H123" s="185"/>
      <c r="I123" s="185"/>
      <c r="J123" s="185"/>
      <c r="K123" s="185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3"/>
      <c r="BN123" s="3"/>
    </row>
    <row r="124" spans="1:66" ht="15.75" customHeight="1">
      <c r="A124" s="2"/>
      <c r="B124" s="2"/>
      <c r="C124" s="2"/>
      <c r="D124" s="2"/>
      <c r="E124" s="2"/>
      <c r="F124" s="2"/>
      <c r="G124" s="2"/>
      <c r="H124" s="185"/>
      <c r="I124" s="185"/>
      <c r="J124" s="185"/>
      <c r="K124" s="185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3"/>
      <c r="BN124" s="3"/>
    </row>
    <row r="125" spans="1:66" ht="15.75" customHeight="1">
      <c r="A125" s="2"/>
      <c r="B125" s="2"/>
      <c r="C125" s="2"/>
      <c r="D125" s="2"/>
      <c r="E125" s="2"/>
      <c r="F125" s="2"/>
      <c r="G125" s="2"/>
      <c r="H125" s="185"/>
      <c r="I125" s="185"/>
      <c r="J125" s="185"/>
      <c r="K125" s="185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3"/>
      <c r="BN125" s="3"/>
    </row>
    <row r="126" spans="1:66" ht="15.75" customHeight="1">
      <c r="A126" s="2"/>
      <c r="B126" s="2"/>
      <c r="C126" s="2"/>
      <c r="D126" s="2"/>
      <c r="E126" s="2"/>
      <c r="F126" s="2"/>
      <c r="G126" s="2"/>
      <c r="H126" s="185"/>
      <c r="I126" s="185"/>
      <c r="J126" s="185"/>
      <c r="K126" s="185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3"/>
      <c r="BN126" s="3"/>
    </row>
    <row r="127" spans="1:66" ht="15.75" customHeight="1">
      <c r="A127" s="2"/>
      <c r="B127" s="2"/>
      <c r="C127" s="2"/>
      <c r="D127" s="2"/>
      <c r="E127" s="2"/>
      <c r="F127" s="2"/>
      <c r="G127" s="2"/>
      <c r="H127" s="185"/>
      <c r="I127" s="185"/>
      <c r="J127" s="185"/>
      <c r="K127" s="185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3"/>
      <c r="BN127" s="3"/>
    </row>
    <row r="128" spans="1:66" ht="15.75" customHeight="1">
      <c r="A128" s="2"/>
      <c r="B128" s="2"/>
      <c r="C128" s="2"/>
      <c r="D128" s="2"/>
      <c r="E128" s="2"/>
      <c r="F128" s="2"/>
      <c r="G128" s="2"/>
      <c r="H128" s="185"/>
      <c r="I128" s="185"/>
      <c r="J128" s="185"/>
      <c r="K128" s="185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3"/>
      <c r="BN128" s="3"/>
    </row>
    <row r="129" spans="1:66" ht="15.75" customHeight="1">
      <c r="A129" s="2"/>
      <c r="B129" s="2"/>
      <c r="C129" s="2"/>
      <c r="D129" s="2"/>
      <c r="E129" s="2"/>
      <c r="F129" s="2"/>
      <c r="G129" s="2"/>
      <c r="H129" s="185"/>
      <c r="I129" s="185"/>
      <c r="J129" s="185"/>
      <c r="K129" s="185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3"/>
      <c r="BN129" s="3"/>
    </row>
    <row r="130" spans="1:66" ht="15.75" customHeight="1">
      <c r="A130" s="2"/>
      <c r="B130" s="2"/>
      <c r="C130" s="2"/>
      <c r="D130" s="2"/>
      <c r="E130" s="2"/>
      <c r="F130" s="2"/>
      <c r="G130" s="2"/>
      <c r="H130" s="185"/>
      <c r="I130" s="185"/>
      <c r="J130" s="185"/>
      <c r="K130" s="185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3"/>
      <c r="BN130" s="3"/>
    </row>
    <row r="131" spans="1:66" ht="15.75" customHeight="1">
      <c r="A131" s="2"/>
      <c r="B131" s="2"/>
      <c r="C131" s="2"/>
      <c r="D131" s="2"/>
      <c r="E131" s="2"/>
      <c r="F131" s="2"/>
      <c r="G131" s="2"/>
      <c r="H131" s="185"/>
      <c r="I131" s="185"/>
      <c r="J131" s="185"/>
      <c r="K131" s="185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3"/>
      <c r="BN131" s="3"/>
    </row>
    <row r="132" spans="1:66" ht="15.75" customHeight="1">
      <c r="A132" s="2"/>
      <c r="B132" s="2"/>
      <c r="C132" s="2"/>
      <c r="D132" s="2"/>
      <c r="E132" s="2"/>
      <c r="F132" s="2"/>
      <c r="G132" s="2"/>
      <c r="H132" s="185"/>
      <c r="I132" s="185"/>
      <c r="J132" s="185"/>
      <c r="K132" s="185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3"/>
      <c r="BN132" s="3"/>
    </row>
    <row r="133" spans="1:66" ht="15.75" customHeight="1">
      <c r="A133" s="2"/>
      <c r="B133" s="2"/>
      <c r="C133" s="2"/>
      <c r="D133" s="2"/>
      <c r="E133" s="2"/>
      <c r="F133" s="2"/>
      <c r="G133" s="2"/>
      <c r="H133" s="185"/>
      <c r="I133" s="185"/>
      <c r="J133" s="185"/>
      <c r="K133" s="185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3"/>
      <c r="BN133" s="3"/>
    </row>
    <row r="134" spans="1:66" ht="15.75" customHeight="1">
      <c r="A134" s="2"/>
      <c r="B134" s="2"/>
      <c r="C134" s="2"/>
      <c r="D134" s="2"/>
      <c r="E134" s="2"/>
      <c r="F134" s="2"/>
      <c r="G134" s="2"/>
      <c r="H134" s="185"/>
      <c r="I134" s="185"/>
      <c r="J134" s="185"/>
      <c r="K134" s="185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3"/>
      <c r="BN134" s="3"/>
    </row>
    <row r="135" spans="1:66" ht="15.75" customHeight="1">
      <c r="A135" s="2"/>
      <c r="B135" s="2"/>
      <c r="C135" s="2"/>
      <c r="D135" s="2"/>
      <c r="E135" s="2"/>
      <c r="F135" s="2"/>
      <c r="G135" s="2"/>
      <c r="H135" s="185"/>
      <c r="I135" s="185"/>
      <c r="J135" s="185"/>
      <c r="K135" s="185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3"/>
      <c r="BN135" s="3"/>
    </row>
    <row r="136" spans="1:66" ht="15.75" customHeight="1">
      <c r="A136" s="2"/>
      <c r="B136" s="2"/>
      <c r="C136" s="2"/>
      <c r="D136" s="2"/>
      <c r="E136" s="2"/>
      <c r="F136" s="2"/>
      <c r="G136" s="2"/>
      <c r="H136" s="185"/>
      <c r="I136" s="185"/>
      <c r="J136" s="185"/>
      <c r="K136" s="185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3"/>
      <c r="BN136" s="3"/>
    </row>
    <row r="137" spans="1:66" ht="15.75" customHeight="1">
      <c r="A137" s="2"/>
      <c r="B137" s="2"/>
      <c r="C137" s="2"/>
      <c r="D137" s="2"/>
      <c r="E137" s="2"/>
      <c r="F137" s="2"/>
      <c r="G137" s="2"/>
      <c r="H137" s="185"/>
      <c r="I137" s="185"/>
      <c r="J137" s="185"/>
      <c r="K137" s="185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3"/>
      <c r="BN137" s="3"/>
    </row>
    <row r="138" spans="1:66" ht="15.75" customHeight="1">
      <c r="A138" s="2"/>
      <c r="B138" s="2"/>
      <c r="C138" s="2"/>
      <c r="D138" s="2"/>
      <c r="E138" s="2"/>
      <c r="F138" s="2"/>
      <c r="G138" s="2"/>
      <c r="H138" s="185"/>
      <c r="I138" s="185"/>
      <c r="J138" s="185"/>
      <c r="K138" s="185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3"/>
      <c r="BN138" s="3"/>
    </row>
    <row r="139" spans="1:66" ht="15.75" customHeight="1">
      <c r="A139" s="2"/>
      <c r="B139" s="2"/>
      <c r="C139" s="2"/>
      <c r="D139" s="2"/>
      <c r="E139" s="2"/>
      <c r="F139" s="2"/>
      <c r="G139" s="2"/>
      <c r="H139" s="185"/>
      <c r="I139" s="185"/>
      <c r="J139" s="185"/>
      <c r="K139" s="185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3"/>
      <c r="BN139" s="3"/>
    </row>
    <row r="140" spans="1:66" ht="15.75" customHeight="1">
      <c r="A140" s="2"/>
      <c r="B140" s="2"/>
      <c r="C140" s="2"/>
      <c r="D140" s="2"/>
      <c r="E140" s="2"/>
      <c r="F140" s="2"/>
      <c r="G140" s="2"/>
      <c r="H140" s="185"/>
      <c r="I140" s="185"/>
      <c r="J140" s="185"/>
      <c r="K140" s="185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3"/>
      <c r="BN140" s="3"/>
    </row>
    <row r="141" spans="1:66" ht="15.75" customHeight="1">
      <c r="A141" s="2"/>
      <c r="B141" s="2"/>
      <c r="C141" s="2"/>
      <c r="D141" s="2"/>
      <c r="E141" s="2"/>
      <c r="F141" s="2"/>
      <c r="G141" s="2"/>
      <c r="H141" s="185"/>
      <c r="I141" s="185"/>
      <c r="J141" s="185"/>
      <c r="K141" s="185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3"/>
      <c r="BN141" s="3"/>
    </row>
    <row r="142" spans="1:66" ht="15.75" customHeight="1">
      <c r="A142" s="2"/>
      <c r="B142" s="2"/>
      <c r="C142" s="2"/>
      <c r="D142" s="2"/>
      <c r="E142" s="2"/>
      <c r="F142" s="2"/>
      <c r="G142" s="2"/>
      <c r="H142" s="185"/>
      <c r="I142" s="185"/>
      <c r="J142" s="185"/>
      <c r="K142" s="185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3"/>
      <c r="BN142" s="3"/>
    </row>
    <row r="143" spans="1:66" ht="15.75" customHeight="1">
      <c r="A143" s="2"/>
      <c r="B143" s="2"/>
      <c r="C143" s="2"/>
      <c r="D143" s="2"/>
      <c r="E143" s="2"/>
      <c r="F143" s="2"/>
      <c r="G143" s="2"/>
      <c r="H143" s="185"/>
      <c r="I143" s="185"/>
      <c r="J143" s="185"/>
      <c r="K143" s="185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3"/>
      <c r="BN143" s="3"/>
    </row>
    <row r="144" spans="1:66" ht="15.75" customHeight="1">
      <c r="A144" s="2"/>
      <c r="B144" s="2"/>
      <c r="C144" s="2"/>
      <c r="D144" s="2"/>
      <c r="E144" s="2"/>
      <c r="F144" s="2"/>
      <c r="G144" s="2"/>
      <c r="H144" s="185"/>
      <c r="I144" s="185"/>
      <c r="J144" s="185"/>
      <c r="K144" s="185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3"/>
      <c r="BN144" s="3"/>
    </row>
    <row r="145" spans="1:66" ht="15.75" customHeight="1">
      <c r="A145" s="2"/>
      <c r="B145" s="2"/>
      <c r="C145" s="2"/>
      <c r="D145" s="2"/>
      <c r="E145" s="2"/>
      <c r="F145" s="2"/>
      <c r="G145" s="2"/>
      <c r="H145" s="185"/>
      <c r="I145" s="185"/>
      <c r="J145" s="185"/>
      <c r="K145" s="185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3"/>
      <c r="BN145" s="3"/>
    </row>
    <row r="146" spans="1:66" ht="15.75" customHeight="1">
      <c r="A146" s="2"/>
      <c r="B146" s="2"/>
      <c r="C146" s="2"/>
      <c r="D146" s="2"/>
      <c r="E146" s="2"/>
      <c r="F146" s="2"/>
      <c r="G146" s="2"/>
      <c r="H146" s="185"/>
      <c r="I146" s="185"/>
      <c r="J146" s="185"/>
      <c r="K146" s="185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3"/>
      <c r="BN146" s="3"/>
    </row>
    <row r="147" spans="1:66" ht="15.75" customHeight="1">
      <c r="A147" s="2"/>
      <c r="B147" s="2"/>
      <c r="C147" s="2"/>
      <c r="D147" s="2"/>
      <c r="E147" s="2"/>
      <c r="F147" s="2"/>
      <c r="G147" s="2"/>
      <c r="H147" s="185"/>
      <c r="I147" s="185"/>
      <c r="J147" s="185"/>
      <c r="K147" s="185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3"/>
      <c r="BN147" s="3"/>
    </row>
    <row r="148" spans="1:66" ht="15.75" customHeight="1">
      <c r="A148" s="2"/>
      <c r="B148" s="2"/>
      <c r="C148" s="2"/>
      <c r="D148" s="2"/>
      <c r="E148" s="2"/>
      <c r="F148" s="2"/>
      <c r="G148" s="2"/>
      <c r="H148" s="185"/>
      <c r="I148" s="185"/>
      <c r="J148" s="185"/>
      <c r="K148" s="185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3"/>
      <c r="BN148" s="3"/>
    </row>
    <row r="149" spans="1:66" ht="15.75" customHeight="1">
      <c r="A149" s="2"/>
      <c r="B149" s="2"/>
      <c r="C149" s="2"/>
      <c r="D149" s="2"/>
      <c r="E149" s="2"/>
      <c r="F149" s="2"/>
      <c r="G149" s="2"/>
      <c r="H149" s="185"/>
      <c r="I149" s="185"/>
      <c r="J149" s="185"/>
      <c r="K149" s="185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3"/>
      <c r="BN149" s="3"/>
    </row>
    <row r="150" spans="1:66" ht="15.75" customHeight="1">
      <c r="A150" s="2"/>
      <c r="B150" s="2"/>
      <c r="C150" s="2"/>
      <c r="D150" s="2"/>
      <c r="E150" s="2"/>
      <c r="F150" s="2"/>
      <c r="G150" s="2"/>
      <c r="H150" s="185"/>
      <c r="I150" s="185"/>
      <c r="J150" s="185"/>
      <c r="K150" s="185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3"/>
      <c r="BN150" s="3"/>
    </row>
    <row r="151" spans="1:66" ht="15.75" customHeight="1">
      <c r="A151" s="2"/>
      <c r="B151" s="2"/>
      <c r="C151" s="2"/>
      <c r="D151" s="2"/>
      <c r="E151" s="2"/>
      <c r="F151" s="2"/>
      <c r="G151" s="2"/>
      <c r="H151" s="185"/>
      <c r="I151" s="185"/>
      <c r="J151" s="185"/>
      <c r="K151" s="185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3"/>
      <c r="BN151" s="3"/>
    </row>
    <row r="152" spans="1:66" ht="15.75" customHeight="1">
      <c r="A152" s="2"/>
      <c r="B152" s="2"/>
      <c r="C152" s="2"/>
      <c r="D152" s="2"/>
      <c r="E152" s="2"/>
      <c r="F152" s="2"/>
      <c r="G152" s="2"/>
      <c r="H152" s="185"/>
      <c r="I152" s="185"/>
      <c r="J152" s="185"/>
      <c r="K152" s="185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3"/>
      <c r="BN152" s="3"/>
    </row>
    <row r="153" spans="1:66" ht="15.75" customHeight="1">
      <c r="A153" s="2"/>
      <c r="B153" s="2"/>
      <c r="C153" s="2"/>
      <c r="D153" s="2"/>
      <c r="E153" s="2"/>
      <c r="F153" s="2"/>
      <c r="G153" s="2"/>
      <c r="H153" s="185"/>
      <c r="I153" s="185"/>
      <c r="J153" s="185"/>
      <c r="K153" s="185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3"/>
      <c r="BN153" s="3"/>
    </row>
    <row r="154" spans="1:66" ht="15.75" customHeight="1">
      <c r="A154" s="2"/>
      <c r="B154" s="2"/>
      <c r="C154" s="2"/>
      <c r="D154" s="2"/>
      <c r="E154" s="2"/>
      <c r="F154" s="2"/>
      <c r="G154" s="2"/>
      <c r="H154" s="185"/>
      <c r="I154" s="185"/>
      <c r="J154" s="185"/>
      <c r="K154" s="185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3"/>
      <c r="BN154" s="3"/>
    </row>
    <row r="155" spans="1:66" ht="15.75" customHeight="1">
      <c r="A155" s="2"/>
      <c r="B155" s="2"/>
      <c r="C155" s="2"/>
      <c r="D155" s="2"/>
      <c r="E155" s="2"/>
      <c r="F155" s="2"/>
      <c r="G155" s="2"/>
      <c r="H155" s="185"/>
      <c r="I155" s="185"/>
      <c r="J155" s="185"/>
      <c r="K155" s="185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3"/>
      <c r="BN155" s="3"/>
    </row>
    <row r="156" spans="1:66" ht="15.75" customHeight="1">
      <c r="A156" s="2"/>
      <c r="B156" s="2"/>
      <c r="C156" s="2"/>
      <c r="D156" s="2"/>
      <c r="E156" s="2"/>
      <c r="F156" s="2"/>
      <c r="G156" s="2"/>
      <c r="H156" s="185"/>
      <c r="I156" s="185"/>
      <c r="J156" s="185"/>
      <c r="K156" s="185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3"/>
      <c r="BN156" s="3"/>
    </row>
    <row r="157" spans="1:66" ht="15.75" customHeight="1">
      <c r="A157" s="2"/>
      <c r="B157" s="2"/>
      <c r="C157" s="2"/>
      <c r="D157" s="2"/>
      <c r="E157" s="2"/>
      <c r="F157" s="2"/>
      <c r="G157" s="2"/>
      <c r="H157" s="185"/>
      <c r="I157" s="185"/>
      <c r="J157" s="185"/>
      <c r="K157" s="185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3"/>
      <c r="BN157" s="3"/>
    </row>
    <row r="158" spans="1:66" ht="15.75" customHeight="1">
      <c r="A158" s="2"/>
      <c r="B158" s="2"/>
      <c r="C158" s="2"/>
      <c r="D158" s="2"/>
      <c r="E158" s="2"/>
      <c r="F158" s="2"/>
      <c r="G158" s="2"/>
      <c r="H158" s="185"/>
      <c r="I158" s="185"/>
      <c r="J158" s="185"/>
      <c r="K158" s="185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3"/>
      <c r="BN158" s="3"/>
    </row>
    <row r="159" spans="1:66" ht="15.75" customHeight="1">
      <c r="A159" s="2"/>
      <c r="B159" s="2"/>
      <c r="C159" s="2"/>
      <c r="D159" s="2"/>
      <c r="E159" s="2"/>
      <c r="F159" s="2"/>
      <c r="G159" s="2"/>
      <c r="H159" s="185"/>
      <c r="I159" s="185"/>
      <c r="J159" s="185"/>
      <c r="K159" s="185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3"/>
      <c r="BN159" s="3"/>
    </row>
    <row r="160" spans="1:66" ht="15.75" customHeight="1">
      <c r="A160" s="2"/>
      <c r="B160" s="2"/>
      <c r="C160" s="2"/>
      <c r="D160" s="2"/>
      <c r="E160" s="2"/>
      <c r="F160" s="2"/>
      <c r="G160" s="2"/>
      <c r="H160" s="185"/>
      <c r="I160" s="185"/>
      <c r="J160" s="185"/>
      <c r="K160" s="185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3"/>
      <c r="BN160" s="3"/>
    </row>
    <row r="161" spans="1:66" ht="15.75" customHeight="1">
      <c r="A161" s="2"/>
      <c r="B161" s="2"/>
      <c r="C161" s="2"/>
      <c r="D161" s="2"/>
      <c r="E161" s="2"/>
      <c r="F161" s="2"/>
      <c r="G161" s="2"/>
      <c r="H161" s="185"/>
      <c r="I161" s="185"/>
      <c r="J161" s="185"/>
      <c r="K161" s="185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3"/>
      <c r="BN161" s="3"/>
    </row>
    <row r="162" spans="1:66" ht="15.75" customHeight="1">
      <c r="A162" s="2"/>
      <c r="B162" s="2"/>
      <c r="C162" s="2"/>
      <c r="D162" s="2"/>
      <c r="E162" s="2"/>
      <c r="F162" s="2"/>
      <c r="G162" s="2"/>
      <c r="H162" s="185"/>
      <c r="I162" s="185"/>
      <c r="J162" s="185"/>
      <c r="K162" s="185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3"/>
      <c r="BN162" s="3"/>
    </row>
    <row r="163" spans="1:66" ht="15.75" customHeight="1">
      <c r="A163" s="2"/>
      <c r="B163" s="2"/>
      <c r="C163" s="2"/>
      <c r="D163" s="2"/>
      <c r="E163" s="2"/>
      <c r="F163" s="2"/>
      <c r="G163" s="2"/>
      <c r="H163" s="185"/>
      <c r="I163" s="185"/>
      <c r="J163" s="185"/>
      <c r="K163" s="185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3"/>
      <c r="BN163" s="3"/>
    </row>
    <row r="164" spans="1:66" ht="15.75" customHeight="1">
      <c r="A164" s="2"/>
      <c r="B164" s="2"/>
      <c r="C164" s="2"/>
      <c r="D164" s="2"/>
      <c r="E164" s="2"/>
      <c r="F164" s="2"/>
      <c r="G164" s="2"/>
      <c r="H164" s="185"/>
      <c r="I164" s="185"/>
      <c r="J164" s="185"/>
      <c r="K164" s="185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3"/>
      <c r="BN164" s="3"/>
    </row>
    <row r="165" spans="1:66" ht="15.75" customHeight="1">
      <c r="A165" s="2"/>
      <c r="B165" s="2"/>
      <c r="C165" s="2"/>
      <c r="D165" s="2"/>
      <c r="E165" s="2"/>
      <c r="F165" s="2"/>
      <c r="G165" s="2"/>
      <c r="H165" s="185"/>
      <c r="I165" s="185"/>
      <c r="J165" s="185"/>
      <c r="K165" s="185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3"/>
      <c r="BN165" s="3"/>
    </row>
    <row r="166" spans="1:66" ht="15.75" customHeight="1">
      <c r="A166" s="2"/>
      <c r="B166" s="2"/>
      <c r="C166" s="2"/>
      <c r="D166" s="2"/>
      <c r="E166" s="2"/>
      <c r="F166" s="2"/>
      <c r="G166" s="2"/>
      <c r="H166" s="185"/>
      <c r="I166" s="185"/>
      <c r="J166" s="185"/>
      <c r="K166" s="185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3"/>
      <c r="BN166" s="3"/>
    </row>
    <row r="167" spans="1:66" ht="15.75" customHeight="1">
      <c r="A167" s="2"/>
      <c r="B167" s="2"/>
      <c r="C167" s="2"/>
      <c r="D167" s="2"/>
      <c r="E167" s="2"/>
      <c r="F167" s="2"/>
      <c r="G167" s="2"/>
      <c r="H167" s="185"/>
      <c r="I167" s="185"/>
      <c r="J167" s="185"/>
      <c r="K167" s="185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3"/>
      <c r="BN167" s="3"/>
    </row>
    <row r="168" spans="1:66" ht="15.75" customHeight="1">
      <c r="A168" s="2"/>
      <c r="B168" s="2"/>
      <c r="C168" s="2"/>
      <c r="D168" s="2"/>
      <c r="E168" s="2"/>
      <c r="F168" s="2"/>
      <c r="G168" s="2"/>
      <c r="H168" s="185"/>
      <c r="I168" s="185"/>
      <c r="J168" s="185"/>
      <c r="K168" s="185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3"/>
      <c r="BN168" s="3"/>
    </row>
    <row r="169" spans="1:66" ht="15.75" customHeight="1">
      <c r="A169" s="2"/>
      <c r="B169" s="2"/>
      <c r="C169" s="2"/>
      <c r="D169" s="2"/>
      <c r="E169" s="2"/>
      <c r="F169" s="2"/>
      <c r="G169" s="2"/>
      <c r="H169" s="185"/>
      <c r="I169" s="185"/>
      <c r="J169" s="185"/>
      <c r="K169" s="185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3"/>
      <c r="BN169" s="3"/>
    </row>
    <row r="170" spans="1:66" ht="15.75" customHeight="1">
      <c r="A170" s="2"/>
      <c r="B170" s="2"/>
      <c r="C170" s="2"/>
      <c r="D170" s="2"/>
      <c r="E170" s="2"/>
      <c r="F170" s="2"/>
      <c r="G170" s="2"/>
      <c r="H170" s="185"/>
      <c r="I170" s="185"/>
      <c r="J170" s="185"/>
      <c r="K170" s="185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3"/>
      <c r="BN170" s="3"/>
    </row>
    <row r="171" spans="1:66" ht="15.75" customHeight="1">
      <c r="A171" s="2"/>
      <c r="B171" s="2"/>
      <c r="C171" s="2"/>
      <c r="D171" s="2"/>
      <c r="E171" s="2"/>
      <c r="F171" s="2"/>
      <c r="G171" s="2"/>
      <c r="H171" s="185"/>
      <c r="I171" s="185"/>
      <c r="J171" s="185"/>
      <c r="K171" s="185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3"/>
      <c r="BN171" s="3"/>
    </row>
    <row r="172" spans="1:66" ht="15.75" customHeight="1">
      <c r="A172" s="2"/>
      <c r="B172" s="2"/>
      <c r="C172" s="2"/>
      <c r="D172" s="2"/>
      <c r="E172" s="2"/>
      <c r="F172" s="2"/>
      <c r="G172" s="2"/>
      <c r="H172" s="185"/>
      <c r="I172" s="185"/>
      <c r="J172" s="185"/>
      <c r="K172" s="185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3"/>
      <c r="BN172" s="3"/>
    </row>
    <row r="173" spans="1:66" ht="15.75" customHeight="1">
      <c r="A173" s="2"/>
      <c r="B173" s="2"/>
      <c r="C173" s="2"/>
      <c r="D173" s="2"/>
      <c r="E173" s="2"/>
      <c r="F173" s="2"/>
      <c r="G173" s="2"/>
      <c r="H173" s="185"/>
      <c r="I173" s="185"/>
      <c r="J173" s="185"/>
      <c r="K173" s="185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3"/>
      <c r="BN173" s="3"/>
    </row>
    <row r="174" spans="1:66" ht="15.75" customHeight="1">
      <c r="A174" s="2"/>
      <c r="B174" s="2"/>
      <c r="C174" s="2"/>
      <c r="D174" s="2"/>
      <c r="E174" s="2"/>
      <c r="F174" s="2"/>
      <c r="G174" s="2"/>
      <c r="H174" s="185"/>
      <c r="I174" s="185"/>
      <c r="J174" s="185"/>
      <c r="K174" s="185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3"/>
      <c r="BN174" s="3"/>
    </row>
    <row r="175" spans="1:66" ht="15.75" customHeight="1">
      <c r="A175" s="2"/>
      <c r="B175" s="2"/>
      <c r="C175" s="2"/>
      <c r="D175" s="2"/>
      <c r="E175" s="2"/>
      <c r="F175" s="2"/>
      <c r="G175" s="2"/>
      <c r="H175" s="185"/>
      <c r="I175" s="185"/>
      <c r="J175" s="185"/>
      <c r="K175" s="185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3"/>
      <c r="BN175" s="3"/>
    </row>
    <row r="176" spans="1:66" ht="15.75" customHeight="1">
      <c r="A176" s="2"/>
      <c r="B176" s="2"/>
      <c r="C176" s="2"/>
      <c r="D176" s="2"/>
      <c r="E176" s="2"/>
      <c r="F176" s="2"/>
      <c r="G176" s="2"/>
      <c r="H176" s="185"/>
      <c r="I176" s="185"/>
      <c r="J176" s="185"/>
      <c r="K176" s="185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3"/>
      <c r="BN176" s="3"/>
    </row>
    <row r="177" spans="1:66" ht="15.75" customHeight="1">
      <c r="A177" s="2"/>
      <c r="B177" s="2"/>
      <c r="C177" s="2"/>
      <c r="D177" s="2"/>
      <c r="E177" s="2"/>
      <c r="F177" s="2"/>
      <c r="G177" s="2"/>
      <c r="H177" s="185"/>
      <c r="I177" s="185"/>
      <c r="J177" s="185"/>
      <c r="K177" s="185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3"/>
      <c r="BN177" s="3"/>
    </row>
    <row r="178" spans="1:66" ht="15.75" customHeight="1">
      <c r="A178" s="2"/>
      <c r="B178" s="2"/>
      <c r="C178" s="2"/>
      <c r="D178" s="2"/>
      <c r="E178" s="2"/>
      <c r="F178" s="2"/>
      <c r="G178" s="2"/>
      <c r="H178" s="185"/>
      <c r="I178" s="185"/>
      <c r="J178" s="185"/>
      <c r="K178" s="185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3"/>
      <c r="BN178" s="3"/>
    </row>
    <row r="179" spans="1:66" ht="15.75" customHeight="1">
      <c r="A179" s="2"/>
      <c r="B179" s="2"/>
      <c r="C179" s="2"/>
      <c r="D179" s="2"/>
      <c r="E179" s="2"/>
      <c r="F179" s="2"/>
      <c r="G179" s="2"/>
      <c r="H179" s="185"/>
      <c r="I179" s="185"/>
      <c r="J179" s="185"/>
      <c r="K179" s="185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3"/>
      <c r="BN179" s="3"/>
    </row>
    <row r="180" spans="1:66" ht="15.75" customHeight="1">
      <c r="A180" s="2"/>
      <c r="B180" s="2"/>
      <c r="C180" s="2"/>
      <c r="D180" s="2"/>
      <c r="E180" s="2"/>
      <c r="F180" s="2"/>
      <c r="G180" s="2"/>
      <c r="H180" s="185"/>
      <c r="I180" s="185"/>
      <c r="J180" s="185"/>
      <c r="K180" s="185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3"/>
      <c r="BN180" s="3"/>
    </row>
    <row r="181" spans="1:66" ht="15.75" customHeight="1">
      <c r="A181" s="2"/>
      <c r="B181" s="2"/>
      <c r="C181" s="2"/>
      <c r="D181" s="2"/>
      <c r="E181" s="2"/>
      <c r="F181" s="2"/>
      <c r="G181" s="2"/>
      <c r="H181" s="185"/>
      <c r="I181" s="185"/>
      <c r="J181" s="185"/>
      <c r="K181" s="185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3"/>
      <c r="BN181" s="3"/>
    </row>
    <row r="182" spans="1:66" ht="15.75" customHeight="1">
      <c r="A182" s="2"/>
      <c r="B182" s="2"/>
      <c r="C182" s="2"/>
      <c r="D182" s="2"/>
      <c r="E182" s="2"/>
      <c r="F182" s="2"/>
      <c r="G182" s="2"/>
      <c r="H182" s="185"/>
      <c r="I182" s="185"/>
      <c r="J182" s="185"/>
      <c r="K182" s="185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3"/>
      <c r="BN182" s="3"/>
    </row>
    <row r="183" spans="1:66" ht="15.75" customHeight="1">
      <c r="A183" s="2"/>
      <c r="B183" s="2"/>
      <c r="C183" s="2"/>
      <c r="D183" s="2"/>
      <c r="E183" s="2"/>
      <c r="F183" s="2"/>
      <c r="G183" s="2"/>
      <c r="H183" s="185"/>
      <c r="I183" s="185"/>
      <c r="J183" s="185"/>
      <c r="K183" s="185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3"/>
      <c r="BN183" s="3"/>
    </row>
    <row r="184" spans="1:66" ht="15.75" customHeight="1">
      <c r="A184" s="2"/>
      <c r="B184" s="2"/>
      <c r="C184" s="2"/>
      <c r="D184" s="2"/>
      <c r="E184" s="2"/>
      <c r="F184" s="2"/>
      <c r="G184" s="2"/>
      <c r="H184" s="185"/>
      <c r="I184" s="185"/>
      <c r="J184" s="185"/>
      <c r="K184" s="185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3"/>
      <c r="BN184" s="3"/>
    </row>
    <row r="185" spans="1:66" ht="15.75" customHeight="1">
      <c r="A185" s="2"/>
      <c r="B185" s="2"/>
      <c r="C185" s="2"/>
      <c r="D185" s="2"/>
      <c r="E185" s="2"/>
      <c r="F185" s="2"/>
      <c r="G185" s="2"/>
      <c r="H185" s="185"/>
      <c r="I185" s="185"/>
      <c r="J185" s="185"/>
      <c r="K185" s="185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3"/>
      <c r="BN185" s="3"/>
    </row>
    <row r="186" spans="1:66" ht="15.75" customHeight="1">
      <c r="A186" s="2"/>
      <c r="B186" s="2"/>
      <c r="C186" s="2"/>
      <c r="D186" s="2"/>
      <c r="E186" s="2"/>
      <c r="F186" s="2"/>
      <c r="G186" s="2"/>
      <c r="H186" s="185"/>
      <c r="I186" s="185"/>
      <c r="J186" s="185"/>
      <c r="K186" s="185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3"/>
      <c r="BN186" s="3"/>
    </row>
    <row r="187" spans="1:66" ht="15.75" customHeight="1">
      <c r="A187" s="2"/>
      <c r="B187" s="2"/>
      <c r="C187" s="2"/>
      <c r="D187" s="2"/>
      <c r="E187" s="2"/>
      <c r="F187" s="2"/>
      <c r="G187" s="2"/>
      <c r="H187" s="185"/>
      <c r="I187" s="185"/>
      <c r="J187" s="185"/>
      <c r="K187" s="185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3"/>
      <c r="BN187" s="3"/>
    </row>
    <row r="188" spans="1:66" ht="15.75" customHeight="1">
      <c r="A188" s="2"/>
      <c r="B188" s="2"/>
      <c r="C188" s="2"/>
      <c r="D188" s="2"/>
      <c r="E188" s="2"/>
      <c r="F188" s="2"/>
      <c r="G188" s="2"/>
      <c r="H188" s="185"/>
      <c r="I188" s="185"/>
      <c r="J188" s="185"/>
      <c r="K188" s="185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3"/>
      <c r="BN188" s="3"/>
    </row>
    <row r="189" spans="1:66" ht="15.75" customHeight="1">
      <c r="A189" s="2"/>
      <c r="B189" s="2"/>
      <c r="C189" s="2"/>
      <c r="D189" s="2"/>
      <c r="E189" s="2"/>
      <c r="F189" s="2"/>
      <c r="G189" s="2"/>
      <c r="H189" s="185"/>
      <c r="I189" s="185"/>
      <c r="J189" s="185"/>
      <c r="K189" s="185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3"/>
      <c r="BN189" s="3"/>
    </row>
    <row r="190" spans="1:66" ht="15.75" customHeight="1">
      <c r="A190" s="2"/>
      <c r="B190" s="2"/>
      <c r="C190" s="2"/>
      <c r="D190" s="2"/>
      <c r="E190" s="2"/>
      <c r="F190" s="2"/>
      <c r="G190" s="2"/>
      <c r="H190" s="185"/>
      <c r="I190" s="185"/>
      <c r="J190" s="185"/>
      <c r="K190" s="185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3"/>
      <c r="BN190" s="3"/>
    </row>
    <row r="191" spans="1:66" ht="15.75" customHeight="1">
      <c r="A191" s="2"/>
      <c r="B191" s="2"/>
      <c r="C191" s="2"/>
      <c r="D191" s="2"/>
      <c r="E191" s="2"/>
      <c r="F191" s="2"/>
      <c r="G191" s="2"/>
      <c r="H191" s="185"/>
      <c r="I191" s="185"/>
      <c r="J191" s="185"/>
      <c r="K191" s="185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3"/>
      <c r="BN191" s="3"/>
    </row>
    <row r="192" spans="1:66" ht="15.75" customHeight="1">
      <c r="A192" s="2"/>
      <c r="B192" s="2"/>
      <c r="C192" s="2"/>
      <c r="D192" s="2"/>
      <c r="E192" s="2"/>
      <c r="F192" s="2"/>
      <c r="G192" s="2"/>
      <c r="H192" s="185"/>
      <c r="I192" s="185"/>
      <c r="J192" s="185"/>
      <c r="K192" s="185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3"/>
      <c r="BN192" s="3"/>
    </row>
    <row r="193" spans="1:66" ht="15.75" customHeight="1">
      <c r="A193" s="2"/>
      <c r="B193" s="2"/>
      <c r="C193" s="2"/>
      <c r="D193" s="2"/>
      <c r="E193" s="2"/>
      <c r="F193" s="2"/>
      <c r="G193" s="2"/>
      <c r="H193" s="185"/>
      <c r="I193" s="185"/>
      <c r="J193" s="185"/>
      <c r="K193" s="185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3"/>
      <c r="BN193" s="3"/>
    </row>
    <row r="194" spans="1:66" ht="15.75" customHeight="1">
      <c r="A194" s="2"/>
      <c r="B194" s="2"/>
      <c r="C194" s="2"/>
      <c r="D194" s="2"/>
      <c r="E194" s="2"/>
      <c r="F194" s="2"/>
      <c r="G194" s="2"/>
      <c r="H194" s="185"/>
      <c r="I194" s="185"/>
      <c r="J194" s="185"/>
      <c r="K194" s="185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3"/>
      <c r="BN194" s="3"/>
    </row>
    <row r="195" spans="1:66" ht="15.75" customHeight="1">
      <c r="A195" s="2"/>
      <c r="B195" s="2"/>
      <c r="C195" s="2"/>
      <c r="D195" s="2"/>
      <c r="E195" s="2"/>
      <c r="F195" s="2"/>
      <c r="G195" s="2"/>
      <c r="H195" s="185"/>
      <c r="I195" s="185"/>
      <c r="J195" s="185"/>
      <c r="K195" s="185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3"/>
      <c r="BN195" s="3"/>
    </row>
    <row r="196" spans="1:66" ht="15.75" customHeight="1">
      <c r="A196" s="2"/>
      <c r="B196" s="2"/>
      <c r="C196" s="2"/>
      <c r="D196" s="2"/>
      <c r="E196" s="2"/>
      <c r="F196" s="2"/>
      <c r="G196" s="2"/>
      <c r="H196" s="185"/>
      <c r="I196" s="185"/>
      <c r="J196" s="185"/>
      <c r="K196" s="185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3"/>
      <c r="BN196" s="3"/>
    </row>
    <row r="197" spans="1:66" ht="15.75" customHeight="1">
      <c r="A197" s="2"/>
      <c r="B197" s="2"/>
      <c r="C197" s="2"/>
      <c r="D197" s="2"/>
      <c r="E197" s="2"/>
      <c r="F197" s="2"/>
      <c r="G197" s="2"/>
      <c r="H197" s="185"/>
      <c r="I197" s="185"/>
      <c r="J197" s="185"/>
      <c r="K197" s="185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3"/>
      <c r="BN197" s="3"/>
    </row>
    <row r="198" spans="1:66" ht="15.75" customHeight="1">
      <c r="A198" s="2"/>
      <c r="B198" s="2"/>
      <c r="C198" s="2"/>
      <c r="D198" s="2"/>
      <c r="E198" s="2"/>
      <c r="F198" s="2"/>
      <c r="G198" s="2"/>
      <c r="H198" s="185"/>
      <c r="I198" s="185"/>
      <c r="J198" s="185"/>
      <c r="K198" s="185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3"/>
      <c r="BN198" s="3"/>
    </row>
    <row r="199" spans="1:66" ht="15.75" customHeight="1">
      <c r="A199" s="2"/>
      <c r="B199" s="2"/>
      <c r="C199" s="2"/>
      <c r="D199" s="2"/>
      <c r="E199" s="2"/>
      <c r="F199" s="2"/>
      <c r="G199" s="2"/>
      <c r="H199" s="185"/>
      <c r="I199" s="185"/>
      <c r="J199" s="185"/>
      <c r="K199" s="185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3"/>
      <c r="BN199" s="3"/>
    </row>
    <row r="200" spans="1:66" ht="15.75" customHeight="1">
      <c r="A200" s="2"/>
      <c r="B200" s="2"/>
      <c r="C200" s="2"/>
      <c r="D200" s="2"/>
      <c r="E200" s="2"/>
      <c r="F200" s="2"/>
      <c r="G200" s="2"/>
      <c r="H200" s="185"/>
      <c r="I200" s="185"/>
      <c r="J200" s="185"/>
      <c r="K200" s="185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3"/>
      <c r="BN200" s="3"/>
    </row>
    <row r="201" spans="1:66" ht="15.75" customHeight="1">
      <c r="A201" s="2"/>
      <c r="B201" s="2"/>
      <c r="C201" s="2"/>
      <c r="D201" s="2"/>
      <c r="E201" s="2"/>
      <c r="F201" s="2"/>
      <c r="G201" s="2"/>
      <c r="H201" s="185"/>
      <c r="I201" s="185"/>
      <c r="J201" s="185"/>
      <c r="K201" s="185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3"/>
      <c r="BN201" s="3"/>
    </row>
    <row r="202" spans="1:66" ht="15.75" customHeight="1">
      <c r="A202" s="2"/>
      <c r="B202" s="2"/>
      <c r="C202" s="2"/>
      <c r="D202" s="2"/>
      <c r="E202" s="2"/>
      <c r="F202" s="2"/>
      <c r="G202" s="2"/>
      <c r="H202" s="185"/>
      <c r="I202" s="185"/>
      <c r="J202" s="185"/>
      <c r="K202" s="185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3"/>
      <c r="BN202" s="3"/>
    </row>
    <row r="203" spans="1:66" ht="15.75" customHeight="1">
      <c r="A203" s="2"/>
      <c r="B203" s="2"/>
      <c r="C203" s="2"/>
      <c r="D203" s="2"/>
      <c r="E203" s="2"/>
      <c r="F203" s="2"/>
      <c r="G203" s="2"/>
      <c r="H203" s="185"/>
      <c r="I203" s="185"/>
      <c r="J203" s="185"/>
      <c r="K203" s="185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3"/>
      <c r="BN203" s="3"/>
    </row>
    <row r="204" spans="1:66" ht="15.75" customHeight="1">
      <c r="A204" s="2"/>
      <c r="B204" s="2"/>
      <c r="C204" s="2"/>
      <c r="D204" s="2"/>
      <c r="E204" s="2"/>
      <c r="F204" s="2"/>
      <c r="G204" s="2"/>
      <c r="H204" s="185"/>
      <c r="I204" s="185"/>
      <c r="J204" s="185"/>
      <c r="K204" s="185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3"/>
      <c r="BN204" s="3"/>
    </row>
    <row r="205" spans="1:66" ht="15.75" customHeight="1">
      <c r="A205" s="2"/>
      <c r="B205" s="2"/>
      <c r="C205" s="2"/>
      <c r="D205" s="2"/>
      <c r="E205" s="2"/>
      <c r="F205" s="2"/>
      <c r="G205" s="2"/>
      <c r="H205" s="185"/>
      <c r="I205" s="185"/>
      <c r="J205" s="185"/>
      <c r="K205" s="185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3"/>
      <c r="BN205" s="3"/>
    </row>
    <row r="206" spans="1:66" ht="15.75" customHeight="1">
      <c r="A206" s="2"/>
      <c r="B206" s="2"/>
      <c r="C206" s="2"/>
      <c r="D206" s="2"/>
      <c r="E206" s="2"/>
      <c r="F206" s="2"/>
      <c r="G206" s="2"/>
      <c r="H206" s="185"/>
      <c r="I206" s="185"/>
      <c r="J206" s="185"/>
      <c r="K206" s="185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3"/>
      <c r="BN206" s="3"/>
    </row>
    <row r="207" spans="1:66" ht="15.75" customHeight="1">
      <c r="A207" s="2"/>
      <c r="B207" s="2"/>
      <c r="C207" s="2"/>
      <c r="D207" s="2"/>
      <c r="E207" s="2"/>
      <c r="F207" s="2"/>
      <c r="G207" s="2"/>
      <c r="H207" s="185"/>
      <c r="I207" s="185"/>
      <c r="J207" s="185"/>
      <c r="K207" s="185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3"/>
      <c r="BN207" s="3"/>
    </row>
    <row r="208" spans="1:66" ht="15.75" customHeight="1">
      <c r="A208" s="2"/>
      <c r="B208" s="2"/>
      <c r="C208" s="2"/>
      <c r="D208" s="2"/>
      <c r="E208" s="2"/>
      <c r="F208" s="2"/>
      <c r="G208" s="2"/>
      <c r="H208" s="185"/>
      <c r="I208" s="185"/>
      <c r="J208" s="185"/>
      <c r="K208" s="185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3"/>
      <c r="BN208" s="3"/>
    </row>
    <row r="209" spans="1:66" ht="15.75" customHeight="1">
      <c r="A209" s="2"/>
      <c r="B209" s="2"/>
      <c r="C209" s="2"/>
      <c r="D209" s="2"/>
      <c r="E209" s="2"/>
      <c r="F209" s="2"/>
      <c r="G209" s="2"/>
      <c r="H209" s="185"/>
      <c r="I209" s="185"/>
      <c r="J209" s="185"/>
      <c r="K209" s="185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3"/>
      <c r="BN209" s="3"/>
    </row>
    <row r="210" spans="1:66" ht="15.75" customHeight="1">
      <c r="A210" s="2"/>
      <c r="B210" s="2"/>
      <c r="C210" s="2"/>
      <c r="D210" s="2"/>
      <c r="E210" s="2"/>
      <c r="F210" s="2"/>
      <c r="G210" s="2"/>
      <c r="H210" s="185"/>
      <c r="I210" s="185"/>
      <c r="J210" s="185"/>
      <c r="K210" s="185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3"/>
      <c r="BN210" s="3"/>
    </row>
    <row r="211" spans="1:66" ht="15.75" customHeight="1">
      <c r="A211" s="2"/>
      <c r="B211" s="2"/>
      <c r="C211" s="2"/>
      <c r="D211" s="2"/>
      <c r="E211" s="2"/>
      <c r="F211" s="2"/>
      <c r="G211" s="2"/>
      <c r="H211" s="185"/>
      <c r="I211" s="185"/>
      <c r="J211" s="185"/>
      <c r="K211" s="185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3"/>
      <c r="BN211" s="3"/>
    </row>
    <row r="212" spans="1:66" ht="15.75" customHeight="1">
      <c r="A212" s="2"/>
      <c r="B212" s="2"/>
      <c r="C212" s="2"/>
      <c r="D212" s="2"/>
      <c r="E212" s="2"/>
      <c r="F212" s="2"/>
      <c r="G212" s="2"/>
      <c r="H212" s="185"/>
      <c r="I212" s="185"/>
      <c r="J212" s="185"/>
      <c r="K212" s="185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3"/>
      <c r="BN212" s="3"/>
    </row>
    <row r="213" spans="1:66" ht="15.75" customHeight="1">
      <c r="A213" s="2"/>
      <c r="B213" s="2"/>
      <c r="C213" s="2"/>
      <c r="D213" s="2"/>
      <c r="E213" s="2"/>
      <c r="F213" s="2"/>
      <c r="G213" s="2"/>
      <c r="H213" s="185"/>
      <c r="I213" s="185"/>
      <c r="J213" s="185"/>
      <c r="K213" s="185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3"/>
      <c r="BN213" s="3"/>
    </row>
    <row r="214" spans="1:66" ht="15.75" customHeight="1">
      <c r="A214" s="2"/>
      <c r="B214" s="2"/>
      <c r="C214" s="2"/>
      <c r="D214" s="2"/>
      <c r="E214" s="2"/>
      <c r="F214" s="2"/>
      <c r="G214" s="2"/>
      <c r="H214" s="185"/>
      <c r="I214" s="185"/>
      <c r="J214" s="185"/>
      <c r="K214" s="185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3"/>
      <c r="BN214" s="3"/>
    </row>
    <row r="215" spans="1:66" ht="15.75" customHeight="1">
      <c r="A215" s="2"/>
      <c r="B215" s="2"/>
      <c r="C215" s="2"/>
      <c r="D215" s="2"/>
      <c r="E215" s="2"/>
      <c r="F215" s="2"/>
      <c r="G215" s="2"/>
      <c r="H215" s="185"/>
      <c r="I215" s="185"/>
      <c r="J215" s="185"/>
      <c r="K215" s="185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3"/>
      <c r="BN215" s="3"/>
    </row>
    <row r="216" spans="1:66" ht="15.75" customHeight="1">
      <c r="A216" s="2"/>
      <c r="B216" s="2"/>
      <c r="C216" s="2"/>
      <c r="D216" s="2"/>
      <c r="E216" s="2"/>
      <c r="F216" s="2"/>
      <c r="G216" s="2"/>
      <c r="H216" s="185"/>
      <c r="I216" s="185"/>
      <c r="J216" s="185"/>
      <c r="K216" s="185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3"/>
      <c r="BN216" s="3"/>
    </row>
    <row r="217" spans="1:66" ht="15.75" customHeight="1">
      <c r="A217" s="2"/>
      <c r="B217" s="2"/>
      <c r="C217" s="2"/>
      <c r="D217" s="2"/>
      <c r="E217" s="2"/>
      <c r="F217" s="2"/>
      <c r="G217" s="2"/>
      <c r="H217" s="185"/>
      <c r="I217" s="185"/>
      <c r="J217" s="185"/>
      <c r="K217" s="185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3"/>
      <c r="BN217" s="3"/>
    </row>
    <row r="218" spans="1:66" ht="15.75" customHeight="1">
      <c r="A218" s="2"/>
      <c r="B218" s="2"/>
      <c r="C218" s="2"/>
      <c r="D218" s="2"/>
      <c r="E218" s="2"/>
      <c r="F218" s="2"/>
      <c r="G218" s="2"/>
      <c r="H218" s="185"/>
      <c r="I218" s="185"/>
      <c r="J218" s="185"/>
      <c r="K218" s="185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3"/>
      <c r="BN218" s="3"/>
    </row>
    <row r="219" spans="1:66" ht="15.75" customHeight="1">
      <c r="A219" s="2"/>
      <c r="B219" s="2"/>
      <c r="C219" s="2"/>
      <c r="D219" s="2"/>
      <c r="E219" s="2"/>
      <c r="F219" s="2"/>
      <c r="G219" s="2"/>
      <c r="H219" s="185"/>
      <c r="I219" s="185"/>
      <c r="J219" s="185"/>
      <c r="K219" s="185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3"/>
      <c r="BN219" s="3"/>
    </row>
    <row r="220" spans="1:66" ht="15.75" customHeight="1">
      <c r="A220" s="2"/>
      <c r="B220" s="2"/>
      <c r="C220" s="2"/>
      <c r="D220" s="2"/>
      <c r="E220" s="2"/>
      <c r="F220" s="2"/>
      <c r="G220" s="2"/>
      <c r="H220" s="185"/>
      <c r="I220" s="185"/>
      <c r="J220" s="185"/>
      <c r="K220" s="185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3"/>
      <c r="BN220" s="3"/>
    </row>
    <row r="221" spans="1:66" ht="15.75" customHeight="1">
      <c r="A221" s="2"/>
      <c r="B221" s="2"/>
      <c r="C221" s="2"/>
      <c r="D221" s="2"/>
      <c r="E221" s="2"/>
      <c r="F221" s="2"/>
      <c r="G221" s="2"/>
      <c r="H221" s="185"/>
      <c r="I221" s="185"/>
      <c r="J221" s="185"/>
      <c r="K221" s="185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3"/>
      <c r="BN221" s="3"/>
    </row>
    <row r="222" spans="1:66" ht="15.75" customHeight="1">
      <c r="A222" s="2"/>
      <c r="B222" s="2"/>
      <c r="C222" s="2"/>
      <c r="D222" s="2"/>
      <c r="E222" s="2"/>
      <c r="F222" s="2"/>
      <c r="G222" s="2"/>
      <c r="H222" s="185"/>
      <c r="I222" s="185"/>
      <c r="J222" s="185"/>
      <c r="K222" s="185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3"/>
      <c r="BN222" s="3"/>
    </row>
    <row r="223" spans="1:66" ht="15.75" customHeight="1">
      <c r="A223" s="2"/>
      <c r="B223" s="2"/>
      <c r="C223" s="2"/>
      <c r="D223" s="2"/>
      <c r="E223" s="2"/>
      <c r="F223" s="2"/>
      <c r="G223" s="2"/>
      <c r="H223" s="185"/>
      <c r="I223" s="185"/>
      <c r="J223" s="185"/>
      <c r="K223" s="185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3"/>
      <c r="BN223" s="3"/>
    </row>
    <row r="224" spans="1:66" ht="15.75" customHeight="1">
      <c r="A224" s="2"/>
      <c r="B224" s="2"/>
      <c r="C224" s="2"/>
      <c r="D224" s="2"/>
      <c r="E224" s="2"/>
      <c r="F224" s="2"/>
      <c r="G224" s="2"/>
      <c r="H224" s="185"/>
      <c r="I224" s="185"/>
      <c r="J224" s="185"/>
      <c r="K224" s="185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3"/>
      <c r="BN224" s="3"/>
    </row>
    <row r="225" spans="1:66" ht="15.75" customHeight="1">
      <c r="A225" s="2"/>
      <c r="B225" s="2"/>
      <c r="C225" s="2"/>
      <c r="D225" s="2"/>
      <c r="E225" s="2"/>
      <c r="F225" s="2"/>
      <c r="G225" s="2"/>
      <c r="H225" s="185"/>
      <c r="I225" s="185"/>
      <c r="J225" s="185"/>
      <c r="K225" s="185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3"/>
      <c r="BN225" s="3"/>
    </row>
    <row r="226" spans="1:66" ht="15.75" customHeight="1">
      <c r="A226" s="2"/>
      <c r="B226" s="2"/>
      <c r="C226" s="2"/>
      <c r="D226" s="2"/>
      <c r="E226" s="2"/>
      <c r="F226" s="2"/>
      <c r="G226" s="2"/>
      <c r="H226" s="185"/>
      <c r="I226" s="185"/>
      <c r="J226" s="185"/>
      <c r="K226" s="185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3"/>
      <c r="BN226" s="3"/>
    </row>
    <row r="227" spans="1:66" ht="15.75" customHeight="1">
      <c r="A227" s="2"/>
      <c r="B227" s="2"/>
      <c r="C227" s="2"/>
      <c r="D227" s="2"/>
      <c r="E227" s="2"/>
      <c r="F227" s="2"/>
      <c r="G227" s="2"/>
      <c r="H227" s="185"/>
      <c r="I227" s="185"/>
      <c r="J227" s="185"/>
      <c r="K227" s="185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3"/>
      <c r="BN227" s="3"/>
    </row>
    <row r="228" spans="1:66" ht="15.75" customHeight="1">
      <c r="A228" s="2"/>
      <c r="B228" s="2"/>
      <c r="C228" s="2"/>
      <c r="D228" s="2"/>
      <c r="E228" s="2"/>
      <c r="F228" s="2"/>
      <c r="G228" s="2"/>
      <c r="H228" s="185"/>
      <c r="I228" s="185"/>
      <c r="J228" s="185"/>
      <c r="K228" s="185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3"/>
      <c r="BN228" s="3"/>
    </row>
    <row r="229" spans="1:66" ht="15.75" customHeight="1">
      <c r="A229" s="2"/>
      <c r="B229" s="2"/>
      <c r="C229" s="2"/>
      <c r="D229" s="2"/>
      <c r="E229" s="2"/>
      <c r="F229" s="2"/>
      <c r="G229" s="2"/>
      <c r="H229" s="185"/>
      <c r="I229" s="185"/>
      <c r="J229" s="185"/>
      <c r="K229" s="185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3"/>
      <c r="BN229" s="3"/>
    </row>
    <row r="230" spans="1:66" ht="15.75" customHeight="1">
      <c r="A230" s="2"/>
      <c r="B230" s="2"/>
      <c r="C230" s="2"/>
      <c r="D230" s="2"/>
      <c r="E230" s="2"/>
      <c r="F230" s="2"/>
      <c r="G230" s="2"/>
      <c r="H230" s="185"/>
      <c r="I230" s="185"/>
      <c r="J230" s="185"/>
      <c r="K230" s="185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3"/>
      <c r="BN230" s="3"/>
    </row>
    <row r="231" spans="1:66" ht="15.75" customHeight="1">
      <c r="A231" s="2"/>
      <c r="B231" s="2"/>
      <c r="C231" s="2"/>
      <c r="D231" s="2"/>
      <c r="E231" s="2"/>
      <c r="F231" s="2"/>
      <c r="G231" s="2"/>
      <c r="H231" s="185"/>
      <c r="I231" s="185"/>
      <c r="J231" s="185"/>
      <c r="K231" s="185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3"/>
      <c r="BN231" s="3"/>
    </row>
    <row r="232" spans="1:66" ht="15.75" customHeight="1">
      <c r="A232" s="2"/>
      <c r="B232" s="2"/>
      <c r="C232" s="2"/>
      <c r="D232" s="2"/>
      <c r="E232" s="2"/>
      <c r="F232" s="2"/>
      <c r="G232" s="2"/>
      <c r="H232" s="185"/>
      <c r="I232" s="185"/>
      <c r="J232" s="185"/>
      <c r="K232" s="185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3"/>
      <c r="BN232" s="3"/>
    </row>
    <row r="233" spans="1:66" ht="15.75" customHeight="1">
      <c r="A233" s="2"/>
      <c r="B233" s="2"/>
      <c r="C233" s="2"/>
      <c r="D233" s="2"/>
      <c r="E233" s="2"/>
      <c r="F233" s="2"/>
      <c r="G233" s="2"/>
      <c r="H233" s="185"/>
      <c r="I233" s="185"/>
      <c r="J233" s="185"/>
      <c r="K233" s="185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3"/>
      <c r="BN233" s="3"/>
    </row>
    <row r="234" spans="1:66" ht="15.75" customHeight="1">
      <c r="A234" s="2"/>
      <c r="B234" s="2"/>
      <c r="C234" s="2"/>
      <c r="D234" s="2"/>
      <c r="E234" s="2"/>
      <c r="F234" s="2"/>
      <c r="G234" s="2"/>
      <c r="H234" s="185"/>
      <c r="I234" s="185"/>
      <c r="J234" s="185"/>
      <c r="K234" s="185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3"/>
      <c r="BN234" s="3"/>
    </row>
    <row r="235" spans="1:66" ht="15.75" customHeight="1">
      <c r="A235" s="2"/>
      <c r="B235" s="2"/>
      <c r="C235" s="2"/>
      <c r="D235" s="2"/>
      <c r="E235" s="2"/>
      <c r="F235" s="2"/>
      <c r="G235" s="2"/>
      <c r="H235" s="185"/>
      <c r="I235" s="185"/>
      <c r="J235" s="185"/>
      <c r="K235" s="185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3"/>
      <c r="BN235" s="3"/>
    </row>
    <row r="236" spans="1:66" ht="15.75" customHeight="1">
      <c r="A236" s="2"/>
      <c r="B236" s="2"/>
      <c r="C236" s="2"/>
      <c r="D236" s="2"/>
      <c r="E236" s="2"/>
      <c r="F236" s="2"/>
      <c r="G236" s="2"/>
      <c r="H236" s="185"/>
      <c r="I236" s="185"/>
      <c r="J236" s="185"/>
      <c r="K236" s="185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3"/>
      <c r="BN236" s="3"/>
    </row>
    <row r="237" spans="1:66" ht="15.75" customHeight="1">
      <c r="A237" s="2"/>
      <c r="B237" s="2"/>
      <c r="C237" s="2"/>
      <c r="D237" s="2"/>
      <c r="E237" s="2"/>
      <c r="F237" s="2"/>
      <c r="G237" s="2"/>
      <c r="H237" s="185"/>
      <c r="I237" s="185"/>
      <c r="J237" s="185"/>
      <c r="K237" s="185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3"/>
      <c r="BN237" s="3"/>
    </row>
    <row r="238" spans="1:66" ht="15.75" customHeight="1">
      <c r="A238" s="2"/>
      <c r="B238" s="2"/>
      <c r="C238" s="2"/>
      <c r="D238" s="2"/>
      <c r="E238" s="2"/>
      <c r="F238" s="2"/>
      <c r="G238" s="2"/>
      <c r="H238" s="185"/>
      <c r="I238" s="185"/>
      <c r="J238" s="185"/>
      <c r="K238" s="185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3"/>
      <c r="BN238" s="3"/>
    </row>
    <row r="239" spans="1:66" ht="15.75" customHeight="1">
      <c r="A239" s="2"/>
      <c r="B239" s="2"/>
      <c r="C239" s="2"/>
      <c r="D239" s="2"/>
      <c r="E239" s="2"/>
      <c r="F239" s="2"/>
      <c r="G239" s="2"/>
      <c r="H239" s="185"/>
      <c r="I239" s="185"/>
      <c r="J239" s="185"/>
      <c r="K239" s="185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3"/>
      <c r="BN239" s="3"/>
    </row>
    <row r="240" spans="1:66" ht="15.75" customHeight="1">
      <c r="A240" s="2"/>
      <c r="B240" s="2"/>
      <c r="C240" s="2"/>
      <c r="D240" s="2"/>
      <c r="E240" s="2"/>
      <c r="F240" s="2"/>
      <c r="G240" s="2"/>
      <c r="H240" s="185"/>
      <c r="I240" s="185"/>
      <c r="J240" s="185"/>
      <c r="K240" s="185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3"/>
      <c r="BN240" s="3"/>
    </row>
    <row r="241" spans="1:66" ht="15.75" customHeight="1">
      <c r="A241" s="2"/>
      <c r="B241" s="2"/>
      <c r="C241" s="2"/>
      <c r="D241" s="2"/>
      <c r="E241" s="2"/>
      <c r="F241" s="2"/>
      <c r="G241" s="2"/>
      <c r="H241" s="185"/>
      <c r="I241" s="185"/>
      <c r="J241" s="185"/>
      <c r="K241" s="185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3"/>
      <c r="BN241" s="3"/>
    </row>
    <row r="242" spans="1:66" ht="15.75" customHeight="1">
      <c r="A242" s="2"/>
      <c r="B242" s="2"/>
      <c r="C242" s="2"/>
      <c r="D242" s="2"/>
      <c r="E242" s="2"/>
      <c r="F242" s="2"/>
      <c r="G242" s="2"/>
      <c r="H242" s="185"/>
      <c r="I242" s="185"/>
      <c r="J242" s="185"/>
      <c r="K242" s="185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3"/>
      <c r="BN242" s="3"/>
    </row>
    <row r="243" spans="1:66" ht="15.75" customHeight="1">
      <c r="A243" s="2"/>
      <c r="B243" s="2"/>
      <c r="C243" s="2"/>
      <c r="D243" s="2"/>
      <c r="E243" s="2"/>
      <c r="F243" s="2"/>
      <c r="G243" s="2"/>
      <c r="H243" s="185"/>
      <c r="I243" s="185"/>
      <c r="J243" s="185"/>
      <c r="K243" s="185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3"/>
      <c r="BN243" s="3"/>
    </row>
    <row r="244" spans="1:66" ht="15.75" customHeight="1">
      <c r="A244" s="2"/>
      <c r="B244" s="2"/>
      <c r="C244" s="2"/>
      <c r="D244" s="2"/>
      <c r="E244" s="2"/>
      <c r="F244" s="2"/>
      <c r="G244" s="2"/>
      <c r="H244" s="185"/>
      <c r="I244" s="185"/>
      <c r="J244" s="185"/>
      <c r="K244" s="185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3"/>
      <c r="BN244" s="3"/>
    </row>
    <row r="245" spans="1:66" ht="15.75" customHeight="1">
      <c r="A245" s="2"/>
      <c r="B245" s="2"/>
      <c r="C245" s="2"/>
      <c r="D245" s="2"/>
      <c r="E245" s="2"/>
      <c r="F245" s="2"/>
      <c r="G245" s="2"/>
      <c r="H245" s="185"/>
      <c r="I245" s="185"/>
      <c r="J245" s="185"/>
      <c r="K245" s="185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3"/>
      <c r="BN245" s="3"/>
    </row>
    <row r="246" spans="1:66" ht="15.75" customHeight="1">
      <c r="A246" s="2"/>
      <c r="B246" s="2"/>
      <c r="C246" s="2"/>
      <c r="D246" s="2"/>
      <c r="E246" s="2"/>
      <c r="F246" s="2"/>
      <c r="G246" s="2"/>
      <c r="H246" s="185"/>
      <c r="I246" s="185"/>
      <c r="J246" s="185"/>
      <c r="K246" s="185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3"/>
      <c r="BN246" s="3"/>
    </row>
    <row r="247" spans="1:66" ht="15.75" customHeight="1">
      <c r="A247" s="2"/>
      <c r="B247" s="2"/>
      <c r="C247" s="2"/>
      <c r="D247" s="2"/>
      <c r="E247" s="2"/>
      <c r="F247" s="2"/>
      <c r="G247" s="2"/>
      <c r="H247" s="185"/>
      <c r="I247" s="185"/>
      <c r="J247" s="185"/>
      <c r="K247" s="185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3"/>
      <c r="BN247" s="3"/>
    </row>
    <row r="248" spans="1:66" ht="15.75" customHeight="1">
      <c r="A248" s="2"/>
      <c r="B248" s="2"/>
      <c r="C248" s="2"/>
      <c r="D248" s="2"/>
      <c r="E248" s="2"/>
      <c r="F248" s="2"/>
      <c r="G248" s="2"/>
      <c r="H248" s="185"/>
      <c r="I248" s="185"/>
      <c r="J248" s="185"/>
      <c r="K248" s="185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3"/>
      <c r="BN248" s="3"/>
    </row>
    <row r="249" spans="1:66" ht="15.75" customHeight="1">
      <c r="A249" s="2"/>
      <c r="B249" s="2"/>
      <c r="C249" s="2"/>
      <c r="D249" s="2"/>
      <c r="E249" s="2"/>
      <c r="F249" s="2"/>
      <c r="G249" s="2"/>
      <c r="H249" s="185"/>
      <c r="I249" s="185"/>
      <c r="J249" s="185"/>
      <c r="K249" s="185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3"/>
      <c r="BN249" s="3"/>
    </row>
    <row r="250" spans="1:66" ht="15.75" customHeight="1">
      <c r="A250" s="2"/>
      <c r="B250" s="2"/>
      <c r="C250" s="2"/>
      <c r="D250" s="2"/>
      <c r="E250" s="2"/>
      <c r="F250" s="2"/>
      <c r="G250" s="2"/>
      <c r="H250" s="185"/>
      <c r="I250" s="185"/>
      <c r="J250" s="185"/>
      <c r="K250" s="185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3"/>
      <c r="BN250" s="3"/>
    </row>
    <row r="251" spans="1:66" ht="15.75" customHeight="1">
      <c r="A251" s="2"/>
      <c r="B251" s="2"/>
      <c r="C251" s="2"/>
      <c r="D251" s="2"/>
      <c r="E251" s="2"/>
      <c r="F251" s="2"/>
      <c r="G251" s="2"/>
      <c r="H251" s="185"/>
      <c r="I251" s="185"/>
      <c r="J251" s="185"/>
      <c r="K251" s="185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3"/>
      <c r="BN251" s="3"/>
    </row>
    <row r="252" spans="1:66" ht="15.75" customHeight="1">
      <c r="A252" s="2"/>
      <c r="B252" s="2"/>
      <c r="C252" s="2"/>
      <c r="D252" s="2"/>
      <c r="E252" s="2"/>
      <c r="F252" s="2"/>
      <c r="G252" s="2"/>
      <c r="H252" s="185"/>
      <c r="I252" s="185"/>
      <c r="J252" s="185"/>
      <c r="K252" s="185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3"/>
      <c r="BN252" s="3"/>
    </row>
    <row r="253" spans="1:66" ht="15.75" customHeight="1">
      <c r="A253" s="2"/>
      <c r="B253" s="2"/>
      <c r="C253" s="2"/>
      <c r="D253" s="2"/>
      <c r="E253" s="2"/>
      <c r="F253" s="2"/>
      <c r="G253" s="2"/>
      <c r="H253" s="185"/>
      <c r="I253" s="185"/>
      <c r="J253" s="185"/>
      <c r="K253" s="185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3"/>
      <c r="BN253" s="3"/>
    </row>
    <row r="254" spans="1:66" ht="15.75" customHeight="1">
      <c r="A254" s="2"/>
      <c r="B254" s="2"/>
      <c r="C254" s="2"/>
      <c r="D254" s="2"/>
      <c r="E254" s="2"/>
      <c r="F254" s="2"/>
      <c r="G254" s="2"/>
      <c r="H254" s="185"/>
      <c r="I254" s="185"/>
      <c r="J254" s="185"/>
      <c r="K254" s="185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3"/>
      <c r="BN254" s="3"/>
    </row>
    <row r="255" spans="1:66" ht="15.75" customHeight="1">
      <c r="A255" s="2"/>
      <c r="B255" s="2"/>
      <c r="C255" s="2"/>
      <c r="D255" s="2"/>
      <c r="E255" s="2"/>
      <c r="F255" s="2"/>
      <c r="G255" s="2"/>
      <c r="H255" s="185"/>
      <c r="I255" s="185"/>
      <c r="J255" s="185"/>
      <c r="K255" s="185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3"/>
      <c r="BN255" s="3"/>
    </row>
    <row r="256" spans="1:66" ht="15.75" customHeight="1">
      <c r="A256" s="2"/>
      <c r="B256" s="2"/>
      <c r="C256" s="2"/>
      <c r="D256" s="2"/>
      <c r="E256" s="2"/>
      <c r="F256" s="2"/>
      <c r="G256" s="2"/>
      <c r="H256" s="185"/>
      <c r="I256" s="185"/>
      <c r="J256" s="185"/>
      <c r="K256" s="185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3"/>
      <c r="BN256" s="3"/>
    </row>
    <row r="257" spans="1:66" ht="15.75" customHeight="1">
      <c r="A257" s="2"/>
      <c r="B257" s="2"/>
      <c r="C257" s="2"/>
      <c r="D257" s="2"/>
      <c r="E257" s="2"/>
      <c r="F257" s="2"/>
      <c r="G257" s="2"/>
      <c r="H257" s="185"/>
      <c r="I257" s="185"/>
      <c r="J257" s="185"/>
      <c r="K257" s="185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3"/>
      <c r="BN257" s="3"/>
    </row>
    <row r="258" spans="1:66" ht="15.75" customHeight="1">
      <c r="A258" s="2"/>
      <c r="B258" s="2"/>
      <c r="C258" s="2"/>
      <c r="D258" s="2"/>
      <c r="E258" s="2"/>
      <c r="F258" s="2"/>
      <c r="G258" s="2"/>
      <c r="H258" s="185"/>
      <c r="I258" s="185"/>
      <c r="J258" s="185"/>
      <c r="K258" s="185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3"/>
      <c r="BN258" s="3"/>
    </row>
    <row r="259" spans="1:66" ht="15.75" customHeight="1">
      <c r="A259" s="2"/>
      <c r="B259" s="2"/>
      <c r="C259" s="2"/>
      <c r="D259" s="2"/>
      <c r="E259" s="2"/>
      <c r="F259" s="2"/>
      <c r="G259" s="2"/>
      <c r="H259" s="185"/>
      <c r="I259" s="185"/>
      <c r="J259" s="185"/>
      <c r="K259" s="185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3"/>
      <c r="BN259" s="3"/>
    </row>
    <row r="260" spans="1:66" ht="15.75" customHeight="1">
      <c r="A260" s="2"/>
      <c r="B260" s="2"/>
      <c r="C260" s="2"/>
      <c r="D260" s="2"/>
      <c r="E260" s="2"/>
      <c r="F260" s="2"/>
      <c r="G260" s="2"/>
      <c r="H260" s="185"/>
      <c r="I260" s="185"/>
      <c r="J260" s="185"/>
      <c r="K260" s="185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3"/>
      <c r="BN260" s="3"/>
    </row>
    <row r="261" spans="1:66" ht="15.75" customHeight="1">
      <c r="A261" s="2"/>
      <c r="B261" s="2"/>
      <c r="C261" s="2"/>
      <c r="D261" s="2"/>
      <c r="E261" s="2"/>
      <c r="F261" s="2"/>
      <c r="G261" s="2"/>
      <c r="H261" s="185"/>
      <c r="I261" s="185"/>
      <c r="J261" s="185"/>
      <c r="K261" s="185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3"/>
      <c r="BN261" s="3"/>
    </row>
    <row r="262" spans="1:66" ht="15.75" customHeight="1">
      <c r="A262" s="2"/>
      <c r="B262" s="2"/>
      <c r="C262" s="2"/>
      <c r="D262" s="2"/>
      <c r="E262" s="2"/>
      <c r="F262" s="2"/>
      <c r="G262" s="2"/>
      <c r="H262" s="185"/>
      <c r="I262" s="185"/>
      <c r="J262" s="185"/>
      <c r="K262" s="185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3"/>
      <c r="BN262" s="3"/>
    </row>
    <row r="263" spans="1:66" ht="15.75" customHeight="1">
      <c r="A263" s="2"/>
      <c r="B263" s="2"/>
      <c r="C263" s="2"/>
      <c r="D263" s="2"/>
      <c r="E263" s="2"/>
      <c r="F263" s="2"/>
      <c r="G263" s="2"/>
      <c r="H263" s="185"/>
      <c r="I263" s="185"/>
      <c r="J263" s="185"/>
      <c r="K263" s="185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3"/>
      <c r="BN263" s="3"/>
    </row>
    <row r="264" spans="1:66" ht="15.75" customHeight="1">
      <c r="A264" s="2"/>
      <c r="B264" s="2"/>
      <c r="C264" s="2"/>
      <c r="D264" s="2"/>
      <c r="E264" s="2"/>
      <c r="F264" s="2"/>
      <c r="G264" s="2"/>
      <c r="H264" s="185"/>
      <c r="I264" s="185"/>
      <c r="J264" s="185"/>
      <c r="K264" s="185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3"/>
      <c r="BN264" s="3"/>
    </row>
    <row r="265" spans="1:66" ht="15.75" customHeight="1">
      <c r="A265" s="2"/>
      <c r="B265" s="2"/>
      <c r="C265" s="2"/>
      <c r="D265" s="2"/>
      <c r="E265" s="2"/>
      <c r="F265" s="2"/>
      <c r="G265" s="2"/>
      <c r="H265" s="185"/>
      <c r="I265" s="185"/>
      <c r="J265" s="185"/>
      <c r="K265" s="185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3"/>
      <c r="BN265" s="3"/>
    </row>
    <row r="266" spans="1:66" ht="15.75" customHeight="1">
      <c r="A266" s="2"/>
      <c r="B266" s="2"/>
      <c r="C266" s="2"/>
      <c r="D266" s="2"/>
      <c r="E266" s="2"/>
      <c r="F266" s="2"/>
      <c r="G266" s="2"/>
      <c r="H266" s="185"/>
      <c r="I266" s="185"/>
      <c r="J266" s="185"/>
      <c r="K266" s="185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3"/>
      <c r="BN266" s="3"/>
    </row>
    <row r="267" spans="1:66" ht="15.75" customHeight="1">
      <c r="A267" s="2"/>
      <c r="B267" s="2"/>
      <c r="C267" s="2"/>
      <c r="D267" s="2"/>
      <c r="E267" s="2"/>
      <c r="F267" s="2"/>
      <c r="G267" s="2"/>
      <c r="H267" s="185"/>
      <c r="I267" s="185"/>
      <c r="J267" s="185"/>
      <c r="K267" s="185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3"/>
      <c r="BN267" s="3"/>
    </row>
    <row r="268" spans="1:66" ht="15.75" customHeight="1">
      <c r="A268" s="2"/>
      <c r="B268" s="2"/>
      <c r="C268" s="2"/>
      <c r="D268" s="2"/>
      <c r="E268" s="2"/>
      <c r="F268" s="2"/>
      <c r="G268" s="2"/>
      <c r="H268" s="185"/>
      <c r="I268" s="185"/>
      <c r="J268" s="185"/>
      <c r="K268" s="185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3"/>
      <c r="BN268" s="3"/>
    </row>
    <row r="269" spans="1:66" ht="15.75" customHeight="1">
      <c r="A269" s="2"/>
      <c r="B269" s="2"/>
      <c r="C269" s="2"/>
      <c r="D269" s="2"/>
      <c r="E269" s="2"/>
      <c r="F269" s="2"/>
      <c r="G269" s="2"/>
      <c r="H269" s="185"/>
      <c r="I269" s="185"/>
      <c r="J269" s="185"/>
      <c r="K269" s="185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3"/>
      <c r="BN269" s="3"/>
    </row>
    <row r="270" spans="1:66" ht="15.75" customHeight="1">
      <c r="A270" s="2"/>
      <c r="B270" s="2"/>
      <c r="C270" s="2"/>
      <c r="D270" s="2"/>
      <c r="E270" s="2"/>
      <c r="F270" s="2"/>
      <c r="G270" s="2"/>
      <c r="H270" s="185"/>
      <c r="I270" s="185"/>
      <c r="J270" s="185"/>
      <c r="K270" s="185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3"/>
      <c r="BN270" s="3"/>
    </row>
    <row r="271" spans="1:66" ht="15.75" customHeight="1">
      <c r="A271" s="2"/>
      <c r="B271" s="2"/>
      <c r="C271" s="2"/>
      <c r="D271" s="2"/>
      <c r="E271" s="2"/>
      <c r="F271" s="2"/>
      <c r="G271" s="2"/>
      <c r="H271" s="185"/>
      <c r="I271" s="185"/>
      <c r="J271" s="185"/>
      <c r="K271" s="185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3"/>
      <c r="BN271" s="3"/>
    </row>
    <row r="272" spans="1:66" ht="15.75" customHeight="1">
      <c r="A272" s="2"/>
      <c r="B272" s="2"/>
      <c r="C272" s="2"/>
      <c r="D272" s="2"/>
      <c r="E272" s="2"/>
      <c r="F272" s="2"/>
      <c r="G272" s="2"/>
      <c r="H272" s="185"/>
      <c r="I272" s="185"/>
      <c r="J272" s="185"/>
      <c r="K272" s="185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3"/>
      <c r="BN272" s="3"/>
    </row>
    <row r="273" spans="1:66" ht="15.75" customHeight="1">
      <c r="A273" s="2"/>
      <c r="B273" s="2"/>
      <c r="C273" s="2"/>
      <c r="D273" s="2"/>
      <c r="E273" s="2"/>
      <c r="F273" s="2"/>
      <c r="G273" s="2"/>
      <c r="H273" s="185"/>
      <c r="I273" s="185"/>
      <c r="J273" s="185"/>
      <c r="K273" s="185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3"/>
      <c r="BN273" s="3"/>
    </row>
    <row r="274" spans="1:66" ht="15.75" customHeight="1">
      <c r="A274" s="2"/>
      <c r="B274" s="2"/>
      <c r="C274" s="2"/>
      <c r="D274" s="2"/>
      <c r="E274" s="2"/>
      <c r="F274" s="2"/>
      <c r="G274" s="2"/>
      <c r="H274" s="185"/>
      <c r="I274" s="185"/>
      <c r="J274" s="185"/>
      <c r="K274" s="185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3"/>
      <c r="BN274" s="3"/>
    </row>
    <row r="275" spans="1:66" ht="15.75" customHeight="1">
      <c r="A275" s="2"/>
      <c r="B275" s="2"/>
      <c r="C275" s="2"/>
      <c r="D275" s="2"/>
      <c r="E275" s="2"/>
      <c r="F275" s="2"/>
      <c r="G275" s="2"/>
      <c r="H275" s="185"/>
      <c r="I275" s="185"/>
      <c r="J275" s="185"/>
      <c r="K275" s="185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3"/>
      <c r="BN275" s="3"/>
    </row>
    <row r="276" spans="1:66" ht="15.75" customHeight="1">
      <c r="A276" s="2"/>
      <c r="B276" s="2"/>
      <c r="C276" s="2"/>
      <c r="D276" s="2"/>
      <c r="E276" s="2"/>
      <c r="F276" s="2"/>
      <c r="G276" s="2"/>
      <c r="H276" s="185"/>
      <c r="I276" s="185"/>
      <c r="J276" s="185"/>
      <c r="K276" s="185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3"/>
      <c r="BN276" s="3"/>
    </row>
    <row r="277" spans="1:66" ht="15.75" customHeight="1">
      <c r="A277" s="2"/>
      <c r="B277" s="2"/>
      <c r="C277" s="2"/>
      <c r="D277" s="2"/>
      <c r="E277" s="2"/>
      <c r="F277" s="2"/>
      <c r="G277" s="2"/>
      <c r="H277" s="185"/>
      <c r="I277" s="185"/>
      <c r="J277" s="185"/>
      <c r="K277" s="185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3"/>
      <c r="BN277" s="3"/>
    </row>
    <row r="278" spans="1:66" ht="15.75" customHeight="1">
      <c r="A278" s="2"/>
      <c r="B278" s="2"/>
      <c r="C278" s="2"/>
      <c r="D278" s="2"/>
      <c r="E278" s="2"/>
      <c r="F278" s="2"/>
      <c r="G278" s="2"/>
      <c r="H278" s="185"/>
      <c r="I278" s="185"/>
      <c r="J278" s="185"/>
      <c r="K278" s="185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3"/>
      <c r="BN278" s="3"/>
    </row>
    <row r="279" spans="1:66" ht="15.75" customHeight="1">
      <c r="A279" s="2"/>
      <c r="B279" s="2"/>
      <c r="C279" s="2"/>
      <c r="D279" s="2"/>
      <c r="E279" s="2"/>
      <c r="F279" s="2"/>
      <c r="G279" s="2"/>
      <c r="H279" s="185"/>
      <c r="I279" s="185"/>
      <c r="J279" s="185"/>
      <c r="K279" s="185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3"/>
      <c r="BN279" s="3"/>
    </row>
    <row r="280" spans="1:66" ht="15.75" customHeight="1">
      <c r="A280" s="2"/>
      <c r="B280" s="2"/>
      <c r="C280" s="2"/>
      <c r="D280" s="2"/>
      <c r="E280" s="2"/>
      <c r="F280" s="2"/>
      <c r="G280" s="2"/>
      <c r="H280" s="185"/>
      <c r="I280" s="185"/>
      <c r="J280" s="185"/>
      <c r="K280" s="185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3"/>
      <c r="BN280" s="3"/>
    </row>
    <row r="281" spans="1:66" ht="15.75" customHeight="1">
      <c r="A281" s="2"/>
      <c r="B281" s="2"/>
      <c r="C281" s="2"/>
      <c r="D281" s="2"/>
      <c r="E281" s="2"/>
      <c r="F281" s="2"/>
      <c r="G281" s="2"/>
      <c r="H281" s="185"/>
      <c r="I281" s="185"/>
      <c r="J281" s="185"/>
      <c r="K281" s="185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3"/>
      <c r="BN281" s="3"/>
    </row>
    <row r="282" spans="1:66" ht="15.75" customHeight="1">
      <c r="A282" s="2"/>
      <c r="B282" s="2"/>
      <c r="C282" s="2"/>
      <c r="D282" s="2"/>
      <c r="E282" s="2"/>
      <c r="F282" s="2"/>
      <c r="G282" s="2"/>
      <c r="H282" s="185"/>
      <c r="I282" s="185"/>
      <c r="J282" s="185"/>
      <c r="K282" s="185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3"/>
      <c r="BN282" s="3"/>
    </row>
    <row r="283" spans="1:66" ht="15.75" customHeight="1">
      <c r="A283" s="2"/>
      <c r="B283" s="2"/>
      <c r="C283" s="2"/>
      <c r="D283" s="2"/>
      <c r="E283" s="2"/>
      <c r="F283" s="2"/>
      <c r="G283" s="2"/>
      <c r="H283" s="185"/>
      <c r="I283" s="185"/>
      <c r="J283" s="185"/>
      <c r="K283" s="185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3"/>
      <c r="BN283" s="3"/>
    </row>
    <row r="284" spans="1:66" ht="15.75" customHeight="1">
      <c r="A284" s="2"/>
      <c r="B284" s="2"/>
      <c r="C284" s="2"/>
      <c r="D284" s="2"/>
      <c r="E284" s="2"/>
      <c r="F284" s="2"/>
      <c r="G284" s="2"/>
      <c r="H284" s="185"/>
      <c r="I284" s="185"/>
      <c r="J284" s="185"/>
      <c r="K284" s="185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3"/>
      <c r="BN284" s="3"/>
    </row>
    <row r="285" spans="1:66" ht="15.75" customHeight="1">
      <c r="A285" s="2"/>
      <c r="B285" s="2"/>
      <c r="C285" s="2"/>
      <c r="D285" s="2"/>
      <c r="E285" s="2"/>
      <c r="F285" s="2"/>
      <c r="G285" s="2"/>
      <c r="H285" s="185"/>
      <c r="I285" s="185"/>
      <c r="J285" s="185"/>
      <c r="K285" s="185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3"/>
      <c r="BN285" s="3"/>
    </row>
    <row r="286" spans="1:66" ht="15.75" customHeight="1">
      <c r="A286" s="2"/>
      <c r="B286" s="2"/>
      <c r="C286" s="2"/>
      <c r="D286" s="2"/>
      <c r="E286" s="2"/>
      <c r="F286" s="2"/>
      <c r="G286" s="2"/>
      <c r="H286" s="185"/>
      <c r="I286" s="185"/>
      <c r="J286" s="185"/>
      <c r="K286" s="185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3"/>
      <c r="BN286" s="3"/>
    </row>
    <row r="287" spans="1:66" ht="15.75" customHeight="1">
      <c r="A287" s="2"/>
      <c r="B287" s="2"/>
      <c r="C287" s="2"/>
      <c r="D287" s="2"/>
      <c r="E287" s="2"/>
      <c r="F287" s="2"/>
      <c r="G287" s="2"/>
      <c r="H287" s="185"/>
      <c r="I287" s="185"/>
      <c r="J287" s="185"/>
      <c r="K287" s="185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3"/>
      <c r="BN287" s="3"/>
    </row>
    <row r="288" spans="1:66" ht="15.75" customHeight="1">
      <c r="A288" s="2"/>
      <c r="B288" s="2"/>
      <c r="C288" s="2"/>
      <c r="D288" s="2"/>
      <c r="E288" s="2"/>
      <c r="F288" s="2"/>
      <c r="G288" s="2"/>
      <c r="H288" s="185"/>
      <c r="I288" s="185"/>
      <c r="J288" s="185"/>
      <c r="K288" s="185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3"/>
      <c r="BN288" s="3"/>
    </row>
    <row r="289" spans="1:66" ht="15.75" customHeight="1">
      <c r="A289" s="2"/>
      <c r="B289" s="2"/>
      <c r="C289" s="2"/>
      <c r="D289" s="2"/>
      <c r="E289" s="2"/>
      <c r="F289" s="2"/>
      <c r="G289" s="2"/>
      <c r="H289" s="185"/>
      <c r="I289" s="185"/>
      <c r="J289" s="185"/>
      <c r="K289" s="185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3"/>
      <c r="BN289" s="3"/>
    </row>
    <row r="290" spans="1:66" ht="15.75" customHeight="1">
      <c r="A290" s="2"/>
      <c r="B290" s="2"/>
      <c r="C290" s="2"/>
      <c r="D290" s="2"/>
      <c r="E290" s="2"/>
      <c r="F290" s="2"/>
      <c r="G290" s="2"/>
      <c r="H290" s="185"/>
      <c r="I290" s="185"/>
      <c r="J290" s="185"/>
      <c r="K290" s="185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3"/>
      <c r="BN290" s="3"/>
    </row>
    <row r="291" spans="1:66" ht="15.75" customHeight="1">
      <c r="A291" s="2"/>
      <c r="B291" s="2"/>
      <c r="C291" s="2"/>
      <c r="D291" s="2"/>
      <c r="E291" s="2"/>
      <c r="F291" s="2"/>
      <c r="G291" s="2"/>
      <c r="H291" s="185"/>
      <c r="I291" s="185"/>
      <c r="J291" s="185"/>
      <c r="K291" s="185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3"/>
      <c r="BN291" s="3"/>
    </row>
    <row r="292" spans="1:66" ht="15.75" customHeight="1">
      <c r="A292" s="2"/>
      <c r="B292" s="2"/>
      <c r="C292" s="2"/>
      <c r="D292" s="2"/>
      <c r="E292" s="2"/>
      <c r="F292" s="2"/>
      <c r="G292" s="2"/>
      <c r="H292" s="185"/>
      <c r="I292" s="185"/>
      <c r="J292" s="185"/>
      <c r="K292" s="185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3"/>
      <c r="BN292" s="3"/>
    </row>
    <row r="293" spans="1:66" ht="15.75" customHeight="1">
      <c r="A293" s="2"/>
      <c r="B293" s="2"/>
      <c r="C293" s="2"/>
      <c r="D293" s="2"/>
      <c r="E293" s="2"/>
      <c r="F293" s="2"/>
      <c r="G293" s="2"/>
      <c r="H293" s="185"/>
      <c r="I293" s="185"/>
      <c r="J293" s="185"/>
      <c r="K293" s="185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3"/>
      <c r="BN293" s="3"/>
    </row>
    <row r="294" spans="1:66" ht="15.75" customHeight="1">
      <c r="A294" s="2"/>
      <c r="B294" s="2"/>
      <c r="C294" s="2"/>
      <c r="D294" s="2"/>
      <c r="E294" s="2"/>
      <c r="F294" s="2"/>
      <c r="G294" s="2"/>
      <c r="H294" s="185"/>
      <c r="I294" s="185"/>
      <c r="J294" s="185"/>
      <c r="K294" s="185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3"/>
      <c r="BN294" s="3"/>
    </row>
    <row r="295" spans="1:66" ht="15.75" customHeight="1">
      <c r="A295" s="2"/>
      <c r="B295" s="2"/>
      <c r="C295" s="2"/>
      <c r="D295" s="2"/>
      <c r="E295" s="2"/>
      <c r="F295" s="2"/>
      <c r="G295" s="2"/>
      <c r="H295" s="185"/>
      <c r="I295" s="185"/>
      <c r="J295" s="185"/>
      <c r="K295" s="185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3"/>
      <c r="BN295" s="3"/>
    </row>
    <row r="296" spans="1:66" ht="15.75" customHeight="1">
      <c r="A296" s="2"/>
      <c r="B296" s="2"/>
      <c r="C296" s="2"/>
      <c r="D296" s="2"/>
      <c r="E296" s="2"/>
      <c r="F296" s="2"/>
      <c r="G296" s="2"/>
      <c r="H296" s="185"/>
      <c r="I296" s="185"/>
      <c r="J296" s="185"/>
      <c r="K296" s="185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3"/>
      <c r="BN296" s="3"/>
    </row>
    <row r="297" spans="1:66" ht="15.75" customHeight="1"/>
    <row r="298" spans="1:66" ht="15.75" customHeight="1"/>
    <row r="299" spans="1:66" ht="15.75" customHeight="1"/>
    <row r="300" spans="1:66" ht="15.75" customHeight="1"/>
    <row r="301" spans="1:66" ht="15.75" customHeight="1"/>
    <row r="302" spans="1:66" ht="15.75" customHeight="1"/>
    <row r="303" spans="1:66" ht="15.75" customHeight="1"/>
    <row r="304" spans="1:66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mergeCells count="91">
    <mergeCell ref="A2:A3"/>
    <mergeCell ref="M2:M3"/>
    <mergeCell ref="AY65:BD65"/>
    <mergeCell ref="BE65:BJ65"/>
    <mergeCell ref="BK66:BK67"/>
    <mergeCell ref="A66:A67"/>
    <mergeCell ref="B66:B67"/>
    <mergeCell ref="E66:E67"/>
    <mergeCell ref="F66:F67"/>
    <mergeCell ref="H66:H67"/>
    <mergeCell ref="I66:K66"/>
    <mergeCell ref="L66:L67"/>
    <mergeCell ref="M66:M67"/>
    <mergeCell ref="O65:T65"/>
    <mergeCell ref="U65:Z65"/>
    <mergeCell ref="AA65:AF65"/>
    <mergeCell ref="BL66:BL67"/>
    <mergeCell ref="BK39:BK40"/>
    <mergeCell ref="BL39:BL40"/>
    <mergeCell ref="BK14:BK15"/>
    <mergeCell ref="BL14:BL15"/>
    <mergeCell ref="AG65:AL65"/>
    <mergeCell ref="AS65:AX65"/>
    <mergeCell ref="H14:H15"/>
    <mergeCell ref="I14:K14"/>
    <mergeCell ref="L14:L15"/>
    <mergeCell ref="M14:M15"/>
    <mergeCell ref="I39:K39"/>
    <mergeCell ref="L39:L40"/>
    <mergeCell ref="M39:M40"/>
    <mergeCell ref="H39:H40"/>
    <mergeCell ref="AA38:AF38"/>
    <mergeCell ref="AG38:AL38"/>
    <mergeCell ref="AM38:AR38"/>
    <mergeCell ref="AS38:AX38"/>
    <mergeCell ref="A39:A40"/>
    <mergeCell ref="B14:B15"/>
    <mergeCell ref="A14:A15"/>
    <mergeCell ref="E14:E15"/>
    <mergeCell ref="F14:F15"/>
    <mergeCell ref="BE13:BJ13"/>
    <mergeCell ref="A93:A94"/>
    <mergeCell ref="O13:T13"/>
    <mergeCell ref="I83:K83"/>
    <mergeCell ref="AM83:AR83"/>
    <mergeCell ref="A83:A84"/>
    <mergeCell ref="B83:B84"/>
    <mergeCell ref="E83:E84"/>
    <mergeCell ref="F83:F84"/>
    <mergeCell ref="H83:H84"/>
    <mergeCell ref="BE38:BJ38"/>
    <mergeCell ref="AM65:AR65"/>
    <mergeCell ref="F39:F40"/>
    <mergeCell ref="E39:E40"/>
    <mergeCell ref="B39:B40"/>
    <mergeCell ref="AS13:AX13"/>
    <mergeCell ref="B107:B108"/>
    <mergeCell ref="AM107:AR107"/>
    <mergeCell ref="B93:B94"/>
    <mergeCell ref="E93:E94"/>
    <mergeCell ref="F93:F94"/>
    <mergeCell ref="H93:H94"/>
    <mergeCell ref="I93:K93"/>
    <mergeCell ref="E107:E108"/>
    <mergeCell ref="F107:F108"/>
    <mergeCell ref="H107:H108"/>
    <mergeCell ref="I107:L107"/>
    <mergeCell ref="AM93:AR93"/>
    <mergeCell ref="AY38:BD38"/>
    <mergeCell ref="AA13:AF13"/>
    <mergeCell ref="AG13:AL13"/>
    <mergeCell ref="AM13:AR13"/>
    <mergeCell ref="AY13:BD13"/>
    <mergeCell ref="AP37:BC37"/>
    <mergeCell ref="M84:M85"/>
    <mergeCell ref="M93:M94"/>
    <mergeCell ref="M107:M108"/>
    <mergeCell ref="M119:M120"/>
    <mergeCell ref="U13:Z13"/>
    <mergeCell ref="O38:T38"/>
    <mergeCell ref="U38:Z38"/>
    <mergeCell ref="H2:H5"/>
    <mergeCell ref="I2:K4"/>
    <mergeCell ref="L2:L3"/>
    <mergeCell ref="T2:Y2"/>
    <mergeCell ref="N2:S2"/>
    <mergeCell ref="B2:B5"/>
    <mergeCell ref="D2:D5"/>
    <mergeCell ref="E2:E5"/>
    <mergeCell ref="F2:F5"/>
    <mergeCell ref="G2:G4"/>
  </mergeCells>
  <conditionalFormatting sqref="O16:BL35">
    <cfRule type="cellIs" dxfId="70" priority="29" operator="lessThan">
      <formula>8</formula>
    </cfRule>
    <cfRule type="cellIs" dxfId="69" priority="30" operator="lessThan">
      <formula>10</formula>
    </cfRule>
  </conditionalFormatting>
  <conditionalFormatting sqref="O41:BL61">
    <cfRule type="cellIs" dxfId="68" priority="27" operator="lessThan">
      <formula>8</formula>
    </cfRule>
    <cfRule type="cellIs" dxfId="67" priority="28" operator="lessThan">
      <formula>10</formula>
    </cfRule>
  </conditionalFormatting>
  <conditionalFormatting sqref="O68:BL80">
    <cfRule type="cellIs" dxfId="66" priority="25" operator="lessThan">
      <formula>8</formula>
    </cfRule>
    <cfRule type="cellIs" dxfId="65" priority="26" operator="lessThan">
      <formula>10</formula>
    </cfRule>
  </conditionalFormatting>
  <conditionalFormatting sqref="O85:BL91">
    <cfRule type="cellIs" dxfId="64" priority="23" operator="lessThan">
      <formula>8</formula>
    </cfRule>
    <cfRule type="cellIs" dxfId="63" priority="24" operator="lessThan">
      <formula>10</formula>
    </cfRule>
  </conditionalFormatting>
  <conditionalFormatting sqref="O95:BL103">
    <cfRule type="cellIs" dxfId="62" priority="21" operator="lessThan">
      <formula>8</formula>
    </cfRule>
    <cfRule type="cellIs" dxfId="61" priority="22" operator="lessThan">
      <formula>10</formula>
    </cfRule>
  </conditionalFormatting>
  <conditionalFormatting sqref="O109:BL112">
    <cfRule type="cellIs" dxfId="60" priority="19" operator="lessThan">
      <formula>8</formula>
    </cfRule>
    <cfRule type="cellIs" dxfId="59" priority="20" operator="lessThan">
      <formula>10</formula>
    </cfRule>
  </conditionalFormatting>
  <conditionalFormatting sqref="O120:BL121">
    <cfRule type="cellIs" dxfId="58" priority="17" operator="lessThan">
      <formula>8</formula>
    </cfRule>
    <cfRule type="cellIs" dxfId="57" priority="18" operator="lessThan">
      <formula>10</formula>
    </cfRule>
  </conditionalFormatting>
  <dataValidations count="1">
    <dataValidation type="custom" allowBlank="1" showErrorMessage="1" sqref="E72 E120" xr:uid="{00000000-0002-0000-0300-000000000000}">
      <formula1>EQ(LEN(E72),(18))</formula1>
    </dataValidation>
  </dataValidations>
  <hyperlinks>
    <hyperlink ref="AV40" r:id="rId1" location="gid=671474346" xr:uid="{00000000-0004-0000-0300-000000000000}"/>
    <hyperlink ref="AY40" r:id="rId2" location="gid=552205921" xr:uid="{00000000-0004-0000-0300-000001000000}"/>
    <hyperlink ref="AZ40" r:id="rId3" xr:uid="{00000000-0004-0000-0300-000002000000}"/>
    <hyperlink ref="BI40" r:id="rId4" location="gid=1699764749" xr:uid="{00000000-0004-0000-0300-000003000000}"/>
  </hyperlinks>
  <pageMargins left="0.7" right="0.7" top="0.75" bottom="0.75" header="0" footer="0"/>
  <pageSetup orientation="portrait" r:id="rId5"/>
  <legacy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66FFFF"/>
  </sheetPr>
  <dimension ref="A1:Z1004"/>
  <sheetViews>
    <sheetView topLeftCell="A26" zoomScale="85" zoomScaleNormal="85" workbookViewId="0">
      <selection activeCell="D39" sqref="D39"/>
    </sheetView>
  </sheetViews>
  <sheetFormatPr baseColWidth="10" defaultColWidth="14.42578125" defaultRowHeight="15" customHeight="1"/>
  <cols>
    <col min="1" max="1" width="10.5703125" customWidth="1"/>
    <col min="2" max="2" width="3.5703125" customWidth="1"/>
    <col min="3" max="3" width="48.42578125" customWidth="1"/>
    <col min="4" max="4" width="33.7109375" customWidth="1"/>
    <col min="5" max="5" width="25" customWidth="1"/>
    <col min="6" max="6" width="26.5703125" customWidth="1"/>
    <col min="7" max="7" width="29.28515625" customWidth="1"/>
    <col min="8" max="8" width="24.28515625" customWidth="1"/>
    <col min="9" max="9" width="20.7109375" customWidth="1"/>
    <col min="10" max="10" width="12" customWidth="1"/>
    <col min="11" max="11" width="10.5703125" customWidth="1"/>
    <col min="12" max="12" width="30.42578125" bestFit="1" customWidth="1"/>
    <col min="13" max="13" width="25" customWidth="1"/>
    <col min="14" max="26" width="14.42578125" customWidth="1"/>
  </cols>
  <sheetData>
    <row r="1" spans="1:26" ht="15" customHeight="1">
      <c r="A1" s="4608" t="s">
        <v>1602</v>
      </c>
      <c r="B1" s="4609"/>
      <c r="C1" s="4609"/>
      <c r="D1" s="4609"/>
      <c r="E1" s="4609"/>
      <c r="F1" s="4609"/>
      <c r="G1" s="4609"/>
      <c r="H1" s="4609"/>
      <c r="I1" s="4609"/>
      <c r="J1" s="4610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" customHeight="1">
      <c r="A2" s="4611"/>
      <c r="B2" s="4612"/>
      <c r="C2" s="4612"/>
      <c r="D2" s="4612"/>
      <c r="E2" s="4612"/>
      <c r="F2" s="4612"/>
      <c r="G2" s="4612"/>
      <c r="H2" s="4612"/>
      <c r="I2" s="4612"/>
      <c r="J2" s="4542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9.5" thickBot="1">
      <c r="A3" s="3"/>
      <c r="B3" s="442"/>
      <c r="C3" s="502" t="s">
        <v>1632</v>
      </c>
      <c r="D3" s="3"/>
      <c r="E3" s="3"/>
      <c r="F3" s="36" t="s">
        <v>1633</v>
      </c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customHeight="1" thickBot="1">
      <c r="A4" s="3"/>
      <c r="B4" s="442"/>
      <c r="C4" s="468" t="s">
        <v>1603</v>
      </c>
      <c r="D4" s="1794" t="s">
        <v>4433</v>
      </c>
      <c r="E4" s="3"/>
      <c r="F4" s="36" t="s">
        <v>1634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" customHeight="1" thickBot="1">
      <c r="A5" s="3"/>
      <c r="B5" s="442"/>
      <c r="C5" s="468" t="s">
        <v>1631</v>
      </c>
      <c r="D5" s="1978" t="s">
        <v>5463</v>
      </c>
      <c r="E5" s="442"/>
      <c r="F5" s="442"/>
      <c r="G5" s="442"/>
      <c r="H5" s="442"/>
      <c r="I5" s="442"/>
      <c r="J5" s="442"/>
      <c r="K5" s="442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" customHeight="1">
      <c r="A6" s="3"/>
      <c r="B6" s="442"/>
      <c r="C6" s="3"/>
      <c r="D6" s="4613" t="s">
        <v>1635</v>
      </c>
      <c r="E6" s="4613"/>
      <c r="F6" s="4613"/>
      <c r="G6" s="4613"/>
      <c r="H6" s="4613"/>
      <c r="I6" s="4613"/>
      <c r="J6" s="4616"/>
      <c r="K6" s="4133"/>
      <c r="L6" s="4133"/>
      <c r="M6" s="4133"/>
      <c r="N6" s="4133"/>
      <c r="O6" s="4134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36.4" customHeight="1" thickBot="1">
      <c r="A7" s="3"/>
      <c r="B7" s="442"/>
      <c r="C7" s="631" t="s">
        <v>1636</v>
      </c>
      <c r="D7" s="3235" t="s">
        <v>4758</v>
      </c>
      <c r="E7" s="3235" t="s">
        <v>4241</v>
      </c>
      <c r="F7" s="3236" t="s">
        <v>4410</v>
      </c>
      <c r="G7" s="3236" t="s">
        <v>4759</v>
      </c>
      <c r="H7" s="3236" t="s">
        <v>3541</v>
      </c>
      <c r="I7" s="3200" t="s">
        <v>4315</v>
      </c>
      <c r="J7" s="1775"/>
      <c r="K7" s="1427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3"/>
      <c r="B8" s="477">
        <v>1</v>
      </c>
      <c r="C8" s="1613" t="s">
        <v>5132</v>
      </c>
      <c r="D8" s="1379">
        <v>9</v>
      </c>
      <c r="E8" s="1379">
        <v>10</v>
      </c>
      <c r="F8" s="1845">
        <v>10</v>
      </c>
      <c r="G8" s="1379">
        <v>10</v>
      </c>
      <c r="H8" s="1379">
        <v>10</v>
      </c>
      <c r="I8" s="1379">
        <v>10</v>
      </c>
      <c r="J8" s="700"/>
      <c r="K8" s="700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>
      <c r="A9" s="3"/>
      <c r="B9" s="478">
        <v>2</v>
      </c>
      <c r="C9" s="1613" t="s">
        <v>5005</v>
      </c>
      <c r="D9" s="1379">
        <v>8</v>
      </c>
      <c r="E9" s="1379">
        <v>10</v>
      </c>
      <c r="F9" s="1845">
        <v>9.6999999999999993</v>
      </c>
      <c r="G9" s="1379">
        <v>10</v>
      </c>
      <c r="H9" s="1379">
        <v>10</v>
      </c>
      <c r="I9" s="1379">
        <v>10</v>
      </c>
      <c r="J9" s="700"/>
      <c r="K9" s="700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3"/>
      <c r="B10" s="478">
        <v>3</v>
      </c>
      <c r="C10" s="1613"/>
      <c r="D10" s="1972"/>
      <c r="E10" s="1971"/>
      <c r="F10" s="1971"/>
      <c r="G10" s="1971"/>
      <c r="H10" s="1972"/>
      <c r="I10" s="1972"/>
      <c r="J10" s="700"/>
      <c r="K10" s="700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>
      <c r="A11" s="3"/>
      <c r="B11" s="478">
        <v>4</v>
      </c>
      <c r="C11" s="1613"/>
      <c r="D11" s="1971"/>
      <c r="E11" s="1971"/>
      <c r="F11" s="1971"/>
      <c r="G11" s="1971"/>
      <c r="H11" s="1971"/>
      <c r="I11" s="1971"/>
      <c r="J11" s="700"/>
      <c r="K11" s="700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>
      <c r="A12" s="3"/>
      <c r="B12" s="478">
        <v>5</v>
      </c>
      <c r="C12" s="1613"/>
      <c r="D12" s="1972"/>
      <c r="E12" s="1971"/>
      <c r="F12" s="1971"/>
      <c r="G12" s="1971"/>
      <c r="H12" s="1971"/>
      <c r="I12" s="1971"/>
      <c r="J12" s="700"/>
      <c r="K12" s="700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>
      <c r="A13" s="3"/>
      <c r="B13" s="478">
        <v>6</v>
      </c>
      <c r="C13" s="1613"/>
      <c r="D13" s="1972"/>
      <c r="E13" s="1971"/>
      <c r="F13" s="1971"/>
      <c r="G13" s="1971"/>
      <c r="H13" s="1971"/>
      <c r="I13" s="1971"/>
      <c r="J13" s="700"/>
      <c r="K13" s="700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3"/>
      <c r="B14" s="478">
        <v>7</v>
      </c>
      <c r="C14" s="1613"/>
      <c r="D14" s="1971"/>
      <c r="E14" s="1971"/>
      <c r="F14" s="1971"/>
      <c r="G14" s="1971"/>
      <c r="H14" s="1971"/>
      <c r="I14" s="1971"/>
      <c r="J14" s="700"/>
      <c r="K14" s="700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>
      <c r="A15" s="3"/>
      <c r="B15" s="478">
        <v>8</v>
      </c>
      <c r="C15" s="1613"/>
      <c r="D15" s="1971"/>
      <c r="E15" s="1971"/>
      <c r="F15" s="1971"/>
      <c r="G15" s="1972"/>
      <c r="H15" s="1972"/>
      <c r="I15" s="1972"/>
      <c r="J15" s="700"/>
      <c r="K15" s="700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>
      <c r="A16" s="3"/>
      <c r="B16" s="478">
        <v>9</v>
      </c>
      <c r="C16" s="1613"/>
      <c r="D16" s="1972"/>
      <c r="E16" s="1971"/>
      <c r="F16" s="1971"/>
      <c r="G16" s="1971"/>
      <c r="H16" s="1971"/>
      <c r="I16" s="1971"/>
      <c r="J16" s="1776"/>
      <c r="K16" s="1776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>
      <c r="A17" s="3"/>
      <c r="B17" s="478">
        <v>10</v>
      </c>
      <c r="C17" s="1613"/>
      <c r="D17" s="1971"/>
      <c r="E17" s="1971"/>
      <c r="F17" s="1971"/>
      <c r="G17" s="1971"/>
      <c r="H17" s="1972"/>
      <c r="I17" s="1971"/>
      <c r="J17" s="1776"/>
      <c r="K17" s="1776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>
      <c r="A18" s="3"/>
      <c r="B18" s="478">
        <v>11</v>
      </c>
      <c r="C18" s="1613"/>
      <c r="D18" s="1972"/>
      <c r="E18" s="1979"/>
      <c r="F18" s="1971"/>
      <c r="G18" s="1972"/>
      <c r="H18" s="1971"/>
      <c r="I18" s="1971"/>
      <c r="J18" s="1776"/>
      <c r="K18" s="1776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>
      <c r="A19" s="3"/>
      <c r="B19" s="478">
        <v>12</v>
      </c>
      <c r="C19" s="1613"/>
      <c r="D19" s="1971"/>
      <c r="E19" s="1971"/>
      <c r="F19" s="1971"/>
      <c r="G19" s="1971"/>
      <c r="H19" s="1971"/>
      <c r="I19" s="1971"/>
      <c r="J19" s="1776"/>
      <c r="K19" s="1776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>
      <c r="A20" s="3"/>
      <c r="B20" s="478">
        <v>13</v>
      </c>
      <c r="C20" s="1613"/>
      <c r="D20" s="1971"/>
      <c r="E20" s="1971"/>
      <c r="F20" s="1971"/>
      <c r="G20" s="1971"/>
      <c r="H20" s="1971"/>
      <c r="I20" s="1971"/>
      <c r="J20" s="1776"/>
      <c r="K20" s="1776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3"/>
      <c r="B21" s="478">
        <v>14</v>
      </c>
      <c r="C21" s="1613"/>
      <c r="D21" s="1971"/>
      <c r="E21" s="1971"/>
      <c r="F21" s="1971"/>
      <c r="G21" s="1971"/>
      <c r="H21" s="1971"/>
      <c r="I21" s="1971"/>
      <c r="J21" s="1776"/>
      <c r="K21" s="1776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3"/>
      <c r="B22" s="478">
        <v>15</v>
      </c>
      <c r="C22" s="1613"/>
      <c r="D22" s="1971"/>
      <c r="E22" s="1971"/>
      <c r="F22" s="1971"/>
      <c r="G22" s="1971"/>
      <c r="H22" s="1971"/>
      <c r="I22" s="1971"/>
      <c r="J22" s="1776"/>
      <c r="K22" s="1776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"/>
      <c r="B23" s="478">
        <v>16</v>
      </c>
      <c r="C23" s="1613"/>
      <c r="D23" s="1971"/>
      <c r="E23" s="1971"/>
      <c r="F23" s="1971"/>
      <c r="G23" s="1971"/>
      <c r="H23" s="1971"/>
      <c r="I23" s="1971"/>
      <c r="J23" s="1776"/>
      <c r="K23" s="1776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3"/>
      <c r="B24" s="478">
        <v>17</v>
      </c>
      <c r="C24" s="1613"/>
      <c r="D24" s="1972"/>
      <c r="E24" s="1972"/>
      <c r="F24" s="1972"/>
      <c r="G24" s="1972"/>
      <c r="H24" s="1972"/>
      <c r="I24" s="1972"/>
      <c r="J24" s="1776"/>
      <c r="K24" s="177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478">
        <v>18</v>
      </c>
      <c r="C25" s="1613"/>
      <c r="D25" s="1972"/>
      <c r="E25" s="1972"/>
      <c r="F25" s="1972"/>
      <c r="G25" s="1972"/>
      <c r="H25" s="1972"/>
      <c r="I25" s="1972"/>
      <c r="J25" s="1776"/>
      <c r="K25" s="177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3"/>
      <c r="B26" s="478">
        <v>19</v>
      </c>
      <c r="C26" s="1613"/>
      <c r="D26" s="1972"/>
      <c r="E26" s="1972"/>
      <c r="F26" s="1972"/>
      <c r="G26" s="1972"/>
      <c r="H26" s="1972"/>
      <c r="I26" s="1972"/>
      <c r="J26" s="1776"/>
      <c r="K26" s="177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478">
        <v>20</v>
      </c>
      <c r="C27" s="1613"/>
      <c r="D27" s="1971"/>
      <c r="E27" s="1971"/>
      <c r="F27" s="1971"/>
      <c r="G27" s="1971"/>
      <c r="H27" s="1971"/>
      <c r="I27" s="1971"/>
      <c r="J27" s="1776"/>
      <c r="K27" s="177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478">
        <v>21</v>
      </c>
      <c r="C28" s="1613"/>
      <c r="D28" s="1971"/>
      <c r="E28" s="1971"/>
      <c r="F28" s="1971"/>
      <c r="G28" s="1971"/>
      <c r="H28" s="1971"/>
      <c r="I28" s="1971"/>
      <c r="J28" s="643"/>
      <c r="K28" s="64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478">
        <v>22</v>
      </c>
      <c r="C29" s="1613"/>
      <c r="D29" s="1971"/>
      <c r="E29" s="1971"/>
      <c r="F29" s="1971"/>
      <c r="G29" s="1971"/>
      <c r="H29" s="1971"/>
      <c r="I29" s="1971"/>
      <c r="J29" s="643"/>
      <c r="K29" s="64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478">
        <v>23</v>
      </c>
      <c r="C30" s="1613"/>
      <c r="D30" s="1971"/>
      <c r="E30" s="1971"/>
      <c r="F30" s="1971"/>
      <c r="G30" s="1971"/>
      <c r="H30" s="1971"/>
      <c r="I30" s="1971"/>
      <c r="J30" s="643"/>
      <c r="K30" s="64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478">
        <v>24</v>
      </c>
      <c r="C31" s="1613"/>
      <c r="D31" s="1971"/>
      <c r="E31" s="1971"/>
      <c r="F31" s="1971"/>
      <c r="G31" s="1971"/>
      <c r="H31" s="1971"/>
      <c r="I31" s="1971"/>
      <c r="J31" s="643"/>
      <c r="K31" s="64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thickBot="1">
      <c r="A32" s="3"/>
      <c r="B32" s="492">
        <v>25</v>
      </c>
      <c r="C32" s="1613"/>
      <c r="D32" s="637"/>
      <c r="E32" s="637"/>
      <c r="F32" s="637"/>
      <c r="G32" s="637"/>
      <c r="H32" s="637"/>
      <c r="I32" s="637"/>
      <c r="J32" s="643"/>
      <c r="K32" s="64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442"/>
      <c r="C33" s="811"/>
      <c r="D33" s="637"/>
      <c r="E33" s="637"/>
      <c r="F33" s="637"/>
      <c r="G33" s="637"/>
      <c r="H33" s="637"/>
      <c r="I33" s="643"/>
      <c r="J33" s="643"/>
      <c r="K33" s="64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496"/>
      <c r="B34" s="497"/>
      <c r="C34" s="496"/>
      <c r="D34" s="496"/>
      <c r="E34" s="496"/>
      <c r="F34" s="496"/>
      <c r="G34" s="496"/>
      <c r="H34" s="496"/>
      <c r="I34" s="496"/>
      <c r="J34" s="496"/>
      <c r="K34" s="496"/>
      <c r="L34" s="496"/>
      <c r="M34" s="496"/>
      <c r="N34" s="496"/>
      <c r="O34" s="496"/>
      <c r="P34" s="496"/>
      <c r="Q34" s="496"/>
      <c r="R34" s="496"/>
      <c r="S34" s="496"/>
      <c r="T34" s="496"/>
      <c r="U34" s="496"/>
      <c r="V34" s="496"/>
      <c r="W34" s="496"/>
      <c r="X34" s="496"/>
      <c r="Y34" s="496"/>
      <c r="Z34" s="496"/>
    </row>
    <row r="35" spans="1:26" ht="15.75" customHeight="1">
      <c r="A35" s="3"/>
      <c r="B35" s="44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4614" t="s">
        <v>1619</v>
      </c>
      <c r="B36" s="4609"/>
      <c r="C36" s="4609"/>
      <c r="D36" s="4609"/>
      <c r="E36" s="4610"/>
      <c r="F36" s="4615" t="s">
        <v>1620</v>
      </c>
      <c r="G36" s="4609"/>
      <c r="H36" s="4609"/>
      <c r="I36" s="4609"/>
      <c r="J36" s="4610"/>
      <c r="K36" s="3"/>
      <c r="L36" s="3"/>
      <c r="M36" s="3" t="s">
        <v>5534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4611"/>
      <c r="B37" s="4612"/>
      <c r="C37" s="4612"/>
      <c r="D37" s="4612"/>
      <c r="E37" s="4542"/>
      <c r="F37" s="4611"/>
      <c r="G37" s="4612"/>
      <c r="H37" s="4612"/>
      <c r="I37" s="4612"/>
      <c r="J37" s="4542"/>
      <c r="K37" s="3"/>
      <c r="L37" s="3"/>
      <c r="M37" s="3" t="s">
        <v>5531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thickBot="1">
      <c r="A38" s="3"/>
      <c r="B38" s="442"/>
      <c r="C38" s="2"/>
      <c r="D38" s="3"/>
      <c r="E38" s="3"/>
      <c r="F38" s="3"/>
      <c r="H38" s="3"/>
      <c r="I38" s="3"/>
      <c r="J38" s="3" t="s">
        <v>1622</v>
      </c>
      <c r="K38" s="3" t="s">
        <v>1640</v>
      </c>
      <c r="L38" s="3"/>
      <c r="M38" s="3" t="s">
        <v>5532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30.6" customHeight="1" thickBot="1">
      <c r="A39" s="3"/>
      <c r="B39" s="442"/>
      <c r="C39" s="468" t="s">
        <v>1603</v>
      </c>
      <c r="D39" s="1548" t="s">
        <v>5484</v>
      </c>
      <c r="E39" s="3"/>
      <c r="F39" s="464" t="s">
        <v>1629</v>
      </c>
      <c r="G39" s="3875" t="s">
        <v>1640</v>
      </c>
      <c r="H39" s="2150" t="s">
        <v>1622</v>
      </c>
      <c r="I39" s="3"/>
      <c r="J39" s="3875" t="s">
        <v>1637</v>
      </c>
      <c r="K39" t="s">
        <v>1641</v>
      </c>
      <c r="M39" s="3" t="s">
        <v>5533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20.25" customHeight="1" thickBot="1">
      <c r="A40" s="3"/>
      <c r="B40" s="442"/>
      <c r="C40" s="468" t="s">
        <v>1631</v>
      </c>
      <c r="D40" s="1978" t="s">
        <v>5529</v>
      </c>
      <c r="E40" s="442"/>
      <c r="F40" s="442"/>
      <c r="G40" s="442"/>
      <c r="H40" s="442"/>
      <c r="J40" t="s">
        <v>1628</v>
      </c>
      <c r="K40" t="s">
        <v>1642</v>
      </c>
      <c r="L40" s="3"/>
      <c r="M40" s="212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30" customHeight="1">
      <c r="A41" s="3"/>
      <c r="B41" s="442"/>
      <c r="C41" s="3"/>
      <c r="D41" s="1863" t="s">
        <v>1635</v>
      </c>
      <c r="E41" s="1863"/>
      <c r="F41" s="1863"/>
      <c r="G41" s="1863"/>
      <c r="H41" s="503"/>
      <c r="I41" s="503"/>
      <c r="J41" s="442" t="s">
        <v>1624</v>
      </c>
      <c r="K41" s="3" t="s">
        <v>1644</v>
      </c>
      <c r="L41" s="3"/>
      <c r="M41" s="2127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54" customHeight="1" thickBot="1">
      <c r="A42" s="3"/>
      <c r="B42" s="442"/>
      <c r="C42" s="631"/>
      <c r="D42" s="3997" t="s">
        <v>5505</v>
      </c>
      <c r="E42" s="3905" t="s">
        <v>5506</v>
      </c>
      <c r="F42" s="3905" t="s">
        <v>5507</v>
      </c>
      <c r="G42" s="3998" t="s">
        <v>5508</v>
      </c>
      <c r="H42" s="1375"/>
      <c r="I42" s="1375"/>
      <c r="J42" s="1375"/>
      <c r="K42" s="1375"/>
      <c r="L42" s="1375"/>
      <c r="M42" s="1375"/>
      <c r="N42" s="1375"/>
      <c r="O42" s="1375"/>
      <c r="P42" s="1375"/>
      <c r="Q42" s="1375"/>
      <c r="R42" s="1375"/>
      <c r="S42" s="1375"/>
      <c r="T42" s="1375"/>
      <c r="U42" s="3"/>
      <c r="V42" s="3"/>
      <c r="W42" s="3"/>
      <c r="X42" s="3"/>
      <c r="Y42" s="3"/>
      <c r="Z42" s="3"/>
    </row>
    <row r="43" spans="1:26" ht="15.75">
      <c r="A43" s="3"/>
      <c r="B43" s="1793">
        <v>1</v>
      </c>
      <c r="C43" s="1608" t="s">
        <v>4999</v>
      </c>
      <c r="D43" s="4038">
        <v>9.5</v>
      </c>
      <c r="E43" s="4038">
        <v>9.4</v>
      </c>
      <c r="F43" s="4038">
        <v>9.4</v>
      </c>
      <c r="G43" s="4038">
        <v>9.5</v>
      </c>
      <c r="H43" s="3205"/>
      <c r="I43" s="1970"/>
      <c r="J43" s="1970"/>
      <c r="K43" s="1970"/>
      <c r="L43" s="1970"/>
      <c r="M43" s="1970"/>
      <c r="N43" s="1970"/>
      <c r="O43" s="1970"/>
      <c r="P43" s="1970"/>
      <c r="Q43" s="1970"/>
      <c r="R43" s="1970"/>
      <c r="S43" s="1970"/>
      <c r="T43" s="2140"/>
      <c r="U43" s="3"/>
      <c r="V43" s="3"/>
      <c r="W43" s="3"/>
      <c r="X43" s="3"/>
      <c r="Y43" s="3"/>
      <c r="Z43" s="3"/>
    </row>
    <row r="44" spans="1:26" ht="15.75" customHeight="1">
      <c r="A44" s="3"/>
      <c r="B44" s="500">
        <v>2</v>
      </c>
      <c r="C44" s="1608" t="s">
        <v>5001</v>
      </c>
      <c r="D44" s="4038">
        <v>9.5</v>
      </c>
      <c r="E44" s="4038">
        <v>9.4</v>
      </c>
      <c r="F44" s="4038">
        <v>9.4</v>
      </c>
      <c r="G44" s="4038">
        <v>9.5</v>
      </c>
      <c r="H44" s="3205"/>
      <c r="I44" s="1970"/>
      <c r="J44" s="1970"/>
      <c r="K44" s="1970"/>
      <c r="L44" s="1970"/>
      <c r="M44" s="1970"/>
      <c r="N44" s="1970"/>
      <c r="O44" s="1970"/>
      <c r="P44" s="1970"/>
      <c r="Q44" s="1970"/>
      <c r="R44" s="1970"/>
      <c r="S44" s="1970"/>
      <c r="T44" s="2140"/>
      <c r="U44" s="3"/>
      <c r="V44" s="3"/>
      <c r="W44" s="3"/>
      <c r="X44" s="3"/>
      <c r="Y44" s="3"/>
    </row>
    <row r="45" spans="1:26" ht="15.75" customHeight="1">
      <c r="A45" s="3"/>
      <c r="B45" s="500">
        <v>3</v>
      </c>
      <c r="C45" s="1608" t="s">
        <v>5100</v>
      </c>
      <c r="D45" s="4038">
        <v>9.5</v>
      </c>
      <c r="E45" s="4038">
        <v>9.4</v>
      </c>
      <c r="F45" s="4038">
        <v>9.4</v>
      </c>
      <c r="G45" s="4038">
        <v>9.5</v>
      </c>
      <c r="H45" s="3205"/>
      <c r="I45" s="1970"/>
      <c r="J45" s="1970"/>
      <c r="K45" s="1970"/>
      <c r="L45" s="1970"/>
      <c r="M45" s="1970"/>
      <c r="N45" s="1970"/>
      <c r="O45" s="1970"/>
      <c r="P45" s="1970"/>
      <c r="Q45" s="1970"/>
      <c r="R45" s="1970"/>
      <c r="S45" s="1970"/>
      <c r="T45" s="2140"/>
      <c r="U45" s="3"/>
      <c r="V45" s="3"/>
      <c r="W45" s="3"/>
      <c r="X45" s="3"/>
      <c r="Y45" s="3"/>
      <c r="Z45" s="3"/>
    </row>
    <row r="46" spans="1:26" ht="15.75" customHeight="1">
      <c r="A46" s="3"/>
      <c r="B46" s="500">
        <v>4</v>
      </c>
      <c r="C46" s="1608" t="s">
        <v>5147</v>
      </c>
      <c r="D46" s="4038">
        <v>9.5</v>
      </c>
      <c r="E46" s="4038">
        <v>9.4</v>
      </c>
      <c r="F46" s="4038">
        <v>9.4</v>
      </c>
      <c r="G46" s="4038">
        <v>9.5</v>
      </c>
      <c r="H46" s="3205"/>
      <c r="I46" s="1970"/>
      <c r="J46" s="1970"/>
      <c r="K46" s="1970"/>
      <c r="L46" s="1970"/>
      <c r="M46" s="1970"/>
      <c r="N46" s="1970"/>
      <c r="O46" s="1970"/>
      <c r="P46" s="1970"/>
      <c r="Q46" s="1970"/>
      <c r="R46" s="1970"/>
      <c r="S46" s="1970"/>
      <c r="T46" s="2140"/>
      <c r="U46" s="3"/>
      <c r="V46" s="3"/>
      <c r="W46" s="3"/>
      <c r="X46" s="3"/>
      <c r="Y46" s="3"/>
      <c r="Z46" s="3"/>
    </row>
    <row r="47" spans="1:26" ht="15.75" customHeight="1">
      <c r="A47" s="3"/>
      <c r="B47" s="500">
        <v>5</v>
      </c>
      <c r="C47" s="1608"/>
      <c r="D47" s="4038"/>
      <c r="E47" s="4038"/>
      <c r="F47" s="4038"/>
      <c r="G47" s="4038"/>
      <c r="H47" s="3205"/>
      <c r="I47" s="1970"/>
      <c r="J47" s="1970"/>
      <c r="K47" s="1970"/>
      <c r="L47" s="1970"/>
      <c r="M47" s="1970"/>
      <c r="N47" s="1970"/>
      <c r="O47" s="1970"/>
      <c r="P47" s="1970"/>
      <c r="Q47" s="1970"/>
      <c r="R47" s="1970"/>
      <c r="S47" s="1970"/>
      <c r="T47" s="2140"/>
      <c r="U47" s="3"/>
      <c r="V47" s="3"/>
      <c r="W47" s="3"/>
      <c r="X47" s="3"/>
      <c r="Y47" s="3"/>
      <c r="Z47" s="3"/>
    </row>
    <row r="48" spans="1:26" s="2139" customFormat="1" ht="15.75" customHeight="1">
      <c r="A48" s="2137"/>
      <c r="B48" s="2138">
        <v>6</v>
      </c>
      <c r="C48" s="1608"/>
      <c r="D48" s="4038"/>
      <c r="E48" s="4038"/>
      <c r="F48" s="4038"/>
      <c r="G48" s="4038"/>
      <c r="H48" s="3205"/>
      <c r="I48" s="1970"/>
      <c r="J48" s="1970"/>
      <c r="K48" s="1970"/>
      <c r="L48" s="1970"/>
      <c r="M48" s="1970"/>
      <c r="N48" s="1970"/>
      <c r="O48" s="1970"/>
      <c r="P48" s="1970"/>
      <c r="Q48" s="1970"/>
      <c r="R48" s="1970"/>
      <c r="S48" s="1970"/>
      <c r="T48" s="2140"/>
      <c r="U48" s="2137"/>
      <c r="V48" s="2137"/>
      <c r="W48" s="2137"/>
      <c r="X48" s="2137"/>
      <c r="Y48" s="2137"/>
      <c r="Z48" s="2137"/>
    </row>
    <row r="49" spans="1:26" ht="15.75" customHeight="1">
      <c r="A49" s="3"/>
      <c r="B49" s="500">
        <v>7</v>
      </c>
      <c r="C49" s="1608"/>
      <c r="D49" s="4039"/>
      <c r="E49" s="4039"/>
      <c r="F49" s="4039"/>
      <c r="G49" s="4039"/>
      <c r="H49" s="3205"/>
      <c r="I49" s="1970"/>
      <c r="J49" s="1970"/>
      <c r="K49" s="1970"/>
      <c r="L49" s="1970"/>
      <c r="M49" s="1970"/>
      <c r="N49" s="1970"/>
      <c r="O49" s="1970"/>
      <c r="P49" s="1970"/>
      <c r="Q49" s="1970"/>
      <c r="R49" s="1970"/>
      <c r="S49" s="1970"/>
      <c r="T49" s="2140"/>
      <c r="U49" s="3"/>
      <c r="V49" s="3"/>
      <c r="W49" s="3"/>
      <c r="X49" s="3"/>
      <c r="Y49" s="3"/>
      <c r="Z49" s="3"/>
    </row>
    <row r="50" spans="1:26" ht="15.75" customHeight="1">
      <c r="A50" s="3"/>
      <c r="B50" s="500">
        <v>8</v>
      </c>
      <c r="C50" s="1608"/>
      <c r="D50" s="3204"/>
      <c r="E50" s="3204"/>
      <c r="F50" s="3204"/>
      <c r="G50" s="3204"/>
      <c r="H50" s="3205"/>
      <c r="I50" s="1970"/>
      <c r="J50" s="1970"/>
      <c r="K50" s="1970"/>
      <c r="L50" s="1970"/>
      <c r="M50" s="1970"/>
      <c r="N50" s="1970"/>
      <c r="O50" s="1970"/>
      <c r="P50" s="1970"/>
      <c r="Q50" s="1970"/>
      <c r="R50" s="1970"/>
      <c r="S50" s="1970"/>
      <c r="T50" s="2140"/>
      <c r="U50" s="3"/>
      <c r="V50" s="3"/>
      <c r="W50" s="3"/>
      <c r="X50" s="3"/>
      <c r="Y50" s="3"/>
      <c r="Z50" s="3"/>
    </row>
    <row r="51" spans="1:26" ht="15.75" customHeight="1">
      <c r="A51" s="3"/>
      <c r="B51" s="500">
        <v>9</v>
      </c>
      <c r="C51" s="1608"/>
      <c r="D51" s="3204"/>
      <c r="E51" s="3204"/>
      <c r="F51" s="3204"/>
      <c r="G51" s="3204"/>
      <c r="H51" s="3205"/>
      <c r="I51" s="1970"/>
      <c r="J51" s="1970"/>
      <c r="K51" s="1970"/>
      <c r="L51" s="1970"/>
      <c r="M51" s="1970"/>
      <c r="N51" s="1970"/>
      <c r="O51" s="1970"/>
      <c r="P51" s="1970"/>
      <c r="Q51" s="1970"/>
      <c r="R51" s="1970"/>
      <c r="S51" s="1970"/>
      <c r="T51" s="2140"/>
      <c r="U51" s="3"/>
      <c r="V51" s="3"/>
      <c r="W51" s="3"/>
      <c r="X51" s="3"/>
      <c r="Y51" s="3"/>
      <c r="Z51" s="3"/>
    </row>
    <row r="52" spans="1:26" ht="15.75" customHeight="1">
      <c r="A52" s="3"/>
      <c r="B52" s="500">
        <v>10</v>
      </c>
      <c r="C52" s="3037"/>
      <c r="D52" s="3204"/>
      <c r="E52" s="3204"/>
      <c r="F52" s="3204"/>
      <c r="G52" s="3204"/>
      <c r="H52" s="3205"/>
      <c r="I52" s="1970"/>
      <c r="J52" s="1970"/>
      <c r="K52" s="1970"/>
      <c r="L52" s="1970"/>
      <c r="M52" s="1970"/>
      <c r="N52" s="1970"/>
      <c r="O52" s="1970"/>
      <c r="P52" s="1970"/>
      <c r="Q52" s="1970"/>
      <c r="R52" s="1970"/>
      <c r="S52" s="1970"/>
      <c r="T52" s="2140"/>
      <c r="U52" s="3"/>
      <c r="V52" s="3"/>
      <c r="W52" s="3"/>
      <c r="X52" s="3"/>
      <c r="Y52" s="3"/>
      <c r="Z52" s="3"/>
    </row>
    <row r="53" spans="1:26" ht="15.75" customHeight="1">
      <c r="A53" s="3"/>
      <c r="B53" s="500">
        <v>11</v>
      </c>
      <c r="C53" s="1608"/>
      <c r="D53" s="3204"/>
      <c r="E53" s="3204"/>
      <c r="F53" s="3204"/>
      <c r="G53" s="3204"/>
      <c r="H53" s="3205"/>
      <c r="I53" s="1970"/>
      <c r="J53" s="1970"/>
      <c r="K53" s="1970"/>
      <c r="L53" s="1970"/>
      <c r="M53" s="1970"/>
      <c r="N53" s="1970"/>
      <c r="O53" s="1970"/>
      <c r="P53" s="1970"/>
      <c r="Q53" s="1970"/>
      <c r="R53" s="1970"/>
      <c r="S53" s="1970"/>
      <c r="T53" s="2140"/>
      <c r="U53" s="3"/>
      <c r="V53" s="3"/>
      <c r="W53" s="3"/>
      <c r="X53" s="3"/>
      <c r="Y53" s="3"/>
      <c r="Z53" s="3"/>
    </row>
    <row r="54" spans="1:26" ht="15.75" customHeight="1">
      <c r="A54" s="3"/>
      <c r="B54" s="500">
        <v>12</v>
      </c>
      <c r="C54" s="1608"/>
      <c r="D54" s="3204"/>
      <c r="E54" s="3204"/>
      <c r="F54" s="3204"/>
      <c r="G54" s="3204"/>
      <c r="H54" s="3205"/>
      <c r="I54" s="1970"/>
      <c r="J54" s="1970"/>
      <c r="K54" s="1970"/>
      <c r="L54" s="1970"/>
      <c r="M54" s="1970"/>
      <c r="N54" s="1970"/>
      <c r="O54" s="1970"/>
      <c r="P54" s="1970"/>
      <c r="Q54" s="1970"/>
      <c r="R54" s="1970"/>
      <c r="S54" s="1970"/>
      <c r="T54" s="2140"/>
      <c r="U54" s="3"/>
      <c r="V54" s="3"/>
      <c r="W54" s="3"/>
      <c r="X54" s="3"/>
      <c r="Y54" s="3"/>
      <c r="Z54" s="3"/>
    </row>
    <row r="55" spans="1:26" ht="15.75" customHeight="1">
      <c r="A55" s="3"/>
      <c r="B55" s="500">
        <v>13</v>
      </c>
      <c r="C55" s="1608"/>
      <c r="D55" s="3204"/>
      <c r="E55" s="3204"/>
      <c r="F55" s="3204"/>
      <c r="G55" s="3204"/>
      <c r="H55" s="3205"/>
      <c r="I55" s="1970"/>
      <c r="J55" s="1970"/>
      <c r="K55" s="1970"/>
      <c r="L55" s="1970"/>
      <c r="M55" s="1970"/>
      <c r="N55" s="1970"/>
      <c r="O55" s="1970"/>
      <c r="P55" s="1970"/>
      <c r="Q55" s="1970"/>
      <c r="R55" s="1970"/>
      <c r="S55" s="1970"/>
      <c r="T55" s="2140"/>
      <c r="U55" s="3"/>
      <c r="V55" s="3"/>
      <c r="W55" s="3"/>
      <c r="X55" s="3"/>
      <c r="Y55" s="3"/>
      <c r="Z55" s="3"/>
    </row>
    <row r="56" spans="1:26" ht="15.75" customHeight="1">
      <c r="A56" s="3"/>
      <c r="B56" s="500">
        <v>14</v>
      </c>
      <c r="C56" s="1608"/>
      <c r="D56" s="3204"/>
      <c r="E56" s="3204"/>
      <c r="F56" s="3204"/>
      <c r="G56" s="3204"/>
      <c r="H56" s="3205"/>
      <c r="I56" s="1970"/>
      <c r="J56" s="1970"/>
      <c r="K56" s="1970"/>
      <c r="L56" s="1970"/>
      <c r="M56" s="1970"/>
      <c r="N56" s="1970"/>
      <c r="O56" s="1970"/>
      <c r="P56" s="1970"/>
      <c r="Q56" s="1970"/>
      <c r="R56" s="1970"/>
      <c r="S56" s="1970"/>
      <c r="T56" s="2140"/>
      <c r="U56" s="3"/>
      <c r="V56" s="3"/>
      <c r="W56" s="3"/>
      <c r="X56" s="3"/>
      <c r="Y56" s="3"/>
      <c r="Z56" s="3"/>
    </row>
    <row r="57" spans="1:26" ht="15.75" customHeight="1">
      <c r="A57" s="3"/>
      <c r="B57" s="500">
        <v>15</v>
      </c>
      <c r="C57" s="1608"/>
      <c r="D57" s="3204"/>
      <c r="E57" s="3204"/>
      <c r="F57" s="3204"/>
      <c r="G57" s="3204"/>
      <c r="H57" s="3205"/>
      <c r="I57" s="1970"/>
      <c r="J57" s="1970"/>
      <c r="K57" s="1970"/>
      <c r="L57" s="1970"/>
      <c r="M57" s="1970"/>
      <c r="N57" s="1970"/>
      <c r="O57" s="1970"/>
      <c r="P57" s="1970"/>
      <c r="Q57" s="1970"/>
      <c r="R57" s="1970"/>
      <c r="S57" s="1970"/>
      <c r="T57" s="2140"/>
      <c r="U57" s="3"/>
      <c r="V57" s="3"/>
      <c r="W57" s="3"/>
      <c r="X57" s="3"/>
      <c r="Y57" s="3"/>
      <c r="Z57" s="3"/>
    </row>
    <row r="58" spans="1:26" ht="15.75" customHeight="1">
      <c r="A58" s="3"/>
      <c r="B58" s="500">
        <v>16</v>
      </c>
      <c r="C58" s="1608"/>
      <c r="D58" s="3204"/>
      <c r="E58" s="3204"/>
      <c r="F58" s="3204"/>
      <c r="G58" s="3204"/>
      <c r="H58" s="3205"/>
      <c r="I58" s="1970"/>
      <c r="J58" s="1970"/>
      <c r="K58" s="1970"/>
      <c r="L58" s="1970"/>
      <c r="M58" s="1970"/>
      <c r="N58" s="1970"/>
      <c r="O58" s="1970"/>
      <c r="P58" s="1970"/>
      <c r="Q58" s="1970"/>
      <c r="R58" s="1970"/>
      <c r="S58" s="1970"/>
      <c r="T58" s="2140"/>
      <c r="U58" s="3"/>
      <c r="V58" s="3"/>
      <c r="W58" s="3"/>
      <c r="X58" s="3"/>
      <c r="Y58" s="3"/>
      <c r="Z58" s="3"/>
    </row>
    <row r="59" spans="1:26" ht="15.75" customHeight="1">
      <c r="A59" s="3"/>
      <c r="B59" s="500">
        <v>17</v>
      </c>
      <c r="C59" s="1608"/>
      <c r="D59" s="3204"/>
      <c r="E59" s="3204"/>
      <c r="F59" s="3204"/>
      <c r="G59" s="3204"/>
      <c r="H59" s="3205"/>
      <c r="I59" s="1970"/>
      <c r="J59" s="1970"/>
      <c r="K59" s="1970"/>
      <c r="L59" s="1970"/>
      <c r="M59" s="1970"/>
      <c r="N59" s="1970"/>
      <c r="O59" s="1970"/>
      <c r="P59" s="1970"/>
      <c r="Q59" s="1970"/>
      <c r="R59" s="1970"/>
      <c r="S59" s="1970"/>
      <c r="T59" s="2140"/>
      <c r="U59" s="3"/>
      <c r="V59" s="3"/>
      <c r="W59" s="3"/>
      <c r="X59" s="3"/>
      <c r="Y59" s="3"/>
      <c r="Z59" s="3"/>
    </row>
    <row r="60" spans="1:26" ht="15.75" customHeight="1">
      <c r="A60" s="3"/>
      <c r="B60" s="500">
        <v>18</v>
      </c>
      <c r="C60" s="1608"/>
      <c r="D60" s="3204"/>
      <c r="E60" s="3204"/>
      <c r="F60" s="3204"/>
      <c r="G60" s="3204"/>
      <c r="H60" s="3205"/>
      <c r="I60" s="1970"/>
      <c r="J60" s="1970"/>
      <c r="K60" s="1970"/>
      <c r="L60" s="1970"/>
      <c r="M60" s="1970"/>
      <c r="N60" s="1970"/>
      <c r="O60" s="1970"/>
      <c r="P60" s="1970"/>
      <c r="Q60" s="1970"/>
      <c r="R60" s="1970"/>
      <c r="S60" s="1970"/>
      <c r="T60" s="2140"/>
      <c r="U60" s="3"/>
      <c r="V60" s="3"/>
      <c r="W60" s="3"/>
      <c r="X60" s="3"/>
      <c r="Y60" s="3"/>
      <c r="Z60" s="3"/>
    </row>
    <row r="61" spans="1:26" ht="15.75" customHeight="1">
      <c r="A61" s="3"/>
      <c r="B61" s="500">
        <v>19</v>
      </c>
      <c r="C61" s="1608"/>
      <c r="D61" s="3204"/>
      <c r="E61" s="3204"/>
      <c r="F61" s="3204"/>
      <c r="G61" s="3204"/>
      <c r="H61" s="3205"/>
      <c r="I61" s="1970"/>
      <c r="J61" s="1970"/>
      <c r="K61" s="1970"/>
      <c r="L61" s="1970"/>
      <c r="M61" s="1970"/>
      <c r="N61" s="1970"/>
      <c r="O61" s="1970"/>
      <c r="P61" s="1970"/>
      <c r="Q61" s="1970"/>
      <c r="R61" s="1970"/>
      <c r="S61" s="1970"/>
      <c r="T61" s="2140"/>
      <c r="U61" s="3"/>
      <c r="V61" s="3"/>
      <c r="W61" s="3"/>
      <c r="X61" s="3"/>
      <c r="Y61" s="3"/>
      <c r="Z61" s="3"/>
    </row>
    <row r="62" spans="1:26" ht="15.75" customHeight="1">
      <c r="A62" s="3"/>
      <c r="B62" s="500">
        <v>20</v>
      </c>
      <c r="C62" s="1608"/>
      <c r="D62" s="3204"/>
      <c r="E62" s="3204"/>
      <c r="F62" s="3204"/>
      <c r="G62" s="3204"/>
      <c r="H62" s="1970"/>
      <c r="I62" s="1970"/>
      <c r="J62" s="1970"/>
      <c r="K62" s="1970"/>
      <c r="L62" s="1970"/>
      <c r="M62" s="1970"/>
      <c r="N62" s="1970"/>
      <c r="O62" s="1970"/>
      <c r="P62" s="1970"/>
      <c r="Q62" s="1970"/>
      <c r="R62" s="1970"/>
      <c r="S62" s="1970"/>
      <c r="T62" s="2140"/>
      <c r="U62" s="3"/>
      <c r="V62" s="3"/>
      <c r="W62" s="3"/>
      <c r="X62" s="3"/>
      <c r="Y62" s="3"/>
      <c r="Z62" s="3"/>
    </row>
    <row r="63" spans="1:26" ht="15.75" customHeight="1">
      <c r="A63" s="3"/>
      <c r="B63" s="500">
        <v>21</v>
      </c>
      <c r="C63" s="1608"/>
      <c r="D63" s="3204"/>
      <c r="E63" s="3204"/>
      <c r="F63" s="3204"/>
      <c r="G63" s="3204"/>
      <c r="H63" s="1970"/>
      <c r="I63" s="1970"/>
      <c r="J63" s="1970"/>
      <c r="K63" s="1970"/>
      <c r="L63" s="1970"/>
      <c r="M63" s="1970"/>
      <c r="N63" s="1970"/>
      <c r="O63" s="1970"/>
      <c r="P63" s="1970"/>
      <c r="Q63" s="1970"/>
      <c r="R63" s="1970"/>
      <c r="S63" s="1970"/>
      <c r="T63" s="2140"/>
      <c r="U63" s="3"/>
      <c r="V63" s="3"/>
      <c r="W63" s="3"/>
      <c r="X63" s="3"/>
      <c r="Y63" s="3"/>
      <c r="Z63" s="3"/>
    </row>
    <row r="64" spans="1:26" ht="15.75" customHeight="1">
      <c r="A64" s="3"/>
      <c r="B64" s="500">
        <v>22</v>
      </c>
      <c r="C64" s="1608"/>
      <c r="D64" s="3204"/>
      <c r="E64" s="3204"/>
      <c r="F64" s="3204"/>
      <c r="G64" s="3204"/>
      <c r="H64" s="1970"/>
      <c r="I64" s="1970"/>
      <c r="J64" s="1970"/>
      <c r="K64" s="1970"/>
      <c r="L64" s="1970"/>
      <c r="M64" s="1970"/>
      <c r="N64" s="1970"/>
      <c r="O64" s="1970"/>
      <c r="P64" s="1970"/>
      <c r="Q64" s="1970"/>
      <c r="R64" s="1970"/>
      <c r="S64" s="1970"/>
      <c r="T64" s="2140"/>
      <c r="U64" s="3"/>
      <c r="V64" s="3"/>
      <c r="W64" s="3"/>
      <c r="X64" s="3"/>
      <c r="Y64" s="3"/>
      <c r="Z64" s="3"/>
    </row>
    <row r="65" spans="1:26" ht="15.75" customHeight="1">
      <c r="A65" s="3"/>
      <c r="B65" s="500">
        <v>23</v>
      </c>
      <c r="C65" s="1608"/>
      <c r="D65" s="3204"/>
      <c r="E65" s="3204"/>
      <c r="F65" s="3204"/>
      <c r="G65" s="3204"/>
      <c r="H65" s="1970"/>
      <c r="I65" s="1970"/>
      <c r="J65" s="1970"/>
      <c r="K65" s="1970"/>
      <c r="L65" s="1970"/>
      <c r="M65" s="1970"/>
      <c r="N65" s="1970"/>
      <c r="O65" s="1970"/>
      <c r="P65" s="1970"/>
      <c r="Q65" s="1970"/>
      <c r="R65" s="1970"/>
      <c r="S65" s="1970"/>
      <c r="T65" s="2140"/>
      <c r="U65" s="3"/>
      <c r="V65" s="3"/>
      <c r="W65" s="3"/>
      <c r="X65" s="3"/>
      <c r="Y65" s="3"/>
      <c r="Z65" s="3"/>
    </row>
    <row r="66" spans="1:26" ht="15.75" customHeight="1">
      <c r="A66" s="3"/>
      <c r="B66" s="500">
        <v>24</v>
      </c>
      <c r="C66" s="1608"/>
      <c r="D66" s="3204"/>
      <c r="E66" s="3204"/>
      <c r="F66" s="3204"/>
      <c r="G66" s="3204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500">
        <v>25</v>
      </c>
      <c r="C67" s="1608"/>
      <c r="D67" s="3204"/>
      <c r="E67" s="3204"/>
      <c r="F67" s="3204"/>
      <c r="G67" s="3204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500">
        <v>26</v>
      </c>
      <c r="C68" s="1608"/>
      <c r="D68" s="3204"/>
      <c r="E68" s="3204"/>
      <c r="F68" s="3204"/>
      <c r="G68" s="3204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500">
        <v>27</v>
      </c>
      <c r="C69" s="1608"/>
      <c r="D69" s="3204"/>
      <c r="E69" s="3204"/>
      <c r="F69" s="3204"/>
      <c r="G69" s="3204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500">
        <v>28</v>
      </c>
      <c r="C70" s="1608"/>
      <c r="D70" s="3204"/>
      <c r="E70" s="3204"/>
      <c r="F70" s="3204"/>
      <c r="G70" s="3204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500">
        <v>29</v>
      </c>
      <c r="C71" s="1608"/>
      <c r="D71" s="3204"/>
      <c r="E71" s="3204"/>
      <c r="F71" s="3204"/>
      <c r="G71" s="3204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500">
        <v>30</v>
      </c>
      <c r="C72" s="1608"/>
      <c r="D72" s="3204"/>
      <c r="E72" s="3204"/>
      <c r="F72" s="3204"/>
      <c r="G72" s="3204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876">
        <v>31</v>
      </c>
      <c r="C73" s="1608"/>
      <c r="D73" s="3204"/>
      <c r="E73" s="3204"/>
      <c r="F73" s="3204"/>
      <c r="G73" s="3204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44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44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44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44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44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44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442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44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44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44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44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44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44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442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44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44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44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44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44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44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44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44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44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44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44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44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44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442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44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44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44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44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44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44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442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44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44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44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44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44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44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44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44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44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44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44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44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44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442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44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44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44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44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44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44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44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44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44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44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44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44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44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442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44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44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44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44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44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44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442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44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44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44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44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44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44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442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44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44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44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44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44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44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442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44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44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44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44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44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44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44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44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44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44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44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44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44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442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44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44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44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44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44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44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442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44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44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44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44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44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44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442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44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44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44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44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44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44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442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44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44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44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44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44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44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442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44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44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44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44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44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44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442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44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44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44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44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44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44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442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44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44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44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44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44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44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442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44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44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44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44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44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44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3"/>
      <c r="B227" s="442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3"/>
      <c r="B228" s="44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3"/>
      <c r="B229" s="44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3"/>
      <c r="B230" s="44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3"/>
      <c r="B231" s="44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3"/>
      <c r="B232" s="44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3"/>
      <c r="B233" s="44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3"/>
      <c r="B234" s="442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3"/>
      <c r="B235" s="44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3"/>
      <c r="B236" s="44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3"/>
      <c r="B237" s="44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3"/>
      <c r="B238" s="44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3"/>
      <c r="B239" s="44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3"/>
      <c r="B240" s="44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3"/>
      <c r="B241" s="442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3"/>
      <c r="B242" s="44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3"/>
      <c r="B243" s="44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3"/>
      <c r="B244" s="44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3"/>
      <c r="B245" s="44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3"/>
      <c r="B246" s="44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3"/>
      <c r="B247" s="44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3"/>
      <c r="B248" s="442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3"/>
      <c r="B249" s="44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3"/>
      <c r="B250" s="44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3"/>
      <c r="B251" s="44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3"/>
      <c r="B252" s="44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3"/>
      <c r="B253" s="44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3"/>
      <c r="B254" s="44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3"/>
      <c r="B255" s="442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3"/>
      <c r="B256" s="44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3"/>
      <c r="B257" s="44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3"/>
      <c r="B258" s="44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3"/>
      <c r="B259" s="44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3"/>
      <c r="B260" s="44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3"/>
      <c r="B261" s="44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3"/>
      <c r="B262" s="442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3"/>
      <c r="B263" s="44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3"/>
      <c r="B264" s="44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3"/>
      <c r="B265" s="44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3"/>
      <c r="B266" s="44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3"/>
      <c r="B267" s="44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3"/>
      <c r="B268" s="44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3"/>
      <c r="B269" s="442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3"/>
      <c r="B270" s="44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>
      <c r="A271" s="3"/>
      <c r="B271" s="44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>
      <c r="A272" s="3"/>
      <c r="B272" s="44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>
      <c r="A273" s="3"/>
      <c r="B273" s="442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/>
    <row r="275" spans="1:26" ht="15.75" customHeight="1"/>
    <row r="276" spans="1:26" ht="15.75" customHeight="1"/>
    <row r="277" spans="1:26" ht="15.75" customHeight="1"/>
    <row r="278" spans="1:26" ht="15.75" customHeight="1"/>
    <row r="279" spans="1:26" ht="15.75" customHeight="1"/>
    <row r="280" spans="1:26" ht="15.75" customHeight="1"/>
    <row r="281" spans="1:26" ht="15.75" customHeight="1"/>
    <row r="282" spans="1:26" ht="15.75" customHeight="1"/>
    <row r="283" spans="1:26" ht="15.75" customHeight="1"/>
    <row r="284" spans="1:26" ht="15.75" customHeight="1"/>
    <row r="285" spans="1:26" ht="15.75" customHeight="1"/>
    <row r="286" spans="1:26" ht="15.75" customHeight="1"/>
    <row r="287" spans="1:26" ht="15.75" customHeight="1"/>
    <row r="288" spans="1:26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</sheetData>
  <mergeCells count="5">
    <mergeCell ref="A1:J2"/>
    <mergeCell ref="D6:I6"/>
    <mergeCell ref="A36:E37"/>
    <mergeCell ref="F36:J37"/>
    <mergeCell ref="J6:O6"/>
  </mergeCells>
  <conditionalFormatting sqref="H48">
    <cfRule type="cellIs" dxfId="56" priority="553" operator="lessThan">
      <formula>8</formula>
    </cfRule>
    <cfRule type="cellIs" dxfId="55" priority="554" operator="lessThan">
      <formula>10</formula>
    </cfRule>
  </conditionalFormatting>
  <conditionalFormatting sqref="H49">
    <cfRule type="cellIs" dxfId="54" priority="551" operator="lessThan">
      <formula>8</formula>
    </cfRule>
    <cfRule type="cellIs" dxfId="53" priority="552" operator="lessThan">
      <formula>10</formula>
    </cfRule>
  </conditionalFormatting>
  <conditionalFormatting sqref="H50">
    <cfRule type="cellIs" dxfId="52" priority="549" operator="lessThan">
      <formula>8</formula>
    </cfRule>
    <cfRule type="cellIs" dxfId="51" priority="550" operator="lessThan">
      <formula>10</formula>
    </cfRule>
  </conditionalFormatting>
  <conditionalFormatting sqref="H52">
    <cfRule type="cellIs" dxfId="50" priority="545" operator="lessThan">
      <formula>8</formula>
    </cfRule>
    <cfRule type="cellIs" dxfId="49" priority="546" operator="lessThan">
      <formula>10</formula>
    </cfRule>
  </conditionalFormatting>
  <conditionalFormatting sqref="H43 H45:H47">
    <cfRule type="cellIs" dxfId="48" priority="541" operator="lessThan">
      <formula>8</formula>
    </cfRule>
    <cfRule type="cellIs" dxfId="47" priority="542" operator="lessThan">
      <formula>10</formula>
    </cfRule>
  </conditionalFormatting>
  <conditionalFormatting sqref="H51">
    <cfRule type="cellIs" dxfId="46" priority="539" operator="lessThan">
      <formula>8</formula>
    </cfRule>
    <cfRule type="cellIs" dxfId="45" priority="540" operator="lessThan">
      <formula>10</formula>
    </cfRule>
  </conditionalFormatting>
  <conditionalFormatting sqref="H53">
    <cfRule type="cellIs" dxfId="44" priority="537" operator="lessThan">
      <formula>8</formula>
    </cfRule>
    <cfRule type="cellIs" dxfId="43" priority="538" operator="lessThan">
      <formula>10</formula>
    </cfRule>
  </conditionalFormatting>
  <conditionalFormatting sqref="D42:G42">
    <cfRule type="cellIs" dxfId="42" priority="7" operator="lessThan">
      <formula>8</formula>
    </cfRule>
    <cfRule type="cellIs" dxfId="41" priority="8" operator="lessThan">
      <formula>10</formula>
    </cfRule>
  </conditionalFormatting>
  <conditionalFormatting sqref="G44">
    <cfRule type="cellIs" dxfId="40" priority="5" operator="lessThan">
      <formula>8</formula>
    </cfRule>
    <cfRule type="cellIs" dxfId="39" priority="6" operator="lessThan">
      <formula>10</formula>
    </cfRule>
  </conditionalFormatting>
  <conditionalFormatting sqref="D43:G47">
    <cfRule type="cellIs" dxfId="38" priority="3" operator="lessThan">
      <formula>8</formula>
    </cfRule>
    <cfRule type="cellIs" dxfId="37" priority="4" operator="lessThan">
      <formula>10</formula>
    </cfRule>
  </conditionalFormatting>
  <conditionalFormatting sqref="G48 D48:F49">
    <cfRule type="cellIs" dxfId="36" priority="1" operator="lessThan">
      <formula>8</formula>
    </cfRule>
    <cfRule type="cellIs" dxfId="35" priority="2" operator="lessThan">
      <formula>10</formula>
    </cfRule>
  </conditionalFormatting>
  <pageMargins left="0.7" right="0.7" top="0.75" bottom="0.75" header="0" footer="0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000"/>
  </sheetPr>
  <dimension ref="A1:Z1001"/>
  <sheetViews>
    <sheetView zoomScale="70" zoomScaleNormal="70" workbookViewId="0">
      <selection activeCell="I22" sqref="I22"/>
    </sheetView>
  </sheetViews>
  <sheetFormatPr baseColWidth="10" defaultColWidth="14.42578125" defaultRowHeight="15" customHeight="1"/>
  <cols>
    <col min="1" max="1" width="15.42578125" customWidth="1"/>
    <col min="2" max="2" width="18" customWidth="1"/>
    <col min="3" max="3" width="16.5703125" customWidth="1"/>
    <col min="4" max="4" width="24" customWidth="1"/>
    <col min="5" max="5" width="17.28515625" customWidth="1"/>
    <col min="6" max="6" width="16" customWidth="1"/>
    <col min="7" max="7" width="11.42578125" customWidth="1"/>
    <col min="8" max="8" width="11.5703125" customWidth="1"/>
    <col min="9" max="9" width="15.5703125" customWidth="1"/>
    <col min="10" max="10" width="13.5703125" customWidth="1"/>
    <col min="11" max="26" width="12.5703125" customWidth="1"/>
  </cols>
  <sheetData>
    <row r="1" spans="1:26" ht="13.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3.5" customHeight="1">
      <c r="A2" s="3"/>
      <c r="B2" s="3"/>
      <c r="C2" s="2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customHeight="1">
      <c r="A3" s="3"/>
      <c r="B3" s="3"/>
      <c r="C3" s="444"/>
      <c r="D3" s="44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3"/>
      <c r="B4" s="3"/>
      <c r="C4" s="444"/>
      <c r="D4" s="444"/>
      <c r="E4" s="444"/>
      <c r="F4" s="444"/>
      <c r="G4" s="445"/>
      <c r="H4" s="445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2.75" customHeight="1">
      <c r="A5" s="3"/>
      <c r="B5" s="3"/>
      <c r="C5" s="4617"/>
      <c r="D5" s="4469"/>
      <c r="E5" s="4618"/>
      <c r="F5" s="4469"/>
      <c r="G5" s="446"/>
      <c r="H5" s="445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8.75" customHeight="1">
      <c r="A6" s="3"/>
      <c r="B6" s="3"/>
      <c r="C6" s="4617" t="s">
        <v>1588</v>
      </c>
      <c r="D6" s="4469"/>
      <c r="E6" s="4618">
        <f ca="1">TODAY()</f>
        <v>45969</v>
      </c>
      <c r="F6" s="4469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3"/>
      <c r="B7" s="3"/>
      <c r="C7" s="447"/>
      <c r="D7" s="447"/>
      <c r="E7" s="447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448"/>
      <c r="B8" s="4619" t="s">
        <v>1589</v>
      </c>
      <c r="C8" s="4469"/>
      <c r="D8" s="4469"/>
      <c r="E8" s="446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>
      <c r="A9" s="3"/>
      <c r="B9" s="4469"/>
      <c r="C9" s="4469"/>
      <c r="D9" s="4469"/>
      <c r="E9" s="4469"/>
      <c r="F9" s="44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3"/>
      <c r="B11" s="3"/>
      <c r="C11" s="3"/>
      <c r="D11" s="3"/>
      <c r="E11" s="449"/>
      <c r="F11" s="3"/>
      <c r="G11" s="445"/>
      <c r="H11" s="445" t="s">
        <v>1590</v>
      </c>
      <c r="I11" s="1774">
        <v>2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4620" t="s">
        <v>1591</v>
      </c>
      <c r="B12" s="4469"/>
      <c r="C12" s="4469"/>
      <c r="D12" s="4469"/>
      <c r="E12" s="450" t="s">
        <v>1592</v>
      </c>
      <c r="F12" s="3"/>
      <c r="G12" s="3"/>
      <c r="I12" s="451" t="str">
        <f>_xlfn.CONCAT(C18," ",D13)</f>
        <v>GUTIERREZ HERNANDEZ MIRIAM ABR-SEP 2025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4621" t="s">
        <v>1593</v>
      </c>
      <c r="B13" s="4469"/>
      <c r="C13" s="4469"/>
      <c r="D13" s="452" t="str">
        <f>'PREVIO Boletas '!D5</f>
        <v>ABR-SEP 2025</v>
      </c>
      <c r="E13" s="453"/>
      <c r="F13" s="3"/>
      <c r="G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customHeight="1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3"/>
      <c r="B17" s="3"/>
      <c r="C17" s="442"/>
      <c r="D17" s="442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4622" t="s">
        <v>1594</v>
      </c>
      <c r="B18" s="4469"/>
      <c r="C18" s="4623" t="str">
        <f>VLOOKUP(I11,'PREVIO Boletas '!B8:I32,2,)</f>
        <v>GUTIERREZ HERNANDEZ MIRIAM</v>
      </c>
      <c r="D18" s="4469"/>
      <c r="E18" s="446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4469"/>
      <c r="B19" s="4469"/>
      <c r="C19" s="4469"/>
      <c r="D19" s="4469"/>
      <c r="E19" s="4469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3"/>
      <c r="B20" s="3"/>
      <c r="C20" s="3"/>
      <c r="D20" s="3"/>
      <c r="E20" s="3"/>
      <c r="F20" s="3"/>
      <c r="G20" s="3"/>
      <c r="H20" s="3"/>
      <c r="I20" s="45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3.5" customHeight="1" thickBot="1">
      <c r="A21" s="3"/>
      <c r="B21" s="3"/>
      <c r="C21" s="3"/>
      <c r="D21" s="3"/>
      <c r="E21" s="3"/>
      <c r="F21" s="3"/>
      <c r="G21" s="3"/>
      <c r="H21" s="3"/>
      <c r="I21" s="455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3.5" customHeight="1" thickBot="1">
      <c r="A22" s="3"/>
      <c r="B22" s="4624" t="s">
        <v>1595</v>
      </c>
      <c r="C22" s="4625"/>
      <c r="D22" s="4625"/>
      <c r="E22" s="456" t="s">
        <v>1596</v>
      </c>
      <c r="F22" s="457"/>
      <c r="G22" s="3"/>
      <c r="H22" s="3"/>
      <c r="I22" s="455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4.25" customHeight="1">
      <c r="A23" s="3"/>
      <c r="B23" s="4626" t="str">
        <f>UPPER('PREVIO Boletas '!D7)</f>
        <v>INFORMÁTICA JURÍDICA</v>
      </c>
      <c r="C23" s="4627"/>
      <c r="D23" s="4627"/>
      <c r="E23" s="4628">
        <f>VLOOKUP(I11,'PREVIO Boletas '!B8:I32,3,)</f>
        <v>8</v>
      </c>
      <c r="F23" s="3"/>
      <c r="G23" s="3"/>
      <c r="H23" s="3"/>
      <c r="I23" s="455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3.5" customHeight="1">
      <c r="A24" s="3"/>
      <c r="B24" s="4627"/>
      <c r="C24" s="4627"/>
      <c r="D24" s="4627"/>
      <c r="E24" s="4629"/>
      <c r="F24" s="458"/>
      <c r="G24" s="3"/>
      <c r="H24" s="3"/>
      <c r="I24" s="455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4630" t="str">
        <f>UPPER('PREVIO Boletas '!E7)</f>
        <v xml:space="preserve">PREVENCIÓN Y SEGURIDAD HUMANA </v>
      </c>
      <c r="C25" s="4542"/>
      <c r="D25" s="4631"/>
      <c r="E25" s="4633">
        <f>VLOOKUP(I11,'PREVIO Boletas '!B8:I32,4,)</f>
        <v>10</v>
      </c>
      <c r="F25" s="3"/>
      <c r="G25" s="3"/>
      <c r="H25" s="3"/>
      <c r="I25" s="455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9.5" customHeight="1">
      <c r="A26" s="3"/>
      <c r="B26" s="4461"/>
      <c r="C26" s="4462"/>
      <c r="D26" s="4632"/>
      <c r="E26" s="4634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448"/>
      <c r="B27" s="4640" t="str">
        <f>UPPER('PREVIO Boletas '!F7)</f>
        <v>PRÁCTICAS DE JUICIOS ORALES</v>
      </c>
      <c r="C27" s="4428"/>
      <c r="D27" s="4636"/>
      <c r="E27" s="4633">
        <f>VLOOKUP(I11,'PREVIO Boletas '!B8:I32,5,)</f>
        <v>9.6999999999999993</v>
      </c>
      <c r="F27" s="186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3.5" customHeight="1">
      <c r="A28" s="458"/>
      <c r="B28" s="4461"/>
      <c r="C28" s="4462"/>
      <c r="D28" s="4632"/>
      <c r="E28" s="4634"/>
      <c r="F28" s="206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" customHeight="1">
      <c r="A29" s="459"/>
      <c r="B29" s="4640" t="str">
        <f>UPPER('PREVIO Boletas '!G7)</f>
        <v xml:space="preserve">PREVENCIÓN DEL DELITO Y PERSPECTIVA DE GÉNERO </v>
      </c>
      <c r="C29" s="4428"/>
      <c r="D29" s="4636"/>
      <c r="E29" s="4641">
        <f>VLOOKUP(I11,'PREVIO Boletas '!B8:I32,6,)</f>
        <v>10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9.5" customHeight="1">
      <c r="A30" s="3"/>
      <c r="B30" s="4461"/>
      <c r="C30" s="4462"/>
      <c r="D30" s="4632"/>
      <c r="E30" s="4634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" customHeight="1">
      <c r="A31" s="3"/>
      <c r="B31" s="4640" t="str">
        <f>UPPER('PREVIO Boletas '!H7)</f>
        <v>MEDIACIÓN PRIVADA</v>
      </c>
      <c r="C31" s="4428"/>
      <c r="D31" s="4636"/>
      <c r="E31" s="4633">
        <f>VLOOKUP(I11,'PREVIO Boletas '!B8:I32,7,)</f>
        <v>10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4461"/>
      <c r="C32" s="4462"/>
      <c r="D32" s="4632"/>
      <c r="E32" s="4634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" customHeight="1">
      <c r="A33" s="3"/>
      <c r="B33" s="4635" t="str">
        <f>UPPER('PREVIO Boletas '!I7)</f>
        <v>CRIMINOLOGIA</v>
      </c>
      <c r="C33" s="4428"/>
      <c r="D33" s="4636"/>
      <c r="E33" s="4641">
        <f>VLOOKUP(I11,'PREVIO Boletas '!B8:I32,8,)</f>
        <v>10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" customHeight="1">
      <c r="A34" s="3"/>
      <c r="B34" s="4630"/>
      <c r="C34" s="4542"/>
      <c r="D34" s="4631"/>
      <c r="E34" s="4642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" customHeight="1">
      <c r="A35" s="3"/>
      <c r="B35" s="4461"/>
      <c r="C35" s="4462"/>
      <c r="D35" s="4632"/>
      <c r="E35" s="4634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3.5" customHeight="1">
      <c r="A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3.5" customHeight="1">
      <c r="A37" s="3"/>
      <c r="B37" s="3"/>
      <c r="C37" s="461"/>
      <c r="D37" s="461"/>
      <c r="E37" s="461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" customHeight="1">
      <c r="A38" s="462"/>
      <c r="B38" s="462"/>
      <c r="C38" s="462"/>
      <c r="D38" s="462"/>
      <c r="E38" s="462"/>
      <c r="F38" s="462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3.5" customHeight="1">
      <c r="A39" s="462"/>
      <c r="B39" s="460" t="s">
        <v>1597</v>
      </c>
      <c r="C39" s="4637" t="s">
        <v>1598</v>
      </c>
      <c r="D39" s="4469"/>
      <c r="E39" s="463"/>
      <c r="F39" s="462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3.5" customHeight="1">
      <c r="A40" s="462"/>
      <c r="B40" s="462"/>
      <c r="C40" s="3"/>
      <c r="D40" s="3"/>
      <c r="E40" s="3"/>
      <c r="F40" s="462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3.5" customHeight="1">
      <c r="A41" s="462"/>
      <c r="B41" s="3"/>
      <c r="C41" s="3"/>
      <c r="D41" s="3"/>
      <c r="E41" s="3"/>
      <c r="F41" s="462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3.5" customHeight="1">
      <c r="A42" s="46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3.5" customHeight="1">
      <c r="A43" s="464"/>
      <c r="B43" s="3"/>
      <c r="C43" s="4638" t="s">
        <v>1599</v>
      </c>
      <c r="D43" s="4469"/>
      <c r="E43" s="448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3.5" customHeight="1">
      <c r="A44" s="3"/>
      <c r="B44" s="4639" t="s">
        <v>1600</v>
      </c>
      <c r="C44" s="4469"/>
      <c r="D44" s="4469"/>
      <c r="E44" s="4469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3.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3.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3.5" customHeight="1">
      <c r="A47" s="3"/>
      <c r="B47" s="465"/>
      <c r="C47" s="465" t="s">
        <v>1601</v>
      </c>
      <c r="D47" s="465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3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3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3.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3.5" customHeight="1">
      <c r="A51" s="466" t="s">
        <v>1706</v>
      </c>
      <c r="B51" s="466"/>
      <c r="C51" s="466"/>
      <c r="D51" s="466"/>
      <c r="E51" s="466"/>
      <c r="F51" s="466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/>
    <row r="253" spans="1:26" ht="15.75" customHeight="1"/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sheetProtection algorithmName="SHA-512" hashValue="eKD/Mbyy3hG8uRWelNTgrmgl3gp0AEnWDjzZy46P2adi+ufXsYuyVpeRdrBqUXA+xSM6dbQkJxMgLK08/e5mMQ==" saltValue="8EtjpMTVjggdegw78dlEkA==" spinCount="100000" sheet="1" objects="1" scenarios="1"/>
  <mergeCells count="25">
    <mergeCell ref="C39:D39"/>
    <mergeCell ref="C43:D43"/>
    <mergeCell ref="B44:E44"/>
    <mergeCell ref="B27:D28"/>
    <mergeCell ref="E27:E28"/>
    <mergeCell ref="B29:D30"/>
    <mergeCell ref="E29:E30"/>
    <mergeCell ref="B31:D32"/>
    <mergeCell ref="E31:E32"/>
    <mergeCell ref="E33:E35"/>
    <mergeCell ref="B23:D24"/>
    <mergeCell ref="E23:E24"/>
    <mergeCell ref="B25:D26"/>
    <mergeCell ref="E25:E26"/>
    <mergeCell ref="B33:D35"/>
    <mergeCell ref="A12:D12"/>
    <mergeCell ref="A13:C13"/>
    <mergeCell ref="A18:B19"/>
    <mergeCell ref="C18:E19"/>
    <mergeCell ref="B22:D22"/>
    <mergeCell ref="C5:D5"/>
    <mergeCell ref="E5:F5"/>
    <mergeCell ref="C6:D6"/>
    <mergeCell ref="E6:F6"/>
    <mergeCell ref="B8:E9"/>
  </mergeCells>
  <conditionalFormatting sqref="E23:E35">
    <cfRule type="cellIs" dxfId="34" priority="1" operator="between">
      <formula>5</formula>
      <formula>7.9</formula>
    </cfRule>
    <cfRule type="cellIs" dxfId="33" priority="2" operator="equal">
      <formula>10</formula>
    </cfRule>
  </conditionalFormatting>
  <printOptions horizontalCentered="1" verticalCentered="1"/>
  <pageMargins left="1.0416666666666666E-2" right="1.0416666666666666E-2" top="0.55541666666666667" bottom="1.0416666666666666E-2" header="0" footer="0"/>
  <pageSetup scale="96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F7CAAC"/>
    <pageSetUpPr fitToPage="1"/>
  </sheetPr>
  <dimension ref="A1:Z1000"/>
  <sheetViews>
    <sheetView topLeftCell="A4" zoomScale="80" zoomScaleNormal="80" workbookViewId="0">
      <selection activeCell="H12" sqref="H12"/>
    </sheetView>
  </sheetViews>
  <sheetFormatPr baseColWidth="10" defaultColWidth="14.42578125" defaultRowHeight="15" customHeight="1"/>
  <cols>
    <col min="1" max="1" width="15.42578125" customWidth="1"/>
    <col min="2" max="2" width="14.42578125" customWidth="1"/>
    <col min="3" max="3" width="16.5703125" customWidth="1"/>
    <col min="4" max="4" width="19.42578125" customWidth="1"/>
    <col min="5" max="5" width="17.28515625" customWidth="1"/>
    <col min="6" max="6" width="16" customWidth="1"/>
    <col min="7" max="7" width="11.42578125" customWidth="1"/>
    <col min="8" max="8" width="6.42578125" customWidth="1"/>
    <col min="9" max="9" width="17.7109375" customWidth="1"/>
    <col min="10" max="10" width="12.5703125" customWidth="1"/>
    <col min="11" max="11" width="16.28515625" customWidth="1"/>
    <col min="12" max="12" width="19.28515625" customWidth="1"/>
    <col min="13" max="26" width="12.5703125" customWidth="1"/>
  </cols>
  <sheetData>
    <row r="1" spans="1:26" ht="13.5" customHeight="1">
      <c r="A1" s="3" t="s">
        <v>173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3.5" customHeight="1">
      <c r="A2" s="3"/>
      <c r="B2" s="3"/>
      <c r="C2" s="2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customHeight="1">
      <c r="A3" s="3"/>
      <c r="B3" s="3"/>
      <c r="C3" s="444"/>
      <c r="D3" s="44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3"/>
      <c r="B4" s="3"/>
      <c r="C4" s="444"/>
      <c r="D4" s="444"/>
      <c r="E4" s="444"/>
      <c r="F4" s="444"/>
      <c r="G4" s="445"/>
      <c r="H4" s="445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2.75" customHeight="1">
      <c r="A5" s="3"/>
      <c r="B5" s="3"/>
      <c r="C5" s="4617"/>
      <c r="D5" s="4469"/>
      <c r="E5" s="4618"/>
      <c r="F5" s="4469"/>
      <c r="G5" s="446"/>
      <c r="H5" s="445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" customHeight="1">
      <c r="A6" s="3"/>
      <c r="D6" s="451" t="s">
        <v>1638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38.25" customHeight="1">
      <c r="A7" s="3"/>
      <c r="B7" s="3"/>
      <c r="C7" s="4617" t="s">
        <v>1588</v>
      </c>
      <c r="D7" s="4469"/>
      <c r="E7" s="4618">
        <f ca="1">TODAY()</f>
        <v>45969</v>
      </c>
      <c r="F7" s="446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448"/>
      <c r="B8" s="4619" t="s">
        <v>1779</v>
      </c>
      <c r="C8" s="4469"/>
      <c r="D8" s="4469"/>
      <c r="E8" s="4469"/>
      <c r="F8" s="3"/>
      <c r="G8" s="3"/>
      <c r="H8" s="3"/>
      <c r="I8" s="3"/>
      <c r="J8" s="3"/>
      <c r="K8" s="3"/>
      <c r="L8" s="3" t="s">
        <v>1604</v>
      </c>
      <c r="M8" s="3" t="s">
        <v>1639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>
      <c r="A9" s="3"/>
      <c r="B9" s="4469"/>
      <c r="C9" s="4469"/>
      <c r="D9" s="4469"/>
      <c r="E9" s="4469"/>
      <c r="F9" s="449"/>
      <c r="G9" s="3"/>
      <c r="H9" s="3"/>
      <c r="I9" s="3"/>
      <c r="J9" s="3"/>
      <c r="K9" s="3"/>
      <c r="L9" s="3" t="s">
        <v>1622</v>
      </c>
      <c r="M9" s="3" t="s">
        <v>1640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42" t="s">
        <v>1637</v>
      </c>
      <c r="M10" s="1111" t="s">
        <v>1641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6" customHeight="1">
      <c r="A11" s="3"/>
      <c r="B11" s="3"/>
      <c r="C11" s="3"/>
      <c r="D11" s="3"/>
      <c r="E11" s="449"/>
      <c r="F11" s="3"/>
      <c r="G11" s="445" t="s">
        <v>1590</v>
      </c>
      <c r="H11" s="1773">
        <v>6</v>
      </c>
      <c r="I11" s="504" t="str">
        <f>_xlfn.CONCAT(C18," ",D13)</f>
        <v>0 MAY-AGO 2025</v>
      </c>
      <c r="J11" s="3"/>
      <c r="K11" s="3"/>
      <c r="L11" s="3" t="s">
        <v>1628</v>
      </c>
      <c r="M11" s="3" t="s">
        <v>1642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4620" t="s">
        <v>1643</v>
      </c>
      <c r="B12" s="4469"/>
      <c r="C12" s="4469"/>
      <c r="D12" s="4469"/>
      <c r="E12" s="450" t="str">
        <f>'PREVIO Boletas '!G39</f>
        <v>MAESTRIA EN DERECHO</v>
      </c>
      <c r="F12" s="3"/>
      <c r="G12" s="3"/>
      <c r="H12" s="3"/>
      <c r="I12" s="3"/>
      <c r="J12" s="3"/>
      <c r="K12" s="3"/>
      <c r="L12" s="3" t="s">
        <v>1624</v>
      </c>
      <c r="M12" s="3" t="s">
        <v>1644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4621" t="s">
        <v>1593</v>
      </c>
      <c r="B13" s="4469"/>
      <c r="C13" s="4469"/>
      <c r="D13" s="452" t="str">
        <f>'PREVIO Boletas '!D40</f>
        <v>MAY-AGO 2025</v>
      </c>
      <c r="E13" s="45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customHeight="1">
      <c r="A15" s="3"/>
      <c r="C15" s="3" t="s">
        <v>1645</v>
      </c>
      <c r="D15" s="3" t="str">
        <f>'PREVIO Boletas '!H39</f>
        <v>201946MD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customHeight="1">
      <c r="A16" s="3"/>
      <c r="B16" s="3"/>
      <c r="C16" s="3"/>
      <c r="D16" s="3"/>
      <c r="E16" s="3"/>
      <c r="F16" s="3"/>
      <c r="G16" s="3"/>
      <c r="H16" s="3"/>
      <c r="I16" s="3" t="s">
        <v>1646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3"/>
      <c r="B17" s="3"/>
      <c r="C17" s="442"/>
      <c r="D17" s="442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4622" t="s">
        <v>1594</v>
      </c>
      <c r="B18" s="4469"/>
      <c r="C18" s="4653">
        <f>VLOOKUP(H11,'PREVIO Boletas '!B43:G73,2,)</f>
        <v>0</v>
      </c>
      <c r="D18" s="4654"/>
      <c r="E18" s="4654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4469"/>
      <c r="B19" s="4469"/>
      <c r="C19" s="4654"/>
      <c r="D19" s="4654"/>
      <c r="E19" s="4654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3"/>
      <c r="B20" s="3"/>
      <c r="C20" s="3"/>
      <c r="D20" s="3"/>
      <c r="E20" s="3"/>
      <c r="F20" s="3"/>
      <c r="G20" s="3"/>
      <c r="H20" s="3"/>
      <c r="I20" s="45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3.5" customHeight="1">
      <c r="A21" s="3"/>
      <c r="B21" s="3"/>
      <c r="C21" s="3"/>
      <c r="D21" s="3"/>
      <c r="E21" s="3"/>
      <c r="F21" s="3"/>
      <c r="G21" s="3"/>
      <c r="H21" s="3"/>
      <c r="I21" s="455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9.5" customHeight="1">
      <c r="A22" s="3"/>
      <c r="B22" s="4655" t="s">
        <v>1595</v>
      </c>
      <c r="C22" s="4656"/>
      <c r="D22" s="4625"/>
      <c r="E22" s="505" t="s">
        <v>1596</v>
      </c>
      <c r="F22" s="457"/>
      <c r="G22" s="3"/>
      <c r="H22" s="3"/>
      <c r="I22" s="455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4.25" customHeight="1">
      <c r="A23" s="3"/>
      <c r="B23" s="4657" t="str">
        <f>'PREVIO Boletas '!D42</f>
        <v>MDP08 FORMALIDADES Y PROCEDIMIENTOS EN LAS AUDIENCIAS INICIALINTERMEDIO Y DEBATE</v>
      </c>
      <c r="C23" s="4658"/>
      <c r="D23" s="4659"/>
      <c r="E23" s="4666">
        <f>VLOOKUP(H11,'PREVIO Boletas '!B43:G73,3,)</f>
        <v>0</v>
      </c>
      <c r="F23" s="3"/>
      <c r="G23" s="3"/>
      <c r="H23" s="3"/>
      <c r="I23" s="455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3.5" customHeight="1">
      <c r="A24" s="3"/>
      <c r="B24" s="4660"/>
      <c r="C24" s="4661"/>
      <c r="D24" s="4662"/>
      <c r="E24" s="4667"/>
      <c r="F24" s="458"/>
      <c r="G24" s="3"/>
      <c r="H24" s="3"/>
      <c r="I24" s="455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4663"/>
      <c r="C25" s="4664"/>
      <c r="D25" s="4665"/>
      <c r="E25" s="4668"/>
      <c r="F25" s="3"/>
      <c r="G25" s="3"/>
      <c r="H25" s="3"/>
      <c r="I25" s="455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9.5" customHeight="1">
      <c r="A26" s="3"/>
      <c r="B26" s="4643" t="str">
        <f>'PREVIO Boletas '!E42</f>
        <v>MDP09 EJECUCIÓN DE PENAS</v>
      </c>
      <c r="C26" s="4644"/>
      <c r="D26" s="4645"/>
      <c r="E26" s="4633">
        <f>VLOOKUP(H11,'PREVIO Boletas '!B43:G73,4,)</f>
        <v>0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448"/>
      <c r="B27" s="4646"/>
      <c r="C27" s="4647"/>
      <c r="D27" s="4648"/>
      <c r="E27" s="4652"/>
      <c r="F27" s="186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3.5" customHeight="1">
      <c r="A28" s="458"/>
      <c r="B28" s="4649"/>
      <c r="C28" s="4650"/>
      <c r="D28" s="4651"/>
      <c r="E28" s="4634"/>
      <c r="F28" s="206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" customHeight="1">
      <c r="A29" s="459"/>
      <c r="B29" s="4643" t="str">
        <f>'PREVIO Boletas '!F42</f>
        <v>MDP012 RETORICA ARGUMENTATIVA</v>
      </c>
      <c r="C29" s="4644"/>
      <c r="D29" s="4645"/>
      <c r="E29" s="4633">
        <f>VLOOKUP(H11,'PREVIO Boletas '!B43:G73,5,)</f>
        <v>0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9.5" customHeight="1">
      <c r="A30" s="3"/>
      <c r="B30" s="4646"/>
      <c r="C30" s="4647"/>
      <c r="D30" s="4648"/>
      <c r="E30" s="4652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" customHeight="1">
      <c r="A31" s="3"/>
      <c r="B31" s="4649"/>
      <c r="C31" s="4650"/>
      <c r="D31" s="4651"/>
      <c r="E31" s="4634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4643" t="str">
        <f>'PREVIO Boletas '!G42</f>
        <v>MDP010 IMPUGNACIÓN DE SISTEMA INTERNACIONAL DE PETICIÓN DE DERECHOS HUMANOS I</v>
      </c>
      <c r="C32" s="4644"/>
      <c r="D32" s="4645"/>
      <c r="E32" s="4633">
        <f>VLOOKUP(H11,'PREVIO Boletas '!B43:G73,6,)</f>
        <v>0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" customHeight="1">
      <c r="A33" s="3"/>
      <c r="B33" s="4646"/>
      <c r="C33" s="4647"/>
      <c r="D33" s="4648"/>
      <c r="E33" s="4652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" customHeight="1">
      <c r="A34" s="3"/>
      <c r="B34" s="4649"/>
      <c r="C34" s="4650"/>
      <c r="D34" s="4651"/>
      <c r="E34" s="4634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3.5" customHeight="1">
      <c r="A35" s="3"/>
      <c r="B35" s="460" t="s">
        <v>1597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3.5" customHeight="1">
      <c r="A36" s="3"/>
      <c r="B36" s="3"/>
      <c r="C36" s="461"/>
      <c r="D36" s="461"/>
      <c r="E36" s="461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" customHeight="1">
      <c r="A37" s="462"/>
      <c r="B37" s="462"/>
      <c r="C37" s="462"/>
      <c r="D37" s="462"/>
      <c r="E37" s="462"/>
      <c r="F37" s="462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3.5" customHeight="1">
      <c r="A38" s="462"/>
      <c r="B38" s="462"/>
      <c r="C38" s="4637" t="s">
        <v>1598</v>
      </c>
      <c r="D38" s="4469"/>
      <c r="E38" s="463"/>
      <c r="F38" s="462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3.5" customHeight="1">
      <c r="A39" s="462"/>
      <c r="B39" s="462"/>
      <c r="C39" s="3"/>
      <c r="D39" s="3"/>
      <c r="E39" s="3"/>
      <c r="F39" s="462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3.5" customHeight="1">
      <c r="A40" s="462"/>
      <c r="B40" s="3"/>
      <c r="C40" s="3"/>
      <c r="D40" s="3"/>
      <c r="E40" s="3"/>
      <c r="F40" s="462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3.5" customHeight="1">
      <c r="A41" s="46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3.5" customHeight="1">
      <c r="A42" s="464"/>
      <c r="B42" s="3"/>
      <c r="C42" s="4638" t="s">
        <v>3844</v>
      </c>
      <c r="D42" s="4469"/>
      <c r="E42" s="448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3.5" customHeight="1">
      <c r="A43" s="3"/>
      <c r="B43" s="4639" t="s">
        <v>1600</v>
      </c>
      <c r="C43" s="4469"/>
      <c r="D43" s="4469"/>
      <c r="E43" s="4469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3.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3.5" customHeight="1">
      <c r="A45" s="3" t="s">
        <v>1647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3.5" customHeight="1">
      <c r="A46" s="3"/>
      <c r="B46" s="465"/>
      <c r="C46" s="465" t="s">
        <v>1601</v>
      </c>
      <c r="D46" s="465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3.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3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3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24" customHeight="1">
      <c r="A50" s="466" t="s">
        <v>1648</v>
      </c>
      <c r="B50" s="466"/>
      <c r="C50" s="466"/>
      <c r="D50" s="466"/>
      <c r="E50" s="466"/>
      <c r="F50" s="46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3.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/>
    <row r="252" spans="1:26" ht="15.75" customHeight="1"/>
    <row r="253" spans="1:26" ht="15.75" customHeight="1"/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wDviK7DTwSwO2abmZuDKyhOmAMwEyvSmjNyfQrmNO1dTplmaPVVS3eUQ43u61Eth2v5UcKk3J4ebPMx8gNrPIQ==" saltValue="CMpi+EV0WcQrzCN4VPWl7w==" spinCount="100000" sheet="1" objects="1" scenarios="1"/>
  <mergeCells count="21">
    <mergeCell ref="C38:D38"/>
    <mergeCell ref="C42:D42"/>
    <mergeCell ref="B43:E43"/>
    <mergeCell ref="A18:B19"/>
    <mergeCell ref="C18:E19"/>
    <mergeCell ref="B22:D22"/>
    <mergeCell ref="B23:D25"/>
    <mergeCell ref="E23:E25"/>
    <mergeCell ref="B26:D28"/>
    <mergeCell ref="E26:E28"/>
    <mergeCell ref="A12:D12"/>
    <mergeCell ref="A13:C13"/>
    <mergeCell ref="B29:D31"/>
    <mergeCell ref="E29:E31"/>
    <mergeCell ref="B32:D34"/>
    <mergeCell ref="E32:E34"/>
    <mergeCell ref="C5:D5"/>
    <mergeCell ref="E5:F5"/>
    <mergeCell ref="C7:D7"/>
    <mergeCell ref="E7:F7"/>
    <mergeCell ref="B8:E9"/>
  </mergeCells>
  <conditionalFormatting sqref="E23:E34">
    <cfRule type="cellIs" dxfId="32" priority="1" operator="between">
      <formula>5</formula>
      <formula>7.9</formula>
    </cfRule>
    <cfRule type="cellIs" dxfId="31" priority="2" operator="equal">
      <formula>10</formula>
    </cfRule>
  </conditionalFormatting>
  <printOptions horizontalCentered="1" verticalCentered="1"/>
  <pageMargins left="1.0416666666666666E-2" right="1.0416666666666666E-2" top="1.0416666666666666E-2" bottom="1.0416666666666666E-2" header="0" footer="0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2F2B4-6A9F-41B7-9079-95A1D0C3DD1C}">
  <sheetPr codeName="Hoja16">
    <tabColor rgb="FFF7CAAC"/>
    <pageSetUpPr fitToPage="1"/>
  </sheetPr>
  <dimension ref="A1:Z1000"/>
  <sheetViews>
    <sheetView zoomScaleNormal="100" workbookViewId="0">
      <selection activeCell="I17" sqref="I17"/>
    </sheetView>
  </sheetViews>
  <sheetFormatPr baseColWidth="10" defaultColWidth="14.42578125" defaultRowHeight="15" customHeight="1"/>
  <cols>
    <col min="1" max="1" width="15.42578125" customWidth="1"/>
    <col min="2" max="2" width="14.42578125" customWidth="1"/>
    <col min="3" max="3" width="16.5703125" customWidth="1"/>
    <col min="4" max="4" width="19.42578125" customWidth="1"/>
    <col min="5" max="5" width="17.28515625" customWidth="1"/>
    <col min="6" max="6" width="16" customWidth="1"/>
    <col min="7" max="7" width="11.42578125" customWidth="1"/>
    <col min="8" max="8" width="6.42578125" customWidth="1"/>
    <col min="9" max="9" width="17.7109375" customWidth="1"/>
    <col min="10" max="10" width="12.5703125" customWidth="1"/>
    <col min="11" max="11" width="16.28515625" customWidth="1"/>
    <col min="12" max="12" width="19.28515625" customWidth="1"/>
    <col min="13" max="26" width="12.5703125" customWidth="1"/>
  </cols>
  <sheetData>
    <row r="1" spans="1:26" ht="13.5" customHeight="1">
      <c r="A1" s="3" t="s">
        <v>173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3.5" customHeight="1">
      <c r="A2" s="3"/>
      <c r="B2" s="3"/>
      <c r="C2" s="2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customHeight="1">
      <c r="A3" s="3"/>
      <c r="B3" s="3"/>
      <c r="C3" s="444"/>
      <c r="D3" s="44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3"/>
      <c r="B4" s="3"/>
      <c r="C4" s="444"/>
      <c r="D4" s="444"/>
      <c r="E4" s="444"/>
      <c r="F4" s="444"/>
      <c r="G4" s="445"/>
      <c r="H4" s="445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2.75" customHeight="1">
      <c r="A5" s="3"/>
      <c r="B5" s="3"/>
      <c r="C5" s="4617"/>
      <c r="D5" s="4469"/>
      <c r="E5" s="4618"/>
      <c r="F5" s="4469"/>
      <c r="G5" s="446"/>
      <c r="H5" s="445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" customHeight="1">
      <c r="A6" s="3"/>
      <c r="D6" s="451" t="s">
        <v>1638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38.25" customHeight="1">
      <c r="A7" s="3"/>
      <c r="B7" s="3"/>
      <c r="C7" s="4617" t="s">
        <v>1588</v>
      </c>
      <c r="D7" s="4469"/>
      <c r="E7" s="4618">
        <f ca="1">TODAY()</f>
        <v>45969</v>
      </c>
      <c r="F7" s="446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448"/>
      <c r="B8" s="4619" t="s">
        <v>1779</v>
      </c>
      <c r="C8" s="4469"/>
      <c r="D8" s="4469"/>
      <c r="E8" s="4469"/>
      <c r="F8" s="3"/>
      <c r="G8" s="3"/>
      <c r="H8" s="3"/>
      <c r="I8" s="3"/>
      <c r="J8" s="3"/>
      <c r="K8" s="3"/>
      <c r="L8" s="3" t="s">
        <v>1604</v>
      </c>
      <c r="M8" s="3" t="s">
        <v>1639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6.5" customHeight="1">
      <c r="A9" s="3"/>
      <c r="B9" s="4469"/>
      <c r="C9" s="4469"/>
      <c r="D9" s="4469"/>
      <c r="E9" s="4469"/>
      <c r="F9" s="449"/>
      <c r="G9" s="3"/>
      <c r="H9" s="3"/>
      <c r="I9" s="3"/>
      <c r="J9" s="3"/>
      <c r="K9" s="3"/>
      <c r="L9" s="3" t="s">
        <v>1622</v>
      </c>
      <c r="M9" s="3" t="s">
        <v>1640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customHeigh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42" t="s">
        <v>1637</v>
      </c>
      <c r="M10" s="1111" t="s">
        <v>1641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6" customHeight="1">
      <c r="A11" s="3"/>
      <c r="B11" s="3"/>
      <c r="C11" s="3"/>
      <c r="D11" s="3"/>
      <c r="E11" s="449"/>
      <c r="F11" s="3"/>
      <c r="G11" s="445" t="s">
        <v>1590</v>
      </c>
      <c r="H11" s="1773">
        <v>4</v>
      </c>
      <c r="I11" s="504" t="str">
        <f>_xlfn.CONCAT(C18," ",D13)</f>
        <v>GARCIA MORALES EMERSON LEAO GABRIEL MAY-AGO 2025</v>
      </c>
      <c r="J11" s="3"/>
      <c r="K11" s="3"/>
      <c r="L11" s="3" t="s">
        <v>1628</v>
      </c>
      <c r="M11" s="3" t="s">
        <v>1642</v>
      </c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4620" t="s">
        <v>1643</v>
      </c>
      <c r="B12" s="4469"/>
      <c r="C12" s="4469"/>
      <c r="D12" s="4469"/>
      <c r="E12" s="450" t="str">
        <f>'PREVIO Boletas '!G39</f>
        <v>MAESTRIA EN DERECHO</v>
      </c>
      <c r="F12" s="3"/>
      <c r="G12" s="3"/>
      <c r="H12" s="3"/>
      <c r="I12" s="3"/>
      <c r="J12" s="3"/>
      <c r="K12" s="3"/>
      <c r="L12" s="3" t="s">
        <v>1624</v>
      </c>
      <c r="M12" s="3" t="s">
        <v>1644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4621" t="s">
        <v>1593</v>
      </c>
      <c r="B13" s="4469"/>
      <c r="C13" s="4469"/>
      <c r="D13" s="452" t="str">
        <f>'PREVIO Boletas '!D40</f>
        <v>MAY-AGO 2025</v>
      </c>
      <c r="E13" s="45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customHeight="1">
      <c r="A15" s="3"/>
      <c r="C15" s="3" t="s">
        <v>1645</v>
      </c>
      <c r="D15" s="3" t="str">
        <f>'PREVIO Boletas '!H39</f>
        <v>201946MD</v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customHeight="1">
      <c r="A16" s="3"/>
      <c r="B16" s="3"/>
      <c r="C16" s="3"/>
      <c r="D16" s="3"/>
      <c r="E16" s="3"/>
      <c r="F16" s="3"/>
      <c r="G16" s="3"/>
      <c r="H16" s="3"/>
      <c r="I16" s="3" t="s">
        <v>1646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3"/>
      <c r="B17" s="3"/>
      <c r="C17" s="442"/>
      <c r="D17" s="442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4622" t="s">
        <v>1594</v>
      </c>
      <c r="B18" s="4469"/>
      <c r="C18" s="4653" t="str">
        <f>VLOOKUP(H11,'PREVIO Boletas '!B43:G73,2,)</f>
        <v>GARCIA MORALES EMERSON LEAO GABRIEL</v>
      </c>
      <c r="D18" s="4654"/>
      <c r="E18" s="4654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4469"/>
      <c r="B19" s="4469"/>
      <c r="C19" s="4654"/>
      <c r="D19" s="4654"/>
      <c r="E19" s="4654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3"/>
      <c r="B20" s="3"/>
      <c r="C20" s="3"/>
      <c r="D20" s="3"/>
      <c r="E20" s="3"/>
      <c r="F20" s="3"/>
      <c r="G20" s="3"/>
      <c r="H20" s="3"/>
      <c r="I20" s="45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3.5" customHeight="1" thickBot="1">
      <c r="A21" s="3"/>
      <c r="B21" s="3"/>
      <c r="C21" s="3"/>
      <c r="D21" s="3"/>
      <c r="E21" s="3"/>
      <c r="F21" s="3"/>
      <c r="G21" s="3"/>
      <c r="H21" s="3"/>
      <c r="I21" s="455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9.5" customHeight="1">
      <c r="A22" s="3"/>
      <c r="B22" s="4655" t="s">
        <v>1595</v>
      </c>
      <c r="C22" s="4656"/>
      <c r="D22" s="4625"/>
      <c r="E22" s="505" t="s">
        <v>1596</v>
      </c>
      <c r="F22" s="457"/>
      <c r="G22" s="3"/>
      <c r="H22" s="3"/>
      <c r="I22" s="455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4.25" customHeight="1">
      <c r="A23" s="3"/>
      <c r="B23" s="4657" t="str">
        <f>'PREVIO Boletas '!D42</f>
        <v>MDP08 FORMALIDADES Y PROCEDIMIENTOS EN LAS AUDIENCIAS INICIALINTERMEDIO Y DEBATE</v>
      </c>
      <c r="C23" s="4658"/>
      <c r="D23" s="4659"/>
      <c r="E23" s="4666">
        <f>VLOOKUP(H11,'PREVIO Boletas '!B43:G73,3,)</f>
        <v>9.5</v>
      </c>
      <c r="F23" s="3"/>
      <c r="G23" s="3"/>
      <c r="H23" s="3"/>
      <c r="I23" s="455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3.5" customHeight="1">
      <c r="A24" s="3"/>
      <c r="B24" s="4660"/>
      <c r="C24" s="4661"/>
      <c r="D24" s="4662"/>
      <c r="E24" s="4667"/>
      <c r="F24" s="458"/>
      <c r="G24" s="3"/>
      <c r="H24" s="3"/>
      <c r="I24" s="455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4663"/>
      <c r="C25" s="4664"/>
      <c r="D25" s="4665"/>
      <c r="E25" s="4668"/>
      <c r="F25" s="3"/>
      <c r="G25" s="3"/>
      <c r="H25" s="3"/>
      <c r="I25" s="455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9.5" customHeight="1">
      <c r="A26" s="3"/>
      <c r="B26" s="4643" t="str">
        <f>'PREVIO Boletas '!E42</f>
        <v>MDP09 EJECUCIÓN DE PENAS</v>
      </c>
      <c r="C26" s="4644"/>
      <c r="D26" s="4645"/>
      <c r="E26" s="4633">
        <f>VLOOKUP(H11,'PREVIO Boletas '!B43:G73,4,)</f>
        <v>9.4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448"/>
      <c r="B27" s="4646"/>
      <c r="C27" s="4647"/>
      <c r="D27" s="4648"/>
      <c r="E27" s="4652"/>
      <c r="F27" s="186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3.5" customHeight="1">
      <c r="A28" s="458"/>
      <c r="B28" s="4649"/>
      <c r="C28" s="4650"/>
      <c r="D28" s="4651"/>
      <c r="E28" s="4634"/>
      <c r="F28" s="206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" customHeight="1">
      <c r="A29" s="459"/>
      <c r="B29" s="4643" t="str">
        <f>'PREVIO Boletas '!F42</f>
        <v>MDP012 RETORICA ARGUMENTATIVA</v>
      </c>
      <c r="C29" s="4644"/>
      <c r="D29" s="4645"/>
      <c r="E29" s="4633">
        <f>VLOOKUP(H11,'PREVIO Boletas '!B43:G73,5,)</f>
        <v>9.4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9.5" customHeight="1">
      <c r="A30" s="3"/>
      <c r="B30" s="4646"/>
      <c r="C30" s="4647"/>
      <c r="D30" s="4648"/>
      <c r="E30" s="4652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" customHeight="1">
      <c r="A31" s="3"/>
      <c r="B31" s="4649"/>
      <c r="C31" s="4650"/>
      <c r="D31" s="4651"/>
      <c r="E31" s="4634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4643" t="str">
        <f>'PREVIO Boletas '!G42</f>
        <v>MDP010 IMPUGNACIÓN DE SISTEMA INTERNACIONAL DE PETICIÓN DE DERECHOS HUMANOS I</v>
      </c>
      <c r="C32" s="4644"/>
      <c r="D32" s="4645"/>
      <c r="E32" s="4633">
        <f>VLOOKUP(H11,'PREVIO Boletas '!B43:G73,6,)</f>
        <v>9.5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" customHeight="1">
      <c r="A33" s="3"/>
      <c r="B33" s="4646"/>
      <c r="C33" s="4647"/>
      <c r="D33" s="4648"/>
      <c r="E33" s="4652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" customHeight="1">
      <c r="A34" s="3"/>
      <c r="B34" s="4649"/>
      <c r="C34" s="4650"/>
      <c r="D34" s="4651"/>
      <c r="E34" s="4634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3.5" customHeight="1">
      <c r="A35" s="3"/>
      <c r="B35" s="460" t="s">
        <v>1597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3.5" customHeight="1">
      <c r="A36" s="3"/>
      <c r="B36" s="3"/>
      <c r="C36" s="461"/>
      <c r="D36" s="461"/>
      <c r="E36" s="461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" customHeight="1">
      <c r="A37" s="462"/>
      <c r="B37" s="462"/>
      <c r="C37" s="462"/>
      <c r="D37" s="462"/>
      <c r="E37" s="462"/>
      <c r="F37" s="462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3.5" customHeight="1">
      <c r="A38" s="462"/>
      <c r="B38" s="1786" t="s">
        <v>1598</v>
      </c>
      <c r="E38" s="1786" t="s">
        <v>1598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3.5" customHeight="1">
      <c r="A39" s="462"/>
      <c r="B39" s="462"/>
      <c r="C39" s="3"/>
      <c r="D39" s="3"/>
      <c r="E39" s="3"/>
      <c r="F39" s="462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3.5" customHeight="1">
      <c r="B40" s="3"/>
      <c r="C40" s="3"/>
      <c r="D40" s="3"/>
      <c r="E40" s="3"/>
      <c r="F40" s="462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3.5" customHeight="1">
      <c r="A41" s="46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3.5" customHeight="1">
      <c r="A42" s="1789"/>
      <c r="B42" s="1787" t="s">
        <v>3844</v>
      </c>
      <c r="E42" s="1787" t="s">
        <v>4113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3.5" customHeight="1">
      <c r="A43" s="3"/>
      <c r="B43" s="1788" t="s">
        <v>1600</v>
      </c>
      <c r="E43" s="1788" t="s">
        <v>4114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3.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3.5" customHeight="1">
      <c r="A45" s="3" t="s">
        <v>1647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3.5" customHeight="1">
      <c r="A46" s="3"/>
      <c r="B46" s="465"/>
      <c r="C46" s="465" t="s">
        <v>1601</v>
      </c>
      <c r="D46" s="465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3.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3.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3.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24" customHeight="1">
      <c r="A50" s="466" t="s">
        <v>1648</v>
      </c>
      <c r="B50" s="466"/>
      <c r="C50" s="466"/>
      <c r="D50" s="466"/>
      <c r="E50" s="466"/>
      <c r="F50" s="466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3.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.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.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.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.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.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.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.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.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.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.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.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.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.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.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.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.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.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.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.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.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/>
    <row r="252" spans="1:26" ht="15.75" customHeight="1"/>
    <row r="253" spans="1:26" ht="15.75" customHeight="1"/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P2kDZ6kpZIykL6J383eltRfE3nrFKnwsYwQaf2bBmpZkCb24eRHwEBqJjeWP3jV8cTWsh9KbLRQsmT4Gn7ybSQ==" saltValue="qDBj+BoEOrUloLcPYJ2obw==" spinCount="100000" sheet="1" objects="1" scenarios="1"/>
  <mergeCells count="18">
    <mergeCell ref="A12:D12"/>
    <mergeCell ref="C5:D5"/>
    <mergeCell ref="E5:F5"/>
    <mergeCell ref="C7:D7"/>
    <mergeCell ref="E7:F7"/>
    <mergeCell ref="B8:E9"/>
    <mergeCell ref="A13:C13"/>
    <mergeCell ref="A18:B19"/>
    <mergeCell ref="C18:E19"/>
    <mergeCell ref="B22:D22"/>
    <mergeCell ref="B23:D25"/>
    <mergeCell ref="E23:E25"/>
    <mergeCell ref="B26:D28"/>
    <mergeCell ref="E26:E28"/>
    <mergeCell ref="B29:D31"/>
    <mergeCell ref="E29:E31"/>
    <mergeCell ref="B32:D34"/>
    <mergeCell ref="E32:E34"/>
  </mergeCells>
  <conditionalFormatting sqref="E23:E34">
    <cfRule type="cellIs" dxfId="30" priority="1" operator="between">
      <formula>5</formula>
      <formula>7.9</formula>
    </cfRule>
    <cfRule type="cellIs" dxfId="29" priority="2" operator="equal">
      <formula>10</formula>
    </cfRule>
  </conditionalFormatting>
  <printOptions horizontalCentered="1" verticalCentered="1"/>
  <pageMargins left="1.0416666666666666E-2" right="1.0416666666666666E-2" top="1.0416666666666666E-2" bottom="1.0416666666666666E-2" header="0" footer="0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00FFFF"/>
  </sheetPr>
  <dimension ref="A1:BH1000"/>
  <sheetViews>
    <sheetView topLeftCell="A4" zoomScale="85" zoomScaleNormal="85" workbookViewId="0">
      <selection activeCell="L55" sqref="L55"/>
    </sheetView>
  </sheetViews>
  <sheetFormatPr baseColWidth="10" defaultColWidth="14.42578125" defaultRowHeight="15" customHeight="1"/>
  <cols>
    <col min="1" max="2" width="3.42578125" customWidth="1"/>
    <col min="3" max="3" width="38.140625" bestFit="1" customWidth="1"/>
    <col min="4" max="4" width="17.7109375" bestFit="1" customWidth="1"/>
    <col min="5" max="5" width="17.42578125" bestFit="1" customWidth="1"/>
    <col min="6" max="6" width="12.42578125" customWidth="1"/>
    <col min="7" max="7" width="16" customWidth="1"/>
    <col min="8" max="8" width="24.7109375" bestFit="1" customWidth="1"/>
    <col min="9" max="9" width="17.28515625" customWidth="1"/>
    <col min="10" max="10" width="15.7109375" customWidth="1"/>
    <col min="11" max="11" width="17.7109375" bestFit="1" customWidth="1"/>
    <col min="12" max="12" width="15.28515625" bestFit="1" customWidth="1"/>
    <col min="13" max="13" width="15.85546875" customWidth="1"/>
    <col min="14" max="14" width="24.7109375" customWidth="1"/>
    <col min="15" max="15" width="23" bestFit="1" customWidth="1"/>
    <col min="16" max="16" width="12.7109375" bestFit="1" customWidth="1"/>
    <col min="17" max="17" width="17.7109375" bestFit="1" customWidth="1"/>
    <col min="18" max="18" width="18.28515625" bestFit="1" customWidth="1"/>
    <col min="19" max="19" width="17.7109375" bestFit="1" customWidth="1"/>
    <col min="20" max="20" width="13.7109375" bestFit="1" customWidth="1"/>
    <col min="21" max="21" width="15.7109375" bestFit="1" customWidth="1"/>
    <col min="22" max="22" width="16.28515625" bestFit="1" customWidth="1"/>
    <col min="23" max="23" width="21.28515625" customWidth="1"/>
    <col min="24" max="57" width="12.42578125" customWidth="1"/>
  </cols>
  <sheetData>
    <row r="1" spans="1:60" ht="13.5" customHeight="1">
      <c r="A1" s="4608" t="s">
        <v>1602</v>
      </c>
      <c r="B1" s="4609"/>
      <c r="C1" s="4609"/>
      <c r="D1" s="4609"/>
      <c r="E1" s="4609"/>
      <c r="F1" s="4609"/>
      <c r="G1" s="4609"/>
      <c r="H1" s="4609"/>
      <c r="I1" s="4609"/>
      <c r="J1" s="4610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7"/>
      <c r="AC1" s="467"/>
      <c r="AD1" s="467"/>
      <c r="AE1" s="467"/>
      <c r="AF1" s="467"/>
      <c r="AG1" s="467"/>
      <c r="AH1" s="467"/>
      <c r="AI1" s="467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7"/>
      <c r="BC1" s="467"/>
      <c r="BD1" s="467"/>
      <c r="BE1" s="467"/>
    </row>
    <row r="2" spans="1:60" ht="13.5" customHeight="1">
      <c r="A2" s="4611"/>
      <c r="B2" s="4612"/>
      <c r="C2" s="4612"/>
      <c r="D2" s="4612"/>
      <c r="E2" s="4612"/>
      <c r="F2" s="4612"/>
      <c r="G2" s="4612"/>
      <c r="H2" s="4612"/>
      <c r="I2" s="4612"/>
      <c r="J2" s="4542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7"/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  <c r="AK2" s="467"/>
      <c r="AL2" s="467"/>
      <c r="AM2" s="467"/>
      <c r="AN2" s="467"/>
      <c r="AO2" s="467"/>
      <c r="AP2" s="467"/>
      <c r="AQ2" s="467"/>
      <c r="AR2" s="467"/>
      <c r="AS2" s="467"/>
      <c r="AT2" s="467"/>
      <c r="AU2" s="467"/>
      <c r="AV2" s="467"/>
      <c r="AW2" s="467"/>
      <c r="AX2" s="467"/>
      <c r="AY2" s="467"/>
      <c r="AZ2" s="467"/>
      <c r="BA2" s="467"/>
      <c r="BB2" s="467"/>
      <c r="BC2" s="467"/>
      <c r="BD2" s="467"/>
      <c r="BE2" s="467"/>
    </row>
    <row r="3" spans="1:60" ht="13.5" customHeight="1">
      <c r="A3" s="3"/>
      <c r="B3" s="44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</row>
    <row r="4" spans="1:60" ht="13.5" customHeight="1">
      <c r="A4" s="3"/>
      <c r="B4" s="442"/>
      <c r="C4" s="468" t="s">
        <v>1603</v>
      </c>
      <c r="D4" s="469" t="s">
        <v>4367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</row>
    <row r="5" spans="1:60" ht="13.5" customHeight="1">
      <c r="A5" s="3"/>
      <c r="B5" s="442"/>
      <c r="C5" s="468" t="s">
        <v>1604</v>
      </c>
      <c r="D5" s="470" t="s">
        <v>1605</v>
      </c>
      <c r="E5" s="442"/>
      <c r="F5" s="442"/>
      <c r="G5" s="442"/>
      <c r="H5" s="442"/>
      <c r="I5" s="442"/>
      <c r="J5" s="442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</row>
    <row r="6" spans="1:60" ht="13.5" customHeight="1" thickBot="1">
      <c r="A6" s="3"/>
      <c r="B6" s="442"/>
      <c r="C6" s="3"/>
      <c r="D6" s="4669" t="s">
        <v>1606</v>
      </c>
      <c r="E6" s="4656"/>
      <c r="F6" s="4656"/>
      <c r="G6" s="4656"/>
      <c r="H6" s="4656"/>
      <c r="I6" s="4670"/>
      <c r="J6" s="4669" t="s">
        <v>1607</v>
      </c>
      <c r="K6" s="4656"/>
      <c r="L6" s="4656"/>
      <c r="M6" s="4656"/>
      <c r="N6" s="4656"/>
      <c r="O6" s="4670"/>
      <c r="P6" s="4669" t="s">
        <v>1608</v>
      </c>
      <c r="Q6" s="4656"/>
      <c r="R6" s="4656"/>
      <c r="S6" s="4656"/>
      <c r="T6" s="4656"/>
      <c r="U6" s="4670"/>
      <c r="V6" s="4669" t="s">
        <v>1609</v>
      </c>
      <c r="W6" s="4656"/>
      <c r="X6" s="4656"/>
      <c r="Y6" s="4656"/>
      <c r="Z6" s="4656"/>
      <c r="AA6" s="4670"/>
      <c r="AB6" s="4669" t="s">
        <v>1610</v>
      </c>
      <c r="AC6" s="4656"/>
      <c r="AD6" s="4656"/>
      <c r="AE6" s="4656"/>
      <c r="AF6" s="4656"/>
      <c r="AG6" s="4670"/>
      <c r="AH6" s="4669" t="s">
        <v>1611</v>
      </c>
      <c r="AI6" s="4656"/>
      <c r="AJ6" s="4656"/>
      <c r="AK6" s="4656"/>
      <c r="AL6" s="4656"/>
      <c r="AM6" s="4670"/>
      <c r="AN6" s="4669" t="s">
        <v>1612</v>
      </c>
      <c r="AO6" s="4656"/>
      <c r="AP6" s="4656"/>
      <c r="AQ6" s="4656"/>
      <c r="AR6" s="4656"/>
      <c r="AS6" s="4670"/>
      <c r="AT6" s="4669" t="s">
        <v>1613</v>
      </c>
      <c r="AU6" s="4656"/>
      <c r="AV6" s="4656"/>
      <c r="AW6" s="4656"/>
      <c r="AX6" s="4656"/>
      <c r="AY6" s="4670"/>
      <c r="AZ6" s="4669" t="s">
        <v>1614</v>
      </c>
      <c r="BA6" s="4656"/>
      <c r="BB6" s="4656"/>
      <c r="BC6" s="4656"/>
      <c r="BD6" s="4656"/>
      <c r="BE6" s="4670"/>
    </row>
    <row r="7" spans="1:60" ht="13.5" customHeight="1" thickTop="1" thickBot="1">
      <c r="A7" s="4677"/>
      <c r="B7" s="4610"/>
      <c r="C7" s="471" t="s">
        <v>1615</v>
      </c>
      <c r="D7" s="1543" t="s">
        <v>62</v>
      </c>
      <c r="E7" s="1540" t="s">
        <v>63</v>
      </c>
      <c r="F7" s="662" t="s">
        <v>56</v>
      </c>
      <c r="G7" s="662" t="s">
        <v>39</v>
      </c>
      <c r="H7" s="662" t="s">
        <v>40</v>
      </c>
      <c r="I7" s="662" t="s">
        <v>75</v>
      </c>
      <c r="J7" s="662" t="s">
        <v>37</v>
      </c>
      <c r="K7" s="662" t="s">
        <v>41</v>
      </c>
      <c r="L7" s="662" t="s">
        <v>42</v>
      </c>
      <c r="M7" s="1932"/>
      <c r="N7" s="1932"/>
      <c r="O7" s="1932"/>
      <c r="P7" s="1932"/>
      <c r="Q7" s="1932"/>
      <c r="R7" s="1932"/>
      <c r="S7" s="1932"/>
      <c r="T7" s="1932"/>
      <c r="U7" s="1932"/>
      <c r="V7" s="1932"/>
      <c r="W7" s="1932"/>
      <c r="X7" s="1932"/>
      <c r="Y7" s="1932"/>
      <c r="Z7" s="1932"/>
      <c r="AA7" s="1932"/>
      <c r="AB7" s="1932"/>
      <c r="AC7" s="1932"/>
      <c r="AD7" s="1932"/>
      <c r="AE7" s="1932"/>
      <c r="AF7" s="1932"/>
      <c r="AG7" s="1932"/>
      <c r="AH7" s="1932"/>
      <c r="AI7" s="1932"/>
      <c r="AJ7" s="1932"/>
      <c r="AK7" s="1932"/>
      <c r="AL7" s="1932"/>
      <c r="AM7" s="1932"/>
      <c r="AN7" s="1932"/>
      <c r="AO7" s="1932"/>
      <c r="AP7" s="1932"/>
      <c r="AQ7" s="1932"/>
      <c r="AR7" s="1932"/>
      <c r="AS7" s="1932"/>
      <c r="AT7" s="1933"/>
      <c r="AU7" s="1932"/>
      <c r="AV7" s="1932"/>
      <c r="AW7" s="1933"/>
      <c r="AX7" s="1932"/>
      <c r="AY7" s="1932"/>
      <c r="AZ7" s="1934"/>
      <c r="BA7" s="1932"/>
      <c r="BB7" s="472"/>
      <c r="BC7" s="472"/>
      <c r="BD7" s="472"/>
      <c r="BE7" s="473"/>
    </row>
    <row r="8" spans="1:60" ht="43.5" customHeight="1" thickTop="1" thickBot="1">
      <c r="A8" s="4611"/>
      <c r="B8" s="4542"/>
      <c r="C8" s="474" t="s">
        <v>1617</v>
      </c>
      <c r="D8" s="1777" t="s">
        <v>115</v>
      </c>
      <c r="E8" s="1839" t="s">
        <v>116</v>
      </c>
      <c r="F8" s="1841" t="s">
        <v>117</v>
      </c>
      <c r="G8" s="1842" t="s">
        <v>3996</v>
      </c>
      <c r="H8" s="1842" t="s">
        <v>98</v>
      </c>
      <c r="I8" s="1842" t="s">
        <v>4112</v>
      </c>
      <c r="J8" s="1843" t="s">
        <v>4236</v>
      </c>
      <c r="K8" s="1842" t="s">
        <v>4237</v>
      </c>
      <c r="L8" s="1843" t="s">
        <v>127</v>
      </c>
      <c r="M8" s="1935" t="s">
        <v>1679</v>
      </c>
      <c r="N8" s="1935" t="s">
        <v>1679</v>
      </c>
      <c r="O8" s="1935" t="s">
        <v>1679</v>
      </c>
      <c r="P8" s="1935"/>
      <c r="Q8" s="1935"/>
      <c r="R8" s="1935"/>
      <c r="S8" s="1935"/>
      <c r="T8" s="1935"/>
      <c r="U8" s="1935"/>
      <c r="V8" s="1935"/>
      <c r="W8" s="1935"/>
      <c r="X8" s="1935"/>
      <c r="Y8" s="1935"/>
      <c r="Z8" s="1935"/>
      <c r="AA8" s="1935"/>
      <c r="AB8" s="1935"/>
      <c r="AC8" s="1936"/>
      <c r="AD8" s="1936"/>
      <c r="AE8" s="1936"/>
      <c r="AF8" s="1936"/>
      <c r="AG8" s="1936"/>
      <c r="AH8" s="1936"/>
      <c r="AI8" s="1937"/>
      <c r="AJ8" s="1937"/>
      <c r="AK8" s="1937"/>
      <c r="AL8" s="1937"/>
      <c r="AM8" s="1937"/>
      <c r="AN8" s="1937"/>
      <c r="AO8" s="1938"/>
      <c r="AP8" s="1938"/>
      <c r="AQ8" s="1938"/>
      <c r="AR8" s="1938"/>
      <c r="AS8" s="1938"/>
      <c r="AT8" s="1939"/>
      <c r="AU8" s="1940"/>
      <c r="AV8" s="1940"/>
      <c r="AW8" s="1940"/>
      <c r="AX8" s="1940"/>
      <c r="AY8" s="1940"/>
      <c r="AZ8" s="1940"/>
      <c r="BA8" s="1941"/>
      <c r="BB8" s="475"/>
      <c r="BC8" s="475"/>
      <c r="BD8" s="475"/>
      <c r="BE8" s="476"/>
    </row>
    <row r="9" spans="1:60" ht="13.5" customHeight="1" thickTop="1" thickBot="1">
      <c r="A9" s="4674" t="s">
        <v>1618</v>
      </c>
      <c r="B9" s="477">
        <v>1</v>
      </c>
      <c r="C9" s="1974" t="s">
        <v>3869</v>
      </c>
      <c r="D9" s="1683">
        <v>10</v>
      </c>
      <c r="E9" s="1683">
        <v>8.9</v>
      </c>
      <c r="F9" s="1379">
        <v>10</v>
      </c>
      <c r="G9" s="744">
        <v>10</v>
      </c>
      <c r="H9" s="744">
        <v>10</v>
      </c>
      <c r="I9" s="744">
        <v>10</v>
      </c>
      <c r="J9" s="744">
        <v>9.4</v>
      </c>
      <c r="K9" s="744">
        <v>10</v>
      </c>
      <c r="L9" s="744">
        <v>10</v>
      </c>
      <c r="M9" s="1942" t="s">
        <v>1679</v>
      </c>
      <c r="N9" s="1943" t="s">
        <v>1679</v>
      </c>
      <c r="O9" s="1944" t="s">
        <v>1679</v>
      </c>
      <c r="P9" s="1945"/>
      <c r="Q9" s="1946"/>
      <c r="R9" s="1946"/>
      <c r="S9" s="1942"/>
      <c r="T9" s="1946"/>
      <c r="U9" s="1946"/>
      <c r="V9" s="1947"/>
      <c r="W9" s="1946"/>
      <c r="X9" s="1946"/>
      <c r="Y9" s="1946"/>
      <c r="Z9" s="1946"/>
      <c r="AA9" s="1946"/>
      <c r="AB9" s="1947"/>
      <c r="AC9" s="1946"/>
      <c r="AD9" s="1946"/>
      <c r="AE9" s="1946"/>
      <c r="AF9" s="1946"/>
      <c r="AG9" s="1946"/>
      <c r="AH9" s="1947"/>
      <c r="AI9" s="1948"/>
      <c r="AJ9" s="1948"/>
      <c r="AK9" s="1948"/>
      <c r="AL9" s="1948"/>
      <c r="AM9" s="1948"/>
      <c r="AN9" s="1949"/>
      <c r="AO9" s="1950"/>
      <c r="AP9" s="1950"/>
      <c r="AQ9" s="1942"/>
      <c r="AR9" s="1942"/>
      <c r="AS9" s="1951"/>
      <c r="AT9" s="1946"/>
      <c r="AU9" s="1952"/>
      <c r="AV9" s="1952"/>
      <c r="AW9" s="1948"/>
      <c r="AX9" s="1952"/>
      <c r="AY9" s="1946"/>
      <c r="AZ9" s="1953"/>
      <c r="BA9" s="1953"/>
      <c r="BB9" s="430"/>
      <c r="BC9" s="430"/>
      <c r="BD9" s="435"/>
      <c r="BE9" s="434"/>
      <c r="BF9" s="435"/>
      <c r="BG9" s="434"/>
      <c r="BH9" s="433"/>
    </row>
    <row r="10" spans="1:60" ht="13.5" customHeight="1" thickTop="1">
      <c r="A10" s="4675"/>
      <c r="B10" s="478">
        <v>2</v>
      </c>
      <c r="C10" s="1974" t="s">
        <v>3847</v>
      </c>
      <c r="D10" s="744">
        <v>10</v>
      </c>
      <c r="E10" s="1379">
        <v>10</v>
      </c>
      <c r="F10" s="1845">
        <v>9.4</v>
      </c>
      <c r="G10" s="744">
        <v>9.6999999999999993</v>
      </c>
      <c r="H10" s="744">
        <v>9.6999999999999993</v>
      </c>
      <c r="I10" s="744">
        <v>8.6999999999999993</v>
      </c>
      <c r="J10" s="744">
        <v>10</v>
      </c>
      <c r="K10" s="744">
        <v>10</v>
      </c>
      <c r="L10" s="744">
        <v>10</v>
      </c>
      <c r="M10" s="38" t="s">
        <v>1679</v>
      </c>
      <c r="N10" s="38" t="s">
        <v>1679</v>
      </c>
      <c r="O10" s="105" t="s">
        <v>1679</v>
      </c>
      <c r="P10" s="103"/>
      <c r="Q10" s="38"/>
      <c r="R10" s="38"/>
      <c r="S10" s="38"/>
      <c r="T10" s="38"/>
      <c r="U10" s="105"/>
      <c r="V10" s="103"/>
      <c r="W10" s="38"/>
      <c r="X10" s="38"/>
      <c r="Y10" s="38"/>
      <c r="Z10" s="38"/>
      <c r="AA10" s="105"/>
      <c r="AB10" s="103"/>
      <c r="AC10" s="38"/>
      <c r="AD10" s="38"/>
      <c r="AE10" s="38"/>
      <c r="AF10" s="38"/>
      <c r="AG10" s="105"/>
      <c r="AH10" s="103"/>
      <c r="AI10" s="38"/>
      <c r="AJ10" s="38"/>
      <c r="AK10" s="38"/>
      <c r="AL10" s="38"/>
      <c r="AM10" s="105"/>
      <c r="AN10" s="103"/>
      <c r="AO10" s="38"/>
      <c r="AP10" s="38"/>
      <c r="AQ10" s="38"/>
      <c r="AR10" s="38"/>
      <c r="AS10" s="105"/>
      <c r="AT10" s="103"/>
      <c r="AU10" s="38"/>
      <c r="AV10" s="38"/>
      <c r="AW10" s="38"/>
      <c r="AX10" s="38"/>
      <c r="AY10" s="105"/>
      <c r="AZ10" s="103"/>
      <c r="BA10" s="38"/>
      <c r="BB10" s="38"/>
      <c r="BC10" s="38"/>
      <c r="BD10" s="38"/>
      <c r="BE10" s="105"/>
    </row>
    <row r="11" spans="1:60" ht="13.5" customHeight="1">
      <c r="A11" s="4675"/>
      <c r="B11" s="478">
        <v>3</v>
      </c>
      <c r="C11" s="43"/>
      <c r="D11" s="103"/>
      <c r="E11" s="38"/>
      <c r="F11" s="38"/>
      <c r="G11" s="38"/>
      <c r="H11" s="38"/>
      <c r="I11" s="105"/>
      <c r="J11" s="103"/>
      <c r="K11" s="38"/>
      <c r="L11" s="38"/>
      <c r="M11" s="38"/>
      <c r="N11" s="38"/>
      <c r="O11" s="105"/>
      <c r="P11" s="103"/>
      <c r="Q11" s="38"/>
      <c r="R11" s="38"/>
      <c r="S11" s="38"/>
      <c r="T11" s="38"/>
      <c r="U11" s="105"/>
      <c r="V11" s="103"/>
      <c r="W11" s="38"/>
      <c r="X11" s="38"/>
      <c r="Y11" s="38"/>
      <c r="Z11" s="38"/>
      <c r="AA11" s="105"/>
      <c r="AB11" s="103"/>
      <c r="AC11" s="38"/>
      <c r="AD11" s="38"/>
      <c r="AE11" s="38"/>
      <c r="AF11" s="38"/>
      <c r="AG11" s="105"/>
      <c r="AH11" s="103"/>
      <c r="AI11" s="38"/>
      <c r="AJ11" s="38"/>
      <c r="AK11" s="38"/>
      <c r="AL11" s="38"/>
      <c r="AM11" s="105"/>
      <c r="AN11" s="103"/>
      <c r="AO11" s="38"/>
      <c r="AP11" s="38"/>
      <c r="AQ11" s="38"/>
      <c r="AR11" s="38"/>
      <c r="AS11" s="105"/>
      <c r="AT11" s="103"/>
      <c r="AU11" s="38"/>
      <c r="AV11" s="38"/>
      <c r="AW11" s="38"/>
      <c r="AX11" s="38"/>
      <c r="AY11" s="105"/>
      <c r="AZ11" s="103"/>
      <c r="BA11" s="38"/>
      <c r="BB11" s="38"/>
      <c r="BC11" s="38"/>
      <c r="BD11" s="38"/>
      <c r="BE11" s="105"/>
    </row>
    <row r="12" spans="1:60" ht="13.5" customHeight="1">
      <c r="A12" s="4675"/>
      <c r="B12" s="478">
        <v>4</v>
      </c>
      <c r="C12" s="43"/>
      <c r="D12" s="103"/>
      <c r="E12" s="38"/>
      <c r="F12" s="38"/>
      <c r="G12" s="38"/>
      <c r="H12" s="38"/>
      <c r="I12" s="105"/>
      <c r="J12" s="103"/>
      <c r="K12" s="38"/>
      <c r="L12" s="38"/>
      <c r="M12" s="38"/>
      <c r="N12" s="38"/>
      <c r="O12" s="105"/>
      <c r="P12" s="103"/>
      <c r="Q12" s="38"/>
      <c r="R12" s="38"/>
      <c r="S12" s="38"/>
      <c r="T12" s="38"/>
      <c r="U12" s="105"/>
      <c r="V12" s="103"/>
      <c r="W12" s="38"/>
      <c r="X12" s="38"/>
      <c r="Y12" s="38"/>
      <c r="Z12" s="38"/>
      <c r="AA12" s="105"/>
      <c r="AB12" s="103"/>
      <c r="AC12" s="38"/>
      <c r="AD12" s="38"/>
      <c r="AE12" s="38"/>
      <c r="AF12" s="38"/>
      <c r="AG12" s="105"/>
      <c r="AH12" s="103"/>
      <c r="AI12" s="38"/>
      <c r="AJ12" s="38"/>
      <c r="AK12" s="38"/>
      <c r="AL12" s="38"/>
      <c r="AM12" s="105"/>
      <c r="AN12" s="103"/>
      <c r="AO12" s="38"/>
      <c r="AP12" s="38"/>
      <c r="AQ12" s="38"/>
      <c r="AR12" s="38"/>
      <c r="AS12" s="105"/>
      <c r="AT12" s="103"/>
      <c r="AU12" s="38"/>
      <c r="AV12" s="38"/>
      <c r="AW12" s="38"/>
      <c r="AX12" s="38"/>
      <c r="AY12" s="105"/>
      <c r="AZ12" s="103"/>
      <c r="BA12" s="38"/>
      <c r="BB12" s="38"/>
      <c r="BC12" s="38"/>
      <c r="BD12" s="38"/>
      <c r="BE12" s="105"/>
    </row>
    <row r="13" spans="1:60" ht="13.5" customHeight="1">
      <c r="A13" s="4675"/>
      <c r="B13" s="478">
        <v>5</v>
      </c>
      <c r="C13" s="43"/>
      <c r="D13" s="103"/>
      <c r="E13" s="38"/>
      <c r="F13" s="38"/>
      <c r="G13" s="38"/>
      <c r="H13" s="38"/>
      <c r="I13" s="105"/>
      <c r="J13" s="103"/>
      <c r="K13" s="38"/>
      <c r="L13" s="38"/>
      <c r="M13" s="38"/>
      <c r="N13" s="38"/>
      <c r="O13" s="105"/>
      <c r="P13" s="103"/>
      <c r="Q13" s="38"/>
      <c r="R13" s="38"/>
      <c r="S13" s="38"/>
      <c r="T13" s="38"/>
      <c r="U13" s="105"/>
      <c r="V13" s="103"/>
      <c r="W13" s="38"/>
      <c r="X13" s="38"/>
      <c r="Y13" s="38"/>
      <c r="Z13" s="38"/>
      <c r="AA13" s="105"/>
      <c r="AB13" s="103"/>
      <c r="AC13" s="38"/>
      <c r="AD13" s="38"/>
      <c r="AE13" s="38"/>
      <c r="AF13" s="38"/>
      <c r="AG13" s="105"/>
      <c r="AH13" s="103"/>
      <c r="AI13" s="38"/>
      <c r="AJ13" s="38"/>
      <c r="AK13" s="38"/>
      <c r="AL13" s="38"/>
      <c r="AM13" s="105"/>
      <c r="AN13" s="103"/>
      <c r="AO13" s="38"/>
      <c r="AP13" s="38"/>
      <c r="AQ13" s="38"/>
      <c r="AR13" s="38"/>
      <c r="AS13" s="105"/>
      <c r="AT13" s="103"/>
      <c r="AU13" s="38"/>
      <c r="AV13" s="38"/>
      <c r="AW13" s="38"/>
      <c r="AX13" s="38"/>
      <c r="AY13" s="105"/>
      <c r="AZ13" s="103"/>
      <c r="BA13" s="38"/>
      <c r="BB13" s="38"/>
      <c r="BC13" s="38"/>
      <c r="BD13" s="38"/>
      <c r="BE13" s="105"/>
    </row>
    <row r="14" spans="1:60" ht="13.5" customHeight="1">
      <c r="A14" s="4675"/>
      <c r="B14" s="478">
        <v>6</v>
      </c>
      <c r="C14" s="43"/>
      <c r="D14" s="103"/>
      <c r="E14" s="38"/>
      <c r="F14" s="38"/>
      <c r="G14" s="38"/>
      <c r="H14" s="38"/>
      <c r="I14" s="105"/>
      <c r="J14" s="103"/>
      <c r="K14" s="38"/>
      <c r="L14" s="38"/>
      <c r="M14" s="38"/>
      <c r="N14" s="38"/>
      <c r="O14" s="105"/>
      <c r="P14" s="103"/>
      <c r="Q14" s="38"/>
      <c r="R14" s="38"/>
      <c r="S14" s="38"/>
      <c r="T14" s="38"/>
      <c r="U14" s="105"/>
      <c r="V14" s="103"/>
      <c r="W14" s="38"/>
      <c r="X14" s="38"/>
      <c r="Y14" s="38"/>
      <c r="Z14" s="38"/>
      <c r="AA14" s="105"/>
      <c r="AB14" s="103"/>
      <c r="AC14" s="38"/>
      <c r="AD14" s="38"/>
      <c r="AE14" s="38"/>
      <c r="AF14" s="38"/>
      <c r="AG14" s="105"/>
      <c r="AH14" s="103"/>
      <c r="AI14" s="38"/>
      <c r="AJ14" s="38"/>
      <c r="AK14" s="38"/>
      <c r="AL14" s="38"/>
      <c r="AM14" s="105"/>
      <c r="AN14" s="103"/>
      <c r="AO14" s="38"/>
      <c r="AP14" s="38"/>
      <c r="AQ14" s="38"/>
      <c r="AR14" s="38"/>
      <c r="AS14" s="105"/>
      <c r="AT14" s="103"/>
      <c r="AU14" s="38"/>
      <c r="AV14" s="38"/>
      <c r="AW14" s="38"/>
      <c r="AX14" s="38"/>
      <c r="AY14" s="105"/>
      <c r="AZ14" s="103"/>
      <c r="BA14" s="38"/>
      <c r="BB14" s="38"/>
      <c r="BC14" s="38"/>
      <c r="BD14" s="38"/>
      <c r="BE14" s="105"/>
    </row>
    <row r="15" spans="1:60" ht="13.5" customHeight="1">
      <c r="A15" s="4675"/>
      <c r="B15" s="478">
        <v>7</v>
      </c>
      <c r="C15" s="43"/>
      <c r="D15" s="103"/>
      <c r="E15" s="38"/>
      <c r="F15" s="38"/>
      <c r="G15" s="38"/>
      <c r="H15" s="38"/>
      <c r="I15" s="105"/>
      <c r="J15" s="103"/>
      <c r="K15" s="38"/>
      <c r="L15" s="38"/>
      <c r="M15" s="38"/>
      <c r="N15" s="38"/>
      <c r="O15" s="105"/>
      <c r="P15" s="103"/>
      <c r="Q15" s="38"/>
      <c r="R15" s="38"/>
      <c r="S15" s="38"/>
      <c r="T15" s="38"/>
      <c r="U15" s="105"/>
      <c r="V15" s="103"/>
      <c r="W15" s="38"/>
      <c r="X15" s="38"/>
      <c r="Y15" s="38"/>
      <c r="Z15" s="38"/>
      <c r="AA15" s="105"/>
      <c r="AB15" s="103"/>
      <c r="AC15" s="38"/>
      <c r="AD15" s="38"/>
      <c r="AE15" s="38"/>
      <c r="AF15" s="38"/>
      <c r="AG15" s="105"/>
      <c r="AH15" s="103"/>
      <c r="AI15" s="38"/>
      <c r="AJ15" s="38"/>
      <c r="AK15" s="38"/>
      <c r="AL15" s="38"/>
      <c r="AM15" s="105"/>
      <c r="AN15" s="103"/>
      <c r="AO15" s="38"/>
      <c r="AP15" s="38"/>
      <c r="AQ15" s="38"/>
      <c r="AR15" s="38"/>
      <c r="AS15" s="105"/>
      <c r="AT15" s="103"/>
      <c r="AU15" s="38"/>
      <c r="AV15" s="38"/>
      <c r="AW15" s="38"/>
      <c r="AX15" s="38"/>
      <c r="AY15" s="105"/>
      <c r="AZ15" s="103"/>
      <c r="BA15" s="38"/>
      <c r="BB15" s="38"/>
      <c r="BC15" s="38"/>
      <c r="BD15" s="38"/>
      <c r="BE15" s="105"/>
    </row>
    <row r="16" spans="1:60" ht="13.5" customHeight="1">
      <c r="A16" s="4675"/>
      <c r="B16" s="478">
        <v>8</v>
      </c>
      <c r="C16" s="479"/>
      <c r="D16" s="480"/>
      <c r="E16" s="93"/>
      <c r="F16" s="93"/>
      <c r="G16" s="52"/>
      <c r="H16" s="93"/>
      <c r="I16" s="94"/>
      <c r="J16" s="480"/>
      <c r="K16" s="93"/>
      <c r="L16" s="93"/>
      <c r="M16" s="52"/>
      <c r="N16" s="93"/>
      <c r="O16" s="94"/>
      <c r="P16" s="480"/>
      <c r="Q16" s="93"/>
      <c r="R16" s="93"/>
      <c r="S16" s="52"/>
      <c r="T16" s="93"/>
      <c r="U16" s="94"/>
      <c r="V16" s="480"/>
      <c r="W16" s="93"/>
      <c r="X16" s="93"/>
      <c r="Y16" s="52"/>
      <c r="Z16" s="93"/>
      <c r="AA16" s="94"/>
      <c r="AB16" s="480"/>
      <c r="AC16" s="93"/>
      <c r="AD16" s="93"/>
      <c r="AE16" s="52"/>
      <c r="AF16" s="93"/>
      <c r="AG16" s="94"/>
      <c r="AH16" s="480"/>
      <c r="AI16" s="93"/>
      <c r="AJ16" s="93"/>
      <c r="AK16" s="52"/>
      <c r="AL16" s="93"/>
      <c r="AM16" s="94"/>
      <c r="AN16" s="480"/>
      <c r="AO16" s="93"/>
      <c r="AP16" s="93"/>
      <c r="AQ16" s="52"/>
      <c r="AR16" s="93"/>
      <c r="AS16" s="94"/>
      <c r="AT16" s="480"/>
      <c r="AU16" s="93"/>
      <c r="AV16" s="93"/>
      <c r="AW16" s="52"/>
      <c r="AX16" s="93"/>
      <c r="AY16" s="94"/>
      <c r="AZ16" s="480"/>
      <c r="BA16" s="93"/>
      <c r="BB16" s="93"/>
      <c r="BC16" s="52"/>
      <c r="BD16" s="93"/>
      <c r="BE16" s="94"/>
    </row>
    <row r="17" spans="1:57" ht="13.5" customHeight="1">
      <c r="A17" s="4675"/>
      <c r="B17" s="478">
        <v>9</v>
      </c>
      <c r="C17" s="479"/>
      <c r="D17" s="480"/>
      <c r="E17" s="93"/>
      <c r="F17" s="93"/>
      <c r="G17" s="52"/>
      <c r="H17" s="93"/>
      <c r="I17" s="94"/>
      <c r="J17" s="480"/>
      <c r="K17" s="93"/>
      <c r="L17" s="93"/>
      <c r="M17" s="52"/>
      <c r="N17" s="93"/>
      <c r="O17" s="94"/>
      <c r="P17" s="480"/>
      <c r="Q17" s="93"/>
      <c r="R17" s="93"/>
      <c r="S17" s="52"/>
      <c r="T17" s="93"/>
      <c r="U17" s="94"/>
      <c r="V17" s="480"/>
      <c r="W17" s="93"/>
      <c r="X17" s="93"/>
      <c r="Y17" s="52"/>
      <c r="Z17" s="93"/>
      <c r="AA17" s="94"/>
      <c r="AB17" s="480"/>
      <c r="AC17" s="93"/>
      <c r="AD17" s="93"/>
      <c r="AE17" s="52"/>
      <c r="AF17" s="93"/>
      <c r="AG17" s="94"/>
      <c r="AH17" s="480"/>
      <c r="AI17" s="93"/>
      <c r="AJ17" s="93"/>
      <c r="AK17" s="52"/>
      <c r="AL17" s="93"/>
      <c r="AM17" s="94"/>
      <c r="AN17" s="480"/>
      <c r="AO17" s="93"/>
      <c r="AP17" s="93"/>
      <c r="AQ17" s="52"/>
      <c r="AR17" s="93"/>
      <c r="AS17" s="94"/>
      <c r="AT17" s="480"/>
      <c r="AU17" s="93"/>
      <c r="AV17" s="93"/>
      <c r="AW17" s="52"/>
      <c r="AX17" s="93"/>
      <c r="AY17" s="94"/>
      <c r="AZ17" s="480"/>
      <c r="BA17" s="93"/>
      <c r="BB17" s="93"/>
      <c r="BC17" s="52"/>
      <c r="BD17" s="93"/>
      <c r="BE17" s="94"/>
    </row>
    <row r="18" spans="1:57" ht="13.5" customHeight="1">
      <c r="A18" s="4675"/>
      <c r="B18" s="478">
        <v>10</v>
      </c>
      <c r="C18" s="479"/>
      <c r="D18" s="480"/>
      <c r="E18" s="93"/>
      <c r="F18" s="93"/>
      <c r="G18" s="93"/>
      <c r="H18" s="93"/>
      <c r="I18" s="94"/>
      <c r="J18" s="480"/>
      <c r="K18" s="93"/>
      <c r="L18" s="93"/>
      <c r="M18" s="93"/>
      <c r="N18" s="93"/>
      <c r="O18" s="94"/>
      <c r="P18" s="480"/>
      <c r="Q18" s="93"/>
      <c r="R18" s="93"/>
      <c r="S18" s="93"/>
      <c r="T18" s="93"/>
      <c r="U18" s="94"/>
      <c r="V18" s="480"/>
      <c r="W18" s="93"/>
      <c r="X18" s="93"/>
      <c r="Y18" s="93"/>
      <c r="Z18" s="93"/>
      <c r="AA18" s="94"/>
      <c r="AB18" s="480"/>
      <c r="AC18" s="93"/>
      <c r="AD18" s="93"/>
      <c r="AE18" s="93"/>
      <c r="AF18" s="93"/>
      <c r="AG18" s="94"/>
      <c r="AH18" s="480"/>
      <c r="AI18" s="93"/>
      <c r="AJ18" s="93"/>
      <c r="AK18" s="93"/>
      <c r="AL18" s="93"/>
      <c r="AM18" s="94"/>
      <c r="AN18" s="480"/>
      <c r="AO18" s="93"/>
      <c r="AP18" s="93"/>
      <c r="AQ18" s="93"/>
      <c r="AR18" s="93"/>
      <c r="AS18" s="94"/>
      <c r="AT18" s="480"/>
      <c r="AU18" s="93"/>
      <c r="AV18" s="93"/>
      <c r="AW18" s="93"/>
      <c r="AX18" s="93"/>
      <c r="AY18" s="94"/>
      <c r="AZ18" s="480"/>
      <c r="BA18" s="93"/>
      <c r="BB18" s="93"/>
      <c r="BC18" s="93"/>
      <c r="BD18" s="93"/>
      <c r="BE18" s="94"/>
    </row>
    <row r="19" spans="1:57" ht="13.5" customHeight="1">
      <c r="A19" s="4675"/>
      <c r="B19" s="478">
        <v>11</v>
      </c>
      <c r="C19" s="481"/>
      <c r="D19" s="480"/>
      <c r="E19" s="93"/>
      <c r="F19" s="93"/>
      <c r="G19" s="93"/>
      <c r="H19" s="93"/>
      <c r="I19" s="94"/>
      <c r="J19" s="480"/>
      <c r="K19" s="93"/>
      <c r="L19" s="93"/>
      <c r="M19" s="93"/>
      <c r="N19" s="93"/>
      <c r="O19" s="94"/>
      <c r="P19" s="480"/>
      <c r="Q19" s="93"/>
      <c r="R19" s="93"/>
      <c r="S19" s="93"/>
      <c r="T19" s="93"/>
      <c r="U19" s="94"/>
      <c r="V19" s="480"/>
      <c r="W19" s="93"/>
      <c r="X19" s="93"/>
      <c r="Y19" s="93"/>
      <c r="Z19" s="93"/>
      <c r="AA19" s="94"/>
      <c r="AB19" s="480"/>
      <c r="AC19" s="93"/>
      <c r="AD19" s="93"/>
      <c r="AE19" s="93"/>
      <c r="AF19" s="93"/>
      <c r="AG19" s="94"/>
      <c r="AH19" s="480"/>
      <c r="AI19" s="93"/>
      <c r="AJ19" s="93"/>
      <c r="AK19" s="93"/>
      <c r="AL19" s="93"/>
      <c r="AM19" s="94"/>
      <c r="AN19" s="480"/>
      <c r="AO19" s="93"/>
      <c r="AP19" s="93"/>
      <c r="AQ19" s="93"/>
      <c r="AR19" s="93"/>
      <c r="AS19" s="94"/>
      <c r="AT19" s="480"/>
      <c r="AU19" s="93"/>
      <c r="AV19" s="93"/>
      <c r="AW19" s="93"/>
      <c r="AX19" s="93"/>
      <c r="AY19" s="94"/>
      <c r="AZ19" s="480"/>
      <c r="BA19" s="93"/>
      <c r="BB19" s="93"/>
      <c r="BC19" s="93"/>
      <c r="BD19" s="93"/>
      <c r="BE19" s="94"/>
    </row>
    <row r="20" spans="1:57" ht="13.5" customHeight="1">
      <c r="A20" s="4675"/>
      <c r="B20" s="478">
        <v>12</v>
      </c>
      <c r="C20" s="479"/>
      <c r="D20" s="480"/>
      <c r="E20" s="93"/>
      <c r="F20" s="93"/>
      <c r="G20" s="52"/>
      <c r="H20" s="93"/>
      <c r="I20" s="94"/>
      <c r="J20" s="480"/>
      <c r="K20" s="93"/>
      <c r="L20" s="93"/>
      <c r="M20" s="52"/>
      <c r="N20" s="93"/>
      <c r="O20" s="94"/>
      <c r="P20" s="480"/>
      <c r="Q20" s="93"/>
      <c r="R20" s="93"/>
      <c r="S20" s="52"/>
      <c r="T20" s="93"/>
      <c r="U20" s="94"/>
      <c r="V20" s="480"/>
      <c r="W20" s="93"/>
      <c r="X20" s="93"/>
      <c r="Y20" s="52"/>
      <c r="Z20" s="93"/>
      <c r="AA20" s="94"/>
      <c r="AB20" s="480"/>
      <c r="AC20" s="93"/>
      <c r="AD20" s="93"/>
      <c r="AE20" s="52"/>
      <c r="AF20" s="93"/>
      <c r="AG20" s="94"/>
      <c r="AH20" s="480"/>
      <c r="AI20" s="93"/>
      <c r="AJ20" s="93"/>
      <c r="AK20" s="52"/>
      <c r="AL20" s="93"/>
      <c r="AM20" s="94"/>
      <c r="AN20" s="480"/>
      <c r="AO20" s="93"/>
      <c r="AP20" s="93"/>
      <c r="AQ20" s="52"/>
      <c r="AR20" s="93"/>
      <c r="AS20" s="94"/>
      <c r="AT20" s="480"/>
      <c r="AU20" s="93"/>
      <c r="AV20" s="93"/>
      <c r="AW20" s="52"/>
      <c r="AX20" s="93"/>
      <c r="AY20" s="94"/>
      <c r="AZ20" s="480"/>
      <c r="BA20" s="93"/>
      <c r="BB20" s="93"/>
      <c r="BC20" s="52"/>
      <c r="BD20" s="93"/>
      <c r="BE20" s="94"/>
    </row>
    <row r="21" spans="1:57" ht="13.5" customHeight="1">
      <c r="A21" s="4675"/>
      <c r="B21" s="478">
        <v>13</v>
      </c>
      <c r="C21" s="479"/>
      <c r="D21" s="480"/>
      <c r="E21" s="93"/>
      <c r="F21" s="93"/>
      <c r="G21" s="93"/>
      <c r="H21" s="93"/>
      <c r="I21" s="94"/>
      <c r="J21" s="480"/>
      <c r="K21" s="93"/>
      <c r="L21" s="93"/>
      <c r="M21" s="93"/>
      <c r="N21" s="93"/>
      <c r="O21" s="94"/>
      <c r="P21" s="480"/>
      <c r="Q21" s="93"/>
      <c r="R21" s="93"/>
      <c r="S21" s="93"/>
      <c r="T21" s="93"/>
      <c r="U21" s="94"/>
      <c r="V21" s="480"/>
      <c r="W21" s="93"/>
      <c r="X21" s="93"/>
      <c r="Y21" s="93"/>
      <c r="Z21" s="93"/>
      <c r="AA21" s="94"/>
      <c r="AB21" s="480"/>
      <c r="AC21" s="93"/>
      <c r="AD21" s="93"/>
      <c r="AE21" s="93"/>
      <c r="AF21" s="93"/>
      <c r="AG21" s="94"/>
      <c r="AH21" s="480"/>
      <c r="AI21" s="93"/>
      <c r="AJ21" s="93"/>
      <c r="AK21" s="93"/>
      <c r="AL21" s="93"/>
      <c r="AM21" s="94"/>
      <c r="AN21" s="480"/>
      <c r="AO21" s="93"/>
      <c r="AP21" s="93"/>
      <c r="AQ21" s="93"/>
      <c r="AR21" s="93"/>
      <c r="AS21" s="94"/>
      <c r="AT21" s="480"/>
      <c r="AU21" s="93"/>
      <c r="AV21" s="93"/>
      <c r="AW21" s="93"/>
      <c r="AX21" s="93"/>
      <c r="AY21" s="94"/>
      <c r="AZ21" s="480"/>
      <c r="BA21" s="93"/>
      <c r="BB21" s="93"/>
      <c r="BC21" s="93"/>
      <c r="BD21" s="93"/>
      <c r="BE21" s="94"/>
    </row>
    <row r="22" spans="1:57" ht="13.5" customHeight="1">
      <c r="A22" s="4675"/>
      <c r="B22" s="478">
        <v>14</v>
      </c>
      <c r="C22" s="44"/>
      <c r="D22" s="80"/>
      <c r="E22" s="50"/>
      <c r="F22" s="50"/>
      <c r="G22" s="50"/>
      <c r="H22" s="50"/>
      <c r="I22" s="82"/>
      <c r="J22" s="80"/>
      <c r="K22" s="50"/>
      <c r="L22" s="50"/>
      <c r="M22" s="50"/>
      <c r="N22" s="50"/>
      <c r="O22" s="82"/>
      <c r="P22" s="80"/>
      <c r="Q22" s="50"/>
      <c r="R22" s="50"/>
      <c r="S22" s="50"/>
      <c r="T22" s="50"/>
      <c r="U22" s="82"/>
      <c r="V22" s="80"/>
      <c r="W22" s="50"/>
      <c r="X22" s="50"/>
      <c r="Y22" s="50"/>
      <c r="Z22" s="50"/>
      <c r="AA22" s="82"/>
      <c r="AB22" s="80"/>
      <c r="AC22" s="50"/>
      <c r="AD22" s="50"/>
      <c r="AE22" s="50"/>
      <c r="AF22" s="50"/>
      <c r="AG22" s="82"/>
      <c r="AH22" s="80"/>
      <c r="AI22" s="50"/>
      <c r="AJ22" s="50"/>
      <c r="AK22" s="50"/>
      <c r="AL22" s="50"/>
      <c r="AM22" s="82"/>
      <c r="AN22" s="80"/>
      <c r="AO22" s="50"/>
      <c r="AP22" s="50"/>
      <c r="AQ22" s="50"/>
      <c r="AR22" s="50"/>
      <c r="AS22" s="82"/>
      <c r="AT22" s="80"/>
      <c r="AU22" s="50"/>
      <c r="AV22" s="50"/>
      <c r="AW22" s="50"/>
      <c r="AX22" s="50"/>
      <c r="AY22" s="82"/>
      <c r="AZ22" s="80"/>
      <c r="BA22" s="50"/>
      <c r="BB22" s="50"/>
      <c r="BC22" s="50"/>
      <c r="BD22" s="50"/>
      <c r="BE22" s="82"/>
    </row>
    <row r="23" spans="1:57" ht="13.5" customHeight="1">
      <c r="A23" s="4675"/>
      <c r="B23" s="478">
        <v>15</v>
      </c>
      <c r="C23" s="482"/>
      <c r="D23" s="483"/>
      <c r="E23" s="165"/>
      <c r="F23" s="484"/>
      <c r="G23" s="165"/>
      <c r="H23" s="165"/>
      <c r="I23" s="485"/>
      <c r="J23" s="483"/>
      <c r="K23" s="165"/>
      <c r="L23" s="484"/>
      <c r="M23" s="165"/>
      <c r="N23" s="165"/>
      <c r="O23" s="485"/>
      <c r="P23" s="483"/>
      <c r="Q23" s="165"/>
      <c r="R23" s="484"/>
      <c r="S23" s="165"/>
      <c r="T23" s="165"/>
      <c r="U23" s="485"/>
      <c r="V23" s="483"/>
      <c r="W23" s="165"/>
      <c r="X23" s="484"/>
      <c r="Y23" s="165"/>
      <c r="Z23" s="165"/>
      <c r="AA23" s="485"/>
      <c r="AB23" s="483"/>
      <c r="AC23" s="165"/>
      <c r="AD23" s="484"/>
      <c r="AE23" s="165"/>
      <c r="AF23" s="165"/>
      <c r="AG23" s="485"/>
      <c r="AH23" s="483"/>
      <c r="AI23" s="165"/>
      <c r="AJ23" s="484"/>
      <c r="AK23" s="165"/>
      <c r="AL23" s="165"/>
      <c r="AM23" s="485"/>
      <c r="AN23" s="483"/>
      <c r="AO23" s="165"/>
      <c r="AP23" s="484"/>
      <c r="AQ23" s="165"/>
      <c r="AR23" s="165"/>
      <c r="AS23" s="485"/>
      <c r="AT23" s="483"/>
      <c r="AU23" s="165"/>
      <c r="AV23" s="484"/>
      <c r="AW23" s="165"/>
      <c r="AX23" s="165"/>
      <c r="AY23" s="485"/>
      <c r="AZ23" s="483"/>
      <c r="BA23" s="165"/>
      <c r="BB23" s="484"/>
      <c r="BC23" s="165"/>
      <c r="BD23" s="165"/>
      <c r="BE23" s="485"/>
    </row>
    <row r="24" spans="1:57" ht="13.5" customHeight="1">
      <c r="A24" s="4675"/>
      <c r="B24" s="478">
        <v>16</v>
      </c>
      <c r="C24" s="486"/>
      <c r="D24" s="487"/>
      <c r="E24" s="371"/>
      <c r="F24" s="371"/>
      <c r="G24" s="371"/>
      <c r="H24" s="371"/>
      <c r="I24" s="488"/>
      <c r="J24" s="487"/>
      <c r="K24" s="371"/>
      <c r="L24" s="371"/>
      <c r="M24" s="371"/>
      <c r="N24" s="371"/>
      <c r="O24" s="488"/>
      <c r="P24" s="487"/>
      <c r="Q24" s="371"/>
      <c r="R24" s="371"/>
      <c r="S24" s="371"/>
      <c r="T24" s="371"/>
      <c r="U24" s="488"/>
      <c r="V24" s="487"/>
      <c r="W24" s="371"/>
      <c r="X24" s="371"/>
      <c r="Y24" s="371"/>
      <c r="Z24" s="371"/>
      <c r="AA24" s="488"/>
      <c r="AB24" s="487"/>
      <c r="AC24" s="371"/>
      <c r="AD24" s="371"/>
      <c r="AE24" s="371"/>
      <c r="AF24" s="371"/>
      <c r="AG24" s="488"/>
      <c r="AH24" s="487"/>
      <c r="AI24" s="371"/>
      <c r="AJ24" s="371"/>
      <c r="AK24" s="371"/>
      <c r="AL24" s="371"/>
      <c r="AM24" s="488"/>
      <c r="AN24" s="487"/>
      <c r="AO24" s="371"/>
      <c r="AP24" s="371"/>
      <c r="AQ24" s="371"/>
      <c r="AR24" s="371"/>
      <c r="AS24" s="488"/>
      <c r="AT24" s="487"/>
      <c r="AU24" s="371"/>
      <c r="AV24" s="371"/>
      <c r="AW24" s="371"/>
      <c r="AX24" s="371"/>
      <c r="AY24" s="488"/>
      <c r="AZ24" s="487"/>
      <c r="BA24" s="371"/>
      <c r="BB24" s="371"/>
      <c r="BC24" s="371"/>
      <c r="BD24" s="371"/>
      <c r="BE24" s="488"/>
    </row>
    <row r="25" spans="1:57" ht="13.5" customHeight="1">
      <c r="A25" s="4675"/>
      <c r="B25" s="478">
        <v>17</v>
      </c>
      <c r="C25" s="489"/>
      <c r="D25" s="490"/>
      <c r="E25" s="19"/>
      <c r="F25" s="19"/>
      <c r="G25" s="19"/>
      <c r="H25" s="19"/>
      <c r="I25" s="169"/>
      <c r="J25" s="490"/>
      <c r="K25" s="19"/>
      <c r="L25" s="19"/>
      <c r="M25" s="19"/>
      <c r="N25" s="19"/>
      <c r="O25" s="169"/>
      <c r="P25" s="490"/>
      <c r="Q25" s="19"/>
      <c r="R25" s="19"/>
      <c r="S25" s="19"/>
      <c r="T25" s="19"/>
      <c r="U25" s="169"/>
      <c r="V25" s="490"/>
      <c r="W25" s="19"/>
      <c r="X25" s="19"/>
      <c r="Y25" s="19"/>
      <c r="Z25" s="19"/>
      <c r="AA25" s="169"/>
      <c r="AB25" s="490"/>
      <c r="AC25" s="19"/>
      <c r="AD25" s="19"/>
      <c r="AE25" s="19"/>
      <c r="AF25" s="19"/>
      <c r="AG25" s="169"/>
      <c r="AH25" s="490"/>
      <c r="AI25" s="19"/>
      <c r="AJ25" s="19"/>
      <c r="AK25" s="19"/>
      <c r="AL25" s="19"/>
      <c r="AM25" s="169"/>
      <c r="AN25" s="490"/>
      <c r="AO25" s="19"/>
      <c r="AP25" s="19"/>
      <c r="AQ25" s="19"/>
      <c r="AR25" s="19"/>
      <c r="AS25" s="169"/>
      <c r="AT25" s="490"/>
      <c r="AU25" s="19"/>
      <c r="AV25" s="19"/>
      <c r="AW25" s="19"/>
      <c r="AX25" s="19"/>
      <c r="AY25" s="169"/>
      <c r="AZ25" s="490"/>
      <c r="BA25" s="19"/>
      <c r="BB25" s="19"/>
      <c r="BC25" s="19"/>
      <c r="BD25" s="19"/>
      <c r="BE25" s="169"/>
    </row>
    <row r="26" spans="1:57" ht="13.5" customHeight="1">
      <c r="A26" s="4675"/>
      <c r="B26" s="478">
        <v>18</v>
      </c>
      <c r="C26" s="489"/>
      <c r="D26" s="490"/>
      <c r="E26" s="19"/>
      <c r="F26" s="19"/>
      <c r="G26" s="19"/>
      <c r="H26" s="19"/>
      <c r="I26" s="169"/>
      <c r="J26" s="490"/>
      <c r="K26" s="19"/>
      <c r="L26" s="19"/>
      <c r="M26" s="19"/>
      <c r="N26" s="19"/>
      <c r="O26" s="169"/>
      <c r="P26" s="490"/>
      <c r="Q26" s="19"/>
      <c r="R26" s="19"/>
      <c r="S26" s="19"/>
      <c r="T26" s="19"/>
      <c r="U26" s="169"/>
      <c r="V26" s="490"/>
      <c r="W26" s="19"/>
      <c r="X26" s="19"/>
      <c r="Y26" s="19"/>
      <c r="Z26" s="19"/>
      <c r="AA26" s="169"/>
      <c r="AB26" s="490"/>
      <c r="AC26" s="19"/>
      <c r="AD26" s="19"/>
      <c r="AE26" s="19"/>
      <c r="AF26" s="19"/>
      <c r="AG26" s="169"/>
      <c r="AH26" s="490"/>
      <c r="AI26" s="19"/>
      <c r="AJ26" s="19"/>
      <c r="AK26" s="19"/>
      <c r="AL26" s="19"/>
      <c r="AM26" s="169"/>
      <c r="AN26" s="490"/>
      <c r="AO26" s="19"/>
      <c r="AP26" s="19"/>
      <c r="AQ26" s="19"/>
      <c r="AR26" s="19"/>
      <c r="AS26" s="169"/>
      <c r="AT26" s="490"/>
      <c r="AU26" s="19"/>
      <c r="AV26" s="19"/>
      <c r="AW26" s="19"/>
      <c r="AX26" s="19"/>
      <c r="AY26" s="169"/>
      <c r="AZ26" s="490"/>
      <c r="BA26" s="19"/>
      <c r="BB26" s="19"/>
      <c r="BC26" s="19"/>
      <c r="BD26" s="19"/>
      <c r="BE26" s="169"/>
    </row>
    <row r="27" spans="1:57" ht="13.5" customHeight="1">
      <c r="A27" s="4675"/>
      <c r="B27" s="478">
        <v>19</v>
      </c>
      <c r="C27" s="489"/>
      <c r="D27" s="490"/>
      <c r="E27" s="19"/>
      <c r="F27" s="19"/>
      <c r="G27" s="19"/>
      <c r="H27" s="19"/>
      <c r="I27" s="169"/>
      <c r="J27" s="490"/>
      <c r="K27" s="19"/>
      <c r="L27" s="19"/>
      <c r="M27" s="19"/>
      <c r="N27" s="19"/>
      <c r="O27" s="169"/>
      <c r="P27" s="490"/>
      <c r="Q27" s="19"/>
      <c r="R27" s="19"/>
      <c r="S27" s="19"/>
      <c r="T27" s="19"/>
      <c r="U27" s="169"/>
      <c r="V27" s="490"/>
      <c r="W27" s="19"/>
      <c r="X27" s="19"/>
      <c r="Y27" s="19"/>
      <c r="Z27" s="19"/>
      <c r="AA27" s="169"/>
      <c r="AB27" s="490"/>
      <c r="AC27" s="19"/>
      <c r="AD27" s="19"/>
      <c r="AE27" s="19"/>
      <c r="AF27" s="19"/>
      <c r="AG27" s="169"/>
      <c r="AH27" s="490"/>
      <c r="AI27" s="19"/>
      <c r="AJ27" s="19"/>
      <c r="AK27" s="19"/>
      <c r="AL27" s="19"/>
      <c r="AM27" s="169"/>
      <c r="AN27" s="490"/>
      <c r="AO27" s="19"/>
      <c r="AP27" s="19"/>
      <c r="AQ27" s="19"/>
      <c r="AR27" s="19"/>
      <c r="AS27" s="169"/>
      <c r="AT27" s="490"/>
      <c r="AU27" s="19"/>
      <c r="AV27" s="19"/>
      <c r="AW27" s="19"/>
      <c r="AX27" s="19"/>
      <c r="AY27" s="169"/>
      <c r="AZ27" s="490"/>
      <c r="BA27" s="19"/>
      <c r="BB27" s="19"/>
      <c r="BC27" s="19"/>
      <c r="BD27" s="19"/>
      <c r="BE27" s="169"/>
    </row>
    <row r="28" spans="1:57" ht="13.5" customHeight="1">
      <c r="A28" s="4675"/>
      <c r="B28" s="478">
        <v>20</v>
      </c>
      <c r="C28" s="489"/>
      <c r="D28" s="490"/>
      <c r="E28" s="19"/>
      <c r="F28" s="19"/>
      <c r="G28" s="19"/>
      <c r="H28" s="19"/>
      <c r="I28" s="169"/>
      <c r="J28" s="490"/>
      <c r="K28" s="19"/>
      <c r="L28" s="19"/>
      <c r="M28" s="19"/>
      <c r="N28" s="19"/>
      <c r="O28" s="169"/>
      <c r="P28" s="490"/>
      <c r="Q28" s="19"/>
      <c r="R28" s="19"/>
      <c r="S28" s="19"/>
      <c r="T28" s="19"/>
      <c r="U28" s="169"/>
      <c r="V28" s="490"/>
      <c r="W28" s="19"/>
      <c r="X28" s="19"/>
      <c r="Y28" s="19"/>
      <c r="Z28" s="19"/>
      <c r="AA28" s="169"/>
      <c r="AB28" s="490"/>
      <c r="AC28" s="19"/>
      <c r="AD28" s="19"/>
      <c r="AE28" s="19"/>
      <c r="AF28" s="19"/>
      <c r="AG28" s="169"/>
      <c r="AH28" s="490"/>
      <c r="AI28" s="19"/>
      <c r="AJ28" s="19"/>
      <c r="AK28" s="19"/>
      <c r="AL28" s="19"/>
      <c r="AM28" s="169"/>
      <c r="AN28" s="490"/>
      <c r="AO28" s="19"/>
      <c r="AP28" s="19"/>
      <c r="AQ28" s="19"/>
      <c r="AR28" s="19"/>
      <c r="AS28" s="169"/>
      <c r="AT28" s="490"/>
      <c r="AU28" s="19"/>
      <c r="AV28" s="19"/>
      <c r="AW28" s="19"/>
      <c r="AX28" s="19"/>
      <c r="AY28" s="169"/>
      <c r="AZ28" s="490"/>
      <c r="BA28" s="19"/>
      <c r="BB28" s="19"/>
      <c r="BC28" s="19"/>
      <c r="BD28" s="19"/>
      <c r="BE28" s="169"/>
    </row>
    <row r="29" spans="1:57" ht="13.5" customHeight="1">
      <c r="A29" s="4675"/>
      <c r="B29" s="478">
        <v>21</v>
      </c>
      <c r="C29" s="44"/>
      <c r="D29" s="174"/>
      <c r="E29" s="20"/>
      <c r="F29" s="20"/>
      <c r="G29" s="20"/>
      <c r="H29" s="20"/>
      <c r="I29" s="491"/>
      <c r="J29" s="174"/>
      <c r="K29" s="20"/>
      <c r="L29" s="20"/>
      <c r="M29" s="20"/>
      <c r="N29" s="20"/>
      <c r="O29" s="491"/>
      <c r="P29" s="174"/>
      <c r="Q29" s="20"/>
      <c r="R29" s="20"/>
      <c r="S29" s="20"/>
      <c r="T29" s="20"/>
      <c r="U29" s="491"/>
      <c r="V29" s="174"/>
      <c r="W29" s="20"/>
      <c r="X29" s="20"/>
      <c r="Y29" s="20"/>
      <c r="Z29" s="20"/>
      <c r="AA29" s="491"/>
      <c r="AB29" s="174"/>
      <c r="AC29" s="20"/>
      <c r="AD29" s="20"/>
      <c r="AE29" s="20"/>
      <c r="AF29" s="20"/>
      <c r="AG29" s="491"/>
      <c r="AH29" s="174"/>
      <c r="AI29" s="20"/>
      <c r="AJ29" s="20"/>
      <c r="AK29" s="20"/>
      <c r="AL29" s="20"/>
      <c r="AM29" s="491"/>
      <c r="AN29" s="174"/>
      <c r="AO29" s="20"/>
      <c r="AP29" s="20"/>
      <c r="AQ29" s="20"/>
      <c r="AR29" s="20"/>
      <c r="AS29" s="491"/>
      <c r="AT29" s="174"/>
      <c r="AU29" s="20"/>
      <c r="AV29" s="20"/>
      <c r="AW29" s="20"/>
      <c r="AX29" s="20"/>
      <c r="AY29" s="491"/>
      <c r="AZ29" s="174"/>
      <c r="BA29" s="20"/>
      <c r="BB29" s="20"/>
      <c r="BC29" s="20"/>
      <c r="BD29" s="20"/>
      <c r="BE29" s="491"/>
    </row>
    <row r="30" spans="1:57" ht="13.5" customHeight="1">
      <c r="A30" s="4675"/>
      <c r="B30" s="478">
        <v>22</v>
      </c>
      <c r="C30" s="44"/>
      <c r="D30" s="174"/>
      <c r="E30" s="20"/>
      <c r="F30" s="20"/>
      <c r="G30" s="20"/>
      <c r="H30" s="20"/>
      <c r="I30" s="491"/>
      <c r="J30" s="174"/>
      <c r="K30" s="20"/>
      <c r="L30" s="20"/>
      <c r="M30" s="20"/>
      <c r="N30" s="20"/>
      <c r="O30" s="491"/>
      <c r="P30" s="174"/>
      <c r="Q30" s="20"/>
      <c r="R30" s="20"/>
      <c r="S30" s="20"/>
      <c r="T30" s="20"/>
      <c r="U30" s="491"/>
      <c r="V30" s="174"/>
      <c r="W30" s="20"/>
      <c r="X30" s="20"/>
      <c r="Y30" s="20"/>
      <c r="Z30" s="20"/>
      <c r="AA30" s="491"/>
      <c r="AB30" s="174"/>
      <c r="AC30" s="20"/>
      <c r="AD30" s="20"/>
      <c r="AE30" s="20"/>
      <c r="AF30" s="20"/>
      <c r="AG30" s="491"/>
      <c r="AH30" s="174"/>
      <c r="AI30" s="20"/>
      <c r="AJ30" s="20"/>
      <c r="AK30" s="20"/>
      <c r="AL30" s="20"/>
      <c r="AM30" s="491"/>
      <c r="AN30" s="174"/>
      <c r="AO30" s="20"/>
      <c r="AP30" s="20"/>
      <c r="AQ30" s="20"/>
      <c r="AR30" s="20"/>
      <c r="AS30" s="491"/>
      <c r="AT30" s="174"/>
      <c r="AU30" s="20"/>
      <c r="AV30" s="20"/>
      <c r="AW30" s="20"/>
      <c r="AX30" s="20"/>
      <c r="AY30" s="491"/>
      <c r="AZ30" s="174"/>
      <c r="BA30" s="20"/>
      <c r="BB30" s="20"/>
      <c r="BC30" s="20"/>
      <c r="BD30" s="20"/>
      <c r="BE30" s="491"/>
    </row>
    <row r="31" spans="1:57" ht="13.5" customHeight="1">
      <c r="A31" s="4675"/>
      <c r="B31" s="478">
        <v>23</v>
      </c>
      <c r="C31" s="44"/>
      <c r="D31" s="174"/>
      <c r="E31" s="20"/>
      <c r="F31" s="20"/>
      <c r="G31" s="20"/>
      <c r="H31" s="20"/>
      <c r="I31" s="491"/>
      <c r="J31" s="174"/>
      <c r="K31" s="20"/>
      <c r="L31" s="20"/>
      <c r="M31" s="20"/>
      <c r="N31" s="20"/>
      <c r="O31" s="491"/>
      <c r="P31" s="174"/>
      <c r="Q31" s="20"/>
      <c r="R31" s="20"/>
      <c r="S31" s="20"/>
      <c r="T31" s="20"/>
      <c r="U31" s="491"/>
      <c r="V31" s="174"/>
      <c r="W31" s="20"/>
      <c r="X31" s="20"/>
      <c r="Y31" s="20"/>
      <c r="Z31" s="20"/>
      <c r="AA31" s="491"/>
      <c r="AB31" s="174"/>
      <c r="AC31" s="20"/>
      <c r="AD31" s="20"/>
      <c r="AE31" s="20"/>
      <c r="AF31" s="20"/>
      <c r="AG31" s="491"/>
      <c r="AH31" s="174"/>
      <c r="AI31" s="20"/>
      <c r="AJ31" s="20"/>
      <c r="AK31" s="20"/>
      <c r="AL31" s="20"/>
      <c r="AM31" s="491"/>
      <c r="AN31" s="174"/>
      <c r="AO31" s="20"/>
      <c r="AP31" s="20"/>
      <c r="AQ31" s="20"/>
      <c r="AR31" s="20"/>
      <c r="AS31" s="491"/>
      <c r="AT31" s="174"/>
      <c r="AU31" s="20"/>
      <c r="AV31" s="20"/>
      <c r="AW31" s="20"/>
      <c r="AX31" s="20"/>
      <c r="AY31" s="491"/>
      <c r="AZ31" s="174"/>
      <c r="BA31" s="20"/>
      <c r="BB31" s="20"/>
      <c r="BC31" s="20"/>
      <c r="BD31" s="20"/>
      <c r="BE31" s="491"/>
    </row>
    <row r="32" spans="1:57" ht="13.5" customHeight="1">
      <c r="A32" s="4675"/>
      <c r="B32" s="478">
        <v>24</v>
      </c>
      <c r="C32" s="44"/>
      <c r="D32" s="174"/>
      <c r="E32" s="20"/>
      <c r="F32" s="20"/>
      <c r="G32" s="20"/>
      <c r="H32" s="20"/>
      <c r="I32" s="491"/>
      <c r="J32" s="174"/>
      <c r="K32" s="20"/>
      <c r="L32" s="20"/>
      <c r="M32" s="20"/>
      <c r="N32" s="20"/>
      <c r="O32" s="491"/>
      <c r="P32" s="174"/>
      <c r="Q32" s="20"/>
      <c r="R32" s="20"/>
      <c r="S32" s="20"/>
      <c r="T32" s="20"/>
      <c r="U32" s="491"/>
      <c r="V32" s="174"/>
      <c r="W32" s="20"/>
      <c r="X32" s="20"/>
      <c r="Y32" s="20"/>
      <c r="Z32" s="20"/>
      <c r="AA32" s="491"/>
      <c r="AB32" s="174"/>
      <c r="AC32" s="20"/>
      <c r="AD32" s="20"/>
      <c r="AE32" s="20"/>
      <c r="AF32" s="20"/>
      <c r="AG32" s="491"/>
      <c r="AH32" s="174"/>
      <c r="AI32" s="20"/>
      <c r="AJ32" s="20"/>
      <c r="AK32" s="20"/>
      <c r="AL32" s="20"/>
      <c r="AM32" s="491"/>
      <c r="AN32" s="174"/>
      <c r="AO32" s="20"/>
      <c r="AP32" s="20"/>
      <c r="AQ32" s="20"/>
      <c r="AR32" s="20"/>
      <c r="AS32" s="491"/>
      <c r="AT32" s="174"/>
      <c r="AU32" s="20"/>
      <c r="AV32" s="20"/>
      <c r="AW32" s="20"/>
      <c r="AX32" s="20"/>
      <c r="AY32" s="491"/>
      <c r="AZ32" s="174"/>
      <c r="BA32" s="20"/>
      <c r="BB32" s="20"/>
      <c r="BC32" s="20"/>
      <c r="BD32" s="20"/>
      <c r="BE32" s="491"/>
    </row>
    <row r="33" spans="1:57" ht="13.5" customHeight="1">
      <c r="A33" s="4676"/>
      <c r="B33" s="492">
        <v>25</v>
      </c>
      <c r="C33" s="44"/>
      <c r="D33" s="493"/>
      <c r="E33" s="494"/>
      <c r="F33" s="494"/>
      <c r="G33" s="494"/>
      <c r="H33" s="494"/>
      <c r="I33" s="495"/>
      <c r="J33" s="493"/>
      <c r="K33" s="494"/>
      <c r="L33" s="494"/>
      <c r="M33" s="494"/>
      <c r="N33" s="494"/>
      <c r="O33" s="495"/>
      <c r="P33" s="493"/>
      <c r="Q33" s="494"/>
      <c r="R33" s="494"/>
      <c r="S33" s="494"/>
      <c r="T33" s="494"/>
      <c r="U33" s="495"/>
      <c r="V33" s="493"/>
      <c r="W33" s="494"/>
      <c r="X33" s="494"/>
      <c r="Y33" s="494"/>
      <c r="Z33" s="494"/>
      <c r="AA33" s="495"/>
      <c r="AB33" s="493"/>
      <c r="AC33" s="494"/>
      <c r="AD33" s="494"/>
      <c r="AE33" s="494"/>
      <c r="AF33" s="494"/>
      <c r="AG33" s="495"/>
      <c r="AH33" s="493"/>
      <c r="AI33" s="494"/>
      <c r="AJ33" s="494"/>
      <c r="AK33" s="494"/>
      <c r="AL33" s="494"/>
      <c r="AM33" s="495"/>
      <c r="AN33" s="493"/>
      <c r="AO33" s="494"/>
      <c r="AP33" s="494"/>
      <c r="AQ33" s="494"/>
      <c r="AR33" s="494"/>
      <c r="AS33" s="495"/>
      <c r="AT33" s="493"/>
      <c r="AU33" s="494"/>
      <c r="AV33" s="494"/>
      <c r="AW33" s="494"/>
      <c r="AX33" s="494"/>
      <c r="AY33" s="495"/>
      <c r="AZ33" s="493"/>
      <c r="BA33" s="494"/>
      <c r="BB33" s="494"/>
      <c r="BC33" s="494"/>
      <c r="BD33" s="494"/>
      <c r="BE33" s="495"/>
    </row>
    <row r="34" spans="1:57" ht="13.5" customHeight="1">
      <c r="A34" s="3"/>
      <c r="B34" s="442"/>
      <c r="C34" s="2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</row>
    <row r="35" spans="1:57" ht="13.5" customHeight="1">
      <c r="A35" s="496"/>
      <c r="B35" s="497"/>
      <c r="C35" s="498"/>
      <c r="D35" s="496"/>
      <c r="E35" s="496"/>
      <c r="F35" s="496"/>
      <c r="G35" s="496"/>
      <c r="H35" s="496"/>
      <c r="I35" s="496"/>
      <c r="J35" s="496"/>
      <c r="K35" s="496"/>
      <c r="L35" s="496"/>
      <c r="M35" s="496"/>
      <c r="N35" s="496"/>
      <c r="O35" s="496"/>
      <c r="P35" s="496"/>
      <c r="Q35" s="496"/>
      <c r="R35" s="496"/>
      <c r="S35" s="496"/>
      <c r="T35" s="496"/>
      <c r="U35" s="496"/>
      <c r="V35" s="496"/>
      <c r="W35" s="496"/>
      <c r="X35" s="496"/>
      <c r="Y35" s="496"/>
      <c r="Z35" s="496"/>
      <c r="AA35" s="496"/>
      <c r="AB35" s="496"/>
      <c r="AC35" s="496"/>
      <c r="AD35" s="496"/>
      <c r="AE35" s="496"/>
      <c r="AF35" s="496"/>
      <c r="AG35" s="496"/>
      <c r="AH35" s="496"/>
      <c r="AI35" s="496"/>
      <c r="AJ35" s="496"/>
      <c r="AK35" s="496"/>
      <c r="AL35" s="496"/>
      <c r="AM35" s="496"/>
      <c r="AN35" s="496"/>
      <c r="AO35" s="496"/>
      <c r="AP35" s="496"/>
      <c r="AQ35" s="496"/>
      <c r="AR35" s="496"/>
      <c r="AS35" s="496"/>
      <c r="AT35" s="496"/>
      <c r="AU35" s="496"/>
      <c r="AV35" s="496"/>
      <c r="AW35" s="496"/>
      <c r="AX35" s="496"/>
      <c r="AY35" s="496"/>
      <c r="AZ35" s="496"/>
      <c r="BA35" s="496"/>
      <c r="BB35" s="496"/>
      <c r="BC35" s="496"/>
      <c r="BD35" s="496"/>
      <c r="BE35" s="496"/>
    </row>
    <row r="36" spans="1:57" ht="13.5" customHeight="1">
      <c r="A36" s="3"/>
      <c r="B36" s="44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</row>
    <row r="37" spans="1:57" ht="13.5" customHeight="1">
      <c r="A37" s="4614" t="s">
        <v>1619</v>
      </c>
      <c r="B37" s="4609"/>
      <c r="C37" s="4609"/>
      <c r="D37" s="4609"/>
      <c r="E37" s="4610"/>
      <c r="F37" s="4615" t="s">
        <v>1620</v>
      </c>
      <c r="G37" s="4609"/>
      <c r="H37" s="4609"/>
      <c r="I37" s="4609"/>
      <c r="J37" s="4610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</row>
    <row r="38" spans="1:57" ht="13.5" customHeight="1">
      <c r="A38" s="4611"/>
      <c r="B38" s="4612"/>
      <c r="C38" s="4612"/>
      <c r="D38" s="4612"/>
      <c r="E38" s="4542"/>
      <c r="F38" s="4611"/>
      <c r="G38" s="4612"/>
      <c r="H38" s="4612"/>
      <c r="I38" s="4612"/>
      <c r="J38" s="4542"/>
      <c r="K38" s="3"/>
      <c r="L38" s="3"/>
      <c r="M38" s="3" t="s">
        <v>1621</v>
      </c>
      <c r="N38" s="3" t="s">
        <v>1622</v>
      </c>
      <c r="O38" s="3"/>
      <c r="P38" s="3" t="s">
        <v>1623</v>
      </c>
      <c r="Q38" s="3" t="s">
        <v>1624</v>
      </c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</row>
    <row r="39" spans="1:57" ht="13.5" customHeight="1">
      <c r="A39" s="3"/>
      <c r="B39" s="442"/>
      <c r="C39" s="2"/>
      <c r="D39" s="3"/>
      <c r="E39" s="3"/>
      <c r="F39" s="3"/>
      <c r="G39" s="3"/>
      <c r="H39" s="3"/>
      <c r="I39" s="3"/>
      <c r="J39" s="3"/>
      <c r="K39" s="3"/>
      <c r="L39" s="3"/>
      <c r="M39" s="3" t="s">
        <v>1625</v>
      </c>
      <c r="N39" s="3" t="s">
        <v>1626</v>
      </c>
      <c r="O39" s="3"/>
      <c r="P39" s="3" t="s">
        <v>1627</v>
      </c>
      <c r="Q39" s="3" t="s">
        <v>1628</v>
      </c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</row>
    <row r="40" spans="1:57" ht="13.5" customHeight="1">
      <c r="A40" s="3"/>
      <c r="B40" s="442"/>
      <c r="C40" s="468" t="s">
        <v>1603</v>
      </c>
      <c r="D40" s="198" t="s">
        <v>4449</v>
      </c>
      <c r="E40" s="3"/>
      <c r="F40" s="464" t="s">
        <v>1629</v>
      </c>
      <c r="G40" s="3" t="s">
        <v>1623</v>
      </c>
      <c r="H40" s="3"/>
      <c r="I40" s="3"/>
      <c r="J40" s="3"/>
      <c r="K40" s="3"/>
      <c r="L40" s="3"/>
      <c r="M40" s="3" t="s">
        <v>1630</v>
      </c>
      <c r="N40" s="3" t="s">
        <v>1605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</row>
    <row r="41" spans="1:57" ht="13.5" customHeight="1" thickBot="1">
      <c r="A41" s="3"/>
      <c r="B41" s="442"/>
      <c r="C41" s="468" t="s">
        <v>1631</v>
      </c>
      <c r="D41" s="470" t="s">
        <v>4450</v>
      </c>
      <c r="E41" s="442"/>
      <c r="F41" s="442"/>
      <c r="G41" s="442"/>
      <c r="H41" s="442"/>
      <c r="I41" s="442"/>
      <c r="J41" s="44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</row>
    <row r="42" spans="1:57" ht="13.5" customHeight="1">
      <c r="A42" s="3"/>
      <c r="B42" s="442"/>
      <c r="C42" s="3"/>
      <c r="D42" s="4671"/>
      <c r="E42" s="4672"/>
      <c r="F42" s="4672"/>
      <c r="G42" s="4673"/>
      <c r="H42" s="4671"/>
      <c r="I42" s="4672"/>
      <c r="J42" s="4672"/>
      <c r="K42" s="4673"/>
      <c r="L42" s="4671"/>
      <c r="M42" s="4672"/>
      <c r="N42" s="4672"/>
      <c r="O42" s="4673"/>
      <c r="P42" s="4671"/>
      <c r="Q42" s="4672"/>
      <c r="R42" s="4672"/>
      <c r="S42" s="4673"/>
      <c r="T42" s="4671"/>
      <c r="U42" s="4672"/>
      <c r="V42" s="4672"/>
      <c r="W42" s="4673"/>
      <c r="X42" s="4671" t="s">
        <v>4324</v>
      </c>
      <c r="Y42" s="4672"/>
      <c r="Z42" s="4672"/>
      <c r="AA42" s="467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</row>
    <row r="43" spans="1:57" ht="13.5" customHeight="1" thickBot="1">
      <c r="A43" s="4677"/>
      <c r="B43" s="4610"/>
      <c r="C43" s="499" t="s">
        <v>1615</v>
      </c>
      <c r="D43" s="1395" t="s">
        <v>4451</v>
      </c>
      <c r="E43" s="1395" t="s">
        <v>1746</v>
      </c>
      <c r="F43" s="1395" t="s">
        <v>4426</v>
      </c>
      <c r="G43" s="1395" t="s">
        <v>2568</v>
      </c>
      <c r="H43" s="1394" t="s">
        <v>4427</v>
      </c>
      <c r="I43" s="1394" t="s">
        <v>2908</v>
      </c>
      <c r="J43" s="1396" t="s">
        <v>952</v>
      </c>
      <c r="K43" s="1396" t="s">
        <v>954</v>
      </c>
      <c r="L43" s="1396" t="s">
        <v>4425</v>
      </c>
      <c r="M43" s="1396" t="s">
        <v>4427</v>
      </c>
      <c r="N43" s="1397" t="s">
        <v>4418</v>
      </c>
      <c r="O43" s="1396" t="s">
        <v>4419</v>
      </c>
      <c r="P43" s="1396" t="s">
        <v>4420</v>
      </c>
      <c r="Q43" s="1396" t="s">
        <v>4420</v>
      </c>
      <c r="R43" s="1396" t="s">
        <v>4451</v>
      </c>
      <c r="S43" s="1398" t="s">
        <v>4452</v>
      </c>
      <c r="T43" s="1399" t="s">
        <v>4419</v>
      </c>
      <c r="U43" s="1835" t="s">
        <v>4453</v>
      </c>
      <c r="V43" s="1835" t="s">
        <v>4453</v>
      </c>
      <c r="W43" s="1835" t="s">
        <v>4428</v>
      </c>
      <c r="X43" s="473"/>
      <c r="Y43" s="473"/>
      <c r="Z43" s="472"/>
      <c r="AA43" s="47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</row>
    <row r="44" spans="1:57" ht="51" customHeight="1" thickBot="1">
      <c r="A44" s="4611"/>
      <c r="B44" s="4542"/>
      <c r="C44" s="474" t="s">
        <v>1595</v>
      </c>
      <c r="D44" s="1330" t="s">
        <v>3707</v>
      </c>
      <c r="E44" s="1830" t="s">
        <v>1752</v>
      </c>
      <c r="F44" s="1331" t="s">
        <v>3708</v>
      </c>
      <c r="G44" s="1331" t="s">
        <v>900</v>
      </c>
      <c r="H44" s="1331" t="s">
        <v>3709</v>
      </c>
      <c r="I44" s="1831" t="s">
        <v>3710</v>
      </c>
      <c r="J44" s="1332" t="s">
        <v>3711</v>
      </c>
      <c r="K44" s="1332" t="s">
        <v>903</v>
      </c>
      <c r="L44" s="1333" t="s">
        <v>3712</v>
      </c>
      <c r="M44" s="1832" t="s">
        <v>3713</v>
      </c>
      <c r="N44" s="1334" t="s">
        <v>3714</v>
      </c>
      <c r="O44" s="1335" t="s">
        <v>3715</v>
      </c>
      <c r="P44" s="1336" t="s">
        <v>3716</v>
      </c>
      <c r="Q44" s="1336" t="s">
        <v>3717</v>
      </c>
      <c r="R44" s="1337" t="s">
        <v>3707</v>
      </c>
      <c r="S44" s="1338" t="s">
        <v>4314</v>
      </c>
      <c r="T44" s="1339" t="s">
        <v>4308</v>
      </c>
      <c r="U44" s="1329" t="s">
        <v>3705</v>
      </c>
      <c r="V44" s="1329" t="s">
        <v>3706</v>
      </c>
      <c r="W44" s="1829" t="s">
        <v>3723</v>
      </c>
      <c r="X44" s="1516"/>
      <c r="Y44" s="1516"/>
      <c r="Z44" s="1515"/>
      <c r="AA44" s="1516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</row>
    <row r="45" spans="1:57" ht="13.5" customHeight="1" thickBot="1">
      <c r="A45" s="4674" t="s">
        <v>1618</v>
      </c>
      <c r="B45" s="477">
        <v>1</v>
      </c>
      <c r="C45" s="1974" t="s">
        <v>2991</v>
      </c>
      <c r="D45" s="1354">
        <v>10</v>
      </c>
      <c r="E45" s="1976">
        <v>10</v>
      </c>
      <c r="F45" s="24">
        <v>10</v>
      </c>
      <c r="G45" s="24">
        <v>10</v>
      </c>
      <c r="H45" s="1726">
        <v>8.8000000000000007</v>
      </c>
      <c r="I45" s="1730">
        <v>9.4</v>
      </c>
      <c r="J45" s="1731">
        <v>10</v>
      </c>
      <c r="K45" s="1732">
        <v>10</v>
      </c>
      <c r="L45" s="1729">
        <v>9.4</v>
      </c>
      <c r="M45" s="1734">
        <v>10</v>
      </c>
      <c r="N45" s="1344">
        <v>10</v>
      </c>
      <c r="O45" s="1345">
        <v>10</v>
      </c>
      <c r="P45" s="1686">
        <v>10</v>
      </c>
      <c r="Q45" s="1686">
        <v>10</v>
      </c>
      <c r="R45" s="1807">
        <v>10</v>
      </c>
      <c r="S45" s="1346">
        <v>9.9</v>
      </c>
      <c r="T45" s="1807">
        <v>10</v>
      </c>
      <c r="U45" s="1807">
        <v>10</v>
      </c>
      <c r="V45" s="1807">
        <v>10</v>
      </c>
      <c r="W45" s="1807">
        <v>10</v>
      </c>
      <c r="X45" s="1859"/>
      <c r="Y45" s="41"/>
      <c r="Z45" s="41"/>
      <c r="AA45" s="52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</row>
    <row r="46" spans="1:57" ht="13.5" customHeight="1">
      <c r="A46" s="4675"/>
      <c r="B46" s="478">
        <v>2</v>
      </c>
      <c r="C46" s="1808"/>
      <c r="D46" s="1514"/>
      <c r="E46" s="1514"/>
      <c r="F46" s="1514"/>
      <c r="G46" s="1514"/>
      <c r="H46" s="1514"/>
      <c r="I46" s="1514"/>
      <c r="J46" s="1514"/>
      <c r="K46" s="1514"/>
      <c r="L46" s="1514"/>
      <c r="M46" s="1514"/>
      <c r="N46" s="1514"/>
      <c r="O46" s="1514"/>
      <c r="P46" s="1514"/>
      <c r="Q46" s="1514"/>
      <c r="R46" s="1514"/>
      <c r="S46" s="1514"/>
      <c r="T46" s="1514"/>
      <c r="U46" s="1514"/>
      <c r="V46" s="1514"/>
      <c r="W46" s="1514"/>
      <c r="X46" s="1349"/>
      <c r="Y46" s="93"/>
      <c r="Z46" s="93"/>
      <c r="AA46" s="52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</row>
    <row r="47" spans="1:57" ht="13.5" customHeight="1" thickBot="1">
      <c r="A47" s="4675"/>
      <c r="B47" s="478">
        <v>3</v>
      </c>
      <c r="C47" s="1808"/>
      <c r="D47" s="1514"/>
      <c r="E47" s="1514"/>
      <c r="F47" s="1514"/>
      <c r="G47" s="1514"/>
      <c r="H47" s="1514"/>
      <c r="I47" s="1514"/>
      <c r="J47" s="1514"/>
      <c r="K47" s="1514"/>
      <c r="L47" s="1514"/>
      <c r="M47" s="1514"/>
      <c r="N47" s="1514"/>
      <c r="O47" s="1514"/>
      <c r="P47" s="1514"/>
      <c r="Q47" s="1514"/>
      <c r="R47" s="1514"/>
      <c r="S47" s="1514"/>
      <c r="T47" s="1514"/>
      <c r="U47" s="1514"/>
      <c r="V47" s="1514"/>
      <c r="W47" s="1514"/>
      <c r="X47" s="1349"/>
      <c r="Y47" s="93"/>
      <c r="Z47" s="93"/>
      <c r="AA47" s="1518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</row>
    <row r="48" spans="1:57" ht="13.5" customHeight="1" thickBot="1">
      <c r="A48" s="4675"/>
      <c r="B48" s="478">
        <v>4</v>
      </c>
      <c r="C48" s="1277"/>
      <c r="D48" s="1514"/>
      <c r="E48" s="1514"/>
      <c r="F48" s="1514"/>
      <c r="G48" s="1514"/>
      <c r="H48" s="1514"/>
      <c r="I48" s="1514"/>
      <c r="J48" s="1514"/>
      <c r="K48" s="1514"/>
      <c r="L48" s="1514"/>
      <c r="M48" s="1514"/>
      <c r="N48" s="1514"/>
      <c r="O48" s="1514"/>
      <c r="P48" s="1514"/>
      <c r="Q48" s="1514"/>
      <c r="R48" s="1514"/>
      <c r="S48" s="1406"/>
      <c r="T48" s="1407"/>
      <c r="U48" s="1781"/>
      <c r="V48" s="1407"/>
      <c r="W48" s="744"/>
      <c r="X48" s="93"/>
      <c r="Y48" s="93"/>
      <c r="Z48" s="93"/>
      <c r="AA48" s="52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</row>
    <row r="49" spans="1:57" ht="13.5" customHeight="1" thickBot="1">
      <c r="A49" s="4675"/>
      <c r="B49" s="478">
        <v>5</v>
      </c>
      <c r="C49" s="1277"/>
      <c r="D49" s="1514"/>
      <c r="E49" s="1514"/>
      <c r="F49" s="1514"/>
      <c r="G49" s="1514"/>
      <c r="H49" s="1514"/>
      <c r="I49" s="1514"/>
      <c r="J49" s="1514"/>
      <c r="K49" s="1514"/>
      <c r="L49" s="1514"/>
      <c r="M49" s="1514"/>
      <c r="N49" s="1514"/>
      <c r="O49" s="1514"/>
      <c r="P49" s="1514"/>
      <c r="Q49" s="1514"/>
      <c r="R49" s="1514"/>
      <c r="S49" s="744"/>
      <c r="T49" s="1301"/>
      <c r="U49" s="1781"/>
      <c r="V49" s="744"/>
      <c r="W49" s="744"/>
      <c r="X49" s="93"/>
      <c r="Y49" s="93"/>
      <c r="Z49" s="93"/>
      <c r="AA49" s="52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</row>
    <row r="50" spans="1:57" ht="13.5" customHeight="1" thickBot="1">
      <c r="A50" s="4675"/>
      <c r="B50" s="478">
        <v>6</v>
      </c>
      <c r="C50" s="1277"/>
      <c r="D50" s="1514"/>
      <c r="E50" s="1514"/>
      <c r="F50" s="1514"/>
      <c r="G50" s="1514"/>
      <c r="H50" s="1514"/>
      <c r="I50" s="1514"/>
      <c r="J50" s="1514"/>
      <c r="K50" s="1514"/>
      <c r="L50" s="1514"/>
      <c r="M50" s="1514"/>
      <c r="N50" s="1514"/>
      <c r="O50" s="1514"/>
      <c r="P50" s="1514"/>
      <c r="Q50" s="1514"/>
      <c r="R50" s="1514"/>
      <c r="S50" s="744"/>
      <c r="T50" s="1301"/>
      <c r="U50" s="1781"/>
      <c r="V50" s="744"/>
      <c r="W50" s="744"/>
      <c r="X50" s="93"/>
      <c r="Y50" s="93"/>
      <c r="Z50" s="93"/>
      <c r="AA50" s="52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</row>
    <row r="51" spans="1:57" ht="13.5" customHeight="1">
      <c r="A51" s="4675"/>
      <c r="B51" s="478">
        <v>7</v>
      </c>
      <c r="C51" s="1514"/>
      <c r="D51" s="1514"/>
      <c r="E51" s="1514"/>
      <c r="F51" s="1514"/>
      <c r="G51" s="1514"/>
      <c r="H51" s="1514"/>
      <c r="I51" s="1514"/>
      <c r="J51" s="1514"/>
      <c r="K51" s="1514"/>
      <c r="L51" s="1514"/>
      <c r="M51" s="1514"/>
      <c r="N51" s="1514"/>
      <c r="O51" s="1514"/>
      <c r="P51" s="1514"/>
      <c r="Q51" s="1514"/>
      <c r="R51" s="1514"/>
      <c r="S51" s="20"/>
      <c r="T51" s="20"/>
      <c r="U51" s="20"/>
      <c r="V51" s="20"/>
      <c r="W51" s="20"/>
      <c r="X51" s="93"/>
      <c r="Y51" s="93"/>
      <c r="Z51" s="93"/>
      <c r="AA51" s="52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</row>
    <row r="52" spans="1:57" ht="13.5" customHeight="1">
      <c r="A52" s="4675"/>
      <c r="B52" s="478">
        <v>8</v>
      </c>
      <c r="C52" s="1514"/>
      <c r="D52" s="1123"/>
      <c r="E52" s="1517"/>
      <c r="F52" s="20"/>
      <c r="G52" s="1379"/>
      <c r="H52" s="1379"/>
      <c r="I52" s="1379"/>
      <c r="J52" s="1379"/>
      <c r="K52" s="1379"/>
      <c r="L52" s="1379"/>
      <c r="M52" s="1379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93"/>
      <c r="Y52" s="93"/>
      <c r="Z52" s="93"/>
      <c r="AA52" s="52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</row>
    <row r="53" spans="1:57" ht="13.5" customHeight="1">
      <c r="A53" s="4675"/>
      <c r="B53" s="478">
        <v>9</v>
      </c>
      <c r="D53" s="1123"/>
      <c r="E53" s="1517"/>
      <c r="F53" s="20"/>
      <c r="G53" s="1379"/>
      <c r="H53" s="1379"/>
      <c r="I53" s="1379"/>
      <c r="J53" s="1379"/>
      <c r="K53" s="1379"/>
      <c r="L53" s="1379"/>
      <c r="M53" s="1379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93"/>
      <c r="Y53" s="93"/>
      <c r="Z53" s="93"/>
      <c r="AA53" s="52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</row>
    <row r="54" spans="1:57" ht="13.5" customHeight="1">
      <c r="A54" s="4675"/>
      <c r="B54" s="478">
        <v>10</v>
      </c>
      <c r="C54" s="1514"/>
      <c r="D54" s="1123"/>
      <c r="E54" s="1517"/>
      <c r="F54" s="20"/>
      <c r="G54" s="1379"/>
      <c r="H54" s="1379"/>
      <c r="I54" s="1379"/>
      <c r="J54" s="1379"/>
      <c r="K54" s="1379"/>
      <c r="L54" s="1379"/>
      <c r="M54" s="1379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93"/>
      <c r="Y54" s="93"/>
      <c r="Z54" s="93"/>
      <c r="AA54" s="9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</row>
    <row r="55" spans="1:57" ht="13.5" customHeight="1">
      <c r="A55" s="4675"/>
      <c r="B55" s="478">
        <v>11</v>
      </c>
      <c r="C55" s="1277"/>
      <c r="D55" s="1123"/>
      <c r="E55" s="1517"/>
      <c r="F55" s="20"/>
      <c r="G55" s="31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93"/>
      <c r="Y55" s="93"/>
      <c r="Z55" s="93"/>
      <c r="AA55" s="9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</row>
    <row r="56" spans="1:57" ht="13.5" customHeight="1">
      <c r="A56" s="4675"/>
      <c r="B56" s="478">
        <v>12</v>
      </c>
      <c r="C56" s="1514"/>
      <c r="D56" s="1123"/>
      <c r="E56" s="1519"/>
      <c r="F56" s="20"/>
      <c r="G56" s="31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93"/>
      <c r="Y56" s="93"/>
      <c r="Z56" s="93"/>
      <c r="AA56" s="52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</row>
    <row r="57" spans="1:57" ht="13.5" customHeight="1">
      <c r="A57" s="4675"/>
      <c r="B57" s="478">
        <v>13</v>
      </c>
      <c r="C57" s="1514"/>
      <c r="D57" s="1123"/>
      <c r="E57" s="1517"/>
      <c r="F57" s="20"/>
      <c r="G57" s="31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93"/>
      <c r="Y57" s="93"/>
      <c r="Z57" s="93"/>
      <c r="AA57" s="9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</row>
    <row r="58" spans="1:57" ht="13.5" customHeight="1">
      <c r="A58" s="4675"/>
      <c r="B58" s="478">
        <v>14</v>
      </c>
      <c r="C58" s="1514"/>
      <c r="D58" s="1123"/>
      <c r="E58" s="1517"/>
      <c r="F58" s="20"/>
      <c r="G58" s="31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50"/>
      <c r="Y58" s="50"/>
      <c r="Z58" s="50"/>
      <c r="AA58" s="50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</row>
    <row r="59" spans="1:57" ht="13.5" customHeight="1">
      <c r="A59" s="4675"/>
      <c r="B59" s="478">
        <v>15</v>
      </c>
      <c r="C59" s="1514"/>
      <c r="D59" s="1123"/>
      <c r="E59" s="1517"/>
      <c r="F59" s="20"/>
      <c r="G59" s="31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484"/>
      <c r="Y59" s="165"/>
      <c r="Z59" s="484"/>
      <c r="AA59" s="165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</row>
    <row r="60" spans="1:57" ht="13.5" customHeight="1">
      <c r="A60" s="4675"/>
      <c r="B60" s="500">
        <v>16</v>
      </c>
      <c r="C60" s="1514"/>
      <c r="D60" s="1123"/>
      <c r="E60" s="1517"/>
      <c r="F60" s="20"/>
      <c r="G60" s="31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371"/>
      <c r="Y60" s="371"/>
      <c r="Z60" s="371"/>
      <c r="AA60" s="371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</row>
    <row r="61" spans="1:57" ht="13.5" customHeight="1">
      <c r="A61" s="4675"/>
      <c r="B61" s="500">
        <v>17</v>
      </c>
      <c r="C61" s="1514"/>
      <c r="D61" s="1123"/>
      <c r="E61" s="1517"/>
      <c r="F61" s="20"/>
      <c r="G61" s="31"/>
      <c r="H61" s="20"/>
      <c r="I61" s="20"/>
      <c r="J61" s="20"/>
      <c r="K61" s="20"/>
      <c r="L61" s="20"/>
      <c r="M61" s="20"/>
      <c r="N61" s="20"/>
      <c r="O61" s="20"/>
      <c r="P61" s="221"/>
      <c r="Q61" s="221"/>
      <c r="R61" s="20"/>
      <c r="S61" s="20"/>
      <c r="T61" s="20"/>
      <c r="U61" s="20"/>
      <c r="V61" s="20"/>
      <c r="W61" s="20"/>
      <c r="X61" s="19"/>
      <c r="Y61" s="19"/>
      <c r="Z61" s="19"/>
      <c r="AA61" s="19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</row>
    <row r="62" spans="1:57" ht="13.5" customHeight="1">
      <c r="A62" s="4675"/>
      <c r="B62" s="500">
        <v>18</v>
      </c>
      <c r="C62" s="1514"/>
      <c r="D62" s="1123"/>
      <c r="E62" s="1517"/>
      <c r="F62" s="20"/>
      <c r="G62" s="31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9"/>
      <c r="Y62" s="19"/>
      <c r="Z62" s="19"/>
      <c r="AA62" s="19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</row>
    <row r="63" spans="1:57" ht="13.5" customHeight="1">
      <c r="A63" s="4675"/>
      <c r="B63" s="500">
        <v>19</v>
      </c>
      <c r="C63" s="1514"/>
      <c r="D63" s="1123"/>
      <c r="E63" s="1517"/>
      <c r="F63" s="20"/>
      <c r="G63" s="31"/>
      <c r="H63" s="20"/>
      <c r="I63" s="20"/>
      <c r="J63" s="20"/>
      <c r="K63" s="20"/>
      <c r="L63" s="20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</row>
    <row r="64" spans="1:57" ht="13.5" customHeight="1">
      <c r="A64" s="4675"/>
      <c r="B64" s="500">
        <v>20</v>
      </c>
      <c r="C64" s="1514"/>
      <c r="D64" s="1123"/>
      <c r="E64" s="1517"/>
      <c r="F64" s="20"/>
      <c r="G64" s="31"/>
      <c r="H64" s="20"/>
      <c r="I64" s="20"/>
      <c r="J64" s="20"/>
      <c r="K64" s="20"/>
      <c r="L64" s="20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</row>
    <row r="65" spans="1:57" ht="13.5" customHeight="1">
      <c r="A65" s="4675"/>
      <c r="B65" s="500">
        <v>21</v>
      </c>
      <c r="C65" s="1514"/>
      <c r="D65" s="1123"/>
      <c r="E65" s="1517"/>
      <c r="F65" s="20"/>
      <c r="G65" s="31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</row>
    <row r="66" spans="1:57" ht="13.5" customHeight="1">
      <c r="A66" s="4675"/>
      <c r="B66" s="500">
        <v>22</v>
      </c>
      <c r="C66" s="1514"/>
      <c r="D66" s="1123"/>
      <c r="E66" s="1517"/>
      <c r="F66" s="20"/>
      <c r="G66" s="31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</row>
    <row r="67" spans="1:57" ht="13.5" customHeight="1">
      <c r="A67" s="4675"/>
      <c r="B67" s="500">
        <v>23</v>
      </c>
      <c r="C67" s="1514"/>
      <c r="D67" s="1123"/>
      <c r="E67" s="1517"/>
      <c r="F67" s="20"/>
      <c r="G67" s="31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</row>
    <row r="68" spans="1:57" ht="13.5" customHeight="1">
      <c r="A68" s="4675"/>
      <c r="B68" s="500">
        <v>24</v>
      </c>
      <c r="C68" s="1514"/>
      <c r="D68" s="1123"/>
      <c r="E68" s="1517"/>
      <c r="F68" s="20"/>
      <c r="G68" s="31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</row>
    <row r="69" spans="1:57" ht="13.5" customHeight="1" thickBot="1">
      <c r="A69" s="4676"/>
      <c r="B69" s="501">
        <v>25</v>
      </c>
      <c r="C69" s="811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</row>
    <row r="70" spans="1:57" ht="13.5" customHeight="1">
      <c r="A70" s="3"/>
      <c r="B70" s="442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</row>
    <row r="71" spans="1:57" ht="13.5" customHeight="1">
      <c r="A71" s="3"/>
      <c r="B71" s="442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</row>
    <row r="72" spans="1:57" ht="13.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</row>
    <row r="73" spans="1:57" ht="13.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</row>
    <row r="74" spans="1:57" ht="13.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</row>
    <row r="75" spans="1:57" ht="13.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</row>
    <row r="76" spans="1:57" ht="13.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</row>
    <row r="77" spans="1:57" ht="13.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</row>
    <row r="78" spans="1:57" ht="13.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</row>
    <row r="79" spans="1:57" ht="13.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</row>
    <row r="80" spans="1:57" ht="13.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</row>
    <row r="81" spans="1:57" ht="13.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</row>
    <row r="82" spans="1:57" ht="13.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</row>
    <row r="83" spans="1:57" ht="13.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</row>
    <row r="84" spans="1:57" ht="13.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</row>
    <row r="85" spans="1:57" ht="13.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</row>
    <row r="86" spans="1:57" ht="13.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</row>
    <row r="87" spans="1:57" ht="13.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</row>
    <row r="88" spans="1:57" ht="13.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</row>
    <row r="89" spans="1:57" ht="13.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</row>
    <row r="90" spans="1:57" ht="13.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</row>
    <row r="91" spans="1:57" ht="13.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</row>
    <row r="92" spans="1:57" ht="13.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</row>
    <row r="93" spans="1:57" ht="13.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</row>
    <row r="94" spans="1:57" ht="13.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</row>
    <row r="95" spans="1:57" ht="13.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</row>
    <row r="96" spans="1:57" ht="13.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</row>
    <row r="97" spans="1:57" ht="13.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</row>
    <row r="98" spans="1:57" ht="13.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</row>
    <row r="99" spans="1:57" ht="13.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</row>
    <row r="100" spans="1:57" ht="13.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</row>
    <row r="101" spans="1:57" ht="13.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</row>
    <row r="102" spans="1:57" ht="13.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</row>
    <row r="103" spans="1:57" ht="13.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</row>
    <row r="104" spans="1:57" ht="13.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</row>
    <row r="105" spans="1:57" ht="13.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</row>
    <row r="106" spans="1:57" ht="13.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</row>
    <row r="107" spans="1:57" ht="13.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</row>
    <row r="108" spans="1:57" ht="13.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</row>
    <row r="109" spans="1:57" ht="13.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</row>
    <row r="110" spans="1:57" ht="13.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</row>
    <row r="111" spans="1:57" ht="13.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</row>
    <row r="112" spans="1:57" ht="13.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</row>
    <row r="113" spans="1:57" ht="13.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</row>
    <row r="114" spans="1:57" ht="13.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</row>
    <row r="115" spans="1:57" ht="13.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</row>
    <row r="116" spans="1:57" ht="13.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</row>
    <row r="117" spans="1:57" ht="13.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</row>
    <row r="118" spans="1:57" ht="13.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</row>
    <row r="119" spans="1:57" ht="13.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</row>
    <row r="120" spans="1:57" ht="13.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</row>
    <row r="121" spans="1:57" ht="13.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</row>
    <row r="122" spans="1:57" ht="13.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</row>
    <row r="123" spans="1:57" ht="13.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</row>
    <row r="124" spans="1:57" ht="13.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</row>
    <row r="125" spans="1:57" ht="13.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</row>
    <row r="126" spans="1:57" ht="13.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</row>
    <row r="127" spans="1:57" ht="13.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</row>
    <row r="128" spans="1:57" ht="13.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</row>
    <row r="129" spans="1:57" ht="13.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</row>
    <row r="130" spans="1:57" ht="13.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</row>
    <row r="131" spans="1:57" ht="13.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</row>
    <row r="132" spans="1:57" ht="13.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</row>
    <row r="133" spans="1:57" ht="13.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</row>
    <row r="134" spans="1:57" ht="13.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</row>
    <row r="135" spans="1:57" ht="13.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</row>
    <row r="136" spans="1:57" ht="13.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</row>
    <row r="137" spans="1:57" ht="13.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</row>
    <row r="138" spans="1:57" ht="13.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</row>
    <row r="139" spans="1:57" ht="13.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</row>
    <row r="140" spans="1:57" ht="13.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</row>
    <row r="141" spans="1:57" ht="13.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</row>
    <row r="142" spans="1:57" ht="13.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</row>
    <row r="143" spans="1:57" ht="13.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</row>
    <row r="144" spans="1:57" ht="13.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</row>
    <row r="145" spans="1:57" ht="13.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</row>
    <row r="146" spans="1:57" ht="13.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</row>
    <row r="147" spans="1:57" ht="13.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</row>
    <row r="148" spans="1:57" ht="13.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</row>
    <row r="149" spans="1:57" ht="13.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</row>
    <row r="150" spans="1:57" ht="13.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</row>
    <row r="151" spans="1:57" ht="13.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</row>
    <row r="152" spans="1:57" ht="13.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</row>
    <row r="153" spans="1:57" ht="13.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</row>
    <row r="154" spans="1:57" ht="13.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</row>
    <row r="155" spans="1:57" ht="13.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</row>
    <row r="156" spans="1:57" ht="13.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</row>
    <row r="157" spans="1:57" ht="13.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</row>
    <row r="158" spans="1:57" ht="13.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</row>
    <row r="159" spans="1:57" ht="13.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</row>
    <row r="160" spans="1:57" ht="13.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</row>
    <row r="161" spans="1:57" ht="13.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</row>
    <row r="162" spans="1:57" ht="13.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</row>
    <row r="163" spans="1:57" ht="13.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</row>
    <row r="164" spans="1:57" ht="13.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</row>
    <row r="165" spans="1:57" ht="13.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</row>
    <row r="166" spans="1:57" ht="13.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</row>
    <row r="167" spans="1:57" ht="13.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</row>
    <row r="168" spans="1:57" ht="13.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</row>
    <row r="169" spans="1:57" ht="13.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</row>
    <row r="170" spans="1:57" ht="13.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</row>
    <row r="171" spans="1:57" ht="13.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</row>
    <row r="172" spans="1:57" ht="13.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</row>
    <row r="173" spans="1:57" ht="13.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</row>
    <row r="174" spans="1:57" ht="13.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</row>
    <row r="175" spans="1:57" ht="13.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</row>
    <row r="176" spans="1:57" ht="13.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</row>
    <row r="177" spans="1:57" ht="13.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</row>
    <row r="178" spans="1:57" ht="13.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</row>
    <row r="179" spans="1:57" ht="13.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</row>
    <row r="180" spans="1:57" ht="13.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</row>
    <row r="181" spans="1:57" ht="13.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</row>
    <row r="182" spans="1:57" ht="13.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</row>
    <row r="183" spans="1:57" ht="13.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</row>
    <row r="184" spans="1:57" ht="13.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</row>
    <row r="185" spans="1:57" ht="13.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</row>
    <row r="186" spans="1:57" ht="13.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</row>
    <row r="187" spans="1:57" ht="13.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</row>
    <row r="188" spans="1:57" ht="13.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</row>
    <row r="189" spans="1:57" ht="13.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</row>
    <row r="190" spans="1:57" ht="13.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</row>
    <row r="191" spans="1:57" ht="13.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</row>
    <row r="192" spans="1:57" ht="13.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</row>
    <row r="193" spans="1:57" ht="13.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</row>
    <row r="194" spans="1:57" ht="13.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</row>
    <row r="195" spans="1:57" ht="13.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</row>
    <row r="196" spans="1:57" ht="13.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</row>
    <row r="197" spans="1:57" ht="13.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</row>
    <row r="198" spans="1:57" ht="13.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</row>
    <row r="199" spans="1:57" ht="13.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</row>
    <row r="200" spans="1:57" ht="13.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</row>
    <row r="201" spans="1:57" ht="13.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</row>
    <row r="202" spans="1:57" ht="13.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</row>
    <row r="203" spans="1:57" ht="13.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</row>
    <row r="204" spans="1:57" ht="13.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</row>
    <row r="205" spans="1:57" ht="13.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</row>
    <row r="206" spans="1:57" ht="13.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</row>
    <row r="207" spans="1:57" ht="13.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</row>
    <row r="208" spans="1:57" ht="13.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</row>
    <row r="209" spans="1:57" ht="13.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</row>
    <row r="210" spans="1:57" ht="13.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</row>
    <row r="211" spans="1:57" ht="13.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</row>
    <row r="212" spans="1:57" ht="13.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</row>
    <row r="213" spans="1:57" ht="13.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</row>
    <row r="214" spans="1:57" ht="13.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</row>
    <row r="215" spans="1:57" ht="13.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</row>
    <row r="216" spans="1:57" ht="13.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</row>
    <row r="217" spans="1:57" ht="13.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</row>
    <row r="218" spans="1:57" ht="13.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</row>
    <row r="219" spans="1:57" ht="13.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</row>
    <row r="220" spans="1:57" ht="13.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</row>
    <row r="221" spans="1:57" ht="13.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</row>
    <row r="222" spans="1:57" ht="13.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</row>
    <row r="223" spans="1:57" ht="13.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</row>
    <row r="224" spans="1:57" ht="13.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</row>
    <row r="225" spans="1:57" ht="13.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</row>
    <row r="226" spans="1:57" ht="13.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</row>
    <row r="227" spans="1:57" ht="13.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</row>
    <row r="228" spans="1:57" ht="13.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</row>
    <row r="229" spans="1:57" ht="13.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</row>
    <row r="230" spans="1:57" ht="13.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</row>
    <row r="231" spans="1:57" ht="13.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</row>
    <row r="232" spans="1:57" ht="13.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</row>
    <row r="233" spans="1:57" ht="13.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</row>
    <row r="234" spans="1:57" ht="13.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</row>
    <row r="235" spans="1:57" ht="13.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</row>
    <row r="236" spans="1:57" ht="13.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</row>
    <row r="237" spans="1:57" ht="13.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</row>
    <row r="238" spans="1:57" ht="13.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</row>
    <row r="239" spans="1:57" ht="13.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</row>
    <row r="240" spans="1:57" ht="13.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</row>
    <row r="241" spans="1:57" ht="13.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</row>
    <row r="242" spans="1:57" ht="13.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</row>
    <row r="243" spans="1:57" ht="13.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</row>
    <row r="244" spans="1:57" ht="13.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</row>
    <row r="245" spans="1:57" ht="13.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</row>
    <row r="246" spans="1:57" ht="13.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</row>
    <row r="247" spans="1:57" ht="13.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</row>
    <row r="248" spans="1:57" ht="13.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</row>
    <row r="249" spans="1:57" ht="13.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</row>
    <row r="250" spans="1:57" ht="13.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</row>
    <row r="251" spans="1:57" ht="13.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</row>
    <row r="252" spans="1:57" ht="13.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</row>
    <row r="253" spans="1:57" ht="13.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</row>
    <row r="254" spans="1:57" ht="13.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</row>
    <row r="255" spans="1:57" ht="13.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</row>
    <row r="256" spans="1:57" ht="13.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</row>
    <row r="257" spans="1:57" ht="13.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</row>
    <row r="258" spans="1:57" ht="13.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</row>
    <row r="259" spans="1:57" ht="13.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</row>
    <row r="260" spans="1:57" ht="13.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</row>
    <row r="261" spans="1:57" ht="13.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</row>
    <row r="262" spans="1:57" ht="13.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</row>
    <row r="263" spans="1:57" ht="13.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</row>
    <row r="264" spans="1:57" ht="13.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</row>
    <row r="265" spans="1:57" ht="13.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</row>
    <row r="266" spans="1:57" ht="13.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</row>
    <row r="267" spans="1:57" ht="13.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</row>
    <row r="268" spans="1:57" ht="13.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</row>
    <row r="269" spans="1:57" ht="13.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</row>
    <row r="270" spans="1:57" ht="15.75" customHeight="1"/>
    <row r="271" spans="1:57" ht="15.75" customHeight="1"/>
    <row r="272" spans="1:57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2">
    <mergeCell ref="A7:B8"/>
    <mergeCell ref="A37:E38"/>
    <mergeCell ref="F37:J38"/>
    <mergeCell ref="D42:G42"/>
    <mergeCell ref="H42:K42"/>
    <mergeCell ref="P42:S42"/>
    <mergeCell ref="T42:W42"/>
    <mergeCell ref="X42:AA42"/>
    <mergeCell ref="A9:A33"/>
    <mergeCell ref="A45:A69"/>
    <mergeCell ref="L42:O42"/>
    <mergeCell ref="A43:B44"/>
    <mergeCell ref="AN6:AS6"/>
    <mergeCell ref="AT6:AY6"/>
    <mergeCell ref="AZ6:BE6"/>
    <mergeCell ref="A1:J2"/>
    <mergeCell ref="D6:I6"/>
    <mergeCell ref="J6:O6"/>
    <mergeCell ref="P6:U6"/>
    <mergeCell ref="V6:AA6"/>
    <mergeCell ref="AB6:AG6"/>
    <mergeCell ref="AH6:AM6"/>
  </mergeCells>
  <phoneticPr fontId="275" type="noConversion"/>
  <conditionalFormatting sqref="D43:G43 P43:W43">
    <cfRule type="cellIs" dxfId="28" priority="5" operator="lessThan">
      <formula>8</formula>
    </cfRule>
    <cfRule type="cellIs" dxfId="27" priority="6" operator="lessThan">
      <formula>10</formula>
    </cfRule>
  </conditionalFormatting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7CAAC"/>
  </sheetPr>
  <dimension ref="A1:Z958"/>
  <sheetViews>
    <sheetView topLeftCell="A45" zoomScaleNormal="100" workbookViewId="0">
      <selection activeCell="D7" sqref="D7:E7"/>
    </sheetView>
  </sheetViews>
  <sheetFormatPr baseColWidth="10" defaultColWidth="14.42578125" defaultRowHeight="15" customHeight="1" outlineLevelRow="1"/>
  <cols>
    <col min="1" max="1" width="3.42578125" customWidth="1"/>
    <col min="2" max="2" width="8" customWidth="1"/>
    <col min="3" max="3" width="45.7109375" customWidth="1"/>
    <col min="4" max="4" width="8" customWidth="1"/>
    <col min="5" max="5" width="5.5703125" customWidth="1"/>
    <col min="6" max="6" width="6.28515625" customWidth="1"/>
    <col min="7" max="7" width="8.28515625" customWidth="1"/>
    <col min="8" max="8" width="23.42578125" customWidth="1"/>
    <col min="9" max="9" width="17.5703125" customWidth="1"/>
    <col min="10" max="12" width="10.5703125" customWidth="1"/>
    <col min="13" max="13" width="17.28515625" bestFit="1" customWidth="1"/>
    <col min="14" max="14" width="10.5703125" customWidth="1"/>
    <col min="15" max="26" width="14.42578125" customWidth="1"/>
  </cols>
  <sheetData>
    <row r="1" spans="1:26">
      <c r="A1" s="506"/>
      <c r="B1" s="506"/>
      <c r="C1" s="4710" t="s">
        <v>1649</v>
      </c>
      <c r="D1" s="4133"/>
      <c r="E1" s="4134"/>
      <c r="F1" s="506"/>
      <c r="G1" s="506"/>
      <c r="H1" s="506"/>
      <c r="I1" s="506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>
      <c r="A2" s="506"/>
      <c r="B2" s="506"/>
      <c r="C2" s="4711" t="s">
        <v>1650</v>
      </c>
      <c r="D2" s="4469"/>
      <c r="E2" s="506"/>
      <c r="F2" s="506"/>
      <c r="G2" s="506"/>
      <c r="H2" s="506"/>
      <c r="I2" s="506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thickBot="1">
      <c r="A3" s="506"/>
      <c r="B3" s="506"/>
      <c r="C3" s="4712" t="s">
        <v>1651</v>
      </c>
      <c r="D3" s="4469"/>
      <c r="E3" s="4469"/>
      <c r="F3" s="506"/>
      <c r="G3" s="506"/>
      <c r="H3" s="507"/>
      <c r="I3" s="507"/>
      <c r="J3" s="3" t="s">
        <v>1652</v>
      </c>
      <c r="K3" s="3"/>
      <c r="L3" s="3" t="s">
        <v>1623</v>
      </c>
      <c r="M3" s="3" t="s">
        <v>1624</v>
      </c>
      <c r="N3" s="3" t="s">
        <v>1688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thickBot="1">
      <c r="A4" s="506"/>
      <c r="B4" s="4713" t="s">
        <v>1653</v>
      </c>
      <c r="C4" s="4469"/>
      <c r="D4" s="4469"/>
      <c r="E4" s="4469"/>
      <c r="F4" s="4469"/>
      <c r="G4" s="506"/>
      <c r="H4" s="506"/>
      <c r="I4" s="506"/>
      <c r="J4" s="1520">
        <v>1</v>
      </c>
      <c r="K4" s="3"/>
      <c r="L4" s="3" t="s">
        <v>1621</v>
      </c>
      <c r="M4" s="3" t="s">
        <v>1622</v>
      </c>
      <c r="N4" s="3" t="s">
        <v>1689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thickBot="1">
      <c r="A5" s="506"/>
      <c r="B5" s="506"/>
      <c r="C5" s="506"/>
      <c r="D5" s="506"/>
      <c r="E5" s="506"/>
      <c r="F5" s="506"/>
      <c r="G5" s="506"/>
      <c r="H5" s="506"/>
      <c r="I5" s="506"/>
      <c r="J5" s="614" t="str">
        <f>'PREV KARDEX'!G40</f>
        <v>DIAP</v>
      </c>
      <c r="K5" s="3"/>
      <c r="L5" s="3" t="s">
        <v>1625</v>
      </c>
      <c r="M5" s="3" t="s">
        <v>1626</v>
      </c>
      <c r="N5" s="3" t="s">
        <v>1690</v>
      </c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thickTop="1" thickBot="1">
      <c r="A6" s="506"/>
      <c r="B6" s="509" t="s">
        <v>1654</v>
      </c>
      <c r="C6" s="615" t="str">
        <f>VLOOKUP(J4,'PREV KARDEX'!B45:C69,2,FALSE)</f>
        <v>MENDOZA GANDARIA IGNACIO</v>
      </c>
      <c r="D6" s="4714" t="s">
        <v>1655</v>
      </c>
      <c r="E6" s="4715"/>
      <c r="F6" s="4716" t="s">
        <v>1656</v>
      </c>
      <c r="G6" s="4715"/>
      <c r="H6" s="506"/>
      <c r="I6" s="506"/>
      <c r="J6" s="3"/>
      <c r="K6" s="3"/>
      <c r="L6" s="3" t="s">
        <v>1627</v>
      </c>
      <c r="M6" s="3" t="s">
        <v>1628</v>
      </c>
      <c r="N6" s="3" t="s">
        <v>1692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506"/>
      <c r="B7" s="3"/>
      <c r="C7" s="511" t="s">
        <v>1657</v>
      </c>
      <c r="D7" s="4717" t="str">
        <f>'PREV KARDEX'!D40</f>
        <v>DIAP'4</v>
      </c>
      <c r="E7" s="4546"/>
      <c r="F7" s="4718" t="s">
        <v>1604</v>
      </c>
      <c r="G7" s="4632"/>
      <c r="H7" s="512" t="str">
        <f>VLOOKUP(J5,L3:N6,2,FALSE)</f>
        <v>202162DIAyPP</v>
      </c>
      <c r="I7" s="1476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thickBot="1">
      <c r="A8" s="506"/>
      <c r="B8" s="506"/>
      <c r="C8" s="513" t="s">
        <v>1629</v>
      </c>
      <c r="D8" s="4719" t="s">
        <v>1688</v>
      </c>
      <c r="E8" s="4720"/>
      <c r="F8" s="4720"/>
      <c r="G8" s="4720"/>
      <c r="H8" s="4720"/>
      <c r="I8" s="506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outlineLevel="1">
      <c r="A9" s="506"/>
      <c r="B9" s="4686" t="s">
        <v>1606</v>
      </c>
      <c r="C9" s="4672"/>
      <c r="D9" s="4672"/>
      <c r="E9" s="4672"/>
      <c r="F9" s="4672"/>
      <c r="G9" s="4672"/>
      <c r="H9" s="4673"/>
      <c r="I9" s="1226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1" customHeight="1" outlineLevel="1">
      <c r="A10" s="506"/>
      <c r="B10" s="514" t="s">
        <v>1659</v>
      </c>
      <c r="C10" s="515" t="s">
        <v>1660</v>
      </c>
      <c r="D10" s="4687" t="s">
        <v>1661</v>
      </c>
      <c r="E10" s="4688"/>
      <c r="F10" s="4689" t="s">
        <v>1662</v>
      </c>
      <c r="G10" s="4690" t="s">
        <v>1394</v>
      </c>
      <c r="H10" s="4692" t="s">
        <v>1663</v>
      </c>
      <c r="I10" s="1477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outlineLevel="1">
      <c r="A11" s="506"/>
      <c r="B11" s="516"/>
      <c r="C11" s="517"/>
      <c r="D11" s="518" t="s">
        <v>1664</v>
      </c>
      <c r="E11" s="519" t="s">
        <v>1665</v>
      </c>
      <c r="F11" s="4167"/>
      <c r="G11" s="4691"/>
      <c r="H11" s="4693"/>
      <c r="I11" s="1226"/>
      <c r="J11" s="3"/>
      <c r="K11" s="3"/>
      <c r="L11" s="3">
        <v>300</v>
      </c>
      <c r="M11" s="3">
        <v>6.25</v>
      </c>
      <c r="N11" s="3" t="s">
        <v>1630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outlineLevel="1">
      <c r="A12" s="506"/>
      <c r="B12" s="520" t="str">
        <f>'PREV KARDEX'!$D$43</f>
        <v>DIAP14</v>
      </c>
      <c r="C12" s="616" t="str">
        <f>'PREV KARDEX'!$D$44</f>
        <v>DIAP14 GESTIÓN DE LA BIG DATA</v>
      </c>
      <c r="D12" s="520">
        <v>10</v>
      </c>
      <c r="E12" s="192">
        <v>5</v>
      </c>
      <c r="F12" s="1828">
        <f t="shared" ref="F12:F15" si="0">D12</f>
        <v>10</v>
      </c>
      <c r="G12" s="4709">
        <f>(F12+F13+F14+F15)/4</f>
        <v>10</v>
      </c>
      <c r="H12" s="4696" t="s">
        <v>4454</v>
      </c>
      <c r="I12" s="944"/>
      <c r="J12" s="3"/>
      <c r="K12" s="3"/>
      <c r="L12" s="3">
        <v>75</v>
      </c>
      <c r="M12" s="3">
        <v>5</v>
      </c>
      <c r="N12" s="3" t="s">
        <v>1621</v>
      </c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outlineLevel="1">
      <c r="A13" s="506"/>
      <c r="B13" s="520" t="str">
        <f>'PREV KARDEX'!$E$43</f>
        <v>DIAP01</v>
      </c>
      <c r="C13" s="616" t="str">
        <f>'PREV KARDEX'!$E$44</f>
        <v>DIAP01 ECONOMÍA DISRUPTIVA</v>
      </c>
      <c r="D13" s="520">
        <v>10</v>
      </c>
      <c r="E13" s="192">
        <v>2.5</v>
      </c>
      <c r="F13" s="1828">
        <f t="shared" si="0"/>
        <v>10</v>
      </c>
      <c r="G13" s="4162"/>
      <c r="H13" s="4697"/>
      <c r="I13" s="1226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outlineLevel="1">
      <c r="A14" s="506"/>
      <c r="B14" s="520" t="str">
        <f>'PREV KARDEX'!$F$43</f>
        <v>DIAP09</v>
      </c>
      <c r="C14" s="616" t="str">
        <f>'PREV KARDEX'!$F$44</f>
        <v xml:space="preserve">DIAP09 GESTIÓN DE LA CALIDAD </v>
      </c>
      <c r="D14" s="520">
        <f>VLOOKUP('KARDEX POSGRADOS'!J4,'PREV KARDEX'!B45:AA693,5,FALSE)</f>
        <v>10</v>
      </c>
      <c r="E14" s="192">
        <v>2.5</v>
      </c>
      <c r="F14" s="1828">
        <f t="shared" si="0"/>
        <v>10</v>
      </c>
      <c r="G14" s="4162"/>
      <c r="H14" s="4697"/>
      <c r="I14" s="1226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outlineLevel="1" thickBot="1">
      <c r="A15" s="506"/>
      <c r="B15" s="520" t="str">
        <f>'PREV KARDEX'!$G$43</f>
        <v>DIAP02</v>
      </c>
      <c r="C15" s="616" t="str">
        <f>'PREV KARDEX'!$G$44</f>
        <v>DIAP02 METODOLOGÍA DE LA INVESTIGACIÓN</v>
      </c>
      <c r="D15" s="520">
        <f>VLOOKUP('KARDEX POSGRADOS'!J4,'PREV KARDEX'!B45:AA693,6,FALSE)</f>
        <v>10</v>
      </c>
      <c r="E15" s="192">
        <v>5</v>
      </c>
      <c r="F15" s="1828">
        <f t="shared" si="0"/>
        <v>10</v>
      </c>
      <c r="G15" s="4695"/>
      <c r="H15" s="4697"/>
      <c r="I15" s="1226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outlineLevel="1" thickBot="1">
      <c r="A16" s="506"/>
      <c r="B16" s="524"/>
      <c r="C16" s="525"/>
      <c r="D16" s="526"/>
      <c r="E16" s="617">
        <f>SUM(E12:E15)</f>
        <v>15</v>
      </c>
      <c r="F16" s="3"/>
      <c r="G16" s="528"/>
      <c r="H16" s="529"/>
      <c r="I16" s="64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outlineLevel="1">
      <c r="A17" s="506"/>
      <c r="B17" s="4698" t="s">
        <v>1668</v>
      </c>
      <c r="C17" s="4699"/>
      <c r="D17" s="4702" t="s">
        <v>1595</v>
      </c>
      <c r="E17" s="4672"/>
      <c r="F17" s="4672"/>
      <c r="G17" s="530"/>
      <c r="H17" s="531" t="s">
        <v>1669</v>
      </c>
      <c r="I17" s="1480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4.1500000000000004" customHeight="1" outlineLevel="1" thickBot="1">
      <c r="A18" s="506"/>
      <c r="B18" s="4700"/>
      <c r="C18" s="4701"/>
      <c r="D18" s="4703"/>
      <c r="E18" s="4704"/>
      <c r="F18" s="4704"/>
      <c r="G18" s="532"/>
      <c r="H18" s="533"/>
      <c r="I18" s="1266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6" customHeight="1" thickBot="1">
      <c r="A19" s="506"/>
      <c r="B19" s="3"/>
      <c r="C19" s="3"/>
      <c r="D19" s="534"/>
      <c r="E19" s="3"/>
      <c r="F19" s="3"/>
      <c r="G19" s="299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 outlineLevel="1">
      <c r="A20" s="506"/>
      <c r="B20" s="4686" t="s">
        <v>1607</v>
      </c>
      <c r="C20" s="4672"/>
      <c r="D20" s="4672"/>
      <c r="E20" s="4672"/>
      <c r="F20" s="4672"/>
      <c r="G20" s="4672"/>
      <c r="H20" s="4673"/>
      <c r="I20" s="1226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1" customHeight="1" outlineLevel="1">
      <c r="A21" s="506"/>
      <c r="B21" s="535" t="s">
        <v>1659</v>
      </c>
      <c r="C21" s="518" t="s">
        <v>1660</v>
      </c>
      <c r="D21" s="4687" t="s">
        <v>1661</v>
      </c>
      <c r="E21" s="4688"/>
      <c r="F21" s="4689" t="s">
        <v>1662</v>
      </c>
      <c r="G21" s="4690" t="s">
        <v>1394</v>
      </c>
      <c r="H21" s="4692" t="s">
        <v>1663</v>
      </c>
      <c r="I21" s="1477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outlineLevel="1">
      <c r="A22" s="506"/>
      <c r="B22" s="516"/>
      <c r="C22" s="517"/>
      <c r="D22" s="518" t="s">
        <v>1664</v>
      </c>
      <c r="E22" s="519" t="s">
        <v>1665</v>
      </c>
      <c r="F22" s="4167"/>
      <c r="G22" s="4691"/>
      <c r="H22" s="4693"/>
      <c r="I22" s="1226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outlineLevel="1">
      <c r="A23" s="506"/>
      <c r="B23" s="520" t="str">
        <f>'PREV KARDEX'!$H$43</f>
        <v>DIAP10</v>
      </c>
      <c r="C23" s="616" t="str">
        <f>'PREV KARDEX'!$H$44</f>
        <v xml:space="preserve">DIAP10 GESTIÓN DE POLITICAS PUBLICAS I </v>
      </c>
      <c r="D23" s="520">
        <f>VLOOKUP('KARDEX POSGRADOS'!J4,'PREV KARDEX'!B45:AA693,7,FALSE)</f>
        <v>8.8000000000000007</v>
      </c>
      <c r="E23" s="192">
        <v>2.5</v>
      </c>
      <c r="F23" s="1828">
        <f t="shared" ref="F23:F26" si="1">D23</f>
        <v>8.8000000000000007</v>
      </c>
      <c r="G23" s="4709">
        <f>(F23+F24+F25+F26)/4</f>
        <v>9.5500000000000007</v>
      </c>
      <c r="H23" s="4696" t="s">
        <v>4454</v>
      </c>
      <c r="I23" s="944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outlineLevel="1">
      <c r="A24" s="506"/>
      <c r="B24" s="520" t="str">
        <f>'PREV KARDEX'!$I$43</f>
        <v>DIAP03</v>
      </c>
      <c r="C24" s="616" t="str">
        <f>'PREV KARDEX'!$I$44</f>
        <v>DIAP03 ANALISIS DE SISTEMAS</v>
      </c>
      <c r="D24" s="520">
        <f>VLOOKUP('KARDEX POSGRADOS'!J4,'PREV KARDEX'!B45:AA693,8,FALSE)</f>
        <v>9.4</v>
      </c>
      <c r="E24" s="192">
        <v>5</v>
      </c>
      <c r="F24" s="1828">
        <f t="shared" si="1"/>
        <v>9.4</v>
      </c>
      <c r="G24" s="4162"/>
      <c r="H24" s="4697"/>
      <c r="I24" s="1226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outlineLevel="1">
      <c r="A25" s="506"/>
      <c r="B25" s="520" t="str">
        <f>'PREV KARDEX'!$J$43</f>
        <v>DD04</v>
      </c>
      <c r="C25" s="616" t="str">
        <f>'PREV KARDEX'!$J$44</f>
        <v xml:space="preserve">DIAP04 SEMINARIO DE INGESTIGACIÓN </v>
      </c>
      <c r="D25" s="520">
        <f>VLOOKUP('KARDEX POSGRADOS'!J4,'PREV KARDEX'!B45:AA693,9,FALSE)</f>
        <v>10</v>
      </c>
      <c r="E25" s="192">
        <v>5</v>
      </c>
      <c r="F25" s="1828">
        <f t="shared" si="1"/>
        <v>10</v>
      </c>
      <c r="G25" s="4162"/>
      <c r="H25" s="4697"/>
      <c r="I25" s="1226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outlineLevel="1" thickBot="1">
      <c r="A26" s="506"/>
      <c r="B26" s="520" t="str">
        <f>'PREV KARDEX'!$K$43</f>
        <v>DD05</v>
      </c>
      <c r="C26" s="616" t="str">
        <f>'PREV KARDEX'!$K$44</f>
        <v>DIAP05 MODELOS DE INVESTIGACIÓN REGIONAL</v>
      </c>
      <c r="D26" s="520">
        <f>VLOOKUP('KARDEX POSGRADOS'!J4,'PREV KARDEX'!B45:AA693,10,FALSE)</f>
        <v>10</v>
      </c>
      <c r="E26" s="192">
        <v>2.5</v>
      </c>
      <c r="F26" s="1828">
        <f t="shared" si="1"/>
        <v>10</v>
      </c>
      <c r="G26" s="4695"/>
      <c r="H26" s="4697"/>
      <c r="I26" s="1226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outlineLevel="1" thickBot="1">
      <c r="A27" s="506"/>
      <c r="B27" s="524"/>
      <c r="C27" s="525"/>
      <c r="D27" s="526"/>
      <c r="E27" s="617">
        <f>SUM(E23:E26)</f>
        <v>15</v>
      </c>
      <c r="F27" s="3"/>
      <c r="G27" s="3"/>
      <c r="H27" s="529"/>
      <c r="I27" s="64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9.6" customHeight="1" outlineLevel="1">
      <c r="A28" s="506"/>
      <c r="B28" s="4698"/>
      <c r="C28" s="4699"/>
      <c r="D28" s="4702" t="s">
        <v>1595</v>
      </c>
      <c r="E28" s="4672"/>
      <c r="F28" s="4672"/>
      <c r="G28" s="530"/>
      <c r="H28" s="531" t="s">
        <v>1669</v>
      </c>
      <c r="I28" s="1478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0.15" customHeight="1" outlineLevel="1" thickBot="1">
      <c r="A29" s="506"/>
      <c r="B29" s="4700"/>
      <c r="C29" s="4701"/>
      <c r="D29" s="4703"/>
      <c r="E29" s="4704"/>
      <c r="F29" s="4704"/>
      <c r="G29" s="532"/>
      <c r="H29" s="533"/>
      <c r="I29" s="1266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thickBot="1">
      <c r="A30" s="506"/>
      <c r="B30" s="3"/>
      <c r="C30" s="3"/>
      <c r="D30" s="534"/>
      <c r="E30" s="3"/>
      <c r="F30" s="3"/>
      <c r="G30" s="299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outlineLevel="1">
      <c r="A31" s="506"/>
      <c r="B31" s="4686" t="s">
        <v>1608</v>
      </c>
      <c r="C31" s="4672"/>
      <c r="D31" s="4672"/>
      <c r="E31" s="4672"/>
      <c r="F31" s="4672"/>
      <c r="G31" s="4672"/>
      <c r="H31" s="4673"/>
      <c r="I31" s="1226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25" customHeight="1" outlineLevel="1">
      <c r="A32" s="506"/>
      <c r="B32" s="535" t="s">
        <v>1659</v>
      </c>
      <c r="C32" s="518" t="s">
        <v>1660</v>
      </c>
      <c r="D32" s="4687" t="s">
        <v>1661</v>
      </c>
      <c r="E32" s="4688"/>
      <c r="F32" s="4689" t="s">
        <v>1662</v>
      </c>
      <c r="G32" s="4690" t="s">
        <v>1394</v>
      </c>
      <c r="H32" s="4692" t="s">
        <v>1663</v>
      </c>
      <c r="I32" s="1477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outlineLevel="1">
      <c r="A33" s="506"/>
      <c r="B33" s="516"/>
      <c r="C33" s="517"/>
      <c r="D33" s="518" t="s">
        <v>1664</v>
      </c>
      <c r="E33" s="519" t="s">
        <v>1665</v>
      </c>
      <c r="F33" s="4167"/>
      <c r="G33" s="4691"/>
      <c r="H33" s="4693"/>
      <c r="I33" s="1226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 outlineLevel="1">
      <c r="A34" s="506"/>
      <c r="B34" s="520" t="str">
        <f>'PREV KARDEX'!$L$43</f>
        <v>DIAP06</v>
      </c>
      <c r="C34" s="616" t="str">
        <f>'PREV KARDEX'!$L$44</f>
        <v>DIAP06 PLANIFICACIÓN ESTRATEGICA</v>
      </c>
      <c r="D34" s="520">
        <f>VLOOKUP('KARDEX POSGRADOS'!J4,'PREV KARDEX'!B45:AA693,11,FALSE)</f>
        <v>9.4</v>
      </c>
      <c r="E34" s="192">
        <v>5</v>
      </c>
      <c r="F34" s="1828">
        <f t="shared" ref="F34:F37" si="2">D34</f>
        <v>9.4</v>
      </c>
      <c r="G34" s="4709">
        <f>AVERAGE(F34:F37)</f>
        <v>9.85</v>
      </c>
      <c r="H34" s="4696" t="s">
        <v>4454</v>
      </c>
      <c r="I34" s="944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outlineLevel="1">
      <c r="A35" s="506"/>
      <c r="B35" s="520" t="str">
        <f>'PREV KARDEX'!$M$43</f>
        <v>DIAP10</v>
      </c>
      <c r="C35" s="616" t="str">
        <f>'PREV KARDEX'!$M$44</f>
        <v>DIAP10 GESTIÓN DE POLITICAS PUBLICAS II</v>
      </c>
      <c r="D35" s="520">
        <f>VLOOKUP('KARDEX POSGRADOS'!J4,'PREV KARDEX'!B45:AA693,12,FALSE)</f>
        <v>10</v>
      </c>
      <c r="E35" s="192">
        <v>5</v>
      </c>
      <c r="F35" s="1828">
        <f t="shared" si="2"/>
        <v>10</v>
      </c>
      <c r="G35" s="4162"/>
      <c r="H35" s="4697"/>
      <c r="I35" s="1226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outlineLevel="1">
      <c r="A36" s="506"/>
      <c r="B36" s="520" t="str">
        <f>'PREV KARDEX'!$N$43</f>
        <v>DIAP12</v>
      </c>
      <c r="C36" s="616" t="str">
        <f>'PREV KARDEX'!$N$44</f>
        <v>DIAP12 DESARROLLO SUSTENTABLE</v>
      </c>
      <c r="D36" s="520">
        <f>VLOOKUP('KARDEX POSGRADOS'!J4,'PREV KARDEX'!B45:AA693,13,FALSE)</f>
        <v>10</v>
      </c>
      <c r="E36" s="192">
        <v>5</v>
      </c>
      <c r="F36" s="1828">
        <f t="shared" si="2"/>
        <v>10</v>
      </c>
      <c r="G36" s="4162"/>
      <c r="H36" s="4697"/>
      <c r="I36" s="1226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outlineLevel="1" thickBot="1">
      <c r="A37" s="506"/>
      <c r="B37" s="520" t="str">
        <f>'PREV KARDEX'!$O$43</f>
        <v>DIAP08</v>
      </c>
      <c r="C37" s="616" t="str">
        <f>'PREV KARDEX'!$O$44</f>
        <v>DIAP08 SIMPLIFICACIÓN DE PROCESOS y GESTION DE LA BIG DATA I</v>
      </c>
      <c r="D37" s="520">
        <f>VLOOKUP('KARDEX POSGRADOS'!J4,'PREV KARDEX'!B45:AA693,14,FALSE)</f>
        <v>10</v>
      </c>
      <c r="E37" s="192">
        <v>2.5</v>
      </c>
      <c r="F37" s="1828">
        <f t="shared" si="2"/>
        <v>10</v>
      </c>
      <c r="G37" s="4695"/>
      <c r="H37" s="4697"/>
      <c r="I37" s="1226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2" customHeight="1" outlineLevel="1" thickBot="1">
      <c r="A38" s="506"/>
      <c r="B38" s="4698" t="s">
        <v>1668</v>
      </c>
      <c r="C38" s="4699"/>
      <c r="E38" s="226">
        <f>SUM(E34:E37)</f>
        <v>17.5</v>
      </c>
      <c r="G38" s="530"/>
      <c r="H38" s="531" t="s">
        <v>1669</v>
      </c>
      <c r="I38" s="1478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9.6" customHeight="1" outlineLevel="1" thickBot="1">
      <c r="A39" s="506"/>
      <c r="B39" s="4700"/>
      <c r="C39" s="4701"/>
      <c r="D39" s="4702" t="s">
        <v>1595</v>
      </c>
      <c r="E39" s="4672"/>
      <c r="F39" s="4672"/>
      <c r="G39" s="532"/>
      <c r="H39" s="533"/>
      <c r="I39" s="1266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45" customHeight="1" thickBot="1">
      <c r="A40" s="506"/>
      <c r="B40" s="3"/>
      <c r="C40" s="3"/>
      <c r="D40" s="534"/>
      <c r="E40" s="3"/>
      <c r="F40" s="3"/>
      <c r="G40" s="299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outlineLevel="1">
      <c r="A41" s="506"/>
      <c r="B41" s="4686" t="s">
        <v>1609</v>
      </c>
      <c r="C41" s="4672"/>
      <c r="D41" s="4672"/>
      <c r="E41" s="4672"/>
      <c r="F41" s="4672"/>
      <c r="G41" s="4672"/>
      <c r="H41" s="4673"/>
      <c r="I41" s="1226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23.25" customHeight="1" outlineLevel="1">
      <c r="A42" s="506"/>
      <c r="B42" s="535" t="s">
        <v>1659</v>
      </c>
      <c r="C42" s="518" t="s">
        <v>1660</v>
      </c>
      <c r="D42" s="4687" t="s">
        <v>1661</v>
      </c>
      <c r="E42" s="4688"/>
      <c r="F42" s="4689" t="s">
        <v>1662</v>
      </c>
      <c r="G42" s="4690" t="s">
        <v>1394</v>
      </c>
      <c r="H42" s="4692" t="s">
        <v>1663</v>
      </c>
      <c r="I42" s="1477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 outlineLevel="1">
      <c r="A43" s="506"/>
      <c r="B43" s="516"/>
      <c r="C43" s="517"/>
      <c r="D43" s="518" t="s">
        <v>1664</v>
      </c>
      <c r="E43" s="519" t="s">
        <v>1665</v>
      </c>
      <c r="F43" s="4167"/>
      <c r="G43" s="4691"/>
      <c r="H43" s="4693"/>
      <c r="I43" s="1226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outlineLevel="1">
      <c r="A44" s="506"/>
      <c r="B44" s="520" t="str">
        <f>'PREV KARDEX'!$P$43</f>
        <v>DIAP13</v>
      </c>
      <c r="C44" s="616" t="str">
        <f>'PREV KARDEX'!$P$44</f>
        <v xml:space="preserve">DIAP13 INTELIGENCIA ARTIFICIAL I </v>
      </c>
      <c r="D44" s="520">
        <f>VLOOKUP('KARDEX POSGRADOS'!J4,'PREV KARDEX'!B45:AA693,15,FALSE)</f>
        <v>10</v>
      </c>
      <c r="E44" s="192">
        <v>2.5</v>
      </c>
      <c r="F44" s="1828">
        <f t="shared" ref="F44:F47" si="3">D44</f>
        <v>10</v>
      </c>
      <c r="G44" s="4709">
        <f>(F44+F45+F46+F47)/4</f>
        <v>9.9749999999999996</v>
      </c>
      <c r="H44" s="4696" t="s">
        <v>4454</v>
      </c>
      <c r="I44" s="944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outlineLevel="1">
      <c r="A45" s="506"/>
      <c r="B45" s="520" t="str">
        <f>'PREV KARDEX'!$Q$43</f>
        <v>DIAP13</v>
      </c>
      <c r="C45" s="616" t="str">
        <f>'PREV KARDEX'!$Q$44</f>
        <v>DIAP13 INTELIGENCIA ARTIFICIAL II</v>
      </c>
      <c r="D45" s="520">
        <f>VLOOKUP('KARDEX POSGRADOS'!J4,'PREV KARDEX'!B45:AA693,16,FALSE)</f>
        <v>10</v>
      </c>
      <c r="E45" s="192">
        <v>5</v>
      </c>
      <c r="F45" s="1828">
        <f t="shared" si="3"/>
        <v>10</v>
      </c>
      <c r="G45" s="4162"/>
      <c r="H45" s="4697"/>
      <c r="I45" s="1226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outlineLevel="1">
      <c r="A46" s="506"/>
      <c r="B46" s="520" t="str">
        <f>'PREV KARDEX'!$R$43</f>
        <v>DIAP14</v>
      </c>
      <c r="C46" s="616" t="str">
        <f>'PREV KARDEX'!$R$44</f>
        <v>DIAP14 GESTIÓN DE LA BIG DATA</v>
      </c>
      <c r="D46" s="520">
        <f>VLOOKUP('KARDEX POSGRADOS'!J4,'PREV KARDEX'!B45:AA693,17,FALSE)</f>
        <v>10</v>
      </c>
      <c r="E46" s="192">
        <v>2.5</v>
      </c>
      <c r="F46" s="1828">
        <f t="shared" si="3"/>
        <v>10</v>
      </c>
      <c r="G46" s="4162"/>
      <c r="H46" s="4697"/>
      <c r="I46" s="1226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outlineLevel="1" thickBot="1">
      <c r="A47" s="506"/>
      <c r="B47" s="520" t="str">
        <f>'PREV KARDEX'!$S$43</f>
        <v>DIP15</v>
      </c>
      <c r="C47" s="616" t="str">
        <f>'PREV KARDEX'!$S$44</f>
        <v xml:space="preserve">DIAP15 SEMINARIO DE EVALUACIÓN DE PROYECTOS </v>
      </c>
      <c r="D47" s="520">
        <f>VLOOKUP('KARDEX POSGRADOS'!J4,'PREV KARDEX'!B45:AA693,18,FALSE)</f>
        <v>9.9</v>
      </c>
      <c r="E47" s="192">
        <v>2.5</v>
      </c>
      <c r="F47" s="1828">
        <f t="shared" si="3"/>
        <v>9.9</v>
      </c>
      <c r="G47" s="4695"/>
      <c r="H47" s="4697"/>
      <c r="I47" s="1226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outlineLevel="1" thickBot="1">
      <c r="A48" s="506"/>
      <c r="B48" s="4698" t="s">
        <v>1668</v>
      </c>
      <c r="C48" s="4699"/>
      <c r="E48" s="226">
        <f>SUM(E44:E47)</f>
        <v>12.5</v>
      </c>
      <c r="G48" s="530"/>
      <c r="H48" s="531" t="s">
        <v>1669</v>
      </c>
      <c r="I48" s="1478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2" customHeight="1" outlineLevel="1" thickBot="1">
      <c r="A49" s="506"/>
      <c r="B49" s="4700"/>
      <c r="C49" s="4701"/>
      <c r="D49" s="4702" t="s">
        <v>1595</v>
      </c>
      <c r="E49" s="4672"/>
      <c r="F49" s="4672"/>
      <c r="G49" s="532"/>
      <c r="H49" s="533"/>
      <c r="I49" s="1266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6" customHeight="1" thickBot="1">
      <c r="A50" s="506"/>
      <c r="B50" s="3"/>
      <c r="C50" s="3"/>
      <c r="D50" s="534"/>
      <c r="E50" s="3"/>
      <c r="F50" s="3"/>
      <c r="G50" s="299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outlineLevel="1">
      <c r="A51" s="506"/>
      <c r="B51" s="4686" t="s">
        <v>1610</v>
      </c>
      <c r="C51" s="4672"/>
      <c r="D51" s="4672"/>
      <c r="E51" s="4672"/>
      <c r="F51" s="4672"/>
      <c r="G51" s="4672"/>
      <c r="H51" s="4673"/>
      <c r="I51" s="1226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21" customHeight="1" outlineLevel="1">
      <c r="A52" s="506"/>
      <c r="B52" s="535" t="s">
        <v>1659</v>
      </c>
      <c r="C52" s="518" t="s">
        <v>1660</v>
      </c>
      <c r="D52" s="4687" t="s">
        <v>1661</v>
      </c>
      <c r="E52" s="4688"/>
      <c r="F52" s="4689" t="s">
        <v>1662</v>
      </c>
      <c r="G52" s="4690" t="s">
        <v>1394</v>
      </c>
      <c r="H52" s="4692" t="s">
        <v>1663</v>
      </c>
      <c r="I52" s="1477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 outlineLevel="1">
      <c r="A53" s="506"/>
      <c r="B53" s="516"/>
      <c r="C53" s="517"/>
      <c r="D53" s="518" t="s">
        <v>1664</v>
      </c>
      <c r="E53" s="519" t="s">
        <v>1665</v>
      </c>
      <c r="F53" s="4167"/>
      <c r="G53" s="4691"/>
      <c r="H53" s="4693"/>
      <c r="I53" s="1226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 outlineLevel="1">
      <c r="A54" s="506"/>
      <c r="B54" s="520" t="str">
        <f>'PREV KARDEX'!$T$43</f>
        <v>DIAP08</v>
      </c>
      <c r="C54" s="616" t="str">
        <f>'PREV KARDEX'!$T$44</f>
        <v xml:space="preserve"> DIAP 08 SIMPLIFICACIÓN DE PROCESOS Y ESTANDARIZACION</v>
      </c>
      <c r="D54" s="520">
        <f>VLOOKUP('KARDEX POSGRADOS'!J4,'PREV KARDEX'!B45:AA693,19,FALSE)</f>
        <v>10</v>
      </c>
      <c r="E54" s="192">
        <v>2.5</v>
      </c>
      <c r="F54" s="1828">
        <f t="shared" ref="F54:F57" si="4">D54</f>
        <v>10</v>
      </c>
      <c r="G54" s="4694">
        <f>AVERAGE(F54:F57)</f>
        <v>10</v>
      </c>
      <c r="H54" s="4696" t="s">
        <v>4454</v>
      </c>
      <c r="I54" s="944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outlineLevel="1">
      <c r="A55" s="506"/>
      <c r="B55" s="520" t="str">
        <f>'PREV KARDEX'!$U$43</f>
        <v>DIAP11</v>
      </c>
      <c r="C55" s="616" t="str">
        <f>'PREV KARDEX'!$U$44</f>
        <v xml:space="preserve">DIAP 11 INNOVACIÓN Y DESARROLLO I </v>
      </c>
      <c r="D55" s="520">
        <f>VLOOKUP('KARDEX POSGRADOS'!J4,'PREV KARDEX'!B45:AA693,20,FALSE)</f>
        <v>10</v>
      </c>
      <c r="E55" s="192">
        <v>5</v>
      </c>
      <c r="F55" s="1828">
        <f t="shared" si="4"/>
        <v>10</v>
      </c>
      <c r="G55" s="4162"/>
      <c r="H55" s="4697"/>
      <c r="I55" s="1226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 outlineLevel="1">
      <c r="A56" s="506"/>
      <c r="B56" s="520" t="str">
        <f>'PREV KARDEX'!$V$43</f>
        <v>DIAP11</v>
      </c>
      <c r="C56" s="616" t="str">
        <f>'PREV KARDEX'!$V$44</f>
        <v>DIAP11 INNOVACIÓN Y DESARROLLO Il</v>
      </c>
      <c r="D56" s="520">
        <f>VLOOKUP('KARDEX POSGRADOS'!J4,'PREV KARDEX'!B45:AA693,21,FALSE)</f>
        <v>10</v>
      </c>
      <c r="E56" s="192">
        <v>2.5</v>
      </c>
      <c r="F56" s="1828">
        <f t="shared" si="4"/>
        <v>10</v>
      </c>
      <c r="G56" s="4162"/>
      <c r="H56" s="4697"/>
      <c r="I56" s="1226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 outlineLevel="1" thickBot="1">
      <c r="A57" s="506"/>
      <c r="B57" s="520" t="str">
        <f>'PREV KARDEX'!$W$43</f>
        <v>DIAP07</v>
      </c>
      <c r="C57" s="616" t="str">
        <f>'PREV KARDEX'!$W$44</f>
        <v xml:space="preserve">DIAP07 GESTIÓN DEL CAMBIO </v>
      </c>
      <c r="D57" s="520">
        <f>VLOOKUP('KARDEX POSGRADOS'!J4,'PREV KARDEX'!B45:AA693,22,FALSE)</f>
        <v>10</v>
      </c>
      <c r="E57" s="192">
        <v>5</v>
      </c>
      <c r="F57" s="1828">
        <f t="shared" si="4"/>
        <v>10</v>
      </c>
      <c r="G57" s="4695"/>
      <c r="H57" s="4697"/>
      <c r="I57" s="1226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 outlineLevel="1" thickBot="1">
      <c r="A58" s="506"/>
      <c r="B58" s="524"/>
      <c r="C58" s="618"/>
      <c r="D58" s="619"/>
      <c r="E58" s="617">
        <f>SUM(E54:E57)</f>
        <v>15</v>
      </c>
      <c r="F58" s="620"/>
      <c r="G58" s="621"/>
      <c r="H58" s="529"/>
      <c r="I58" s="64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 outlineLevel="1">
      <c r="A59" s="506"/>
      <c r="B59" s="4698" t="s">
        <v>1668</v>
      </c>
      <c r="C59" s="4699"/>
      <c r="D59" s="4702" t="s">
        <v>1595</v>
      </c>
      <c r="E59" s="4672"/>
      <c r="F59" s="4672"/>
      <c r="G59" s="530"/>
      <c r="H59" s="531" t="s">
        <v>1669</v>
      </c>
      <c r="I59" s="1478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 outlineLevel="1" thickBot="1">
      <c r="A60" s="506"/>
      <c r="B60" s="4700"/>
      <c r="C60" s="4701"/>
      <c r="D60" s="4703"/>
      <c r="E60" s="4704"/>
      <c r="F60" s="4704"/>
      <c r="G60" s="532"/>
      <c r="H60" s="533"/>
      <c r="I60" s="1266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506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506"/>
      <c r="B62" s="506"/>
      <c r="C62" s="506"/>
      <c r="D62" s="506"/>
      <c r="E62" s="506"/>
      <c r="F62" s="506"/>
      <c r="G62" s="506"/>
      <c r="H62" s="506"/>
      <c r="I62" s="506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 thickBot="1">
      <c r="A63" s="506"/>
      <c r="B63" s="227"/>
      <c r="C63" s="227"/>
      <c r="D63" s="227"/>
      <c r="E63" s="622" t="s">
        <v>1671</v>
      </c>
      <c r="F63" s="539"/>
      <c r="G63" s="4705">
        <f ca="1">TODAY()</f>
        <v>45969</v>
      </c>
      <c r="H63" s="4469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506"/>
      <c r="B64" s="227"/>
      <c r="C64" s="227"/>
      <c r="D64" s="227"/>
      <c r="E64" s="4706" t="s">
        <v>3842</v>
      </c>
      <c r="F64" s="4707"/>
      <c r="G64" s="4708"/>
      <c r="H64" s="227"/>
      <c r="I64" s="227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 thickBot="1">
      <c r="A65" s="506"/>
      <c r="B65" s="540"/>
      <c r="C65" s="540"/>
      <c r="D65" s="299"/>
      <c r="E65" s="4678">
        <f>E16+E27+E38+E48+E58</f>
        <v>75</v>
      </c>
      <c r="F65" s="4679"/>
      <c r="G65" s="4680"/>
      <c r="H65" s="299"/>
      <c r="I65" s="299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 thickBot="1">
      <c r="A66" s="506"/>
      <c r="B66" s="299"/>
      <c r="C66" s="542" t="s">
        <v>3841</v>
      </c>
      <c r="D66" s="299"/>
      <c r="E66" s="4681" t="s">
        <v>1518</v>
      </c>
      <c r="F66" s="4469"/>
      <c r="G66" s="4682"/>
      <c r="H66" s="299"/>
      <c r="I66" s="299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 thickBot="1">
      <c r="A67" s="506"/>
      <c r="B67" s="299"/>
      <c r="C67" s="196" t="s">
        <v>1600</v>
      </c>
      <c r="D67" s="299"/>
      <c r="E67" s="4683">
        <f>(G12+G23+G34+G44+G54)/5</f>
        <v>9.875</v>
      </c>
      <c r="F67" s="4684"/>
      <c r="G67" s="4685"/>
      <c r="H67" s="299"/>
      <c r="I67" s="299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506"/>
      <c r="B68" s="299"/>
      <c r="C68" s="299"/>
      <c r="D68" s="299"/>
      <c r="E68" s="299"/>
      <c r="F68" s="299"/>
      <c r="G68" s="299"/>
      <c r="H68" s="299"/>
      <c r="I68" s="299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506"/>
      <c r="B69" s="506"/>
      <c r="C69" s="191" t="s">
        <v>1672</v>
      </c>
      <c r="D69" s="506"/>
      <c r="E69" s="506"/>
      <c r="F69" s="506"/>
      <c r="G69" s="506"/>
      <c r="H69" s="506"/>
      <c r="I69" s="506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506"/>
      <c r="B70" s="623"/>
      <c r="C70" s="191" t="s">
        <v>1693</v>
      </c>
      <c r="D70" s="506"/>
      <c r="E70" s="506"/>
      <c r="F70" s="227"/>
      <c r="G70" s="506"/>
      <c r="H70" s="624"/>
      <c r="I70" s="1479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506"/>
      <c r="B71" s="2"/>
      <c r="C71" s="2"/>
      <c r="D71" s="2"/>
      <c r="E71" s="2"/>
      <c r="F71" s="2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506"/>
      <c r="B72" s="2"/>
      <c r="C72" s="2"/>
      <c r="D72" s="2"/>
      <c r="E72" s="2"/>
      <c r="F72" s="2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506"/>
      <c r="B73" s="2"/>
      <c r="C73" s="2"/>
      <c r="D73" s="2"/>
      <c r="E73" s="2"/>
      <c r="F73" s="2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506"/>
      <c r="B74" s="2"/>
      <c r="C74" s="2"/>
      <c r="D74" s="2"/>
      <c r="E74" s="2"/>
      <c r="F74" s="2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506"/>
      <c r="B75" s="2"/>
      <c r="C75" s="2"/>
      <c r="D75" s="2"/>
      <c r="E75" s="2"/>
      <c r="F75" s="2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506"/>
      <c r="B76" s="506"/>
      <c r="C76" s="506"/>
      <c r="D76" s="506"/>
      <c r="E76" s="506"/>
      <c r="F76" s="506"/>
      <c r="G76" s="506"/>
      <c r="H76" s="506"/>
      <c r="I76" s="506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506"/>
      <c r="B77" s="2"/>
      <c r="C77" s="2"/>
      <c r="D77" s="2"/>
      <c r="E77" s="2"/>
      <c r="F77" s="2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/>
    <row r="272" spans="1:26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</sheetData>
  <mergeCells count="62">
    <mergeCell ref="G23:G26"/>
    <mergeCell ref="H23:H26"/>
    <mergeCell ref="H32:H33"/>
    <mergeCell ref="G34:G37"/>
    <mergeCell ref="H34:H37"/>
    <mergeCell ref="B28:C29"/>
    <mergeCell ref="D28:F28"/>
    <mergeCell ref="B17:C18"/>
    <mergeCell ref="D17:F17"/>
    <mergeCell ref="D18:F18"/>
    <mergeCell ref="D7:E7"/>
    <mergeCell ref="F7:G7"/>
    <mergeCell ref="G12:G15"/>
    <mergeCell ref="H12:H15"/>
    <mergeCell ref="B9:H9"/>
    <mergeCell ref="D10:E10"/>
    <mergeCell ref="F10:F11"/>
    <mergeCell ref="G10:G11"/>
    <mergeCell ref="H10:H11"/>
    <mergeCell ref="D8:H8"/>
    <mergeCell ref="C1:E1"/>
    <mergeCell ref="C2:D2"/>
    <mergeCell ref="C3:E3"/>
    <mergeCell ref="B4:F4"/>
    <mergeCell ref="D6:E6"/>
    <mergeCell ref="F6:G6"/>
    <mergeCell ref="G44:G47"/>
    <mergeCell ref="H44:H47"/>
    <mergeCell ref="B48:C49"/>
    <mergeCell ref="D49:F49"/>
    <mergeCell ref="B20:H20"/>
    <mergeCell ref="D21:E21"/>
    <mergeCell ref="F21:F22"/>
    <mergeCell ref="G21:G22"/>
    <mergeCell ref="H21:H22"/>
    <mergeCell ref="D32:E32"/>
    <mergeCell ref="B38:C39"/>
    <mergeCell ref="D39:F39"/>
    <mergeCell ref="D29:F29"/>
    <mergeCell ref="B31:H31"/>
    <mergeCell ref="F32:F33"/>
    <mergeCell ref="G32:G33"/>
    <mergeCell ref="B41:H41"/>
    <mergeCell ref="D42:E42"/>
    <mergeCell ref="F42:F43"/>
    <mergeCell ref="G42:G43"/>
    <mergeCell ref="H42:H43"/>
    <mergeCell ref="E65:G65"/>
    <mergeCell ref="E66:G66"/>
    <mergeCell ref="E67:G67"/>
    <mergeCell ref="B51:H51"/>
    <mergeCell ref="D52:E52"/>
    <mergeCell ref="F52:F53"/>
    <mergeCell ref="G52:G53"/>
    <mergeCell ref="H52:H53"/>
    <mergeCell ref="G54:G57"/>
    <mergeCell ref="H54:H57"/>
    <mergeCell ref="B59:C60"/>
    <mergeCell ref="D59:F59"/>
    <mergeCell ref="D60:F60"/>
    <mergeCell ref="G63:H63"/>
    <mergeCell ref="E64:G64"/>
  </mergeCells>
  <conditionalFormatting sqref="D12:D15 D23:D26 D34:D37 D44:D47 D54:D58 F12:F15 F54:F58 F23:F26 F34:F37 F44:F47">
    <cfRule type="cellIs" dxfId="26" priority="1" operator="equal">
      <formula>10</formula>
    </cfRule>
  </conditionalFormatting>
  <printOptions horizontalCentered="1"/>
  <pageMargins left="0" right="0" top="0" bottom="0" header="0" footer="0"/>
  <pageSetup orientation="portrait" r:id="rId1"/>
  <rowBreaks count="1" manualBreakCount="1">
    <brk id="49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FFC000"/>
  </sheetPr>
  <dimension ref="A1:Z1007"/>
  <sheetViews>
    <sheetView workbookViewId="0">
      <selection activeCell="I1" sqref="I1"/>
    </sheetView>
  </sheetViews>
  <sheetFormatPr baseColWidth="10" defaultColWidth="14.42578125" defaultRowHeight="15" customHeight="1" outlineLevelRow="1"/>
  <cols>
    <col min="1" max="1" width="3.42578125" customWidth="1"/>
    <col min="2" max="2" width="6.7109375" customWidth="1"/>
    <col min="3" max="3" width="40" customWidth="1"/>
    <col min="4" max="4" width="8" customWidth="1"/>
    <col min="5" max="5" width="5.5703125" customWidth="1"/>
    <col min="6" max="6" width="8.140625" customWidth="1"/>
    <col min="7" max="7" width="5.5703125" customWidth="1"/>
    <col min="8" max="8" width="10.5703125" customWidth="1"/>
    <col min="9" max="9" width="2.7109375" customWidth="1"/>
    <col min="10" max="14" width="10.5703125" customWidth="1"/>
    <col min="15" max="26" width="14.42578125" customWidth="1"/>
  </cols>
  <sheetData>
    <row r="1" spans="1:26">
      <c r="A1" s="506"/>
      <c r="B1" s="506"/>
      <c r="C1" s="4710" t="s">
        <v>1649</v>
      </c>
      <c r="D1" s="4133"/>
      <c r="E1" s="4134"/>
      <c r="F1" s="506"/>
      <c r="G1" s="506"/>
      <c r="H1" s="506"/>
      <c r="I1" s="299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>
      <c r="A2" s="506"/>
      <c r="B2" s="506"/>
      <c r="C2" s="4711" t="s">
        <v>1650</v>
      </c>
      <c r="D2" s="4469"/>
      <c r="E2" s="506"/>
      <c r="F2" s="506"/>
      <c r="G2" s="506"/>
      <c r="H2" s="506"/>
      <c r="I2" s="506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thickBot="1">
      <c r="A3" s="506"/>
      <c r="B3" s="506"/>
      <c r="C3" s="4712" t="s">
        <v>1651</v>
      </c>
      <c r="D3" s="4469"/>
      <c r="E3" s="4469"/>
      <c r="F3" s="506"/>
      <c r="G3" s="506"/>
      <c r="H3" s="507"/>
      <c r="I3" s="506"/>
      <c r="J3" s="1" t="s">
        <v>1652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thickBot="1">
      <c r="A4" s="506"/>
      <c r="B4" s="4713" t="s">
        <v>1653</v>
      </c>
      <c r="C4" s="4469"/>
      <c r="D4" s="4469"/>
      <c r="E4" s="4469"/>
      <c r="F4" s="4469"/>
      <c r="G4" s="506"/>
      <c r="H4" s="506"/>
      <c r="I4" s="506"/>
      <c r="J4" s="508">
        <v>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thickBot="1">
      <c r="A5" s="506"/>
      <c r="B5" s="506"/>
      <c r="C5" s="506"/>
      <c r="D5" s="506"/>
      <c r="E5" s="506"/>
      <c r="F5" s="506"/>
      <c r="G5" s="506"/>
      <c r="H5" s="506"/>
      <c r="I5" s="299"/>
      <c r="J5" s="1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6.5" thickTop="1" thickBot="1">
      <c r="A6" s="506"/>
      <c r="B6" s="509" t="s">
        <v>1654</v>
      </c>
      <c r="C6" s="510" t="str">
        <f>VLOOKUP('KARDE LD'!J4,'PREV KARDEX'!B9:BE33,2,)</f>
        <v>GONZALEZ MARTIN JOANHA</v>
      </c>
      <c r="D6" s="4714" t="s">
        <v>1655</v>
      </c>
      <c r="E6" s="4715"/>
      <c r="F6" s="4716" t="s">
        <v>1656</v>
      </c>
      <c r="G6" s="4715"/>
      <c r="H6" s="506"/>
      <c r="I6" s="506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506"/>
      <c r="B7" s="506"/>
      <c r="C7" s="511" t="s">
        <v>1657</v>
      </c>
      <c r="D7" s="4717" t="str">
        <f>'PREV KARDEX'!D4</f>
        <v>JTLD04</v>
      </c>
      <c r="E7" s="4546"/>
      <c r="F7" s="4718" t="s">
        <v>1604</v>
      </c>
      <c r="G7" s="4632"/>
      <c r="H7" s="512" t="s">
        <v>1605</v>
      </c>
      <c r="I7" s="506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thickBot="1">
      <c r="A8" s="506"/>
      <c r="B8" s="506"/>
      <c r="C8" s="513" t="s">
        <v>1629</v>
      </c>
      <c r="D8" s="4727" t="s">
        <v>1658</v>
      </c>
      <c r="E8" s="4428"/>
      <c r="F8" s="4428"/>
      <c r="G8" s="4636"/>
      <c r="H8" s="506"/>
      <c r="I8" s="506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outlineLevel="1">
      <c r="A9" s="506"/>
      <c r="B9" s="4686" t="s">
        <v>1606</v>
      </c>
      <c r="C9" s="4672"/>
      <c r="D9" s="4672"/>
      <c r="E9" s="4672"/>
      <c r="F9" s="4672"/>
      <c r="G9" s="4672"/>
      <c r="H9" s="4673"/>
      <c r="I9" s="299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5" customHeight="1" outlineLevel="1">
      <c r="A10" s="506"/>
      <c r="B10" s="514" t="s">
        <v>1659</v>
      </c>
      <c r="C10" s="515" t="s">
        <v>1660</v>
      </c>
      <c r="D10" s="4687" t="s">
        <v>1661</v>
      </c>
      <c r="E10" s="4688"/>
      <c r="F10" s="4689" t="s">
        <v>1662</v>
      </c>
      <c r="G10" s="4690" t="s">
        <v>1394</v>
      </c>
      <c r="H10" s="4692" t="s">
        <v>1663</v>
      </c>
      <c r="I10" s="299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outlineLevel="1">
      <c r="A11" s="506"/>
      <c r="B11" s="516"/>
      <c r="C11" s="517"/>
      <c r="D11" s="518" t="s">
        <v>1664</v>
      </c>
      <c r="E11" s="519" t="s">
        <v>1665</v>
      </c>
      <c r="F11" s="4167"/>
      <c r="G11" s="4691"/>
      <c r="H11" s="4693"/>
      <c r="I11" s="299"/>
      <c r="J11" s="3"/>
      <c r="K11" s="3"/>
      <c r="L11" s="3">
        <v>300</v>
      </c>
      <c r="M11" s="3">
        <v>6.25</v>
      </c>
      <c r="N11" s="3" t="s">
        <v>1630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outlineLevel="1">
      <c r="A12" s="506"/>
      <c r="B12" s="520" t="str">
        <f>'PREV KARDEX'!$D$7</f>
        <v>34LD</v>
      </c>
      <c r="C12" s="520" t="str">
        <f>'PREV KARDEX'!$D$8</f>
        <v>GESTIÓN DEL EMPRENDIMIENTO</v>
      </c>
      <c r="D12" s="521">
        <f>VLOOKUP('KARDE LD'!J4,'PREV KARDEX'!B9:BE33,3,)</f>
        <v>10</v>
      </c>
      <c r="E12" s="522">
        <v>6.25</v>
      </c>
      <c r="F12" s="1975">
        <f t="shared" ref="F12:F17" si="0">D12</f>
        <v>10</v>
      </c>
      <c r="G12" s="4694">
        <f>AVERAGE(F12:F17)</f>
        <v>9.8166666666666664</v>
      </c>
      <c r="H12" s="4728" t="s">
        <v>4447</v>
      </c>
      <c r="I12" s="299"/>
      <c r="J12" s="3"/>
      <c r="K12" s="3"/>
      <c r="L12" s="3">
        <v>75</v>
      </c>
      <c r="M12" s="3">
        <v>5</v>
      </c>
      <c r="N12" s="3" t="s">
        <v>1621</v>
      </c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outlineLevel="1">
      <c r="A13" s="506"/>
      <c r="B13" s="520" t="str">
        <f>'PREV KARDEX'!$E$7</f>
        <v>35LD</v>
      </c>
      <c r="C13" s="520" t="str">
        <f>'PREV KARDEX'!$E$8</f>
        <v>MEDIOS ALTERNOS DE SOLUCIÓN DE CONFLICTOS</v>
      </c>
      <c r="D13" s="520">
        <f>VLOOKUP('KARDE LD'!J4,'PREV KARDEX'!B9:BE33,4,)</f>
        <v>8.9</v>
      </c>
      <c r="E13" s="522">
        <v>6.25</v>
      </c>
      <c r="F13" s="1975">
        <f t="shared" si="0"/>
        <v>8.9</v>
      </c>
      <c r="G13" s="4162"/>
      <c r="H13" s="4729"/>
      <c r="I13" s="299"/>
      <c r="J13" s="3"/>
      <c r="K13" s="3"/>
      <c r="L13" s="3">
        <v>75</v>
      </c>
      <c r="M13" s="3">
        <v>5</v>
      </c>
      <c r="N13" s="3" t="s">
        <v>1625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outlineLevel="1">
      <c r="A14" s="506"/>
      <c r="B14" s="520" t="str">
        <f>'PREV KARDEX'!$F$7</f>
        <v>28LD</v>
      </c>
      <c r="C14" s="520" t="str">
        <f>'PREV KARDEX'!$F$8</f>
        <v>SOCIEDADES MERCANTILES</v>
      </c>
      <c r="D14" s="521">
        <f>VLOOKUP('KARDE LD'!J4,'PREV KARDEX'!B9:BE33,5,)</f>
        <v>10</v>
      </c>
      <c r="E14" s="522">
        <v>6.25</v>
      </c>
      <c r="F14" s="1975">
        <f t="shared" si="0"/>
        <v>10</v>
      </c>
      <c r="G14" s="4162"/>
      <c r="H14" s="4729"/>
      <c r="I14" s="299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outlineLevel="1">
      <c r="A15" s="506"/>
      <c r="B15" s="520" t="str">
        <f>'PREV KARDEX'!$G$7</f>
        <v>11LD</v>
      </c>
      <c r="C15" s="520" t="str">
        <f>'PREV KARDEX'!$G$8</f>
        <v xml:space="preserve">MEDIACIÓN PRIVADA </v>
      </c>
      <c r="D15" s="521">
        <f>VLOOKUP('KARDE LD'!J4,'PREV KARDEX'!B9:BE33,6,)</f>
        <v>10</v>
      </c>
      <c r="E15" s="522">
        <v>6.25</v>
      </c>
      <c r="F15" s="1975">
        <f t="shared" si="0"/>
        <v>10</v>
      </c>
      <c r="G15" s="4162"/>
      <c r="H15" s="4729"/>
      <c r="I15" s="299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outlineLevel="1">
      <c r="A16" s="506"/>
      <c r="B16" s="520" t="str">
        <f>'PREV KARDEX'!$H$7</f>
        <v>12LD</v>
      </c>
      <c r="C16" s="520" t="str">
        <f>'PREV KARDEX'!$H$8</f>
        <v>TECNICAS DE EXPRESIÓN ORAL Y ESCRITA</v>
      </c>
      <c r="D16" s="521">
        <f>VLOOKUP('KARDE LD'!J4,'PREV KARDEX'!B9:BE33,7,)</f>
        <v>10</v>
      </c>
      <c r="E16" s="522">
        <v>6.25</v>
      </c>
      <c r="F16" s="1975">
        <f t="shared" si="0"/>
        <v>10</v>
      </c>
      <c r="G16" s="4162"/>
      <c r="H16" s="4729"/>
      <c r="I16" s="299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outlineLevel="1">
      <c r="A17" s="506"/>
      <c r="B17" s="520" t="str">
        <f>'PREV KARDEX'!$I$7</f>
        <v>07LD</v>
      </c>
      <c r="C17" s="520" t="str">
        <f>'PREV KARDEX'!$I$8</f>
        <v>JUICIOS ORALES</v>
      </c>
      <c r="D17" s="521">
        <f>VLOOKUP('KARDE LD'!J4,'PREV KARDEX'!B9:BE33,8,)</f>
        <v>10</v>
      </c>
      <c r="E17" s="522">
        <v>6.25</v>
      </c>
      <c r="F17" s="1975">
        <f t="shared" si="0"/>
        <v>10</v>
      </c>
      <c r="G17" s="4695"/>
      <c r="H17" s="4729"/>
      <c r="I17" s="299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outlineLevel="1">
      <c r="A18" s="506"/>
      <c r="B18" s="524"/>
      <c r="C18" s="525"/>
      <c r="D18" s="526" t="s">
        <v>1667</v>
      </c>
      <c r="E18" s="527">
        <f>SUM(E12:E17)</f>
        <v>37.5</v>
      </c>
      <c r="F18" s="3"/>
      <c r="G18" s="528"/>
      <c r="H18" s="529"/>
      <c r="I18" s="299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outlineLevel="1">
      <c r="A19" s="506"/>
      <c r="B19" s="4698" t="s">
        <v>1668</v>
      </c>
      <c r="C19" s="4699"/>
      <c r="D19" s="4702" t="s">
        <v>1595</v>
      </c>
      <c r="E19" s="4672"/>
      <c r="F19" s="4672"/>
      <c r="G19" s="530"/>
      <c r="H19" s="531" t="s">
        <v>1669</v>
      </c>
      <c r="I19" s="299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outlineLevel="1" thickBot="1">
      <c r="A20" s="506"/>
      <c r="B20" s="4700"/>
      <c r="C20" s="4701"/>
      <c r="D20" s="4703"/>
      <c r="E20" s="4704"/>
      <c r="F20" s="4704"/>
      <c r="G20" s="532"/>
      <c r="H20" s="533"/>
      <c r="I20" s="299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thickBot="1">
      <c r="A21" s="506"/>
      <c r="B21" s="3"/>
      <c r="C21" s="3"/>
      <c r="D21" s="534"/>
      <c r="E21" s="3"/>
      <c r="F21" s="3"/>
      <c r="G21" s="299"/>
      <c r="H21" s="3"/>
      <c r="I21" s="299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outlineLevel="1">
      <c r="A22" s="506"/>
      <c r="B22" s="4686" t="s">
        <v>1607</v>
      </c>
      <c r="C22" s="4672"/>
      <c r="D22" s="4672"/>
      <c r="E22" s="4672"/>
      <c r="F22" s="4672"/>
      <c r="G22" s="4672"/>
      <c r="H22" s="4673"/>
      <c r="I22" s="299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25" customHeight="1" outlineLevel="1">
      <c r="A23" s="506"/>
      <c r="B23" s="535" t="s">
        <v>1659</v>
      </c>
      <c r="C23" s="518" t="s">
        <v>1660</v>
      </c>
      <c r="D23" s="4687" t="s">
        <v>1661</v>
      </c>
      <c r="E23" s="4688"/>
      <c r="F23" s="4689" t="s">
        <v>1662</v>
      </c>
      <c r="G23" s="4690" t="s">
        <v>1394</v>
      </c>
      <c r="H23" s="4692" t="s">
        <v>1663</v>
      </c>
      <c r="I23" s="299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outlineLevel="1">
      <c r="A24" s="506"/>
      <c r="B24" s="516"/>
      <c r="C24" s="517"/>
      <c r="D24" s="518" t="s">
        <v>1664</v>
      </c>
      <c r="E24" s="519" t="s">
        <v>1665</v>
      </c>
      <c r="F24" s="4167"/>
      <c r="G24" s="4691"/>
      <c r="H24" s="4693"/>
      <c r="I24" s="299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outlineLevel="1">
      <c r="A25" s="506"/>
      <c r="B25" s="520" t="str">
        <f>'PREV KARDEX'!$J$7</f>
        <v>13LD</v>
      </c>
      <c r="C25" s="520" t="str">
        <f>'PREV KARDEX'!$J$8</f>
        <v xml:space="preserve">DERECHO NOTARIAL </v>
      </c>
      <c r="D25" s="520">
        <f>VLOOKUP('KARDE LD'!J4,'PREV KARDEX'!B9:BE33,9,)</f>
        <v>9.4</v>
      </c>
      <c r="E25" s="192">
        <v>6.25</v>
      </c>
      <c r="F25" s="1975">
        <f t="shared" ref="F25:F30" si="1">D25</f>
        <v>9.4</v>
      </c>
      <c r="G25" s="4721">
        <f>AVERAGE(F25:F27)</f>
        <v>9.7999999999999989</v>
      </c>
      <c r="H25" s="4728" t="s">
        <v>4368</v>
      </c>
      <c r="I25" s="299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outlineLevel="1">
      <c r="A26" s="506"/>
      <c r="B26" s="520" t="str">
        <f>'PREV KARDEX'!$K$7</f>
        <v>14LD</v>
      </c>
      <c r="C26" s="520" t="str">
        <f>'PREV KARDEX'!$K$8</f>
        <v xml:space="preserve">FUNDAMENTOS DEL DERECHO PROCESAL </v>
      </c>
      <c r="D26" s="521">
        <f>VLOOKUP('KARDE LD'!J4,'PREV KARDEX'!B9:BE33,10,)</f>
        <v>10</v>
      </c>
      <c r="E26" s="192">
        <v>6.25</v>
      </c>
      <c r="F26" s="1975">
        <f t="shared" si="1"/>
        <v>10</v>
      </c>
      <c r="G26" s="4162"/>
      <c r="H26" s="4730"/>
      <c r="I26" s="299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outlineLevel="1">
      <c r="A27" s="506"/>
      <c r="B27" s="520" t="str">
        <f>'PREV KARDEX'!$L$7</f>
        <v>15LD</v>
      </c>
      <c r="C27" s="520" t="str">
        <f>'PREV KARDEX'!$L$8</f>
        <v>DERECHO ELECTORAL</v>
      </c>
      <c r="D27" s="520">
        <f>VLOOKUP('KARDE LD'!J4,'PREV KARDEX'!B9:BE33,11,)</f>
        <v>10</v>
      </c>
      <c r="E27" s="192">
        <v>6.25</v>
      </c>
      <c r="F27" s="1975">
        <f t="shared" si="1"/>
        <v>10</v>
      </c>
      <c r="G27" s="4162"/>
      <c r="H27" s="4730"/>
      <c r="I27" s="299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outlineLevel="1">
      <c r="A28" s="506"/>
      <c r="B28" s="520">
        <f>'PREV KARDEX'!$M$7</f>
        <v>0</v>
      </c>
      <c r="C28" s="520" t="str">
        <f>'PREV KARDEX'!$M$8</f>
        <v>-</v>
      </c>
      <c r="D28" s="520" t="str">
        <f>VLOOKUP('KARDE LD'!J4,'PREV KARDEX'!B9:BE33,12,)</f>
        <v>-</v>
      </c>
      <c r="E28" s="192" t="s">
        <v>1679</v>
      </c>
      <c r="F28" s="1975" t="str">
        <f t="shared" si="1"/>
        <v>-</v>
      </c>
      <c r="G28" s="4162"/>
      <c r="H28" s="4730"/>
      <c r="I28" s="299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outlineLevel="1">
      <c r="A29" s="506"/>
      <c r="B29" s="520">
        <f>'PREV KARDEX'!$N$7</f>
        <v>0</v>
      </c>
      <c r="C29" s="520" t="str">
        <f>'PREV KARDEX'!$N$8</f>
        <v>-</v>
      </c>
      <c r="D29" s="520" t="str">
        <f>VLOOKUP('KARDE LD'!J4,'PREV KARDEX'!B9:BE33,13,)</f>
        <v>-</v>
      </c>
      <c r="E29" s="192" t="s">
        <v>1679</v>
      </c>
      <c r="F29" s="1975" t="str">
        <f t="shared" si="1"/>
        <v>-</v>
      </c>
      <c r="G29" s="4162"/>
      <c r="H29" s="4730"/>
      <c r="I29" s="506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outlineLevel="1" thickBot="1">
      <c r="A30" s="506"/>
      <c r="B30" s="520">
        <f>'PREV KARDEX'!$O$7</f>
        <v>0</v>
      </c>
      <c r="C30" s="520" t="str">
        <f>'PREV KARDEX'!$O$8</f>
        <v>-</v>
      </c>
      <c r="D30" s="520" t="str">
        <f>VLOOKUP('KARDE LD'!J4,'PREV KARDEX'!B9:BE33,14,)</f>
        <v>-</v>
      </c>
      <c r="E30" s="192" t="s">
        <v>1679</v>
      </c>
      <c r="F30" s="1975" t="str">
        <f t="shared" si="1"/>
        <v>-</v>
      </c>
      <c r="G30" s="4695"/>
      <c r="H30" s="4730"/>
      <c r="I30" s="506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outlineLevel="1" thickBot="1">
      <c r="A31" s="506"/>
      <c r="B31" s="524"/>
      <c r="C31" s="525"/>
      <c r="D31" s="526" t="s">
        <v>1667</v>
      </c>
      <c r="E31" s="527">
        <f>SUM(E25:E30)</f>
        <v>18.75</v>
      </c>
      <c r="F31" s="528"/>
      <c r="G31" s="3"/>
      <c r="H31" s="529"/>
      <c r="I31" s="506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outlineLevel="1">
      <c r="A32" s="506"/>
      <c r="B32" s="4698" t="s">
        <v>1668</v>
      </c>
      <c r="C32" s="4699"/>
      <c r="D32" s="4702" t="s">
        <v>1595</v>
      </c>
      <c r="E32" s="4672"/>
      <c r="F32" s="4672"/>
      <c r="G32" s="530"/>
      <c r="H32" s="531" t="s">
        <v>1669</v>
      </c>
      <c r="I32" s="506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outlineLevel="1" thickBot="1">
      <c r="A33" s="506"/>
      <c r="B33" s="4700"/>
      <c r="C33" s="4701"/>
      <c r="D33" s="4703"/>
      <c r="E33" s="4704"/>
      <c r="F33" s="4704"/>
      <c r="G33" s="532"/>
      <c r="H33" s="533"/>
      <c r="I33" s="506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hidden="1" customHeight="1" thickBot="1">
      <c r="A34" s="506"/>
      <c r="B34" s="3"/>
      <c r="C34" s="3"/>
      <c r="D34" s="534"/>
      <c r="E34" s="3"/>
      <c r="F34" s="3"/>
      <c r="G34" s="299"/>
      <c r="H34" s="3"/>
      <c r="I34" s="506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hidden="1" customHeight="1" outlineLevel="1">
      <c r="A35" s="506"/>
      <c r="B35" s="4686" t="s">
        <v>1608</v>
      </c>
      <c r="C35" s="4672"/>
      <c r="D35" s="4672"/>
      <c r="E35" s="4672"/>
      <c r="F35" s="4672"/>
      <c r="G35" s="4672"/>
      <c r="H35" s="4673"/>
      <c r="I35" s="506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20.25" hidden="1" customHeight="1" outlineLevel="1">
      <c r="A36" s="506"/>
      <c r="B36" s="535" t="s">
        <v>1659</v>
      </c>
      <c r="C36" s="518" t="s">
        <v>1660</v>
      </c>
      <c r="D36" s="4687" t="s">
        <v>1661</v>
      </c>
      <c r="E36" s="4688"/>
      <c r="F36" s="4689" t="s">
        <v>1662</v>
      </c>
      <c r="G36" s="4690" t="s">
        <v>1394</v>
      </c>
      <c r="H36" s="4692" t="s">
        <v>1663</v>
      </c>
      <c r="I36" s="506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hidden="1" customHeight="1" outlineLevel="1">
      <c r="A37" s="506"/>
      <c r="B37" s="516"/>
      <c r="C37" s="517"/>
      <c r="D37" s="518" t="s">
        <v>1664</v>
      </c>
      <c r="E37" s="519" t="s">
        <v>1665</v>
      </c>
      <c r="F37" s="4167"/>
      <c r="G37" s="4691"/>
      <c r="H37" s="4693"/>
      <c r="I37" s="506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hidden="1" customHeight="1" outlineLevel="1">
      <c r="A38" s="506"/>
      <c r="B38" s="520">
        <f>'PREV KARDEX'!$P$7</f>
        <v>0</v>
      </c>
      <c r="C38" s="520">
        <f>'PREV KARDEX'!$P$8</f>
        <v>0</v>
      </c>
      <c r="D38" s="521">
        <f>VLOOKUP('KARDE LD'!J4,'PREV KARDEX'!B9:BE33,15,)</f>
        <v>0</v>
      </c>
      <c r="E38" s="192">
        <v>6.25</v>
      </c>
      <c r="F38" s="523">
        <f t="shared" ref="F38:F43" si="2">D38</f>
        <v>0</v>
      </c>
      <c r="G38" s="4721">
        <f>(F38+F39+F40+F41+F42+F43)/6</f>
        <v>0</v>
      </c>
      <c r="H38" s="4722" t="s">
        <v>1666</v>
      </c>
      <c r="I38" s="506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hidden="1" customHeight="1" outlineLevel="1">
      <c r="A39" s="506"/>
      <c r="B39" s="520">
        <f>'PREV KARDEX'!$Q$7</f>
        <v>0</v>
      </c>
      <c r="C39" s="520">
        <f>'PREV KARDEX'!$Q$8</f>
        <v>0</v>
      </c>
      <c r="D39" s="521">
        <f>VLOOKUP('KARDE LD'!J4,'PREV KARDEX'!B9:BE33,16,)</f>
        <v>0</v>
      </c>
      <c r="E39" s="192">
        <v>6.25</v>
      </c>
      <c r="F39" s="523">
        <f t="shared" si="2"/>
        <v>0</v>
      </c>
      <c r="G39" s="4162"/>
      <c r="H39" s="4723"/>
      <c r="I39" s="506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hidden="1" customHeight="1" outlineLevel="1">
      <c r="A40" s="506"/>
      <c r="B40" s="520">
        <f>'PREV KARDEX'!$R$7</f>
        <v>0</v>
      </c>
      <c r="C40" s="520">
        <f>'PREV KARDEX'!$R$8</f>
        <v>0</v>
      </c>
      <c r="D40" s="521">
        <f>VLOOKUP('KARDE LD'!J4,'PREV KARDEX'!B9:BE33,17,)</f>
        <v>0</v>
      </c>
      <c r="E40" s="192">
        <v>6.25</v>
      </c>
      <c r="F40" s="523">
        <f t="shared" si="2"/>
        <v>0</v>
      </c>
      <c r="G40" s="4162"/>
      <c r="H40" s="4723"/>
      <c r="I40" s="506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hidden="1" customHeight="1" outlineLevel="1">
      <c r="A41" s="506"/>
      <c r="B41" s="520">
        <f>'PREV KARDEX'!$S$7</f>
        <v>0</v>
      </c>
      <c r="C41" s="520">
        <f>'PREV KARDEX'!$S$8</f>
        <v>0</v>
      </c>
      <c r="D41" s="521">
        <f>VLOOKUP('KARDE LD'!J4,'PREV KARDEX'!B9:BE33,18,)</f>
        <v>0</v>
      </c>
      <c r="E41" s="192">
        <v>6.25</v>
      </c>
      <c r="F41" s="523">
        <f t="shared" si="2"/>
        <v>0</v>
      </c>
      <c r="G41" s="4162"/>
      <c r="H41" s="4723"/>
      <c r="I41" s="506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hidden="1" customHeight="1" outlineLevel="1">
      <c r="A42" s="506"/>
      <c r="B42" s="520">
        <f>'PREV KARDEX'!$T$7</f>
        <v>0</v>
      </c>
      <c r="C42" s="520">
        <f>'PREV KARDEX'!$T$8</f>
        <v>0</v>
      </c>
      <c r="D42" s="520">
        <f>VLOOKUP('KARDE LD'!J4,'PREV KARDEX'!B9:BE33,19,)</f>
        <v>0</v>
      </c>
      <c r="E42" s="192">
        <v>6.25</v>
      </c>
      <c r="F42" s="536">
        <f t="shared" si="2"/>
        <v>0</v>
      </c>
      <c r="G42" s="4162"/>
      <c r="H42" s="4723"/>
      <c r="I42" s="506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hidden="1" customHeight="1" outlineLevel="1" thickBot="1">
      <c r="A43" s="506"/>
      <c r="B43" s="520">
        <f>'PREV KARDEX'!$U$7</f>
        <v>0</v>
      </c>
      <c r="C43" s="520">
        <f>'PREV KARDEX'!$U$8</f>
        <v>0</v>
      </c>
      <c r="D43" s="520">
        <f>VLOOKUP('KARDE LD'!J4,'PREV KARDEX'!B9:BE33,20,)</f>
        <v>0</v>
      </c>
      <c r="E43" s="192">
        <v>6.25</v>
      </c>
      <c r="F43" s="536">
        <f t="shared" si="2"/>
        <v>0</v>
      </c>
      <c r="G43" s="4695"/>
      <c r="H43" s="4723"/>
      <c r="I43" s="506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hidden="1" customHeight="1" outlineLevel="1" thickBot="1">
      <c r="A44" s="506"/>
      <c r="B44" s="524"/>
      <c r="C44" s="525"/>
      <c r="D44" s="526" t="s">
        <v>1667</v>
      </c>
      <c r="E44" s="527">
        <f>SUM(E38:E43)</f>
        <v>37.5</v>
      </c>
      <c r="F44" s="537"/>
      <c r="G44" s="3"/>
      <c r="H44" s="529"/>
      <c r="I44" s="506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hidden="1" customHeight="1" outlineLevel="1">
      <c r="A45" s="506"/>
      <c r="B45" s="4698" t="s">
        <v>1668</v>
      </c>
      <c r="C45" s="4699"/>
      <c r="D45" s="4702" t="s">
        <v>1595</v>
      </c>
      <c r="E45" s="4672"/>
      <c r="F45" s="4672"/>
      <c r="G45" s="530"/>
      <c r="H45" s="531" t="s">
        <v>1669</v>
      </c>
      <c r="I45" s="506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hidden="1" customHeight="1" outlineLevel="1" thickBot="1">
      <c r="A46" s="506"/>
      <c r="B46" s="4700"/>
      <c r="C46" s="4701"/>
      <c r="D46" s="4703"/>
      <c r="E46" s="4704"/>
      <c r="F46" s="4704"/>
      <c r="G46" s="532"/>
      <c r="H46" s="533"/>
      <c r="I46" s="506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hidden="1" customHeight="1" collapsed="1" thickBot="1">
      <c r="A47" s="506"/>
      <c r="B47" s="3"/>
      <c r="C47" s="3"/>
      <c r="D47" s="534"/>
      <c r="E47" s="3"/>
      <c r="F47" s="3"/>
      <c r="G47" s="299"/>
      <c r="H47" s="3"/>
      <c r="I47" s="506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hidden="1" customHeight="1" outlineLevel="1">
      <c r="A48" s="506"/>
      <c r="B48" s="4686" t="s">
        <v>1609</v>
      </c>
      <c r="C48" s="4672"/>
      <c r="D48" s="4672"/>
      <c r="E48" s="4672"/>
      <c r="F48" s="4672"/>
      <c r="G48" s="4672"/>
      <c r="H48" s="4673"/>
      <c r="I48" s="506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hidden="1" customHeight="1" outlineLevel="1">
      <c r="A49" s="506"/>
      <c r="B49" s="535" t="s">
        <v>1659</v>
      </c>
      <c r="C49" s="518" t="s">
        <v>1660</v>
      </c>
      <c r="D49" s="4687" t="s">
        <v>1661</v>
      </c>
      <c r="E49" s="4688"/>
      <c r="F49" s="4689" t="s">
        <v>1662</v>
      </c>
      <c r="G49" s="4690" t="s">
        <v>1394</v>
      </c>
      <c r="H49" s="4692" t="s">
        <v>1663</v>
      </c>
      <c r="I49" s="506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hidden="1" customHeight="1" outlineLevel="1">
      <c r="A50" s="506"/>
      <c r="B50" s="516"/>
      <c r="C50" s="517"/>
      <c r="D50" s="518" t="s">
        <v>1664</v>
      </c>
      <c r="E50" s="519" t="s">
        <v>1665</v>
      </c>
      <c r="F50" s="4167"/>
      <c r="G50" s="4691"/>
      <c r="H50" s="4693"/>
      <c r="I50" s="506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hidden="1" customHeight="1" outlineLevel="1">
      <c r="A51" s="506"/>
      <c r="B51" s="520">
        <f>'PREV KARDEX'!$V$7</f>
        <v>0</v>
      </c>
      <c r="C51" s="520">
        <f>'PREV KARDEX'!$V$8</f>
        <v>0</v>
      </c>
      <c r="D51" s="520">
        <f>VLOOKUP('KARDE LD'!J4,'PREV KARDEX'!B9:BE33,21,)</f>
        <v>0</v>
      </c>
      <c r="E51" s="192">
        <v>6.25</v>
      </c>
      <c r="F51" s="536">
        <f t="shared" ref="F51:F56" si="3">D51</f>
        <v>0</v>
      </c>
      <c r="G51" s="4721">
        <f>(F51+F52+F53+F54+F55+F56)/6</f>
        <v>0</v>
      </c>
      <c r="H51" s="4722" t="s">
        <v>1666</v>
      </c>
      <c r="I51" s="506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hidden="1" customHeight="1" outlineLevel="1">
      <c r="A52" s="506"/>
      <c r="B52" s="520">
        <f>'PREV KARDEX'!$W$7</f>
        <v>0</v>
      </c>
      <c r="C52" s="520">
        <f>'PREV KARDEX'!$W$8</f>
        <v>0</v>
      </c>
      <c r="D52" s="521">
        <f>VLOOKUP('KARDE LD'!J4,'PREV KARDEX'!B9:BE33,22,)</f>
        <v>0</v>
      </c>
      <c r="E52" s="192">
        <v>6.25</v>
      </c>
      <c r="F52" s="523">
        <f t="shared" si="3"/>
        <v>0</v>
      </c>
      <c r="G52" s="4162"/>
      <c r="H52" s="4723"/>
      <c r="I52" s="506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hidden="1" customHeight="1" outlineLevel="1">
      <c r="A53" s="506"/>
      <c r="B53" s="520">
        <f>'PREV KARDEX'!$X$7</f>
        <v>0</v>
      </c>
      <c r="C53" s="520">
        <f>'PREV KARDEX'!$X$8</f>
        <v>0</v>
      </c>
      <c r="D53" s="521">
        <f>VLOOKUP('KARDE LD'!J4,'PREV KARDEX'!B9:BE33,23,)</f>
        <v>0</v>
      </c>
      <c r="E53" s="192">
        <v>6.25</v>
      </c>
      <c r="F53" s="523">
        <f t="shared" si="3"/>
        <v>0</v>
      </c>
      <c r="G53" s="4162"/>
      <c r="H53" s="4723"/>
      <c r="I53" s="506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hidden="1" customHeight="1" outlineLevel="1">
      <c r="A54" s="506"/>
      <c r="B54" s="520">
        <f>'PREV KARDEX'!$Y$7</f>
        <v>0</v>
      </c>
      <c r="C54" s="520">
        <f>'PREV KARDEX'!$Y$8</f>
        <v>0</v>
      </c>
      <c r="D54" s="520">
        <f>VLOOKUP('KARDE LD'!J4,'PREV KARDEX'!B9:BE33,24,)</f>
        <v>0</v>
      </c>
      <c r="E54" s="192">
        <v>6.25</v>
      </c>
      <c r="F54" s="536">
        <f t="shared" si="3"/>
        <v>0</v>
      </c>
      <c r="G54" s="4162"/>
      <c r="H54" s="4723"/>
      <c r="I54" s="506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hidden="1" customHeight="1" outlineLevel="1">
      <c r="A55" s="506"/>
      <c r="B55" s="520">
        <f>'PREV KARDEX'!$Z$7</f>
        <v>0</v>
      </c>
      <c r="C55" s="520">
        <f>'PREV KARDEX'!$Z$8</f>
        <v>0</v>
      </c>
      <c r="D55" s="520">
        <f>VLOOKUP('KARDE LD'!J4,'PREV KARDEX'!B9:BE33,25,)</f>
        <v>0</v>
      </c>
      <c r="E55" s="192">
        <v>6.25</v>
      </c>
      <c r="F55" s="536">
        <f t="shared" si="3"/>
        <v>0</v>
      </c>
      <c r="G55" s="4162"/>
      <c r="H55" s="4723"/>
      <c r="I55" s="506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hidden="1" customHeight="1" outlineLevel="1" thickBot="1">
      <c r="A56" s="506"/>
      <c r="B56" s="520">
        <f>'PREV KARDEX'!$AA$7</f>
        <v>0</v>
      </c>
      <c r="C56" s="520">
        <f>'PREV KARDEX'!$AA$8</f>
        <v>0</v>
      </c>
      <c r="D56" s="521">
        <f>VLOOKUP('KARDE LD'!J4,'PREV KARDEX'!B9:BE33,26,)</f>
        <v>0</v>
      </c>
      <c r="E56" s="192">
        <v>6.25</v>
      </c>
      <c r="F56" s="523">
        <f t="shared" si="3"/>
        <v>0</v>
      </c>
      <c r="G56" s="4695"/>
      <c r="H56" s="4723"/>
      <c r="I56" s="506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hidden="1" customHeight="1" outlineLevel="1" thickBot="1">
      <c r="A57" s="506"/>
      <c r="B57" s="524"/>
      <c r="C57" s="525"/>
      <c r="D57" s="526" t="s">
        <v>1667</v>
      </c>
      <c r="E57" s="527">
        <f>SUM(E51:E56)</f>
        <v>37.5</v>
      </c>
      <c r="F57" s="537"/>
      <c r="G57" s="3"/>
      <c r="H57" s="529"/>
      <c r="I57" s="506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hidden="1" customHeight="1" outlineLevel="1">
      <c r="A58" s="506"/>
      <c r="B58" s="4698" t="s">
        <v>1668</v>
      </c>
      <c r="C58" s="4699"/>
      <c r="D58" s="4702" t="s">
        <v>1595</v>
      </c>
      <c r="E58" s="4672"/>
      <c r="F58" s="4672"/>
      <c r="G58" s="530"/>
      <c r="H58" s="531" t="s">
        <v>1669</v>
      </c>
      <c r="I58" s="506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hidden="1" customHeight="1" outlineLevel="1" thickBot="1">
      <c r="A59" s="506"/>
      <c r="B59" s="4700"/>
      <c r="C59" s="4701"/>
      <c r="D59" s="4703"/>
      <c r="E59" s="4704"/>
      <c r="F59" s="4704"/>
      <c r="G59" s="532"/>
      <c r="H59" s="533"/>
      <c r="I59" s="506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hidden="1" customHeight="1" collapsed="1" thickBot="1">
      <c r="A60" s="506"/>
      <c r="B60" s="3"/>
      <c r="C60" s="3"/>
      <c r="D60" s="534"/>
      <c r="E60" s="3"/>
      <c r="F60" s="3"/>
      <c r="G60" s="299"/>
      <c r="H60" s="3"/>
      <c r="I60" s="506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hidden="1" customHeight="1" outlineLevel="1">
      <c r="A61" s="506"/>
      <c r="B61" s="4686" t="s">
        <v>1610</v>
      </c>
      <c r="C61" s="4672"/>
      <c r="D61" s="4672"/>
      <c r="E61" s="4672"/>
      <c r="F61" s="4672"/>
      <c r="G61" s="4672"/>
      <c r="H61" s="4673"/>
      <c r="I61" s="506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8.75" hidden="1" customHeight="1" outlineLevel="1">
      <c r="A62" s="506"/>
      <c r="B62" s="535" t="s">
        <v>1659</v>
      </c>
      <c r="C62" s="518" t="s">
        <v>1660</v>
      </c>
      <c r="D62" s="4687" t="s">
        <v>1661</v>
      </c>
      <c r="E62" s="4688"/>
      <c r="F62" s="4689" t="s">
        <v>1662</v>
      </c>
      <c r="G62" s="4690" t="s">
        <v>1394</v>
      </c>
      <c r="H62" s="4692" t="s">
        <v>1663</v>
      </c>
      <c r="I62" s="506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hidden="1" customHeight="1" outlineLevel="1">
      <c r="A63" s="506"/>
      <c r="B63" s="516"/>
      <c r="C63" s="517"/>
      <c r="D63" s="518" t="s">
        <v>1664</v>
      </c>
      <c r="E63" s="519" t="s">
        <v>1665</v>
      </c>
      <c r="F63" s="4167"/>
      <c r="G63" s="4691"/>
      <c r="H63" s="4693"/>
      <c r="I63" s="506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hidden="1" customHeight="1" outlineLevel="1">
      <c r="A64" s="506"/>
      <c r="B64" s="520">
        <f>'PREV KARDEX'!$AB$7</f>
        <v>0</v>
      </c>
      <c r="C64" s="520">
        <f>'PREV KARDEX'!$AB$8</f>
        <v>0</v>
      </c>
      <c r="D64" s="521">
        <f>VLOOKUP('KARDE LD'!J4,'PREV KARDEX'!B9:BE33,27,)</f>
        <v>0</v>
      </c>
      <c r="E64" s="192">
        <v>6.25</v>
      </c>
      <c r="F64" s="523">
        <f t="shared" ref="F64:F69" si="4">D64</f>
        <v>0</v>
      </c>
      <c r="G64" s="4721">
        <f>(F64+F65+F66+F67+F68+F69)/6</f>
        <v>0</v>
      </c>
      <c r="H64" s="4722" t="s">
        <v>1666</v>
      </c>
      <c r="I64" s="506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hidden="1" customHeight="1" outlineLevel="1">
      <c r="A65" s="506"/>
      <c r="B65" s="520">
        <f>'PREV KARDEX'!$AC$7</f>
        <v>0</v>
      </c>
      <c r="C65" s="520">
        <f>'PREV KARDEX'!$AC$8</f>
        <v>0</v>
      </c>
      <c r="D65" s="520">
        <f>VLOOKUP('KARDE LD'!J4,'PREV KARDEX'!B9:BE33,28,)</f>
        <v>0</v>
      </c>
      <c r="E65" s="192">
        <v>6.25</v>
      </c>
      <c r="F65" s="536">
        <f t="shared" si="4"/>
        <v>0</v>
      </c>
      <c r="G65" s="4162"/>
      <c r="H65" s="4723"/>
      <c r="I65" s="506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hidden="1" customHeight="1" outlineLevel="1">
      <c r="A66" s="506"/>
      <c r="B66" s="520">
        <f>'PREV KARDEX'!$AD$7</f>
        <v>0</v>
      </c>
      <c r="C66" s="520">
        <f>'PREV KARDEX'!$AD$8</f>
        <v>0</v>
      </c>
      <c r="D66" s="521">
        <f>VLOOKUP('KARDE LD'!J4,'PREV KARDEX'!B9:BE33,29,)</f>
        <v>0</v>
      </c>
      <c r="E66" s="192">
        <v>6.25</v>
      </c>
      <c r="F66" s="523">
        <f t="shared" si="4"/>
        <v>0</v>
      </c>
      <c r="G66" s="4162"/>
      <c r="H66" s="4723"/>
      <c r="I66" s="506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hidden="1" customHeight="1" outlineLevel="1">
      <c r="A67" s="506"/>
      <c r="B67" s="520">
        <f>'PREV KARDEX'!$AE$7</f>
        <v>0</v>
      </c>
      <c r="C67" s="520">
        <f>'PREV KARDEX'!$AE$8</f>
        <v>0</v>
      </c>
      <c r="D67" s="520">
        <f>VLOOKUP('KARDE LD'!J4,'PREV KARDEX'!B9:BE33,30,)</f>
        <v>0</v>
      </c>
      <c r="E67" s="192">
        <v>6.25</v>
      </c>
      <c r="F67" s="536">
        <f t="shared" si="4"/>
        <v>0</v>
      </c>
      <c r="G67" s="4162"/>
      <c r="H67" s="4723"/>
      <c r="I67" s="506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hidden="1" customHeight="1" outlineLevel="1">
      <c r="A68" s="506"/>
      <c r="B68" s="520">
        <f>'PREV KARDEX'!$AF$7</f>
        <v>0</v>
      </c>
      <c r="C68" s="520">
        <f>'PREV KARDEX'!$AF$8</f>
        <v>0</v>
      </c>
      <c r="D68" s="521">
        <f>VLOOKUP('KARDE LD'!J4,'PREV KARDEX'!B9:BE33,31,)</f>
        <v>0</v>
      </c>
      <c r="E68" s="192">
        <v>6.25</v>
      </c>
      <c r="F68" s="523">
        <f t="shared" si="4"/>
        <v>0</v>
      </c>
      <c r="G68" s="4162"/>
      <c r="H68" s="4723"/>
      <c r="I68" s="506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hidden="1" customHeight="1" outlineLevel="1" thickBot="1">
      <c r="A69" s="506"/>
      <c r="B69" s="520">
        <f>'PREV KARDEX'!$AG$7</f>
        <v>0</v>
      </c>
      <c r="C69" s="520">
        <f>'PREV KARDEX'!$AG$8</f>
        <v>0</v>
      </c>
      <c r="D69" s="520">
        <f>VLOOKUP('KARDE LD'!J4,'PREV KARDEX'!B9:BE33,32,)</f>
        <v>0</v>
      </c>
      <c r="E69" s="192">
        <v>6.25</v>
      </c>
      <c r="F69" s="536">
        <f t="shared" si="4"/>
        <v>0</v>
      </c>
      <c r="G69" s="4695"/>
      <c r="H69" s="4723"/>
      <c r="I69" s="506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hidden="1" customHeight="1" outlineLevel="1" thickBot="1">
      <c r="A70" s="506"/>
      <c r="B70" s="524"/>
      <c r="C70" s="525"/>
      <c r="D70" s="526" t="s">
        <v>1667</v>
      </c>
      <c r="E70" s="527">
        <f>SUM(E64:E69)</f>
        <v>37.5</v>
      </c>
      <c r="F70" s="537"/>
      <c r="G70" s="3"/>
      <c r="H70" s="529"/>
      <c r="I70" s="506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hidden="1" customHeight="1" outlineLevel="1">
      <c r="A71" s="506"/>
      <c r="B71" s="4698" t="s">
        <v>1668</v>
      </c>
      <c r="C71" s="4699"/>
      <c r="D71" s="4702" t="s">
        <v>1595</v>
      </c>
      <c r="E71" s="4672"/>
      <c r="F71" s="4672"/>
      <c r="G71" s="530"/>
      <c r="H71" s="531" t="s">
        <v>1669</v>
      </c>
      <c r="I71" s="506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hidden="1" customHeight="1" outlineLevel="1" thickBot="1">
      <c r="A72" s="506"/>
      <c r="B72" s="4700"/>
      <c r="C72" s="4701"/>
      <c r="D72" s="4703"/>
      <c r="E72" s="4704"/>
      <c r="F72" s="4704"/>
      <c r="G72" s="532"/>
      <c r="H72" s="533"/>
      <c r="I72" s="506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hidden="1" customHeight="1" collapsed="1" thickBot="1">
      <c r="A73" s="506"/>
      <c r="B73" s="3"/>
      <c r="C73" s="3"/>
      <c r="D73" s="3"/>
      <c r="E73" s="3"/>
      <c r="F73" s="3"/>
      <c r="G73" s="3"/>
      <c r="H73" s="3"/>
      <c r="I73" s="506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hidden="1" customHeight="1" outlineLevel="1">
      <c r="A74" s="506"/>
      <c r="B74" s="4686" t="s">
        <v>1611</v>
      </c>
      <c r="C74" s="4672"/>
      <c r="D74" s="4672"/>
      <c r="E74" s="4672"/>
      <c r="F74" s="4672"/>
      <c r="G74" s="4672"/>
      <c r="H74" s="4673"/>
      <c r="I74" s="506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36.75" hidden="1" customHeight="1" outlineLevel="1">
      <c r="A75" s="506"/>
      <c r="B75" s="535" t="s">
        <v>1659</v>
      </c>
      <c r="C75" s="518" t="s">
        <v>1660</v>
      </c>
      <c r="D75" s="4687" t="s">
        <v>1661</v>
      </c>
      <c r="E75" s="4688"/>
      <c r="F75" s="4689" t="s">
        <v>1662</v>
      </c>
      <c r="G75" s="4690" t="s">
        <v>1394</v>
      </c>
      <c r="H75" s="4692" t="s">
        <v>1663</v>
      </c>
      <c r="I75" s="506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hidden="1" customHeight="1" outlineLevel="1">
      <c r="A76" s="506"/>
      <c r="B76" s="516"/>
      <c r="C76" s="517"/>
      <c r="D76" s="518" t="s">
        <v>1664</v>
      </c>
      <c r="E76" s="519" t="s">
        <v>1665</v>
      </c>
      <c r="F76" s="4167"/>
      <c r="G76" s="4691"/>
      <c r="H76" s="4693"/>
      <c r="I76" s="506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hidden="1" customHeight="1" outlineLevel="1">
      <c r="A77" s="506"/>
      <c r="B77" s="520">
        <f>'PREV KARDEX'!$AH$7</f>
        <v>0</v>
      </c>
      <c r="C77" s="520">
        <f>'PREV KARDEX'!$AH$8</f>
        <v>0</v>
      </c>
      <c r="D77" s="520">
        <f>VLOOKUP('KARDE LD'!J4,'PREV KARDEX'!B9:BE33,33,)</f>
        <v>0</v>
      </c>
      <c r="E77" s="192">
        <v>6.25</v>
      </c>
      <c r="F77" s="536">
        <f t="shared" ref="F77:F82" si="5">D77</f>
        <v>0</v>
      </c>
      <c r="G77" s="4721">
        <f>(F77+F78+F79+F80+F81+F82)/6</f>
        <v>0</v>
      </c>
      <c r="H77" s="4722" t="s">
        <v>1666</v>
      </c>
      <c r="I77" s="506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hidden="1" customHeight="1" outlineLevel="1">
      <c r="A78" s="506"/>
      <c r="B78" s="520">
        <f>'PREV KARDEX'!$AI$7</f>
        <v>0</v>
      </c>
      <c r="C78" s="520">
        <f>'PREV KARDEX'!$AI$8</f>
        <v>0</v>
      </c>
      <c r="D78" s="521">
        <f>VLOOKUP('KARDE LD'!J4,'PREV KARDEX'!B9:BE33,34,)</f>
        <v>0</v>
      </c>
      <c r="E78" s="192">
        <v>6.25</v>
      </c>
      <c r="F78" s="523">
        <f t="shared" si="5"/>
        <v>0</v>
      </c>
      <c r="G78" s="4162"/>
      <c r="H78" s="4723"/>
      <c r="I78" s="506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hidden="1" customHeight="1" outlineLevel="1">
      <c r="A79" s="506"/>
      <c r="B79" s="520">
        <f>'PREV KARDEX'!$AJ$7</f>
        <v>0</v>
      </c>
      <c r="C79" s="520">
        <f>'PREV KARDEX'!$AJ$8</f>
        <v>0</v>
      </c>
      <c r="D79" s="538">
        <f>VLOOKUP('KARDE LD'!J4,'PREV KARDEX'!B9:BE35,35,)</f>
        <v>0</v>
      </c>
      <c r="E79" s="192">
        <v>6.25</v>
      </c>
      <c r="F79" s="523">
        <f t="shared" si="5"/>
        <v>0</v>
      </c>
      <c r="G79" s="4162"/>
      <c r="H79" s="4723"/>
      <c r="I79" s="506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hidden="1" customHeight="1" outlineLevel="1">
      <c r="A80" s="506"/>
      <c r="B80" s="520">
        <f>'PREV KARDEX'!$AK$7</f>
        <v>0</v>
      </c>
      <c r="C80" s="520">
        <f>'PREV KARDEX'!$AK$8</f>
        <v>0</v>
      </c>
      <c r="D80" s="538">
        <f>VLOOKUP('KARDE LD'!J4,'PREV KARDEX'!B9:BE33,36,)</f>
        <v>0</v>
      </c>
      <c r="E80" s="192">
        <v>6.25</v>
      </c>
      <c r="F80" s="523">
        <f t="shared" si="5"/>
        <v>0</v>
      </c>
      <c r="G80" s="4162"/>
      <c r="H80" s="4723"/>
      <c r="I80" s="506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hidden="1" customHeight="1" outlineLevel="1">
      <c r="A81" s="506"/>
      <c r="B81" s="520">
        <f>'PREV KARDEX'!$AL$7</f>
        <v>0</v>
      </c>
      <c r="C81" s="520">
        <f>'PREV KARDEX'!$AL$8</f>
        <v>0</v>
      </c>
      <c r="D81" s="521">
        <f>VLOOKUP('KARDE LD'!J4,'PREV KARDEX'!B9:BE33,37,)</f>
        <v>0</v>
      </c>
      <c r="E81" s="192">
        <v>6.25</v>
      </c>
      <c r="F81" s="523">
        <f t="shared" si="5"/>
        <v>0</v>
      </c>
      <c r="G81" s="4162"/>
      <c r="H81" s="4723"/>
      <c r="I81" s="506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hidden="1" customHeight="1" outlineLevel="1" thickBot="1">
      <c r="A82" s="506"/>
      <c r="B82" s="520">
        <f>'PREV KARDEX'!$AM$7</f>
        <v>0</v>
      </c>
      <c r="C82" s="520">
        <f>'PREV KARDEX'!$AM$8</f>
        <v>0</v>
      </c>
      <c r="D82" s="521">
        <f>VLOOKUP('KARDE LD'!J4,'PREV KARDEX'!B9:BE33,38,)</f>
        <v>0</v>
      </c>
      <c r="E82" s="192">
        <v>6.25</v>
      </c>
      <c r="F82" s="523">
        <f t="shared" si="5"/>
        <v>0</v>
      </c>
      <c r="G82" s="4695"/>
      <c r="H82" s="4723"/>
      <c r="I82" s="506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hidden="1" customHeight="1" outlineLevel="1" thickBot="1">
      <c r="A83" s="506"/>
      <c r="B83" s="524"/>
      <c r="C83" s="525"/>
      <c r="D83" s="526" t="s">
        <v>1667</v>
      </c>
      <c r="E83" s="527">
        <f>SUM(E77:E82)</f>
        <v>37.5</v>
      </c>
      <c r="F83" s="537"/>
      <c r="G83" s="3"/>
      <c r="H83" s="529"/>
      <c r="I83" s="506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hidden="1" customHeight="1" outlineLevel="1">
      <c r="A84" s="506"/>
      <c r="B84" s="4698" t="s">
        <v>1668</v>
      </c>
      <c r="C84" s="4699"/>
      <c r="D84" s="4702" t="s">
        <v>1595</v>
      </c>
      <c r="E84" s="4672"/>
      <c r="F84" s="4672"/>
      <c r="G84" s="530"/>
      <c r="H84" s="531" t="s">
        <v>1669</v>
      </c>
      <c r="I84" s="506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hidden="1" customHeight="1" outlineLevel="1" thickBot="1">
      <c r="A85" s="506"/>
      <c r="B85" s="4700"/>
      <c r="C85" s="4701"/>
      <c r="D85" s="4703"/>
      <c r="E85" s="4704"/>
      <c r="F85" s="4704"/>
      <c r="G85" s="532"/>
      <c r="H85" s="533"/>
      <c r="I85" s="506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hidden="1" customHeight="1" collapsed="1" thickBot="1">
      <c r="A86" s="506"/>
      <c r="B86" s="3"/>
      <c r="C86" s="3"/>
      <c r="D86" s="3"/>
      <c r="E86" s="3"/>
      <c r="F86" s="3"/>
      <c r="G86" s="3"/>
      <c r="H86" s="3"/>
      <c r="I86" s="506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hidden="1" customHeight="1" outlineLevel="1">
      <c r="A87" s="506"/>
      <c r="B87" s="4686" t="s">
        <v>1612</v>
      </c>
      <c r="C87" s="4672"/>
      <c r="D87" s="4672"/>
      <c r="E87" s="4672"/>
      <c r="F87" s="4672"/>
      <c r="G87" s="4672"/>
      <c r="H87" s="4673"/>
      <c r="I87" s="506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21.75" hidden="1" customHeight="1" outlineLevel="1">
      <c r="A88" s="506"/>
      <c r="B88" s="535" t="s">
        <v>1659</v>
      </c>
      <c r="C88" s="518" t="s">
        <v>1660</v>
      </c>
      <c r="D88" s="4687" t="s">
        <v>1661</v>
      </c>
      <c r="E88" s="4688"/>
      <c r="F88" s="4689" t="s">
        <v>1662</v>
      </c>
      <c r="G88" s="4690" t="s">
        <v>1394</v>
      </c>
      <c r="H88" s="4692" t="s">
        <v>1663</v>
      </c>
      <c r="I88" s="506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hidden="1" customHeight="1" outlineLevel="1">
      <c r="A89" s="506"/>
      <c r="B89" s="516"/>
      <c r="C89" s="517"/>
      <c r="D89" s="518" t="s">
        <v>1664</v>
      </c>
      <c r="E89" s="519" t="s">
        <v>1665</v>
      </c>
      <c r="F89" s="4167"/>
      <c r="G89" s="4691"/>
      <c r="H89" s="4693"/>
      <c r="I89" s="506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hidden="1" customHeight="1" outlineLevel="1">
      <c r="A90" s="506"/>
      <c r="B90" s="520">
        <f>'PREV KARDEX'!$AN$7</f>
        <v>0</v>
      </c>
      <c r="C90" s="520">
        <f>'PREV KARDEX'!$AN$8</f>
        <v>0</v>
      </c>
      <c r="D90" s="521">
        <f>VLOOKUP('KARDE LD'!J4,'PREV KARDEX'!B9:BE33,39,)</f>
        <v>0</v>
      </c>
      <c r="E90" s="192">
        <v>6.25</v>
      </c>
      <c r="F90" s="523">
        <f t="shared" ref="F90:F95" si="6">D90</f>
        <v>0</v>
      </c>
      <c r="G90" s="4721">
        <f>(F90+F91+F92+F93+F94+F95)/6</f>
        <v>0</v>
      </c>
      <c r="H90" s="4722" t="s">
        <v>1666</v>
      </c>
      <c r="I90" s="506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hidden="1" customHeight="1" outlineLevel="1">
      <c r="A91" s="506"/>
      <c r="B91" s="520">
        <f>'PREV KARDEX'!$AO$7</f>
        <v>0</v>
      </c>
      <c r="C91" s="520">
        <f>'PREV KARDEX'!$AO$8</f>
        <v>0</v>
      </c>
      <c r="D91" s="521">
        <f>VLOOKUP('KARDE LD'!J4,'PREV KARDEX'!B9:BE33,40,)</f>
        <v>0</v>
      </c>
      <c r="E91" s="192">
        <v>6.25</v>
      </c>
      <c r="F91" s="523">
        <f t="shared" si="6"/>
        <v>0</v>
      </c>
      <c r="G91" s="4162"/>
      <c r="H91" s="4723"/>
      <c r="I91" s="506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hidden="1" customHeight="1" outlineLevel="1">
      <c r="A92" s="506"/>
      <c r="B92" s="520">
        <f>'PREV KARDEX'!$AP$7</f>
        <v>0</v>
      </c>
      <c r="C92" s="520">
        <f>'PREV KARDEX'!$AP$8</f>
        <v>0</v>
      </c>
      <c r="D92" s="521">
        <f>VLOOKUP('KARDE LD'!J4,'PREV KARDEX'!B9:BE33,41,)</f>
        <v>0</v>
      </c>
      <c r="E92" s="192">
        <v>6.25</v>
      </c>
      <c r="F92" s="523">
        <f t="shared" si="6"/>
        <v>0</v>
      </c>
      <c r="G92" s="4162"/>
      <c r="H92" s="4723"/>
      <c r="I92" s="506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hidden="1" customHeight="1" outlineLevel="1">
      <c r="A93" s="506"/>
      <c r="B93" s="520">
        <f>'PREV KARDEX'!$AQ$7</f>
        <v>0</v>
      </c>
      <c r="C93" s="520">
        <f>'PREV KARDEX'!$AQ$8</f>
        <v>0</v>
      </c>
      <c r="D93" s="521">
        <f>VLOOKUP('KARDE LD'!J4,'PREV KARDEX'!B9:BE33,42,)</f>
        <v>0</v>
      </c>
      <c r="E93" s="192">
        <v>6.25</v>
      </c>
      <c r="F93" s="523">
        <f t="shared" si="6"/>
        <v>0</v>
      </c>
      <c r="G93" s="4162"/>
      <c r="H93" s="4723"/>
      <c r="I93" s="506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hidden="1" customHeight="1" outlineLevel="1">
      <c r="A94" s="506"/>
      <c r="B94" s="520">
        <f>'PREV KARDEX'!$AR$7</f>
        <v>0</v>
      </c>
      <c r="C94" s="520">
        <f>'PREV KARDEX'!$AR$8</f>
        <v>0</v>
      </c>
      <c r="D94" s="521">
        <f>VLOOKUP('KARDE LD'!J4,'PREV KARDEX'!B9:BE33,43,)</f>
        <v>0</v>
      </c>
      <c r="E94" s="192">
        <v>6.25</v>
      </c>
      <c r="F94" s="523">
        <f t="shared" si="6"/>
        <v>0</v>
      </c>
      <c r="G94" s="4162"/>
      <c r="H94" s="4723"/>
      <c r="I94" s="506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hidden="1" customHeight="1" outlineLevel="1" thickBot="1">
      <c r="A95" s="506"/>
      <c r="B95" s="520">
        <f>'PREV KARDEX'!$AS$7</f>
        <v>0</v>
      </c>
      <c r="C95" s="520">
        <f>'PREV KARDEX'!$AS$8</f>
        <v>0</v>
      </c>
      <c r="D95" s="521">
        <f>VLOOKUP('KARDE LD'!J4,'PREV KARDEX'!B9:BE33,44,)</f>
        <v>0</v>
      </c>
      <c r="E95" s="192">
        <v>6.25</v>
      </c>
      <c r="F95" s="523">
        <f t="shared" si="6"/>
        <v>0</v>
      </c>
      <c r="G95" s="4695"/>
      <c r="H95" s="4723"/>
      <c r="I95" s="506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hidden="1" customHeight="1" outlineLevel="1" thickBot="1">
      <c r="A96" s="506"/>
      <c r="B96" s="524"/>
      <c r="C96" s="525"/>
      <c r="D96" s="526" t="s">
        <v>1667</v>
      </c>
      <c r="E96" s="527">
        <f>SUM(E90:E95)</f>
        <v>37.5</v>
      </c>
      <c r="F96" s="537"/>
      <c r="G96" s="3"/>
      <c r="H96" s="529"/>
      <c r="I96" s="506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hidden="1" customHeight="1" outlineLevel="1">
      <c r="A97" s="506"/>
      <c r="B97" s="4698" t="s">
        <v>1668</v>
      </c>
      <c r="C97" s="4699"/>
      <c r="D97" s="4702" t="s">
        <v>1595</v>
      </c>
      <c r="E97" s="4672"/>
      <c r="F97" s="4672"/>
      <c r="G97" s="530"/>
      <c r="H97" s="531" t="s">
        <v>1669</v>
      </c>
      <c r="I97" s="506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hidden="1" customHeight="1" outlineLevel="1" thickBot="1">
      <c r="A98" s="506"/>
      <c r="B98" s="4700"/>
      <c r="C98" s="4701"/>
      <c r="D98" s="4703"/>
      <c r="E98" s="4704"/>
      <c r="F98" s="4704"/>
      <c r="G98" s="532"/>
      <c r="H98" s="533"/>
      <c r="I98" s="506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hidden="1" customHeight="1" collapsed="1" thickBot="1">
      <c r="A99" s="506"/>
      <c r="B99" s="3"/>
      <c r="C99" s="3"/>
      <c r="D99" s="3"/>
      <c r="E99" s="3"/>
      <c r="F99" s="3"/>
      <c r="G99" s="3"/>
      <c r="H99" s="3"/>
      <c r="I99" s="506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hidden="1" customHeight="1" outlineLevel="1">
      <c r="A100" s="506"/>
      <c r="B100" s="4686" t="s">
        <v>1613</v>
      </c>
      <c r="C100" s="4672"/>
      <c r="D100" s="4672"/>
      <c r="E100" s="4672"/>
      <c r="F100" s="4672"/>
      <c r="G100" s="4672"/>
      <c r="H100" s="4673"/>
      <c r="I100" s="506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hidden="1" customHeight="1" outlineLevel="1">
      <c r="A101" s="506"/>
      <c r="B101" s="535" t="s">
        <v>1659</v>
      </c>
      <c r="C101" s="518" t="s">
        <v>1660</v>
      </c>
      <c r="D101" s="4687" t="s">
        <v>1661</v>
      </c>
      <c r="E101" s="4688"/>
      <c r="F101" s="4689" t="s">
        <v>1662</v>
      </c>
      <c r="G101" s="4690" t="s">
        <v>1394</v>
      </c>
      <c r="H101" s="4692" t="s">
        <v>1663</v>
      </c>
      <c r="I101" s="506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hidden="1" customHeight="1" outlineLevel="1">
      <c r="A102" s="506"/>
      <c r="B102" s="516"/>
      <c r="C102" s="517"/>
      <c r="D102" s="518" t="s">
        <v>1664</v>
      </c>
      <c r="E102" s="519" t="s">
        <v>1665</v>
      </c>
      <c r="F102" s="4167"/>
      <c r="G102" s="4691"/>
      <c r="H102" s="4693"/>
      <c r="I102" s="506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hidden="1" customHeight="1" outlineLevel="1">
      <c r="A103" s="506"/>
      <c r="B103" s="520">
        <f>'PREV KARDEX'!$AT$7</f>
        <v>0</v>
      </c>
      <c r="C103" s="520">
        <f>'PREV KARDEX'!$AT$8</f>
        <v>0</v>
      </c>
      <c r="D103" s="521">
        <f>VLOOKUP('KARDE LD'!J4,'PREV KARDEX'!B9:BE33,45,)</f>
        <v>0</v>
      </c>
      <c r="E103" s="192">
        <v>6.25</v>
      </c>
      <c r="F103" s="523">
        <f t="shared" ref="F103:F108" si="7">D103</f>
        <v>0</v>
      </c>
      <c r="G103" s="4721">
        <f>(F103+F104+F105+F106+F107+F108)/6</f>
        <v>0</v>
      </c>
      <c r="H103" s="4722" t="s">
        <v>1666</v>
      </c>
      <c r="I103" s="506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hidden="1" customHeight="1" outlineLevel="1">
      <c r="A104" s="506"/>
      <c r="B104" s="520">
        <f>'PREV KARDEX'!$AU$7</f>
        <v>0</v>
      </c>
      <c r="C104" s="520">
        <f>'PREV KARDEX'!$AU$8</f>
        <v>0</v>
      </c>
      <c r="D104" s="520">
        <f>VLOOKUP('KARDE LD'!J4,'PREV KARDEX'!B9:BE33,46,)</f>
        <v>0</v>
      </c>
      <c r="E104" s="192">
        <v>6.25</v>
      </c>
      <c r="F104" s="536">
        <f t="shared" si="7"/>
        <v>0</v>
      </c>
      <c r="G104" s="4162"/>
      <c r="H104" s="4723"/>
      <c r="I104" s="506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hidden="1" customHeight="1" outlineLevel="1">
      <c r="A105" s="506"/>
      <c r="B105" s="520">
        <f>'PREV KARDEX'!$AV$7</f>
        <v>0</v>
      </c>
      <c r="C105" s="520">
        <f>'PREV KARDEX'!$AV$8</f>
        <v>0</v>
      </c>
      <c r="D105" s="520">
        <f>VLOOKUP('KARDE LD'!J4,'PREV KARDEX'!B9:BE33,47,)</f>
        <v>0</v>
      </c>
      <c r="E105" s="192">
        <v>6.25</v>
      </c>
      <c r="F105" s="536">
        <f t="shared" si="7"/>
        <v>0</v>
      </c>
      <c r="G105" s="4162"/>
      <c r="H105" s="4723"/>
      <c r="I105" s="506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hidden="1" customHeight="1" outlineLevel="1">
      <c r="A106" s="506"/>
      <c r="B106" s="520">
        <f>'PREV KARDEX'!$AW$7</f>
        <v>0</v>
      </c>
      <c r="C106" s="520">
        <f>'PREV KARDEX'!$AW$8</f>
        <v>0</v>
      </c>
      <c r="D106" s="520">
        <f>VLOOKUP('KARDE LD'!J4,'PREV KARDEX'!B9:BE33,48,)</f>
        <v>0</v>
      </c>
      <c r="E106" s="192">
        <v>6.25</v>
      </c>
      <c r="F106" s="536">
        <f t="shared" si="7"/>
        <v>0</v>
      </c>
      <c r="G106" s="4162"/>
      <c r="H106" s="4723"/>
      <c r="I106" s="506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hidden="1" customHeight="1" outlineLevel="1">
      <c r="A107" s="506"/>
      <c r="B107" s="520">
        <f>'PREV KARDEX'!$AX$7</f>
        <v>0</v>
      </c>
      <c r="C107" s="520">
        <f>'PREV KARDEX'!$AX$8</f>
        <v>0</v>
      </c>
      <c r="D107" s="520">
        <f>VLOOKUP('KARDE LD'!J4,'PREV KARDEX'!B9:BE33,49,)</f>
        <v>0</v>
      </c>
      <c r="E107" s="192">
        <v>6.25</v>
      </c>
      <c r="F107" s="536">
        <f t="shared" si="7"/>
        <v>0</v>
      </c>
      <c r="G107" s="4162"/>
      <c r="H107" s="4723"/>
      <c r="I107" s="506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hidden="1" customHeight="1" outlineLevel="1" thickBot="1">
      <c r="A108" s="506"/>
      <c r="B108" s="520">
        <f>'PREV KARDEX'!$AY$7</f>
        <v>0</v>
      </c>
      <c r="C108" s="520">
        <f>'PREV KARDEX'!$AY$8</f>
        <v>0</v>
      </c>
      <c r="D108" s="521">
        <f>VLOOKUP('KARDE LD'!J4,'PREV KARDEX'!B9:BE33,50,)</f>
        <v>0</v>
      </c>
      <c r="E108" s="192">
        <v>6.25</v>
      </c>
      <c r="F108" s="523">
        <f t="shared" si="7"/>
        <v>0</v>
      </c>
      <c r="G108" s="4695"/>
      <c r="H108" s="4723"/>
      <c r="I108" s="506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hidden="1" customHeight="1" outlineLevel="1" thickBot="1">
      <c r="A109" s="506"/>
      <c r="B109" s="524"/>
      <c r="C109" s="525"/>
      <c r="D109" s="526" t="s">
        <v>1667</v>
      </c>
      <c r="E109" s="527">
        <f>SUM(E103:E108)</f>
        <v>37.5</v>
      </c>
      <c r="F109" s="537"/>
      <c r="G109" s="3"/>
      <c r="H109" s="529"/>
      <c r="I109" s="506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hidden="1" customHeight="1" outlineLevel="1">
      <c r="A110" s="506"/>
      <c r="B110" s="4698" t="s">
        <v>1668</v>
      </c>
      <c r="C110" s="4699"/>
      <c r="D110" s="4702" t="s">
        <v>1595</v>
      </c>
      <c r="E110" s="4672"/>
      <c r="F110" s="4672"/>
      <c r="G110" s="530"/>
      <c r="H110" s="531" t="s">
        <v>1669</v>
      </c>
      <c r="I110" s="506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hidden="1" customHeight="1" outlineLevel="1" thickBot="1">
      <c r="A111" s="506"/>
      <c r="B111" s="4700"/>
      <c r="C111" s="4701"/>
      <c r="D111" s="4703"/>
      <c r="E111" s="4704"/>
      <c r="F111" s="4704"/>
      <c r="G111" s="532"/>
      <c r="H111" s="533"/>
      <c r="I111" s="506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hidden="1" customHeight="1" collapsed="1" thickBot="1">
      <c r="A112" s="506"/>
      <c r="B112" s="3"/>
      <c r="C112" s="3"/>
      <c r="D112" s="3"/>
      <c r="E112" s="506">
        <f>SUM(E102:E108)</f>
        <v>37.5</v>
      </c>
      <c r="F112" s="3"/>
      <c r="G112" s="3"/>
      <c r="H112" s="3"/>
      <c r="I112" s="506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hidden="1" customHeight="1" outlineLevel="1">
      <c r="A113" s="506"/>
      <c r="B113" s="4686" t="s">
        <v>1670</v>
      </c>
      <c r="C113" s="4672"/>
      <c r="D113" s="4672"/>
      <c r="E113" s="4672"/>
      <c r="F113" s="4672"/>
      <c r="G113" s="4672"/>
      <c r="H113" s="4673"/>
      <c r="I113" s="506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hidden="1" customHeight="1" outlineLevel="1">
      <c r="A114" s="506"/>
      <c r="B114" s="535" t="s">
        <v>1659</v>
      </c>
      <c r="C114" s="518" t="s">
        <v>1660</v>
      </c>
      <c r="D114" s="4687" t="s">
        <v>1661</v>
      </c>
      <c r="E114" s="4688"/>
      <c r="F114" s="4689" t="s">
        <v>1662</v>
      </c>
      <c r="G114" s="4690" t="s">
        <v>1394</v>
      </c>
      <c r="H114" s="4692" t="s">
        <v>1663</v>
      </c>
      <c r="I114" s="506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hidden="1" customHeight="1" outlineLevel="1">
      <c r="A115" s="506"/>
      <c r="B115" s="516"/>
      <c r="C115" s="517"/>
      <c r="D115" s="518" t="s">
        <v>1664</v>
      </c>
      <c r="E115" s="519" t="s">
        <v>1665</v>
      </c>
      <c r="F115" s="4167"/>
      <c r="G115" s="4691"/>
      <c r="H115" s="4693"/>
      <c r="I115" s="506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hidden="1" customHeight="1" outlineLevel="1">
      <c r="A116" s="506"/>
      <c r="B116" s="520">
        <f>'PREV KARDEX'!$AZ$7</f>
        <v>0</v>
      </c>
      <c r="C116" s="520">
        <f>'PREV KARDEX'!$AZ$8</f>
        <v>0</v>
      </c>
      <c r="D116" s="521">
        <f>VLOOKUP('KARDE LD'!J4,'PREV KARDEX'!B9:BE33,51,)</f>
        <v>0</v>
      </c>
      <c r="E116" s="192">
        <v>6.25</v>
      </c>
      <c r="F116" s="523">
        <f t="shared" ref="F116:F121" si="8">D116</f>
        <v>0</v>
      </c>
      <c r="G116" s="4721">
        <f>(F116+F117)/2</f>
        <v>0</v>
      </c>
      <c r="H116" s="4722" t="s">
        <v>1666</v>
      </c>
      <c r="I116" s="506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hidden="1" customHeight="1" outlineLevel="1">
      <c r="A117" s="506"/>
      <c r="B117" s="520">
        <f>'PREV KARDEX'!$BA$7</f>
        <v>0</v>
      </c>
      <c r="C117" s="520">
        <f>'PREV KARDEX'!$BA$8</f>
        <v>0</v>
      </c>
      <c r="D117" s="521">
        <f>VLOOKUP('KARDE LD'!J4,'PREV KARDEX'!B9:BE33,52,)</f>
        <v>0</v>
      </c>
      <c r="E117" s="192">
        <v>6.25</v>
      </c>
      <c r="F117" s="523">
        <f t="shared" si="8"/>
        <v>0</v>
      </c>
      <c r="G117" s="4162"/>
      <c r="H117" s="4723"/>
      <c r="I117" s="506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hidden="1" customHeight="1" outlineLevel="1">
      <c r="A118" s="506"/>
      <c r="B118" s="520">
        <f>'PREV KARDEX'!$BB$7</f>
        <v>0</v>
      </c>
      <c r="C118" s="520">
        <f>'PREV KARDEX'!$BB$8</f>
        <v>0</v>
      </c>
      <c r="D118" s="521">
        <f>VLOOKUP('KARDE LD'!J4,'PREV KARDEX'!B9:BE33,53,)</f>
        <v>0</v>
      </c>
      <c r="E118" s="192">
        <v>6.25</v>
      </c>
      <c r="F118" s="523">
        <f t="shared" si="8"/>
        <v>0</v>
      </c>
      <c r="G118" s="4162"/>
      <c r="H118" s="4723"/>
      <c r="I118" s="506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hidden="1" customHeight="1" outlineLevel="1">
      <c r="A119" s="506"/>
      <c r="B119" s="520">
        <f>'PREV KARDEX'!$BC$7</f>
        <v>0</v>
      </c>
      <c r="C119" s="520">
        <f>'PREV KARDEX'!$BC$8</f>
        <v>0</v>
      </c>
      <c r="D119" s="521">
        <f>VLOOKUP('KARDE LD'!J4,'PREV KARDEX'!B9:BE33,54,)</f>
        <v>0</v>
      </c>
      <c r="E119" s="192">
        <v>6.25</v>
      </c>
      <c r="F119" s="523">
        <f t="shared" si="8"/>
        <v>0</v>
      </c>
      <c r="G119" s="4162"/>
      <c r="H119" s="4723"/>
      <c r="I119" s="506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hidden="1" customHeight="1" outlineLevel="1">
      <c r="A120" s="506"/>
      <c r="B120" s="520">
        <f>'PREV KARDEX'!$BD$7</f>
        <v>0</v>
      </c>
      <c r="C120" s="520">
        <f>'PREV KARDEX'!$BD$8</f>
        <v>0</v>
      </c>
      <c r="D120" s="520">
        <f>VLOOKUP('KARDE LD'!J4,'PREV KARDEX'!B9:BE33,55,)</f>
        <v>0</v>
      </c>
      <c r="E120" s="192">
        <v>6.25</v>
      </c>
      <c r="F120" s="536">
        <f t="shared" si="8"/>
        <v>0</v>
      </c>
      <c r="G120" s="4162"/>
      <c r="H120" s="4723"/>
      <c r="I120" s="506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hidden="1" customHeight="1" outlineLevel="1" thickBot="1">
      <c r="A121" s="506"/>
      <c r="B121" s="520">
        <f>'PREV KARDEX'!$BE$7</f>
        <v>0</v>
      </c>
      <c r="C121" s="520">
        <f>'PREV KARDEX'!$BE$8</f>
        <v>0</v>
      </c>
      <c r="D121" s="520">
        <f>VLOOKUP('KARDE LD'!J4,'PREV KARDEX'!B9:BE33,56,)</f>
        <v>0</v>
      </c>
      <c r="E121" s="192">
        <v>6.25</v>
      </c>
      <c r="F121" s="536">
        <f t="shared" si="8"/>
        <v>0</v>
      </c>
      <c r="G121" s="4695"/>
      <c r="H121" s="4723"/>
      <c r="I121" s="506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hidden="1" customHeight="1" outlineLevel="1" thickBot="1">
      <c r="A122" s="506"/>
      <c r="B122" s="524"/>
      <c r="C122" s="525"/>
      <c r="D122" s="526" t="s">
        <v>1667</v>
      </c>
      <c r="E122" s="527">
        <f>SUM(E116:E121)</f>
        <v>37.5</v>
      </c>
      <c r="F122" s="537"/>
      <c r="G122" s="3"/>
      <c r="H122" s="529"/>
      <c r="I122" s="506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hidden="1" customHeight="1" outlineLevel="1">
      <c r="A123" s="506"/>
      <c r="B123" s="4698" t="s">
        <v>1668</v>
      </c>
      <c r="C123" s="4699"/>
      <c r="D123" s="4702" t="s">
        <v>1595</v>
      </c>
      <c r="E123" s="4672"/>
      <c r="F123" s="4672"/>
      <c r="G123" s="530"/>
      <c r="H123" s="531" t="s">
        <v>1669</v>
      </c>
      <c r="I123" s="506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hidden="1" customHeight="1" outlineLevel="1" thickBot="1">
      <c r="A124" s="506"/>
      <c r="B124" s="4700"/>
      <c r="C124" s="4701"/>
      <c r="D124" s="4703"/>
      <c r="E124" s="4704"/>
      <c r="F124" s="4704"/>
      <c r="G124" s="532"/>
      <c r="H124" s="533"/>
      <c r="I124" s="506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 collapsed="1">
      <c r="A125" s="506"/>
      <c r="B125" s="506"/>
      <c r="C125" s="506"/>
      <c r="D125" s="506"/>
      <c r="E125" s="506">
        <f>SUM(E115:E121)</f>
        <v>37.5</v>
      </c>
      <c r="F125" s="506"/>
      <c r="G125" s="506"/>
      <c r="H125" s="506"/>
      <c r="I125" s="506"/>
      <c r="J125" s="3">
        <f>E125*9</f>
        <v>337.5</v>
      </c>
      <c r="K125" s="506"/>
      <c r="L125" s="506"/>
      <c r="M125" s="506"/>
      <c r="N125" s="506"/>
      <c r="O125" s="50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506"/>
      <c r="B126" s="227"/>
      <c r="C126" s="227"/>
      <c r="D126" s="227"/>
      <c r="E126" s="317" t="s">
        <v>1671</v>
      </c>
      <c r="F126" s="539"/>
      <c r="G126" s="4724">
        <f ca="1">TODAY()</f>
        <v>45969</v>
      </c>
      <c r="H126" s="4469"/>
      <c r="I126" s="506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506"/>
      <c r="B127" s="227"/>
      <c r="C127" s="227"/>
      <c r="D127" s="227"/>
      <c r="E127" s="227"/>
      <c r="F127" s="227"/>
      <c r="G127" s="227"/>
      <c r="H127" s="227"/>
      <c r="I127" s="506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 thickBot="1">
      <c r="A128" s="506"/>
      <c r="B128" s="540"/>
      <c r="C128" s="540"/>
      <c r="D128" s="299"/>
      <c r="E128" s="541"/>
      <c r="F128" s="541"/>
      <c r="G128" s="299"/>
      <c r="H128" s="299"/>
      <c r="I128" s="506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 thickBot="1">
      <c r="A129" s="506"/>
      <c r="B129" s="299"/>
      <c r="C129" s="542" t="s">
        <v>4446</v>
      </c>
      <c r="D129" s="299"/>
      <c r="E129" s="4725" t="s">
        <v>1518</v>
      </c>
      <c r="F129" s="4707"/>
      <c r="G129" s="4708"/>
      <c r="H129" s="299"/>
      <c r="I129" s="506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 thickBot="1">
      <c r="A130" s="506"/>
      <c r="B130" s="299"/>
      <c r="C130" s="196" t="s">
        <v>1600</v>
      </c>
      <c r="D130" s="299"/>
      <c r="E130" s="4726">
        <f>AVERAGE(G12,G25)</f>
        <v>9.8083333333333336</v>
      </c>
      <c r="F130" s="4684"/>
      <c r="G130" s="4685"/>
      <c r="H130" s="299"/>
      <c r="I130" s="506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506"/>
      <c r="B131" s="299"/>
      <c r="C131" s="299"/>
      <c r="D131" s="299"/>
      <c r="E131" s="299"/>
      <c r="F131" s="299"/>
      <c r="G131" s="299"/>
      <c r="H131" s="299"/>
      <c r="I131" s="506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506"/>
      <c r="B132" s="506"/>
      <c r="C132" s="191" t="s">
        <v>1672</v>
      </c>
      <c r="D132" s="506"/>
      <c r="E132" s="506"/>
      <c r="F132" s="506"/>
      <c r="G132" s="506"/>
      <c r="H132" s="506"/>
      <c r="I132" s="506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506"/>
      <c r="B133" s="506"/>
      <c r="C133" s="543" t="s">
        <v>1673</v>
      </c>
      <c r="D133" s="506"/>
      <c r="E133" s="506"/>
      <c r="F133" s="227"/>
      <c r="G133" s="506"/>
      <c r="H133" s="506"/>
      <c r="I133" s="506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506"/>
      <c r="B134" s="2"/>
      <c r="C134" s="2"/>
      <c r="D134" s="2"/>
      <c r="E134" s="2"/>
      <c r="F134" s="2"/>
      <c r="G134" s="2"/>
      <c r="H134" s="2"/>
      <c r="I134" s="506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506"/>
      <c r="B135" s="2"/>
      <c r="C135" s="2"/>
      <c r="D135" s="2"/>
      <c r="E135" s="2"/>
      <c r="F135" s="2"/>
      <c r="G135" s="2"/>
      <c r="H135" s="2"/>
      <c r="I135" s="506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506"/>
      <c r="B136" s="2"/>
      <c r="C136" s="2"/>
      <c r="D136" s="2"/>
      <c r="E136" s="2"/>
      <c r="F136" s="2"/>
      <c r="G136" s="2"/>
      <c r="H136" s="2"/>
      <c r="I136" s="506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506"/>
      <c r="B137" s="2"/>
      <c r="C137" s="2"/>
      <c r="D137" s="2"/>
      <c r="E137" s="2"/>
      <c r="F137" s="2"/>
      <c r="G137" s="2"/>
      <c r="H137" s="2"/>
      <c r="I137" s="506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506"/>
      <c r="B138" s="2"/>
      <c r="C138" s="2"/>
      <c r="D138" s="2"/>
      <c r="E138" s="2"/>
      <c r="F138" s="2"/>
      <c r="G138" s="2"/>
      <c r="H138" s="2"/>
      <c r="I138" s="506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506"/>
      <c r="B139" s="506"/>
      <c r="C139" s="506"/>
      <c r="D139" s="506"/>
      <c r="E139" s="506"/>
      <c r="F139" s="506"/>
      <c r="G139" s="506"/>
      <c r="H139" s="506"/>
      <c r="I139" s="506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506"/>
      <c r="B140" s="2"/>
      <c r="C140" s="2"/>
      <c r="D140" s="2"/>
      <c r="E140" s="2"/>
      <c r="F140" s="2"/>
      <c r="G140" s="2"/>
      <c r="H140" s="2"/>
      <c r="I140" s="506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/>
    <row r="335" spans="1:26" ht="15.75" customHeight="1"/>
    <row r="336" spans="1:2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02">
    <mergeCell ref="D36:E36"/>
    <mergeCell ref="B45:C46"/>
    <mergeCell ref="D45:F45"/>
    <mergeCell ref="D46:F46"/>
    <mergeCell ref="D33:F33"/>
    <mergeCell ref="B35:H35"/>
    <mergeCell ref="F36:F37"/>
    <mergeCell ref="G36:G37"/>
    <mergeCell ref="H36:H37"/>
    <mergeCell ref="G38:G43"/>
    <mergeCell ref="H38:H43"/>
    <mergeCell ref="B22:H22"/>
    <mergeCell ref="D23:E23"/>
    <mergeCell ref="F23:F24"/>
    <mergeCell ref="G23:G24"/>
    <mergeCell ref="H23:H24"/>
    <mergeCell ref="G25:G30"/>
    <mergeCell ref="H25:H30"/>
    <mergeCell ref="B32:C33"/>
    <mergeCell ref="D32:F32"/>
    <mergeCell ref="B9:H9"/>
    <mergeCell ref="D10:E10"/>
    <mergeCell ref="F10:F11"/>
    <mergeCell ref="G10:G11"/>
    <mergeCell ref="H10:H11"/>
    <mergeCell ref="G12:G17"/>
    <mergeCell ref="H12:H17"/>
    <mergeCell ref="B19:C20"/>
    <mergeCell ref="D19:F19"/>
    <mergeCell ref="D20:F20"/>
    <mergeCell ref="C1:E1"/>
    <mergeCell ref="C2:D2"/>
    <mergeCell ref="C3:E3"/>
    <mergeCell ref="B4:F4"/>
    <mergeCell ref="D6:E6"/>
    <mergeCell ref="F6:G6"/>
    <mergeCell ref="D7:E7"/>
    <mergeCell ref="F7:G7"/>
    <mergeCell ref="D8:G8"/>
    <mergeCell ref="B113:H113"/>
    <mergeCell ref="D123:F123"/>
    <mergeCell ref="D124:F124"/>
    <mergeCell ref="G126:H126"/>
    <mergeCell ref="E129:G129"/>
    <mergeCell ref="E130:G130"/>
    <mergeCell ref="D114:E114"/>
    <mergeCell ref="F114:F115"/>
    <mergeCell ref="G114:G115"/>
    <mergeCell ref="H114:H115"/>
    <mergeCell ref="G116:G121"/>
    <mergeCell ref="H116:H121"/>
    <mergeCell ref="B123:C124"/>
    <mergeCell ref="B100:H100"/>
    <mergeCell ref="D101:E101"/>
    <mergeCell ref="F101:F102"/>
    <mergeCell ref="H101:H102"/>
    <mergeCell ref="G101:G102"/>
    <mergeCell ref="G103:G108"/>
    <mergeCell ref="H103:H108"/>
    <mergeCell ref="B110:C111"/>
    <mergeCell ref="D110:F110"/>
    <mergeCell ref="D111:F111"/>
    <mergeCell ref="B87:H87"/>
    <mergeCell ref="D88:E88"/>
    <mergeCell ref="F88:F89"/>
    <mergeCell ref="G88:G89"/>
    <mergeCell ref="H88:H89"/>
    <mergeCell ref="G90:G95"/>
    <mergeCell ref="H90:H95"/>
    <mergeCell ref="B97:C98"/>
    <mergeCell ref="D97:F97"/>
    <mergeCell ref="D98:F98"/>
    <mergeCell ref="B61:H61"/>
    <mergeCell ref="D62:E62"/>
    <mergeCell ref="F62:F63"/>
    <mergeCell ref="H62:H63"/>
    <mergeCell ref="D84:F84"/>
    <mergeCell ref="D85:F85"/>
    <mergeCell ref="D75:E75"/>
    <mergeCell ref="F75:F76"/>
    <mergeCell ref="G75:G76"/>
    <mergeCell ref="H75:H76"/>
    <mergeCell ref="G77:G82"/>
    <mergeCell ref="H77:H82"/>
    <mergeCell ref="B84:C85"/>
    <mergeCell ref="G62:G63"/>
    <mergeCell ref="G64:G69"/>
    <mergeCell ref="H64:H69"/>
    <mergeCell ref="B71:C72"/>
    <mergeCell ref="D71:F71"/>
    <mergeCell ref="D72:F72"/>
    <mergeCell ref="B74:H74"/>
    <mergeCell ref="B48:H48"/>
    <mergeCell ref="D49:E49"/>
    <mergeCell ref="F49:F50"/>
    <mergeCell ref="G49:G50"/>
    <mergeCell ref="H49:H50"/>
    <mergeCell ref="G51:G56"/>
    <mergeCell ref="H51:H56"/>
    <mergeCell ref="B58:C59"/>
    <mergeCell ref="D58:F58"/>
    <mergeCell ref="D59:F59"/>
  </mergeCells>
  <printOptions horizontalCentered="1"/>
  <pageMargins left="0" right="0" top="0" bottom="0" header="0" footer="0"/>
  <pageSetup scale="98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CCCC"/>
  </sheetPr>
  <dimension ref="A1:BK1000"/>
  <sheetViews>
    <sheetView topLeftCell="C22" workbookViewId="0">
      <selection activeCell="J6" sqref="J6"/>
    </sheetView>
  </sheetViews>
  <sheetFormatPr baseColWidth="10" defaultColWidth="14.42578125" defaultRowHeight="15" customHeight="1"/>
  <cols>
    <col min="1" max="1" width="11.42578125" customWidth="1"/>
    <col min="2" max="2" width="7" customWidth="1"/>
    <col min="3" max="3" width="11.7109375" customWidth="1"/>
    <col min="4" max="5" width="20.5703125" customWidth="1"/>
    <col min="6" max="6" width="43.42578125" customWidth="1"/>
    <col min="7" max="8" width="4.28515625" customWidth="1"/>
    <col min="9" max="9" width="5.28515625" customWidth="1"/>
    <col min="10" max="10" width="5" customWidth="1"/>
    <col min="11" max="12" width="11" customWidth="1"/>
    <col min="13" max="13" width="12" customWidth="1"/>
    <col min="14" max="15" width="11" customWidth="1"/>
    <col min="16" max="18" width="10.5703125" customWidth="1"/>
    <col min="19" max="19" width="8.5703125" customWidth="1"/>
    <col min="20" max="20" width="9" customWidth="1"/>
    <col min="21" max="21" width="11.42578125" customWidth="1"/>
    <col min="22" max="22" width="8.42578125" customWidth="1"/>
    <col min="23" max="23" width="10.5703125" customWidth="1"/>
    <col min="24" max="24" width="13" customWidth="1"/>
    <col min="25" max="25" width="11.42578125" customWidth="1"/>
    <col min="26" max="27" width="9.7109375" customWidth="1"/>
    <col min="28" max="29" width="11.42578125" customWidth="1"/>
    <col min="30" max="30" width="9" customWidth="1"/>
    <col min="31" max="31" width="9.7109375" customWidth="1"/>
    <col min="32" max="32" width="12.28515625" customWidth="1"/>
    <col min="33" max="33" width="6.5703125" customWidth="1"/>
    <col min="34" max="34" width="10.7109375" customWidth="1"/>
    <col min="35" max="35" width="8.5703125" customWidth="1"/>
    <col min="36" max="36" width="11.42578125" customWidth="1"/>
    <col min="37" max="37" width="8.5703125" customWidth="1"/>
    <col min="38" max="38" width="11" customWidth="1"/>
    <col min="39" max="40" width="10.7109375" customWidth="1"/>
    <col min="41" max="41" width="7" customWidth="1"/>
    <col min="42" max="42" width="11.42578125" customWidth="1"/>
    <col min="43" max="43" width="7.7109375" customWidth="1"/>
    <col min="44" max="44" width="8.28515625" customWidth="1"/>
    <col min="45" max="45" width="12.28515625" customWidth="1"/>
    <col min="46" max="46" width="9" customWidth="1"/>
    <col min="47" max="47" width="8.5703125" customWidth="1"/>
    <col min="48" max="49" width="11.42578125" customWidth="1"/>
    <col min="50" max="50" width="11" customWidth="1"/>
    <col min="51" max="51" width="9.42578125" customWidth="1"/>
    <col min="52" max="52" width="16.5703125" customWidth="1"/>
    <col min="53" max="53" width="11.42578125" customWidth="1"/>
    <col min="54" max="54" width="14.28515625" customWidth="1"/>
    <col min="55" max="55" width="11.42578125" customWidth="1"/>
    <col min="56" max="56" width="10.7109375" customWidth="1"/>
    <col min="57" max="59" width="11.42578125" customWidth="1"/>
    <col min="60" max="61" width="13.7109375" customWidth="1"/>
    <col min="63" max="63" width="16.42578125" customWidth="1"/>
  </cols>
  <sheetData>
    <row r="1" spans="1:63" ht="23.25" customHeight="1">
      <c r="A1" s="544"/>
      <c r="B1" s="4166" t="s">
        <v>5</v>
      </c>
      <c r="C1" s="198" t="s">
        <v>1674</v>
      </c>
      <c r="D1" s="4464" t="s">
        <v>6</v>
      </c>
      <c r="E1" s="4464" t="s">
        <v>7</v>
      </c>
      <c r="F1" s="178" t="s">
        <v>8</v>
      </c>
      <c r="G1" s="4445" t="s">
        <v>9</v>
      </c>
      <c r="H1" s="4545" t="s">
        <v>10</v>
      </c>
      <c r="I1" s="4458"/>
      <c r="J1" s="4549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3"/>
      <c r="Y1" s="360"/>
      <c r="Z1" s="360"/>
      <c r="AA1" s="360"/>
      <c r="AB1" s="360"/>
      <c r="AC1" s="363"/>
      <c r="AD1" s="360"/>
      <c r="AE1" s="360"/>
      <c r="AF1" s="360"/>
      <c r="AG1" s="360"/>
      <c r="AH1" s="360"/>
      <c r="AI1" s="360"/>
      <c r="AJ1" s="360"/>
      <c r="AK1" s="360"/>
      <c r="AL1" s="360"/>
      <c r="AM1" s="360"/>
      <c r="AN1" s="360"/>
      <c r="AO1" s="360"/>
      <c r="AP1" s="360"/>
      <c r="AQ1" s="360"/>
      <c r="AR1" s="360"/>
      <c r="AS1" s="363"/>
      <c r="AT1" s="360"/>
      <c r="AU1" s="360"/>
      <c r="AV1" s="363"/>
      <c r="AW1" s="363"/>
      <c r="AX1" s="360"/>
      <c r="AY1" s="360"/>
      <c r="AZ1" s="360"/>
      <c r="BA1" s="363"/>
      <c r="BB1" s="360"/>
      <c r="BC1" s="363"/>
      <c r="BD1" s="360"/>
      <c r="BE1" s="360"/>
      <c r="BF1" s="363"/>
      <c r="BG1" s="360"/>
      <c r="BH1" s="219"/>
      <c r="BI1" s="427"/>
      <c r="BJ1" s="3"/>
      <c r="BK1" s="3"/>
    </row>
    <row r="2" spans="1:63" ht="43.5" customHeight="1">
      <c r="A2" s="544"/>
      <c r="B2" s="4162"/>
      <c r="C2" s="11" t="s">
        <v>1448</v>
      </c>
      <c r="D2" s="4466"/>
      <c r="E2" s="4466"/>
      <c r="F2" s="425" t="s">
        <v>78</v>
      </c>
      <c r="G2" s="4456"/>
      <c r="H2" s="12" t="s">
        <v>79</v>
      </c>
      <c r="I2" s="12" t="s">
        <v>80</v>
      </c>
      <c r="J2" s="13" t="s">
        <v>81</v>
      </c>
      <c r="K2" s="360" t="s">
        <v>27</v>
      </c>
      <c r="L2" s="360" t="s">
        <v>1346</v>
      </c>
      <c r="M2" s="360" t="s">
        <v>1347</v>
      </c>
      <c r="N2" s="360" t="s">
        <v>1348</v>
      </c>
      <c r="O2" s="360" t="s">
        <v>1349</v>
      </c>
      <c r="P2" s="360" t="s">
        <v>1350</v>
      </c>
      <c r="Q2" s="360" t="s">
        <v>1351</v>
      </c>
      <c r="R2" s="360" t="s">
        <v>1352</v>
      </c>
      <c r="S2" s="360" t="s">
        <v>1353</v>
      </c>
      <c r="T2" s="360" t="s">
        <v>1354</v>
      </c>
      <c r="U2" s="360" t="s">
        <v>1355</v>
      </c>
      <c r="V2" s="360" t="s">
        <v>1356</v>
      </c>
      <c r="W2" s="360" t="s">
        <v>1357</v>
      </c>
      <c r="X2" s="363" t="s">
        <v>1358</v>
      </c>
      <c r="Y2" s="360" t="s">
        <v>1359</v>
      </c>
      <c r="Z2" s="360" t="s">
        <v>1360</v>
      </c>
      <c r="AA2" s="360" t="s">
        <v>1361</v>
      </c>
      <c r="AB2" s="360" t="s">
        <v>1362</v>
      </c>
      <c r="AC2" s="363" t="s">
        <v>1363</v>
      </c>
      <c r="AD2" s="360" t="s">
        <v>1364</v>
      </c>
      <c r="AE2" s="360" t="s">
        <v>1365</v>
      </c>
      <c r="AF2" s="360" t="s">
        <v>1366</v>
      </c>
      <c r="AG2" s="360" t="s">
        <v>1367</v>
      </c>
      <c r="AH2" s="360" t="s">
        <v>1368</v>
      </c>
      <c r="AI2" s="360" t="s">
        <v>1369</v>
      </c>
      <c r="AJ2" s="360" t="s">
        <v>1370</v>
      </c>
      <c r="AK2" s="360" t="s">
        <v>1371</v>
      </c>
      <c r="AL2" s="360" t="s">
        <v>1372</v>
      </c>
      <c r="AM2" s="360" t="s">
        <v>1373</v>
      </c>
      <c r="AN2" s="360" t="s">
        <v>1374</v>
      </c>
      <c r="AO2" s="360" t="s">
        <v>1375</v>
      </c>
      <c r="AP2" s="360" t="s">
        <v>1376</v>
      </c>
      <c r="AQ2" s="360" t="s">
        <v>1377</v>
      </c>
      <c r="AR2" s="360" t="s">
        <v>1378</v>
      </c>
      <c r="AS2" s="363" t="s">
        <v>1379</v>
      </c>
      <c r="AT2" s="360" t="s">
        <v>1380</v>
      </c>
      <c r="AU2" s="360" t="s">
        <v>1381</v>
      </c>
      <c r="AV2" s="363" t="s">
        <v>1382</v>
      </c>
      <c r="AW2" s="363" t="s">
        <v>1383</v>
      </c>
      <c r="AX2" s="360" t="s">
        <v>1384</v>
      </c>
      <c r="AY2" s="360" t="s">
        <v>1385</v>
      </c>
      <c r="AZ2" s="360" t="s">
        <v>1386</v>
      </c>
      <c r="BA2" s="363" t="s">
        <v>1675</v>
      </c>
      <c r="BB2" s="360" t="s">
        <v>1388</v>
      </c>
      <c r="BC2" s="363" t="s">
        <v>1389</v>
      </c>
      <c r="BD2" s="360" t="s">
        <v>1390</v>
      </c>
      <c r="BE2" s="360" t="s">
        <v>1391</v>
      </c>
      <c r="BF2" s="363" t="s">
        <v>1392</v>
      </c>
      <c r="BG2" s="360" t="s">
        <v>1393</v>
      </c>
      <c r="BH2" s="38" t="s">
        <v>1394</v>
      </c>
      <c r="BI2" s="158" t="s">
        <v>1518</v>
      </c>
      <c r="BJ2" s="3"/>
      <c r="BK2" s="3"/>
    </row>
    <row r="3" spans="1:63">
      <c r="A3" s="195" t="s">
        <v>1345</v>
      </c>
      <c r="B3" s="195">
        <v>1</v>
      </c>
      <c r="C3" s="428">
        <v>44247</v>
      </c>
      <c r="D3" s="195" t="s">
        <v>624</v>
      </c>
      <c r="E3" s="195" t="s">
        <v>1579</v>
      </c>
      <c r="F3" s="545" t="s">
        <v>626</v>
      </c>
      <c r="G3" s="545" t="s">
        <v>432</v>
      </c>
      <c r="H3" s="545">
        <v>74</v>
      </c>
      <c r="I3" s="545">
        <v>6</v>
      </c>
      <c r="J3" s="545">
        <v>1</v>
      </c>
      <c r="K3" s="545"/>
      <c r="L3" s="370">
        <v>10</v>
      </c>
      <c r="M3" s="370">
        <v>10</v>
      </c>
      <c r="N3" s="370">
        <v>10</v>
      </c>
      <c r="O3" s="370">
        <v>10</v>
      </c>
      <c r="P3" s="370">
        <v>10</v>
      </c>
      <c r="Q3" s="370">
        <v>10</v>
      </c>
      <c r="R3" s="370">
        <v>10</v>
      </c>
      <c r="S3" s="370">
        <v>10</v>
      </c>
      <c r="T3" s="370">
        <v>10</v>
      </c>
      <c r="U3" s="370">
        <v>10</v>
      </c>
      <c r="V3" s="370">
        <v>10</v>
      </c>
      <c r="W3" s="370">
        <v>10</v>
      </c>
      <c r="X3" s="370">
        <v>10</v>
      </c>
      <c r="Y3" s="370">
        <v>10</v>
      </c>
      <c r="Z3" s="370">
        <v>10</v>
      </c>
      <c r="AA3" s="370">
        <v>10</v>
      </c>
      <c r="AB3" s="126">
        <v>9.4</v>
      </c>
      <c r="AC3" s="126">
        <v>8.1</v>
      </c>
      <c r="AD3" s="370">
        <v>10</v>
      </c>
      <c r="AE3" s="370">
        <v>10</v>
      </c>
      <c r="AF3" s="370">
        <v>10</v>
      </c>
      <c r="AG3" s="370">
        <v>10</v>
      </c>
      <c r="AH3" s="126">
        <v>9.1999999999999993</v>
      </c>
      <c r="AI3" s="370">
        <v>10</v>
      </c>
      <c r="AJ3" s="546">
        <v>10</v>
      </c>
      <c r="AK3" s="126">
        <v>9.6</v>
      </c>
      <c r="AL3" s="370">
        <v>10</v>
      </c>
      <c r="AM3" s="85">
        <v>9.6</v>
      </c>
      <c r="AN3" s="370">
        <v>10</v>
      </c>
      <c r="AO3" s="126">
        <v>8.5</v>
      </c>
      <c r="AP3" s="547">
        <v>9</v>
      </c>
      <c r="AQ3" s="370">
        <v>10</v>
      </c>
      <c r="AR3" s="370">
        <v>10</v>
      </c>
      <c r="AS3" s="546">
        <v>10</v>
      </c>
      <c r="AT3" s="546">
        <v>10</v>
      </c>
      <c r="AU3" s="548">
        <v>10</v>
      </c>
      <c r="AV3" s="546">
        <v>10</v>
      </c>
      <c r="AW3" s="548">
        <v>10</v>
      </c>
      <c r="AX3" s="548">
        <v>10</v>
      </c>
      <c r="AY3" s="370">
        <v>10</v>
      </c>
      <c r="AZ3" s="370">
        <v>10</v>
      </c>
      <c r="BA3" s="546">
        <v>10</v>
      </c>
      <c r="BB3" s="549">
        <v>10</v>
      </c>
      <c r="BC3" s="548">
        <v>10</v>
      </c>
      <c r="BD3" s="126">
        <v>9.6</v>
      </c>
      <c r="BE3" s="550">
        <v>10</v>
      </c>
      <c r="BF3" s="551">
        <v>9</v>
      </c>
      <c r="BG3" s="548">
        <v>10</v>
      </c>
      <c r="BH3" s="50">
        <f t="shared" ref="BH3:BH7" si="0">SUM(Y3:BD3)/18</f>
        <v>17.388888888888889</v>
      </c>
      <c r="BI3" s="205">
        <f t="shared" ref="BI3:BI7" si="1">SUM(L3:BG3)/48</f>
        <v>9.8333333333333339</v>
      </c>
      <c r="BJ3" s="3"/>
      <c r="BK3" s="3"/>
    </row>
    <row r="4" spans="1:63">
      <c r="A4" s="195" t="s">
        <v>1345</v>
      </c>
      <c r="B4" s="195">
        <v>2</v>
      </c>
      <c r="C4" s="428">
        <v>44216</v>
      </c>
      <c r="D4" s="390" t="s">
        <v>627</v>
      </c>
      <c r="E4" s="390" t="s">
        <v>628</v>
      </c>
      <c r="F4" s="552" t="s">
        <v>1437</v>
      </c>
      <c r="G4" s="545" t="s">
        <v>433</v>
      </c>
      <c r="H4" s="545">
        <v>83</v>
      </c>
      <c r="I4" s="545">
        <v>12</v>
      </c>
      <c r="J4" s="545">
        <v>1</v>
      </c>
      <c r="K4" s="545"/>
      <c r="L4" s="370">
        <v>10</v>
      </c>
      <c r="M4" s="370">
        <v>10</v>
      </c>
      <c r="N4" s="370">
        <v>10</v>
      </c>
      <c r="O4" s="370">
        <v>10</v>
      </c>
      <c r="P4" s="370">
        <v>10</v>
      </c>
      <c r="Q4" s="370">
        <v>10</v>
      </c>
      <c r="R4" s="126">
        <v>9</v>
      </c>
      <c r="S4" s="126">
        <v>8</v>
      </c>
      <c r="T4" s="126">
        <v>8</v>
      </c>
      <c r="U4" s="126">
        <v>9</v>
      </c>
      <c r="V4" s="126">
        <v>9</v>
      </c>
      <c r="W4" s="126">
        <v>9.5</v>
      </c>
      <c r="X4" s="370">
        <v>9</v>
      </c>
      <c r="Y4" s="370">
        <v>10</v>
      </c>
      <c r="Z4" s="126">
        <v>8</v>
      </c>
      <c r="AA4" s="126">
        <v>9</v>
      </c>
      <c r="AB4" s="126">
        <v>9</v>
      </c>
      <c r="AC4" s="126">
        <v>8</v>
      </c>
      <c r="AD4" s="126">
        <v>8</v>
      </c>
      <c r="AE4" s="126">
        <v>8</v>
      </c>
      <c r="AF4" s="126">
        <v>9</v>
      </c>
      <c r="AG4" s="126">
        <v>8</v>
      </c>
      <c r="AH4" s="126">
        <v>7</v>
      </c>
      <c r="AI4" s="126">
        <v>9</v>
      </c>
      <c r="AJ4" s="370">
        <v>10</v>
      </c>
      <c r="AK4" s="126">
        <v>9</v>
      </c>
      <c r="AL4" s="126">
        <v>9</v>
      </c>
      <c r="AM4" s="370">
        <v>10</v>
      </c>
      <c r="AN4" s="126">
        <v>8</v>
      </c>
      <c r="AO4" s="126">
        <v>9</v>
      </c>
      <c r="AP4" s="126">
        <v>9.5</v>
      </c>
      <c r="AQ4" s="126">
        <v>9</v>
      </c>
      <c r="AR4" s="126">
        <v>9</v>
      </c>
      <c r="AS4" s="370">
        <v>10</v>
      </c>
      <c r="AT4" s="126">
        <v>9</v>
      </c>
      <c r="AU4" s="370">
        <v>10</v>
      </c>
      <c r="AV4" s="370">
        <v>10</v>
      </c>
      <c r="AW4" s="370">
        <v>10</v>
      </c>
      <c r="AX4" s="126">
        <v>8</v>
      </c>
      <c r="AY4" s="126">
        <v>8</v>
      </c>
      <c r="AZ4" s="126">
        <v>8</v>
      </c>
      <c r="BA4" s="370">
        <v>10</v>
      </c>
      <c r="BB4" s="370">
        <v>10</v>
      </c>
      <c r="BC4" s="370">
        <v>10</v>
      </c>
      <c r="BD4" s="126">
        <v>8</v>
      </c>
      <c r="BE4" s="370">
        <v>10</v>
      </c>
      <c r="BF4" s="370">
        <v>10</v>
      </c>
      <c r="BG4" s="126">
        <v>9</v>
      </c>
      <c r="BH4" s="50">
        <f t="shared" si="0"/>
        <v>15.916666666666666</v>
      </c>
      <c r="BI4" s="553">
        <f t="shared" si="1"/>
        <v>9.1041666666666661</v>
      </c>
      <c r="BJ4" s="3"/>
      <c r="BK4" s="3"/>
    </row>
    <row r="5" spans="1:63">
      <c r="A5" s="195" t="s">
        <v>1345</v>
      </c>
      <c r="B5" s="195">
        <v>3</v>
      </c>
      <c r="C5" s="439">
        <v>44367</v>
      </c>
      <c r="D5" s="195" t="s">
        <v>664</v>
      </c>
      <c r="E5" s="195" t="s">
        <v>1113</v>
      </c>
      <c r="F5" s="545" t="s">
        <v>666</v>
      </c>
      <c r="G5" s="545" t="s">
        <v>432</v>
      </c>
      <c r="H5" s="545">
        <v>89</v>
      </c>
      <c r="I5" s="545">
        <v>4</v>
      </c>
      <c r="J5" s="545">
        <v>8</v>
      </c>
      <c r="K5" s="545"/>
      <c r="L5" s="126">
        <v>6</v>
      </c>
      <c r="M5" s="126">
        <v>7</v>
      </c>
      <c r="N5" s="126">
        <v>7</v>
      </c>
      <c r="O5" s="554" t="s">
        <v>173</v>
      </c>
      <c r="P5" s="126">
        <v>7</v>
      </c>
      <c r="Q5" s="126">
        <v>9.5</v>
      </c>
      <c r="R5" s="126">
        <v>9</v>
      </c>
      <c r="S5" s="126">
        <v>7</v>
      </c>
      <c r="T5" s="126">
        <v>9</v>
      </c>
      <c r="U5" s="126">
        <v>8</v>
      </c>
      <c r="V5" s="126">
        <v>6</v>
      </c>
      <c r="W5" s="126">
        <v>9.5</v>
      </c>
      <c r="X5" s="370">
        <v>10</v>
      </c>
      <c r="Y5" s="370">
        <v>10</v>
      </c>
      <c r="Z5" s="126">
        <v>8</v>
      </c>
      <c r="AA5" s="126">
        <v>7</v>
      </c>
      <c r="AB5" s="126">
        <v>6</v>
      </c>
      <c r="AC5" s="370">
        <v>10</v>
      </c>
      <c r="AD5" s="126">
        <v>9</v>
      </c>
      <c r="AE5" s="126">
        <v>8</v>
      </c>
      <c r="AF5" s="126">
        <v>7</v>
      </c>
      <c r="AG5" s="126">
        <v>7</v>
      </c>
      <c r="AH5" s="126">
        <v>9</v>
      </c>
      <c r="AI5" s="126">
        <v>7</v>
      </c>
      <c r="AJ5" s="370">
        <v>10</v>
      </c>
      <c r="AK5" s="126">
        <v>6</v>
      </c>
      <c r="AL5" s="126">
        <v>6</v>
      </c>
      <c r="AM5" s="370">
        <v>10</v>
      </c>
      <c r="AN5" s="126">
        <v>8</v>
      </c>
      <c r="AO5" s="126">
        <v>6</v>
      </c>
      <c r="AP5" s="126">
        <v>6</v>
      </c>
      <c r="AQ5" s="126">
        <v>6</v>
      </c>
      <c r="AR5" s="126">
        <v>7</v>
      </c>
      <c r="AS5" s="370">
        <v>10</v>
      </c>
      <c r="AT5" s="126">
        <v>9</v>
      </c>
      <c r="AU5" s="370">
        <v>10</v>
      </c>
      <c r="AV5" s="370">
        <v>10</v>
      </c>
      <c r="AW5" s="370">
        <v>10</v>
      </c>
      <c r="AX5" s="126">
        <v>6</v>
      </c>
      <c r="AY5" s="126">
        <v>6</v>
      </c>
      <c r="AZ5" s="126">
        <v>7</v>
      </c>
      <c r="BA5" s="370">
        <v>10</v>
      </c>
      <c r="BB5" s="370">
        <v>10</v>
      </c>
      <c r="BC5" s="370">
        <v>10</v>
      </c>
      <c r="BD5" s="126">
        <v>6</v>
      </c>
      <c r="BE5" s="370">
        <v>10</v>
      </c>
      <c r="BF5" s="370">
        <v>10</v>
      </c>
      <c r="BG5" s="126">
        <v>6</v>
      </c>
      <c r="BH5" s="50">
        <f t="shared" si="0"/>
        <v>14.277777777777779</v>
      </c>
      <c r="BI5" s="553">
        <f t="shared" si="1"/>
        <v>7.875</v>
      </c>
      <c r="BJ5" s="3"/>
      <c r="BK5" s="3"/>
    </row>
    <row r="6" spans="1:63">
      <c r="A6" s="195" t="s">
        <v>1345</v>
      </c>
      <c r="B6" s="555">
        <v>4</v>
      </c>
      <c r="C6" s="556"/>
      <c r="D6" s="390"/>
      <c r="E6" s="390"/>
      <c r="F6" s="556" t="s">
        <v>1583</v>
      </c>
      <c r="G6" s="557" t="s">
        <v>433</v>
      </c>
      <c r="H6" s="557"/>
      <c r="I6" s="557"/>
      <c r="J6" s="557"/>
      <c r="K6" s="557"/>
      <c r="L6" s="558">
        <v>7</v>
      </c>
      <c r="M6" s="126">
        <v>7</v>
      </c>
      <c r="N6" s="126">
        <v>7</v>
      </c>
      <c r="O6" s="126">
        <v>7</v>
      </c>
      <c r="P6" s="126">
        <v>8</v>
      </c>
      <c r="Q6" s="126">
        <v>9</v>
      </c>
      <c r="R6" s="126">
        <v>9</v>
      </c>
      <c r="S6" s="126">
        <v>8</v>
      </c>
      <c r="T6" s="370">
        <v>10</v>
      </c>
      <c r="U6" s="126">
        <v>9</v>
      </c>
      <c r="V6" s="126">
        <v>7</v>
      </c>
      <c r="W6" s="126">
        <v>9.5</v>
      </c>
      <c r="X6" s="370">
        <v>10</v>
      </c>
      <c r="Y6" s="370">
        <v>10</v>
      </c>
      <c r="Z6" s="126">
        <v>8</v>
      </c>
      <c r="AA6" s="126">
        <v>8</v>
      </c>
      <c r="AB6" s="370">
        <v>10</v>
      </c>
      <c r="AC6" s="370">
        <v>10</v>
      </c>
      <c r="AD6" s="126">
        <v>8</v>
      </c>
      <c r="AE6" s="126">
        <v>8</v>
      </c>
      <c r="AF6" s="126">
        <v>8</v>
      </c>
      <c r="AG6" s="126">
        <v>7</v>
      </c>
      <c r="AH6" s="370">
        <v>10</v>
      </c>
      <c r="AI6" s="126">
        <v>9</v>
      </c>
      <c r="AJ6" s="370">
        <v>10</v>
      </c>
      <c r="AK6" s="126">
        <v>8</v>
      </c>
      <c r="AL6" s="126">
        <v>7</v>
      </c>
      <c r="AM6" s="370">
        <v>10</v>
      </c>
      <c r="AN6" s="126">
        <v>8</v>
      </c>
      <c r="AO6" s="126">
        <v>9</v>
      </c>
      <c r="AP6" s="126">
        <v>8</v>
      </c>
      <c r="AQ6" s="126">
        <v>9</v>
      </c>
      <c r="AR6" s="126">
        <v>9</v>
      </c>
      <c r="AS6" s="370">
        <v>10</v>
      </c>
      <c r="AT6" s="126">
        <v>9</v>
      </c>
      <c r="AU6" s="370">
        <v>10</v>
      </c>
      <c r="AV6" s="370">
        <v>10</v>
      </c>
      <c r="AW6" s="370">
        <v>10</v>
      </c>
      <c r="AX6" s="126">
        <v>8</v>
      </c>
      <c r="AY6" s="126">
        <v>8</v>
      </c>
      <c r="AZ6" s="126">
        <v>8</v>
      </c>
      <c r="BA6" s="370">
        <v>10</v>
      </c>
      <c r="BB6" s="370">
        <v>10</v>
      </c>
      <c r="BC6" s="370">
        <v>10</v>
      </c>
      <c r="BD6" s="126">
        <v>8</v>
      </c>
      <c r="BE6" s="370">
        <v>10</v>
      </c>
      <c r="BF6" s="370">
        <v>10</v>
      </c>
      <c r="BG6" s="126">
        <v>9</v>
      </c>
      <c r="BH6" s="50">
        <f t="shared" si="0"/>
        <v>15.833333333333334</v>
      </c>
      <c r="BI6" s="553">
        <f t="shared" si="1"/>
        <v>8.78125</v>
      </c>
      <c r="BJ6" s="3"/>
      <c r="BK6" s="3"/>
    </row>
    <row r="7" spans="1:63">
      <c r="A7" s="559"/>
      <c r="B7" s="559"/>
      <c r="C7" s="560"/>
      <c r="D7" s="561"/>
      <c r="E7" s="561"/>
      <c r="F7" s="560"/>
      <c r="G7" s="562"/>
      <c r="H7" s="562"/>
      <c r="I7" s="562"/>
      <c r="J7" s="562"/>
      <c r="K7" s="562"/>
      <c r="L7" s="563"/>
      <c r="M7" s="362"/>
      <c r="N7" s="362"/>
      <c r="O7" s="362"/>
      <c r="P7" s="362"/>
      <c r="Q7" s="362"/>
      <c r="R7" s="362"/>
      <c r="S7" s="362"/>
      <c r="T7" s="362"/>
      <c r="U7" s="362"/>
      <c r="V7" s="362"/>
      <c r="W7" s="362"/>
      <c r="X7" s="362"/>
      <c r="Y7" s="362"/>
      <c r="Z7" s="362"/>
      <c r="AA7" s="362"/>
      <c r="AB7" s="362"/>
      <c r="AC7" s="362"/>
      <c r="AD7" s="362"/>
      <c r="AE7" s="362"/>
      <c r="AF7" s="362"/>
      <c r="AG7" s="362"/>
      <c r="AH7" s="362"/>
      <c r="AI7" s="362"/>
      <c r="AJ7" s="362"/>
      <c r="AK7" s="362"/>
      <c r="AL7" s="362"/>
      <c r="AM7" s="362"/>
      <c r="AN7" s="362"/>
      <c r="AO7" s="362"/>
      <c r="AP7" s="362"/>
      <c r="AQ7" s="362"/>
      <c r="AR7" s="362"/>
      <c r="AS7" s="362"/>
      <c r="AT7" s="362"/>
      <c r="AU7" s="362"/>
      <c r="AV7" s="362"/>
      <c r="AW7" s="362"/>
      <c r="AX7" s="362"/>
      <c r="AY7" s="362"/>
      <c r="AZ7" s="362"/>
      <c r="BA7" s="362"/>
      <c r="BB7" s="362"/>
      <c r="BC7" s="362"/>
      <c r="BD7" s="362"/>
      <c r="BE7" s="362"/>
      <c r="BF7" s="362"/>
      <c r="BG7" s="362"/>
      <c r="BH7" s="364">
        <f t="shared" si="0"/>
        <v>0</v>
      </c>
      <c r="BI7" s="564">
        <f t="shared" si="1"/>
        <v>0</v>
      </c>
      <c r="BJ7" s="3"/>
      <c r="BK7" s="3"/>
    </row>
    <row r="8" spans="1:63" ht="15.75" customHeight="1">
      <c r="A8" s="561"/>
      <c r="B8" s="561"/>
      <c r="C8" s="2"/>
      <c r="D8" s="2"/>
      <c r="E8" s="2"/>
      <c r="F8" s="2"/>
      <c r="G8" s="565"/>
      <c r="H8" s="565"/>
      <c r="I8" s="565"/>
      <c r="J8" s="565"/>
      <c r="K8" s="565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566"/>
      <c r="BB8" s="3"/>
      <c r="BC8" s="3"/>
      <c r="BD8" s="3"/>
      <c r="BE8" s="3"/>
      <c r="BF8" s="3"/>
      <c r="BG8" s="3"/>
      <c r="BH8" s="3"/>
      <c r="BI8" s="3"/>
      <c r="BJ8" s="3"/>
      <c r="BK8" s="3"/>
    </row>
    <row r="9" spans="1:63" ht="37.5" customHeight="1">
      <c r="A9" s="561"/>
      <c r="B9" s="4166" t="s">
        <v>5</v>
      </c>
      <c r="C9" s="198" t="s">
        <v>1674</v>
      </c>
      <c r="D9" s="4464" t="s">
        <v>6</v>
      </c>
      <c r="E9" s="4464" t="s">
        <v>7</v>
      </c>
      <c r="F9" s="178" t="s">
        <v>8</v>
      </c>
      <c r="G9" s="4445" t="s">
        <v>9</v>
      </c>
      <c r="H9" s="4545" t="s">
        <v>10</v>
      </c>
      <c r="I9" s="4458"/>
      <c r="J9" s="4549"/>
      <c r="K9" s="360"/>
      <c r="L9" s="360"/>
      <c r="M9" s="360"/>
      <c r="N9" s="360"/>
      <c r="O9" s="360"/>
      <c r="P9" s="360"/>
      <c r="Q9" s="360"/>
      <c r="R9" s="360"/>
      <c r="S9" s="360"/>
      <c r="T9" s="360"/>
      <c r="U9" s="360"/>
      <c r="V9" s="360"/>
      <c r="W9" s="360"/>
      <c r="X9" s="363"/>
      <c r="Y9" s="360"/>
      <c r="Z9" s="360"/>
      <c r="AA9" s="360"/>
      <c r="AB9" s="360"/>
      <c r="AC9" s="363"/>
      <c r="AD9" s="360"/>
      <c r="AE9" s="360"/>
      <c r="AF9" s="360"/>
      <c r="AG9" s="360"/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3"/>
      <c r="AT9" s="360"/>
      <c r="AU9" s="360"/>
      <c r="AV9" s="363"/>
      <c r="AW9" s="363"/>
      <c r="AX9" s="360"/>
      <c r="AY9" s="360"/>
      <c r="AZ9" s="360"/>
      <c r="BA9" s="363"/>
      <c r="BB9" s="360"/>
      <c r="BC9" s="363"/>
      <c r="BD9" s="360"/>
      <c r="BE9" s="360"/>
      <c r="BF9" s="363"/>
      <c r="BG9" s="360"/>
      <c r="BH9" s="219"/>
      <c r="BI9" s="427"/>
      <c r="BJ9" s="3"/>
      <c r="BK9" s="3"/>
    </row>
    <row r="10" spans="1:63" ht="57.75" customHeight="1">
      <c r="A10" s="567"/>
      <c r="B10" s="4162"/>
      <c r="C10" s="11" t="s">
        <v>1448</v>
      </c>
      <c r="D10" s="4466"/>
      <c r="E10" s="4466"/>
      <c r="F10" s="425" t="s">
        <v>78</v>
      </c>
      <c r="G10" s="4456"/>
      <c r="H10" s="12" t="s">
        <v>79</v>
      </c>
      <c r="I10" s="12" t="s">
        <v>80</v>
      </c>
      <c r="J10" s="13" t="s">
        <v>81</v>
      </c>
      <c r="K10" s="360" t="s">
        <v>27</v>
      </c>
      <c r="L10" s="360" t="s">
        <v>1346</v>
      </c>
      <c r="M10" s="360" t="s">
        <v>1347</v>
      </c>
      <c r="N10" s="360" t="s">
        <v>1348</v>
      </c>
      <c r="O10" s="360" t="s">
        <v>1349</v>
      </c>
      <c r="P10" s="360" t="s">
        <v>1350</v>
      </c>
      <c r="Q10" s="360" t="s">
        <v>1351</v>
      </c>
      <c r="R10" s="360" t="s">
        <v>1352</v>
      </c>
      <c r="S10" s="360" t="s">
        <v>1353</v>
      </c>
      <c r="T10" s="360" t="s">
        <v>1354</v>
      </c>
      <c r="U10" s="360" t="s">
        <v>1355</v>
      </c>
      <c r="V10" s="360" t="s">
        <v>1356</v>
      </c>
      <c r="W10" s="360" t="s">
        <v>1357</v>
      </c>
      <c r="X10" s="363" t="s">
        <v>1358</v>
      </c>
      <c r="Y10" s="360" t="s">
        <v>1359</v>
      </c>
      <c r="Z10" s="360" t="s">
        <v>1360</v>
      </c>
      <c r="AA10" s="360" t="s">
        <v>1361</v>
      </c>
      <c r="AB10" s="360" t="s">
        <v>1362</v>
      </c>
      <c r="AC10" s="363" t="s">
        <v>1363</v>
      </c>
      <c r="AD10" s="360" t="s">
        <v>1364</v>
      </c>
      <c r="AE10" s="360" t="s">
        <v>1365</v>
      </c>
      <c r="AF10" s="360" t="s">
        <v>1366</v>
      </c>
      <c r="AG10" s="360" t="s">
        <v>1367</v>
      </c>
      <c r="AH10" s="360" t="s">
        <v>1368</v>
      </c>
      <c r="AI10" s="360" t="s">
        <v>1369</v>
      </c>
      <c r="AJ10" s="360" t="s">
        <v>1370</v>
      </c>
      <c r="AK10" s="360" t="s">
        <v>1371</v>
      </c>
      <c r="AL10" s="360" t="s">
        <v>1372</v>
      </c>
      <c r="AM10" s="360" t="s">
        <v>1373</v>
      </c>
      <c r="AN10" s="360" t="s">
        <v>1374</v>
      </c>
      <c r="AO10" s="360" t="s">
        <v>1375</v>
      </c>
      <c r="AP10" s="360" t="s">
        <v>1376</v>
      </c>
      <c r="AQ10" s="360" t="s">
        <v>1377</v>
      </c>
      <c r="AR10" s="360" t="s">
        <v>1378</v>
      </c>
      <c r="AS10" s="363" t="s">
        <v>1379</v>
      </c>
      <c r="AT10" s="360" t="s">
        <v>1380</v>
      </c>
      <c r="AU10" s="360" t="s">
        <v>1381</v>
      </c>
      <c r="AV10" s="363" t="s">
        <v>1382</v>
      </c>
      <c r="AW10" s="363" t="s">
        <v>1383</v>
      </c>
      <c r="AX10" s="360" t="s">
        <v>1384</v>
      </c>
      <c r="AY10" s="360" t="s">
        <v>1385</v>
      </c>
      <c r="AZ10" s="360" t="s">
        <v>1386</v>
      </c>
      <c r="BA10" s="363" t="s">
        <v>1676</v>
      </c>
      <c r="BB10" s="360" t="s">
        <v>1388</v>
      </c>
      <c r="BC10" s="363" t="s">
        <v>1389</v>
      </c>
      <c r="BD10" s="360" t="s">
        <v>1390</v>
      </c>
      <c r="BE10" s="360" t="s">
        <v>1391</v>
      </c>
      <c r="BF10" s="363" t="s">
        <v>1392</v>
      </c>
      <c r="BG10" s="360" t="s">
        <v>1393</v>
      </c>
      <c r="BH10" s="38" t="s">
        <v>1394</v>
      </c>
      <c r="BI10" s="158" t="s">
        <v>1518</v>
      </c>
      <c r="BJ10" s="3"/>
      <c r="BK10" s="3"/>
    </row>
    <row r="11" spans="1:63" ht="15.75" customHeight="1">
      <c r="A11" s="568" t="s">
        <v>1515</v>
      </c>
      <c r="B11" s="568">
        <v>1</v>
      </c>
      <c r="C11" s="569">
        <v>44307</v>
      </c>
      <c r="D11" s="390" t="s">
        <v>1519</v>
      </c>
      <c r="E11" s="390" t="s">
        <v>1520</v>
      </c>
      <c r="F11" s="570" t="s">
        <v>1521</v>
      </c>
      <c r="G11" s="571" t="s">
        <v>432</v>
      </c>
      <c r="H11" s="571">
        <v>82</v>
      </c>
      <c r="I11" s="571">
        <v>1</v>
      </c>
      <c r="J11" s="571">
        <v>21</v>
      </c>
      <c r="K11" s="572"/>
      <c r="L11" s="404">
        <v>9</v>
      </c>
      <c r="M11" s="318">
        <v>9.1999999999999993</v>
      </c>
      <c r="N11" s="318">
        <v>9.1999999999999993</v>
      </c>
      <c r="O11" s="318">
        <v>9.1999999999999993</v>
      </c>
      <c r="P11" s="318">
        <v>9.1999999999999993</v>
      </c>
      <c r="Q11" s="318">
        <v>9.3000000000000007</v>
      </c>
      <c r="R11" s="318">
        <v>9</v>
      </c>
      <c r="S11" s="318">
        <v>9.1999999999999993</v>
      </c>
      <c r="T11" s="318">
        <v>9.1999999999999993</v>
      </c>
      <c r="U11" s="318">
        <v>9.1999999999999993</v>
      </c>
      <c r="V11" s="318">
        <v>9.1999999999999993</v>
      </c>
      <c r="W11" s="318">
        <v>9.3000000000000007</v>
      </c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>
        <v>80</v>
      </c>
      <c r="AX11" s="41"/>
      <c r="AY11" s="41"/>
      <c r="AZ11" s="41"/>
      <c r="BA11" s="41"/>
      <c r="BB11" s="41"/>
      <c r="BC11" s="41"/>
      <c r="BD11" s="20"/>
      <c r="BE11" s="20"/>
      <c r="BF11" s="41">
        <v>7</v>
      </c>
      <c r="BG11" s="20"/>
      <c r="BH11" s="20"/>
      <c r="BI11" s="20"/>
      <c r="BJ11" s="3"/>
      <c r="BK11" s="3"/>
    </row>
    <row r="12" spans="1:63" ht="15.75" customHeight="1">
      <c r="A12" s="195" t="s">
        <v>1515</v>
      </c>
      <c r="B12" s="195">
        <v>2</v>
      </c>
      <c r="C12" s="573" t="s">
        <v>1677</v>
      </c>
      <c r="D12" s="390" t="s">
        <v>1458</v>
      </c>
      <c r="E12" s="390" t="s">
        <v>1520</v>
      </c>
      <c r="F12" s="30" t="s">
        <v>1460</v>
      </c>
      <c r="G12" s="573" t="s">
        <v>433</v>
      </c>
      <c r="H12" s="573">
        <v>67</v>
      </c>
      <c r="I12" s="573">
        <v>1</v>
      </c>
      <c r="J12" s="573">
        <v>18</v>
      </c>
      <c r="K12" s="545" t="s">
        <v>1493</v>
      </c>
      <c r="L12" s="318">
        <v>9</v>
      </c>
      <c r="M12" s="318">
        <v>9.3000000000000007</v>
      </c>
      <c r="N12" s="318">
        <v>9.3000000000000007</v>
      </c>
      <c r="O12" s="318">
        <v>9.3000000000000007</v>
      </c>
      <c r="P12" s="318">
        <v>9.3000000000000007</v>
      </c>
      <c r="Q12" s="318">
        <v>9.3000000000000007</v>
      </c>
      <c r="R12" s="318">
        <v>9</v>
      </c>
      <c r="S12" s="318">
        <v>9.3000000000000007</v>
      </c>
      <c r="T12" s="318">
        <v>9.5</v>
      </c>
      <c r="U12" s="318">
        <v>9.3000000000000007</v>
      </c>
      <c r="V12" s="318">
        <v>9.3000000000000007</v>
      </c>
      <c r="W12" s="318">
        <v>9.3000000000000007</v>
      </c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>
        <v>9.6999999999999993</v>
      </c>
      <c r="AX12" s="41"/>
      <c r="AY12" s="41"/>
      <c r="AZ12" s="41"/>
      <c r="BA12" s="41"/>
      <c r="BB12" s="41"/>
      <c r="BC12" s="41"/>
      <c r="BD12" s="20"/>
      <c r="BE12" s="20"/>
      <c r="BF12" s="41">
        <v>6.7</v>
      </c>
      <c r="BG12" s="20"/>
      <c r="BH12" s="20"/>
      <c r="BI12" s="20"/>
      <c r="BJ12" s="3"/>
      <c r="BK12" s="3"/>
    </row>
    <row r="13" spans="1:63" ht="15.75" customHeight="1">
      <c r="A13" s="195" t="s">
        <v>1515</v>
      </c>
      <c r="B13" s="195">
        <v>3</v>
      </c>
      <c r="C13" s="428">
        <v>44276</v>
      </c>
      <c r="D13" s="390" t="s">
        <v>1465</v>
      </c>
      <c r="E13" s="390" t="s">
        <v>1526</v>
      </c>
      <c r="F13" s="17" t="s">
        <v>1467</v>
      </c>
      <c r="G13" s="573" t="s">
        <v>433</v>
      </c>
      <c r="H13" s="573">
        <v>60</v>
      </c>
      <c r="I13" s="573">
        <v>12</v>
      </c>
      <c r="J13" s="573">
        <v>13</v>
      </c>
      <c r="K13" s="545" t="s">
        <v>1493</v>
      </c>
      <c r="L13" s="318">
        <v>9</v>
      </c>
      <c r="M13" s="318">
        <v>9.3000000000000007</v>
      </c>
      <c r="N13" s="318">
        <v>9.3000000000000007</v>
      </c>
      <c r="O13" s="318">
        <v>9.3000000000000007</v>
      </c>
      <c r="P13" s="318">
        <v>9.3000000000000007</v>
      </c>
      <c r="Q13" s="318">
        <v>9.4</v>
      </c>
      <c r="R13" s="318">
        <v>9</v>
      </c>
      <c r="S13" s="318">
        <v>9.3000000000000007</v>
      </c>
      <c r="T13" s="318">
        <v>9.3000000000000007</v>
      </c>
      <c r="U13" s="318">
        <v>9.3000000000000007</v>
      </c>
      <c r="V13" s="318">
        <v>9.5</v>
      </c>
      <c r="W13" s="318">
        <v>9.4</v>
      </c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>
        <v>10</v>
      </c>
      <c r="AW13" s="41">
        <v>8.5</v>
      </c>
      <c r="AX13" s="41"/>
      <c r="AY13" s="41"/>
      <c r="AZ13" s="41"/>
      <c r="BA13" s="41"/>
      <c r="BB13" s="41"/>
      <c r="BC13" s="41"/>
      <c r="BD13" s="20"/>
      <c r="BE13" s="20"/>
      <c r="BF13" s="41">
        <v>10</v>
      </c>
      <c r="BG13" s="20"/>
      <c r="BH13" s="20"/>
      <c r="BI13" s="20"/>
      <c r="BJ13" s="3"/>
      <c r="BK13" s="3"/>
    </row>
    <row r="14" spans="1:63" ht="15.75" customHeight="1">
      <c r="A14" s="195" t="s">
        <v>1515</v>
      </c>
      <c r="B14" s="195">
        <v>4</v>
      </c>
      <c r="C14" s="573" t="s">
        <v>1419</v>
      </c>
      <c r="D14" s="390" t="s">
        <v>746</v>
      </c>
      <c r="E14" s="390" t="s">
        <v>1529</v>
      </c>
      <c r="F14" s="30" t="s">
        <v>747</v>
      </c>
      <c r="G14" s="573" t="s">
        <v>433</v>
      </c>
      <c r="H14" s="573">
        <v>84</v>
      </c>
      <c r="I14" s="573">
        <v>12</v>
      </c>
      <c r="J14" s="573">
        <v>29</v>
      </c>
      <c r="K14" s="545" t="s">
        <v>1493</v>
      </c>
      <c r="L14" s="318">
        <v>9</v>
      </c>
      <c r="M14" s="318">
        <v>9.4</v>
      </c>
      <c r="N14" s="318">
        <v>9.4</v>
      </c>
      <c r="O14" s="318">
        <v>9.4</v>
      </c>
      <c r="P14" s="318">
        <v>9.3000000000000007</v>
      </c>
      <c r="Q14" s="318">
        <v>9.4</v>
      </c>
      <c r="R14" s="318">
        <v>9</v>
      </c>
      <c r="S14" s="318">
        <v>9.4</v>
      </c>
      <c r="T14" s="318">
        <v>9.4</v>
      </c>
      <c r="U14" s="318">
        <v>9.4</v>
      </c>
      <c r="V14" s="318">
        <v>9.3000000000000007</v>
      </c>
      <c r="W14" s="318">
        <v>9.4</v>
      </c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>
        <v>9.3000000000000007</v>
      </c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20"/>
      <c r="BE14" s="20"/>
      <c r="BF14" s="41">
        <v>10</v>
      </c>
      <c r="BG14" s="20"/>
      <c r="BH14" s="20"/>
      <c r="BI14" s="20"/>
      <c r="BJ14" s="3"/>
      <c r="BK14" s="3"/>
    </row>
    <row r="15" spans="1:63" ht="15.75" customHeight="1">
      <c r="A15" s="195" t="s">
        <v>1515</v>
      </c>
      <c r="B15" s="195">
        <v>5</v>
      </c>
      <c r="C15" s="428">
        <v>44276</v>
      </c>
      <c r="D15" s="390" t="s">
        <v>1525</v>
      </c>
      <c r="E15" s="390" t="s">
        <v>1533</v>
      </c>
      <c r="F15" s="17" t="s">
        <v>1527</v>
      </c>
      <c r="G15" s="573" t="s">
        <v>433</v>
      </c>
      <c r="H15" s="573">
        <v>68</v>
      </c>
      <c r="I15" s="573">
        <v>4</v>
      </c>
      <c r="J15" s="573">
        <v>2</v>
      </c>
      <c r="K15" s="545" t="s">
        <v>1493</v>
      </c>
      <c r="L15" s="318">
        <v>9</v>
      </c>
      <c r="M15" s="318">
        <v>9.4</v>
      </c>
      <c r="N15" s="318">
        <v>9.4</v>
      </c>
      <c r="O15" s="318">
        <v>9.4</v>
      </c>
      <c r="P15" s="318">
        <v>9.3000000000000007</v>
      </c>
      <c r="Q15" s="318">
        <v>9.4</v>
      </c>
      <c r="R15" s="318">
        <v>9</v>
      </c>
      <c r="S15" s="318">
        <v>9.4</v>
      </c>
      <c r="T15" s="318">
        <v>9.4</v>
      </c>
      <c r="U15" s="318">
        <v>9.1999999999999993</v>
      </c>
      <c r="V15" s="318">
        <v>9.3000000000000007</v>
      </c>
      <c r="W15" s="318">
        <v>9.4</v>
      </c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>
        <v>8.1</v>
      </c>
      <c r="AW15" s="41"/>
      <c r="AX15" s="41"/>
      <c r="AY15" s="41"/>
      <c r="AZ15" s="41"/>
      <c r="BA15" s="41"/>
      <c r="BB15" s="41"/>
      <c r="BC15" s="41"/>
      <c r="BD15" s="20"/>
      <c r="BE15" s="20"/>
      <c r="BF15" s="20">
        <v>0</v>
      </c>
      <c r="BG15" s="20"/>
      <c r="BH15" s="20"/>
      <c r="BI15" s="20"/>
      <c r="BJ15" s="3"/>
      <c r="BK15" s="3"/>
    </row>
    <row r="16" spans="1:63" ht="15.75" customHeight="1">
      <c r="A16" s="195" t="s">
        <v>1515</v>
      </c>
      <c r="B16" s="195">
        <v>6</v>
      </c>
      <c r="C16" s="428">
        <v>44307</v>
      </c>
      <c r="D16" s="390" t="s">
        <v>1535</v>
      </c>
      <c r="E16" s="390" t="s">
        <v>1536</v>
      </c>
      <c r="F16" s="17" t="s">
        <v>1537</v>
      </c>
      <c r="G16" s="573" t="s">
        <v>432</v>
      </c>
      <c r="H16" s="573">
        <v>81</v>
      </c>
      <c r="I16" s="573">
        <v>9</v>
      </c>
      <c r="J16" s="573">
        <v>7</v>
      </c>
      <c r="K16" s="545" t="s">
        <v>1493</v>
      </c>
      <c r="L16" s="318">
        <v>9</v>
      </c>
      <c r="M16" s="318">
        <v>9.4</v>
      </c>
      <c r="N16" s="318">
        <v>9.4</v>
      </c>
      <c r="O16" s="318">
        <v>9.4</v>
      </c>
      <c r="P16" s="318">
        <v>9.3000000000000007</v>
      </c>
      <c r="Q16" s="318">
        <v>9.4</v>
      </c>
      <c r="R16" s="318">
        <v>9</v>
      </c>
      <c r="S16" s="318">
        <v>9.1999999999999993</v>
      </c>
      <c r="T16" s="318">
        <v>9.1999999999999993</v>
      </c>
      <c r="U16" s="318">
        <v>9.1999999999999993</v>
      </c>
      <c r="V16" s="318">
        <v>9.1999999999999993</v>
      </c>
      <c r="W16" s="318">
        <v>9.3000000000000007</v>
      </c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>
        <v>8.4</v>
      </c>
      <c r="AW16" s="41">
        <v>8</v>
      </c>
      <c r="AX16" s="41"/>
      <c r="AY16" s="41"/>
      <c r="AZ16" s="41"/>
      <c r="BA16" s="41"/>
      <c r="BB16" s="41"/>
      <c r="BC16" s="41"/>
      <c r="BD16" s="20"/>
      <c r="BE16" s="20"/>
      <c r="BF16" s="41">
        <v>5.9</v>
      </c>
      <c r="BG16" s="20"/>
      <c r="BH16" s="20"/>
      <c r="BI16" s="20"/>
      <c r="BJ16" s="3"/>
      <c r="BK16" s="3"/>
    </row>
    <row r="17" spans="1:63" ht="15.75" customHeight="1">
      <c r="A17" s="195" t="s">
        <v>1515</v>
      </c>
      <c r="B17" s="195">
        <v>7</v>
      </c>
      <c r="C17" s="428">
        <v>44317</v>
      </c>
      <c r="D17" s="390" t="s">
        <v>1490</v>
      </c>
      <c r="E17" s="639" t="s">
        <v>1710</v>
      </c>
      <c r="F17" s="30" t="s">
        <v>1492</v>
      </c>
      <c r="G17" s="573" t="s">
        <v>432</v>
      </c>
      <c r="H17" s="573">
        <v>74</v>
      </c>
      <c r="I17" s="573">
        <v>8</v>
      </c>
      <c r="J17" s="573">
        <v>23</v>
      </c>
      <c r="K17" s="545" t="s">
        <v>1493</v>
      </c>
      <c r="L17" s="318">
        <v>9</v>
      </c>
      <c r="M17" s="318">
        <v>9.4</v>
      </c>
      <c r="N17" s="318">
        <v>9.4</v>
      </c>
      <c r="O17" s="318">
        <v>9.4</v>
      </c>
      <c r="P17" s="318">
        <v>9.3000000000000007</v>
      </c>
      <c r="Q17" s="318">
        <v>9.4</v>
      </c>
      <c r="R17" s="318">
        <v>9</v>
      </c>
      <c r="S17" s="318">
        <v>9.1999999999999993</v>
      </c>
      <c r="T17" s="318">
        <v>9.1999999999999993</v>
      </c>
      <c r="U17" s="318">
        <v>9.1999999999999993</v>
      </c>
      <c r="V17" s="318">
        <v>9.1999999999999993</v>
      </c>
      <c r="W17" s="318">
        <v>9.3000000000000007</v>
      </c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>
        <v>9.5</v>
      </c>
      <c r="AX17" s="41"/>
      <c r="AY17" s="41"/>
      <c r="AZ17" s="41"/>
      <c r="BA17" s="41"/>
      <c r="BB17" s="41"/>
      <c r="BC17" s="41"/>
      <c r="BD17" s="20"/>
      <c r="BE17" s="20"/>
      <c r="BF17" s="41">
        <v>9.1</v>
      </c>
      <c r="BG17" s="20"/>
      <c r="BH17" s="20"/>
      <c r="BI17" s="20"/>
      <c r="BJ17" s="3"/>
      <c r="BK17" s="3"/>
    </row>
    <row r="18" spans="1:63" ht="15.75" customHeight="1">
      <c r="A18" s="195" t="s">
        <v>1345</v>
      </c>
      <c r="B18" s="195">
        <v>8</v>
      </c>
      <c r="C18" s="573" t="s">
        <v>1419</v>
      </c>
      <c r="D18" s="390" t="s">
        <v>490</v>
      </c>
      <c r="E18" s="390" t="s">
        <v>1427</v>
      </c>
      <c r="F18" s="574" t="s">
        <v>1425</v>
      </c>
      <c r="G18" s="573" t="s">
        <v>432</v>
      </c>
      <c r="H18" s="573">
        <v>85</v>
      </c>
      <c r="I18" s="573">
        <v>12</v>
      </c>
      <c r="J18" s="573">
        <v>28</v>
      </c>
      <c r="K18" s="545" t="s">
        <v>1493</v>
      </c>
      <c r="L18" s="32">
        <v>10</v>
      </c>
      <c r="M18" s="32">
        <v>10</v>
      </c>
      <c r="N18" s="575">
        <v>9.5</v>
      </c>
      <c r="O18" s="32">
        <v>10</v>
      </c>
      <c r="P18" s="575">
        <v>9.5</v>
      </c>
      <c r="Q18" s="32">
        <v>10</v>
      </c>
      <c r="R18" s="190">
        <v>9.4</v>
      </c>
      <c r="S18" s="190">
        <v>9.4</v>
      </c>
      <c r="T18" s="190">
        <v>10</v>
      </c>
      <c r="U18" s="190">
        <v>9.4</v>
      </c>
      <c r="V18" s="190">
        <v>10</v>
      </c>
      <c r="W18" s="190">
        <v>10</v>
      </c>
      <c r="X18" s="190">
        <v>9.4</v>
      </c>
      <c r="Y18" s="375">
        <v>9.3000000000000007</v>
      </c>
      <c r="Z18" s="375">
        <v>9.4</v>
      </c>
      <c r="AA18" s="375">
        <v>10</v>
      </c>
      <c r="AB18" s="375">
        <v>9.6</v>
      </c>
      <c r="AC18" s="375">
        <v>9.5</v>
      </c>
      <c r="AD18" s="42">
        <v>9.1999999999999993</v>
      </c>
      <c r="AE18" s="42">
        <v>9.1999999999999993</v>
      </c>
      <c r="AF18" s="42">
        <v>9.1999999999999993</v>
      </c>
      <c r="AG18" s="42">
        <v>9.1999999999999993</v>
      </c>
      <c r="AH18" s="42">
        <v>9.1999999999999993</v>
      </c>
      <c r="AI18" s="42">
        <v>9.1999999999999993</v>
      </c>
      <c r="AJ18" s="374">
        <v>7.5</v>
      </c>
      <c r="AK18" s="374">
        <v>9</v>
      </c>
      <c r="AL18" s="374">
        <v>7</v>
      </c>
      <c r="AM18" s="374">
        <v>8.5</v>
      </c>
      <c r="AN18" s="374">
        <v>8</v>
      </c>
      <c r="AO18" s="374">
        <v>7</v>
      </c>
      <c r="AP18" s="374">
        <v>9</v>
      </c>
      <c r="AQ18" s="374">
        <v>8</v>
      </c>
      <c r="AR18" s="374">
        <v>9</v>
      </c>
      <c r="AS18" s="576">
        <v>7</v>
      </c>
      <c r="AT18" s="370"/>
      <c r="AU18" s="370"/>
      <c r="AV18" s="396">
        <v>10</v>
      </c>
      <c r="AW18" s="370"/>
      <c r="AX18" s="370"/>
      <c r="AY18" s="370"/>
      <c r="AZ18" s="370"/>
      <c r="BA18" s="370"/>
      <c r="BB18" s="370"/>
      <c r="BC18" s="370"/>
      <c r="BD18" s="370"/>
      <c r="BE18" s="370"/>
      <c r="BF18" s="370"/>
      <c r="BG18" s="370"/>
      <c r="BH18" s="50">
        <f>SUM(Y18:BD18)/18</f>
        <v>10.722222222222221</v>
      </c>
      <c r="BI18" s="553">
        <f>SUM(L18:BG18)/48</f>
        <v>6.6583333333333323</v>
      </c>
      <c r="BJ18" s="3"/>
      <c r="BK18" s="577" t="s">
        <v>1678</v>
      </c>
    </row>
    <row r="19" spans="1:63" ht="15.75" customHeight="1">
      <c r="A19" s="195" t="s">
        <v>1345</v>
      </c>
      <c r="B19" s="195">
        <v>9</v>
      </c>
      <c r="C19" s="428">
        <v>44348</v>
      </c>
      <c r="D19" s="390" t="s">
        <v>1543</v>
      </c>
      <c r="E19" s="390" t="s">
        <v>1541</v>
      </c>
      <c r="F19" s="578" t="s">
        <v>1545</v>
      </c>
      <c r="G19" s="573" t="s">
        <v>433</v>
      </c>
      <c r="H19" s="573">
        <v>84</v>
      </c>
      <c r="I19" s="573">
        <v>12</v>
      </c>
      <c r="J19" s="573">
        <v>21</v>
      </c>
      <c r="K19" s="545" t="s">
        <v>1493</v>
      </c>
      <c r="L19" s="20"/>
      <c r="M19" s="20"/>
      <c r="N19" s="20"/>
      <c r="O19" s="20"/>
      <c r="P19" s="20"/>
      <c r="Q19" s="20"/>
      <c r="R19" s="20"/>
      <c r="S19" s="20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20">
        <v>10</v>
      </c>
      <c r="AX19" s="41"/>
      <c r="AY19" s="41"/>
      <c r="AZ19" s="41"/>
      <c r="BA19" s="41"/>
      <c r="BB19" s="41"/>
      <c r="BC19" s="41"/>
      <c r="BD19" s="41"/>
      <c r="BE19" s="41"/>
      <c r="BF19" s="41"/>
      <c r="BG19" s="20"/>
      <c r="BH19" s="20"/>
      <c r="BI19" s="20"/>
      <c r="BJ19" s="3"/>
      <c r="BK19" s="3"/>
    </row>
    <row r="20" spans="1:63" ht="15.75" customHeight="1">
      <c r="A20" s="555" t="s">
        <v>1345</v>
      </c>
      <c r="B20" s="555">
        <v>10</v>
      </c>
      <c r="C20" s="579">
        <v>44348</v>
      </c>
      <c r="D20" s="390" t="s">
        <v>1509</v>
      </c>
      <c r="E20" s="390" t="s">
        <v>1544</v>
      </c>
      <c r="F20" s="580" t="s">
        <v>1511</v>
      </c>
      <c r="G20" s="581" t="s">
        <v>432</v>
      </c>
      <c r="H20" s="581">
        <v>79</v>
      </c>
      <c r="I20" s="581">
        <v>10</v>
      </c>
      <c r="J20" s="581">
        <v>4</v>
      </c>
      <c r="K20" s="545" t="s">
        <v>1493</v>
      </c>
      <c r="L20" s="351"/>
      <c r="M20" s="20"/>
      <c r="N20" s="20"/>
      <c r="O20" s="20"/>
      <c r="P20" s="20"/>
      <c r="Q20" s="20"/>
      <c r="R20" s="20"/>
      <c r="S20" s="20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20">
        <v>9.5</v>
      </c>
      <c r="AX20" s="41"/>
      <c r="AY20" s="41"/>
      <c r="AZ20" s="41"/>
      <c r="BA20" s="41"/>
      <c r="BB20" s="41"/>
      <c r="BC20" s="41"/>
      <c r="BD20" s="41"/>
      <c r="BE20" s="41"/>
      <c r="BF20" s="41"/>
      <c r="BG20" s="3"/>
      <c r="BH20" s="3"/>
      <c r="BI20" s="3"/>
      <c r="BJ20" s="3"/>
      <c r="BK20" s="3"/>
    </row>
    <row r="21" spans="1:63" ht="15.75" customHeight="1">
      <c r="A21" s="559"/>
      <c r="B21" s="559"/>
      <c r="C21" s="56"/>
      <c r="D21" s="2"/>
      <c r="E21" s="2"/>
      <c r="F21" s="56"/>
      <c r="G21" s="562"/>
      <c r="H21" s="562"/>
      <c r="I21" s="562"/>
      <c r="J21" s="562"/>
      <c r="K21" s="562"/>
      <c r="L21" s="378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2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</row>
    <row r="22" spans="1:63" ht="48" customHeight="1">
      <c r="A22" s="544"/>
      <c r="B22" s="4166" t="s">
        <v>5</v>
      </c>
      <c r="C22" s="198" t="s">
        <v>1674</v>
      </c>
      <c r="D22" s="4464" t="s">
        <v>6</v>
      </c>
      <c r="E22" s="4464" t="s">
        <v>7</v>
      </c>
      <c r="F22" s="178" t="s">
        <v>8</v>
      </c>
      <c r="G22" s="4445" t="s">
        <v>9</v>
      </c>
      <c r="H22" s="4545" t="s">
        <v>10</v>
      </c>
      <c r="I22" s="4458"/>
      <c r="J22" s="4549"/>
      <c r="K22" s="582"/>
      <c r="L22" s="583"/>
      <c r="M22" s="584"/>
      <c r="N22" s="584"/>
      <c r="O22" s="584"/>
      <c r="P22" s="584"/>
      <c r="Q22" s="585"/>
      <c r="R22" s="586"/>
      <c r="S22" s="587"/>
      <c r="T22" s="587"/>
      <c r="U22" s="587"/>
      <c r="V22" s="587"/>
      <c r="W22" s="588"/>
      <c r="X22" s="589"/>
      <c r="Y22" s="360"/>
      <c r="Z22" s="360"/>
      <c r="AA22" s="360"/>
      <c r="AB22" s="360"/>
      <c r="AC22" s="363"/>
      <c r="AD22" s="360"/>
      <c r="AE22" s="360"/>
      <c r="AF22" s="360"/>
      <c r="AG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3"/>
      <c r="AT22" s="360"/>
      <c r="AU22" s="360"/>
      <c r="AV22" s="363"/>
      <c r="AW22" s="363"/>
      <c r="AX22" s="360"/>
      <c r="AY22" s="360"/>
      <c r="AZ22" s="360"/>
      <c r="BA22" s="363"/>
      <c r="BB22" s="360"/>
      <c r="BC22" s="363"/>
      <c r="BD22" s="360"/>
      <c r="BE22" s="360"/>
      <c r="BF22" s="363"/>
      <c r="BG22" s="360"/>
      <c r="BH22" s="219"/>
      <c r="BI22" s="427"/>
      <c r="BJ22" s="3"/>
      <c r="BK22" s="3"/>
    </row>
    <row r="23" spans="1:63" ht="43.5" customHeight="1">
      <c r="A23" s="544"/>
      <c r="B23" s="4162"/>
      <c r="C23" s="11" t="s">
        <v>1448</v>
      </c>
      <c r="D23" s="4466"/>
      <c r="E23" s="4466"/>
      <c r="F23" s="425" t="s">
        <v>78</v>
      </c>
      <c r="G23" s="4456"/>
      <c r="H23" s="12" t="s">
        <v>79</v>
      </c>
      <c r="I23" s="12" t="s">
        <v>80</v>
      </c>
      <c r="J23" s="13" t="s">
        <v>81</v>
      </c>
      <c r="K23" s="582" t="s">
        <v>27</v>
      </c>
      <c r="L23" s="590" t="s">
        <v>1346</v>
      </c>
      <c r="M23" s="360" t="s">
        <v>1347</v>
      </c>
      <c r="N23" s="360" t="s">
        <v>1348</v>
      </c>
      <c r="O23" s="360" t="s">
        <v>1349</v>
      </c>
      <c r="P23" s="360" t="s">
        <v>1350</v>
      </c>
      <c r="Q23" s="591" t="s">
        <v>1351</v>
      </c>
      <c r="R23" s="592" t="s">
        <v>1352</v>
      </c>
      <c r="S23" s="408" t="s">
        <v>1353</v>
      </c>
      <c r="T23" s="408" t="s">
        <v>1354</v>
      </c>
      <c r="U23" s="408" t="s">
        <v>1355</v>
      </c>
      <c r="V23" s="408" t="s">
        <v>1356</v>
      </c>
      <c r="W23" s="593" t="s">
        <v>1357</v>
      </c>
      <c r="X23" s="589" t="s">
        <v>1358</v>
      </c>
      <c r="Y23" s="360" t="s">
        <v>1359</v>
      </c>
      <c r="Z23" s="360" t="s">
        <v>1360</v>
      </c>
      <c r="AA23" s="360" t="s">
        <v>1361</v>
      </c>
      <c r="AB23" s="360" t="s">
        <v>1362</v>
      </c>
      <c r="AC23" s="363" t="s">
        <v>1363</v>
      </c>
      <c r="AD23" s="360" t="s">
        <v>1364</v>
      </c>
      <c r="AE23" s="360" t="s">
        <v>1365</v>
      </c>
      <c r="AF23" s="360" t="s">
        <v>1366</v>
      </c>
      <c r="AG23" s="360" t="s">
        <v>1367</v>
      </c>
      <c r="AH23" s="360" t="s">
        <v>1368</v>
      </c>
      <c r="AI23" s="360" t="s">
        <v>1369</v>
      </c>
      <c r="AJ23" s="360" t="s">
        <v>1370</v>
      </c>
      <c r="AK23" s="360" t="s">
        <v>1371</v>
      </c>
      <c r="AL23" s="360" t="s">
        <v>1372</v>
      </c>
      <c r="AM23" s="360" t="s">
        <v>1373</v>
      </c>
      <c r="AN23" s="360" t="s">
        <v>1374</v>
      </c>
      <c r="AO23" s="360" t="s">
        <v>1375</v>
      </c>
      <c r="AP23" s="360" t="s">
        <v>1376</v>
      </c>
      <c r="AQ23" s="360" t="s">
        <v>1377</v>
      </c>
      <c r="AR23" s="360" t="s">
        <v>1378</v>
      </c>
      <c r="AS23" s="363" t="s">
        <v>1379</v>
      </c>
      <c r="AT23" s="360" t="s">
        <v>1380</v>
      </c>
      <c r="AU23" s="360" t="s">
        <v>1381</v>
      </c>
      <c r="AV23" s="363" t="s">
        <v>1382</v>
      </c>
      <c r="AW23" s="363" t="s">
        <v>1383</v>
      </c>
      <c r="AX23" s="360" t="s">
        <v>1384</v>
      </c>
      <c r="AY23" s="360" t="s">
        <v>1385</v>
      </c>
      <c r="AZ23" s="360" t="s">
        <v>1386</v>
      </c>
      <c r="BA23" s="363" t="s">
        <v>1675</v>
      </c>
      <c r="BB23" s="360" t="s">
        <v>1388</v>
      </c>
      <c r="BC23" s="363" t="s">
        <v>1389</v>
      </c>
      <c r="BD23" s="360" t="s">
        <v>1390</v>
      </c>
      <c r="BE23" s="360" t="s">
        <v>1391</v>
      </c>
      <c r="BF23" s="363" t="s">
        <v>1392</v>
      </c>
      <c r="BG23" s="360" t="s">
        <v>1393</v>
      </c>
      <c r="BH23" s="38" t="s">
        <v>1394</v>
      </c>
      <c r="BI23" s="158" t="s">
        <v>1518</v>
      </c>
      <c r="BJ23" s="3"/>
      <c r="BK23" s="3"/>
    </row>
    <row r="24" spans="1:63" ht="15.75" customHeight="1">
      <c r="A24" s="568" t="s">
        <v>1439</v>
      </c>
      <c r="B24" s="568">
        <v>1</v>
      </c>
      <c r="C24" s="380">
        <v>44459</v>
      </c>
      <c r="D24" s="390" t="s">
        <v>1455</v>
      </c>
      <c r="E24" s="390" t="s">
        <v>1456</v>
      </c>
      <c r="F24" s="594" t="s">
        <v>1457</v>
      </c>
      <c r="G24" s="571" t="s">
        <v>433</v>
      </c>
      <c r="H24" s="571">
        <v>77</v>
      </c>
      <c r="I24" s="571">
        <v>11</v>
      </c>
      <c r="J24" s="571">
        <v>27</v>
      </c>
      <c r="K24" s="595" t="s">
        <v>1439</v>
      </c>
      <c r="L24" s="423">
        <v>9.1999999999999993</v>
      </c>
      <c r="M24" s="114">
        <v>9.1999999999999993</v>
      </c>
      <c r="N24" s="114">
        <v>9.1999999999999993</v>
      </c>
      <c r="O24" s="114">
        <v>9.1999999999999993</v>
      </c>
      <c r="P24" s="114">
        <v>9.1999999999999993</v>
      </c>
      <c r="Q24" s="115">
        <v>9.3000000000000007</v>
      </c>
      <c r="R24" s="423">
        <v>9</v>
      </c>
      <c r="S24" s="114">
        <v>9.1999999999999993</v>
      </c>
      <c r="T24" s="114">
        <v>9.1999999999999993</v>
      </c>
      <c r="U24" s="114">
        <v>9.1999999999999993</v>
      </c>
      <c r="V24" s="114">
        <v>9.1999999999999993</v>
      </c>
      <c r="W24" s="115">
        <v>9.3000000000000007</v>
      </c>
      <c r="X24" s="87">
        <v>10</v>
      </c>
      <c r="Y24" s="41"/>
      <c r="Z24" s="41"/>
      <c r="AA24" s="41"/>
      <c r="AB24" s="41"/>
      <c r="AC24" s="41">
        <v>10</v>
      </c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224">
        <v>8.3000000000000007</v>
      </c>
      <c r="AT24" s="41"/>
      <c r="AU24" s="41"/>
      <c r="AV24" s="20">
        <v>9.1999999999999993</v>
      </c>
      <c r="AW24" s="41">
        <v>7</v>
      </c>
      <c r="AX24" s="41"/>
      <c r="AY24" s="41"/>
      <c r="AZ24" s="41"/>
      <c r="BA24" s="403">
        <v>10</v>
      </c>
      <c r="BB24" s="41"/>
      <c r="BC24" s="41">
        <v>9</v>
      </c>
      <c r="BD24" s="20"/>
      <c r="BE24" s="20"/>
      <c r="BF24" s="41">
        <v>10</v>
      </c>
      <c r="BG24" s="20"/>
      <c r="BH24" s="20"/>
      <c r="BI24" s="20"/>
      <c r="BJ24" s="3"/>
      <c r="BK24" s="3"/>
    </row>
    <row r="25" spans="1:63" ht="15.75" customHeight="1">
      <c r="A25" s="195" t="s">
        <v>1439</v>
      </c>
      <c r="B25" s="195">
        <v>2</v>
      </c>
      <c r="C25" s="389">
        <v>44459</v>
      </c>
      <c r="D25" s="390" t="s">
        <v>1522</v>
      </c>
      <c r="E25" s="390" t="s">
        <v>1459</v>
      </c>
      <c r="F25" s="400" t="s">
        <v>1524</v>
      </c>
      <c r="G25" s="573" t="s">
        <v>433</v>
      </c>
      <c r="H25" s="573">
        <v>82</v>
      </c>
      <c r="I25" s="573">
        <v>3</v>
      </c>
      <c r="J25" s="573">
        <v>15</v>
      </c>
      <c r="K25" s="595" t="s">
        <v>1439</v>
      </c>
      <c r="L25" s="423">
        <v>93</v>
      </c>
      <c r="M25" s="114">
        <v>93</v>
      </c>
      <c r="N25" s="114">
        <v>93</v>
      </c>
      <c r="O25" s="114">
        <v>93</v>
      </c>
      <c r="P25" s="114">
        <v>93</v>
      </c>
      <c r="Q25" s="115">
        <v>93</v>
      </c>
      <c r="R25" s="423">
        <v>9</v>
      </c>
      <c r="S25" s="114">
        <v>9.3000000000000007</v>
      </c>
      <c r="T25" s="114">
        <v>9.3000000000000007</v>
      </c>
      <c r="U25" s="114">
        <v>9.3000000000000007</v>
      </c>
      <c r="V25" s="114">
        <v>9.3000000000000007</v>
      </c>
      <c r="W25" s="115">
        <v>9.3000000000000007</v>
      </c>
      <c r="X25" s="87">
        <v>9.6999999999999993</v>
      </c>
      <c r="Y25" s="41"/>
      <c r="Z25" s="41"/>
      <c r="AA25" s="41"/>
      <c r="AB25" s="41"/>
      <c r="AC25" s="41">
        <v>10</v>
      </c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>
        <v>9.8000000000000007</v>
      </c>
      <c r="AT25" s="41"/>
      <c r="AU25" s="41"/>
      <c r="AV25" s="41">
        <v>10</v>
      </c>
      <c r="AW25" s="41">
        <v>7</v>
      </c>
      <c r="AX25" s="41"/>
      <c r="AY25" s="41"/>
      <c r="AZ25" s="41"/>
      <c r="BA25" s="403">
        <v>10</v>
      </c>
      <c r="BB25" s="41"/>
      <c r="BC25" s="41">
        <v>10</v>
      </c>
      <c r="BD25" s="20"/>
      <c r="BE25" s="20"/>
      <c r="BF25" s="41">
        <v>10</v>
      </c>
      <c r="BG25" s="20"/>
      <c r="BH25" s="20"/>
      <c r="BI25" s="20"/>
      <c r="BJ25" s="3"/>
      <c r="BK25" s="3"/>
    </row>
    <row r="26" spans="1:63" ht="15.75" customHeight="1">
      <c r="A26" s="195" t="s">
        <v>1439</v>
      </c>
      <c r="B26" s="195">
        <v>3</v>
      </c>
      <c r="C26" s="389">
        <v>44459</v>
      </c>
      <c r="D26" s="390" t="s">
        <v>1462</v>
      </c>
      <c r="E26" s="390" t="s">
        <v>1463</v>
      </c>
      <c r="F26" s="400" t="s">
        <v>1464</v>
      </c>
      <c r="G26" s="573" t="s">
        <v>432</v>
      </c>
      <c r="H26" s="573">
        <v>82</v>
      </c>
      <c r="I26" s="573">
        <v>12</v>
      </c>
      <c r="J26" s="573">
        <v>28</v>
      </c>
      <c r="K26" s="595" t="s">
        <v>1439</v>
      </c>
      <c r="L26" s="423">
        <v>9.3000000000000007</v>
      </c>
      <c r="M26" s="114">
        <v>9.3000000000000007</v>
      </c>
      <c r="N26" s="114">
        <v>9.3000000000000007</v>
      </c>
      <c r="O26" s="114">
        <v>9.3000000000000007</v>
      </c>
      <c r="P26" s="114">
        <v>9.3000000000000007</v>
      </c>
      <c r="Q26" s="115">
        <v>9.4</v>
      </c>
      <c r="R26" s="423">
        <v>9</v>
      </c>
      <c r="S26" s="114">
        <v>9.3000000000000007</v>
      </c>
      <c r="T26" s="114">
        <v>9.3000000000000007</v>
      </c>
      <c r="U26" s="114">
        <v>9.3000000000000007</v>
      </c>
      <c r="V26" s="114">
        <v>9.3000000000000007</v>
      </c>
      <c r="W26" s="115">
        <v>9.3000000000000007</v>
      </c>
      <c r="X26" s="87"/>
      <c r="Y26" s="41"/>
      <c r="Z26" s="41"/>
      <c r="AA26" s="41"/>
      <c r="AB26" s="41"/>
      <c r="AC26" s="41" t="s">
        <v>1679</v>
      </c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224">
        <v>10</v>
      </c>
      <c r="AT26" s="41"/>
      <c r="AU26" s="41"/>
      <c r="AV26" s="41">
        <v>8</v>
      </c>
      <c r="AW26" s="41">
        <v>9.4</v>
      </c>
      <c r="AX26" s="41"/>
      <c r="AY26" s="41"/>
      <c r="AZ26" s="41"/>
      <c r="BA26" s="403">
        <v>9.4</v>
      </c>
      <c r="BB26" s="41"/>
      <c r="BC26" s="41">
        <v>10</v>
      </c>
      <c r="BD26" s="20"/>
      <c r="BE26" s="20"/>
      <c r="BF26" s="41"/>
      <c r="BG26" s="20"/>
      <c r="BH26" s="20"/>
      <c r="BI26" s="20"/>
      <c r="BJ26" s="3"/>
      <c r="BK26" s="3"/>
    </row>
    <row r="27" spans="1:63" ht="15.75" customHeight="1">
      <c r="A27" s="195" t="s">
        <v>1439</v>
      </c>
      <c r="B27" s="195">
        <v>4</v>
      </c>
      <c r="C27" s="389">
        <v>44459</v>
      </c>
      <c r="D27" s="390" t="s">
        <v>1468</v>
      </c>
      <c r="E27" s="390" t="s">
        <v>1466</v>
      </c>
      <c r="F27" s="400" t="s">
        <v>1470</v>
      </c>
      <c r="G27" s="573" t="s">
        <v>433</v>
      </c>
      <c r="H27" s="573">
        <v>75</v>
      </c>
      <c r="I27" s="573">
        <v>4</v>
      </c>
      <c r="J27" s="573">
        <v>1</v>
      </c>
      <c r="K27" s="595" t="s">
        <v>1439</v>
      </c>
      <c r="L27" s="596">
        <v>9.4</v>
      </c>
      <c r="M27" s="597">
        <v>9.4</v>
      </c>
      <c r="N27" s="597">
        <v>9.4</v>
      </c>
      <c r="O27" s="597">
        <v>9.4</v>
      </c>
      <c r="P27" s="597">
        <v>9.3000000000000007</v>
      </c>
      <c r="Q27" s="598">
        <v>9.4</v>
      </c>
      <c r="R27" s="599">
        <v>9</v>
      </c>
      <c r="S27" s="597">
        <v>9.4</v>
      </c>
      <c r="T27" s="597">
        <v>9.4</v>
      </c>
      <c r="U27" s="597">
        <v>9.4</v>
      </c>
      <c r="V27" s="597">
        <v>9.4</v>
      </c>
      <c r="W27" s="598">
        <v>9.4</v>
      </c>
      <c r="X27" s="600">
        <v>10</v>
      </c>
      <c r="Y27" s="370"/>
      <c r="Z27" s="370"/>
      <c r="AA27" s="398">
        <v>8</v>
      </c>
      <c r="AB27" s="395">
        <v>10</v>
      </c>
      <c r="AC27" s="398">
        <v>8</v>
      </c>
      <c r="AD27" s="395">
        <v>8</v>
      </c>
      <c r="AE27" s="398">
        <v>8</v>
      </c>
      <c r="AF27" s="398">
        <v>9</v>
      </c>
      <c r="AG27" s="398">
        <v>9</v>
      </c>
      <c r="AH27" s="398">
        <v>7</v>
      </c>
      <c r="AI27" s="398">
        <v>9</v>
      </c>
      <c r="AJ27" s="398">
        <v>9</v>
      </c>
      <c r="AK27" s="395">
        <v>10</v>
      </c>
      <c r="AL27" s="398">
        <v>7</v>
      </c>
      <c r="AM27" s="397">
        <v>8.5</v>
      </c>
      <c r="AN27" s="398">
        <v>7</v>
      </c>
      <c r="AO27" s="398">
        <v>8</v>
      </c>
      <c r="AP27" s="398">
        <v>6</v>
      </c>
      <c r="AQ27" s="398">
        <v>9</v>
      </c>
      <c r="AR27" s="398">
        <v>9</v>
      </c>
      <c r="AS27" s="397">
        <v>8</v>
      </c>
      <c r="AT27" s="398">
        <v>7</v>
      </c>
      <c r="AU27" s="370"/>
      <c r="AV27" s="398">
        <v>9</v>
      </c>
      <c r="AW27" s="397">
        <v>8</v>
      </c>
      <c r="AX27" s="398">
        <v>7</v>
      </c>
      <c r="AY27" s="398">
        <v>8</v>
      </c>
      <c r="AZ27" s="398">
        <v>6</v>
      </c>
      <c r="BA27" s="397">
        <v>8.5</v>
      </c>
      <c r="BB27" s="370"/>
      <c r="BC27" s="398">
        <v>7</v>
      </c>
      <c r="BD27" s="398">
        <v>9</v>
      </c>
      <c r="BE27" s="398">
        <v>8</v>
      </c>
      <c r="BF27" s="396">
        <v>10</v>
      </c>
      <c r="BG27" s="370"/>
      <c r="BH27" s="50"/>
      <c r="BI27" s="553"/>
      <c r="BJ27" s="3"/>
      <c r="BK27" s="379" t="s">
        <v>1450</v>
      </c>
    </row>
    <row r="28" spans="1:63" ht="15.75" customHeight="1">
      <c r="A28" s="195" t="s">
        <v>1439</v>
      </c>
      <c r="B28" s="195">
        <v>5</v>
      </c>
      <c r="C28" s="389">
        <v>44459</v>
      </c>
      <c r="D28" s="390" t="s">
        <v>1471</v>
      </c>
      <c r="E28" s="390" t="s">
        <v>1469</v>
      </c>
      <c r="F28" s="400" t="s">
        <v>1473</v>
      </c>
      <c r="G28" s="573" t="s">
        <v>432</v>
      </c>
      <c r="H28" s="573">
        <v>74</v>
      </c>
      <c r="I28" s="573">
        <v>12</v>
      </c>
      <c r="J28" s="573">
        <v>20</v>
      </c>
      <c r="K28" s="595" t="s">
        <v>1439</v>
      </c>
      <c r="L28" s="423">
        <v>9.4</v>
      </c>
      <c r="M28" s="114">
        <v>9.4</v>
      </c>
      <c r="N28" s="114">
        <v>9.4</v>
      </c>
      <c r="O28" s="114">
        <v>9.4</v>
      </c>
      <c r="P28" s="114">
        <v>9.4</v>
      </c>
      <c r="Q28" s="115">
        <v>9.3000000000000007</v>
      </c>
      <c r="R28" s="423">
        <v>9</v>
      </c>
      <c r="S28" s="114">
        <v>9.4</v>
      </c>
      <c r="T28" s="114">
        <v>9.4</v>
      </c>
      <c r="U28" s="114">
        <v>9.4</v>
      </c>
      <c r="V28" s="114">
        <v>9.4</v>
      </c>
      <c r="W28" s="115">
        <v>9.3000000000000007</v>
      </c>
      <c r="X28" s="87">
        <v>9.5</v>
      </c>
      <c r="Y28" s="41"/>
      <c r="Z28" s="41"/>
      <c r="AA28" s="41"/>
      <c r="AB28" s="41"/>
      <c r="AC28" s="41">
        <v>10</v>
      </c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>
        <v>9.6999999999999993</v>
      </c>
      <c r="AT28" s="41"/>
      <c r="AU28" s="41"/>
      <c r="AV28" s="41">
        <v>10</v>
      </c>
      <c r="AW28" s="41">
        <v>7</v>
      </c>
      <c r="AX28" s="41"/>
      <c r="AY28" s="41"/>
      <c r="AZ28" s="41"/>
      <c r="BA28" s="403">
        <v>10</v>
      </c>
      <c r="BB28" s="41"/>
      <c r="BC28" s="41">
        <v>9</v>
      </c>
      <c r="BD28" s="20"/>
      <c r="BE28" s="20"/>
      <c r="BF28" s="41">
        <v>10</v>
      </c>
      <c r="BG28" s="20"/>
      <c r="BH28" s="20"/>
      <c r="BI28" s="20"/>
      <c r="BJ28" s="3"/>
      <c r="BK28" s="3"/>
    </row>
    <row r="29" spans="1:63" ht="15.75" customHeight="1">
      <c r="A29" s="195" t="s">
        <v>1439</v>
      </c>
      <c r="B29" s="195">
        <v>6</v>
      </c>
      <c r="C29" s="389">
        <v>44459</v>
      </c>
      <c r="D29" s="390" t="s">
        <v>1474</v>
      </c>
      <c r="E29" s="390" t="s">
        <v>1475</v>
      </c>
      <c r="F29" s="400" t="s">
        <v>1476</v>
      </c>
      <c r="G29" s="573" t="s">
        <v>433</v>
      </c>
      <c r="H29" s="573">
        <v>69</v>
      </c>
      <c r="I29" s="573">
        <v>10</v>
      </c>
      <c r="J29" s="573">
        <v>24</v>
      </c>
      <c r="K29" s="595" t="s">
        <v>1439</v>
      </c>
      <c r="L29" s="423">
        <v>9.1999999999999993</v>
      </c>
      <c r="M29" s="114">
        <v>9.1999999999999993</v>
      </c>
      <c r="N29" s="114">
        <v>9.4</v>
      </c>
      <c r="O29" s="114">
        <v>9.1999999999999993</v>
      </c>
      <c r="P29" s="114">
        <v>9.4</v>
      </c>
      <c r="Q29" s="115">
        <v>9.4</v>
      </c>
      <c r="R29" s="423">
        <v>90</v>
      </c>
      <c r="S29" s="114">
        <v>9.1999999999999993</v>
      </c>
      <c r="T29" s="114">
        <v>9.4</v>
      </c>
      <c r="U29" s="114">
        <v>9.1999999999999993</v>
      </c>
      <c r="V29" s="114">
        <v>9.4</v>
      </c>
      <c r="W29" s="115">
        <v>9.4</v>
      </c>
      <c r="X29" s="87">
        <v>10</v>
      </c>
      <c r="Y29" s="41"/>
      <c r="Z29" s="41"/>
      <c r="AA29" s="41"/>
      <c r="AB29" s="41"/>
      <c r="AC29" s="41">
        <v>10</v>
      </c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>
        <v>10</v>
      </c>
      <c r="AT29" s="41"/>
      <c r="AU29" s="41"/>
      <c r="AV29" s="41">
        <v>9.1999999999999993</v>
      </c>
      <c r="AW29" s="41">
        <v>9.4</v>
      </c>
      <c r="AX29" s="41"/>
      <c r="AY29" s="41"/>
      <c r="AZ29" s="41"/>
      <c r="BA29" s="403">
        <v>10</v>
      </c>
      <c r="BB29" s="41"/>
      <c r="BC29" s="41">
        <v>9</v>
      </c>
      <c r="BD29" s="20"/>
      <c r="BE29" s="20"/>
      <c r="BF29" s="41">
        <v>9.3000000000000007</v>
      </c>
      <c r="BG29" s="20"/>
      <c r="BH29" s="20"/>
      <c r="BI29" s="20"/>
      <c r="BJ29" s="3"/>
      <c r="BK29" s="3"/>
    </row>
    <row r="30" spans="1:63" ht="15.75" customHeight="1">
      <c r="A30" s="195" t="s">
        <v>1439</v>
      </c>
      <c r="B30" s="195">
        <v>7</v>
      </c>
      <c r="C30" s="389">
        <v>44489</v>
      </c>
      <c r="D30" s="390" t="s">
        <v>1528</v>
      </c>
      <c r="E30" s="390" t="s">
        <v>1680</v>
      </c>
      <c r="F30" s="400" t="s">
        <v>1530</v>
      </c>
      <c r="G30" s="573" t="s">
        <v>433</v>
      </c>
      <c r="H30" s="573">
        <v>84</v>
      </c>
      <c r="I30" s="573">
        <v>10</v>
      </c>
      <c r="J30" s="573">
        <v>30</v>
      </c>
      <c r="K30" s="595" t="s">
        <v>1439</v>
      </c>
      <c r="L30" s="423">
        <v>9.3000000000000007</v>
      </c>
      <c r="M30" s="114">
        <v>9.3000000000000007</v>
      </c>
      <c r="N30" s="114">
        <v>9.4</v>
      </c>
      <c r="O30" s="114">
        <v>9.3000000000000007</v>
      </c>
      <c r="P30" s="114">
        <v>9.3000000000000007</v>
      </c>
      <c r="Q30" s="115">
        <v>9.4</v>
      </c>
      <c r="R30" s="423">
        <v>90</v>
      </c>
      <c r="S30" s="114">
        <v>9.3000000000000007</v>
      </c>
      <c r="T30" s="114">
        <v>9.4</v>
      </c>
      <c r="U30" s="114">
        <v>9.3000000000000007</v>
      </c>
      <c r="V30" s="114">
        <v>9.3000000000000007</v>
      </c>
      <c r="W30" s="115">
        <v>9.4</v>
      </c>
      <c r="X30" s="87" t="s">
        <v>1679</v>
      </c>
      <c r="Y30" s="41"/>
      <c r="Z30" s="41"/>
      <c r="AA30" s="41"/>
      <c r="AB30" s="41"/>
      <c r="AC30" s="41">
        <v>10</v>
      </c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>
        <v>10</v>
      </c>
      <c r="AT30" s="41"/>
      <c r="AU30" s="41"/>
      <c r="AV30" s="41">
        <v>10</v>
      </c>
      <c r="AW30" s="41">
        <v>9.6</v>
      </c>
      <c r="AX30" s="41"/>
      <c r="AY30" s="41"/>
      <c r="AZ30" s="41"/>
      <c r="BA30" s="403">
        <v>10</v>
      </c>
      <c r="BB30" s="41"/>
      <c r="BC30" s="41">
        <v>9</v>
      </c>
      <c r="BD30" s="20"/>
      <c r="BE30" s="20"/>
      <c r="BF30" s="41"/>
      <c r="BG30" s="20"/>
      <c r="BH30" s="20"/>
      <c r="BI30" s="20"/>
      <c r="BJ30" s="3"/>
      <c r="BK30" s="3"/>
    </row>
    <row r="31" spans="1:63" ht="15.75" customHeight="1">
      <c r="A31" s="195" t="s">
        <v>1439</v>
      </c>
      <c r="B31" s="195">
        <v>8</v>
      </c>
      <c r="C31" s="389">
        <v>44489</v>
      </c>
      <c r="D31" s="390" t="s">
        <v>1532</v>
      </c>
      <c r="E31" s="390" t="s">
        <v>1479</v>
      </c>
      <c r="F31" s="400" t="s">
        <v>1534</v>
      </c>
      <c r="G31" s="573" t="s">
        <v>433</v>
      </c>
      <c r="H31" s="573">
        <v>83</v>
      </c>
      <c r="I31" s="573">
        <v>10</v>
      </c>
      <c r="J31" s="573">
        <v>21</v>
      </c>
      <c r="K31" s="595" t="s">
        <v>1439</v>
      </c>
      <c r="L31" s="423">
        <v>9.3000000000000007</v>
      </c>
      <c r="M31" s="114">
        <v>9.3000000000000007</v>
      </c>
      <c r="N31" s="114">
        <v>9.3000000000000007</v>
      </c>
      <c r="O31" s="114">
        <v>9.3000000000000007</v>
      </c>
      <c r="P31" s="114">
        <v>9.3000000000000007</v>
      </c>
      <c r="Q31" s="115">
        <v>9.3000000000000007</v>
      </c>
      <c r="R31" s="423">
        <v>9</v>
      </c>
      <c r="S31" s="114">
        <v>9.3000000000000007</v>
      </c>
      <c r="T31" s="114">
        <v>9.3000000000000007</v>
      </c>
      <c r="U31" s="114">
        <v>9.3000000000000007</v>
      </c>
      <c r="V31" s="114">
        <v>9.3000000000000007</v>
      </c>
      <c r="W31" s="115">
        <v>9.3000000000000007</v>
      </c>
      <c r="X31" s="87">
        <v>10</v>
      </c>
      <c r="Y31" s="41"/>
      <c r="Z31" s="41"/>
      <c r="AA31" s="41"/>
      <c r="AB31" s="41"/>
      <c r="AC31" s="41">
        <v>10</v>
      </c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>
        <v>10</v>
      </c>
      <c r="AT31" s="41"/>
      <c r="AU31" s="41"/>
      <c r="AV31" s="41">
        <v>10</v>
      </c>
      <c r="AW31" s="41">
        <v>9.1999999999999993</v>
      </c>
      <c r="AX31" s="41"/>
      <c r="AY31" s="41"/>
      <c r="AZ31" s="41"/>
      <c r="BA31" s="403">
        <v>10</v>
      </c>
      <c r="BB31" s="41"/>
      <c r="BC31" s="41">
        <v>10</v>
      </c>
      <c r="BD31" s="20"/>
      <c r="BE31" s="20"/>
      <c r="BF31" s="41"/>
      <c r="BG31" s="20"/>
      <c r="BH31" s="20"/>
      <c r="BI31" s="20"/>
      <c r="BJ31" s="3"/>
      <c r="BK31" s="3"/>
    </row>
    <row r="32" spans="1:63" ht="15.75" customHeight="1">
      <c r="A32" s="195" t="s">
        <v>1439</v>
      </c>
      <c r="B32" s="195">
        <v>9</v>
      </c>
      <c r="C32" s="389">
        <v>44459</v>
      </c>
      <c r="D32" s="390" t="s">
        <v>1478</v>
      </c>
      <c r="E32" s="390" t="s">
        <v>1485</v>
      </c>
      <c r="F32" s="400" t="s">
        <v>1480</v>
      </c>
      <c r="G32" s="573" t="s">
        <v>433</v>
      </c>
      <c r="H32" s="573">
        <v>79</v>
      </c>
      <c r="I32" s="573">
        <v>2</v>
      </c>
      <c r="J32" s="573">
        <v>2</v>
      </c>
      <c r="K32" s="595" t="s">
        <v>1439</v>
      </c>
      <c r="L32" s="423">
        <v>9.4</v>
      </c>
      <c r="M32" s="114">
        <v>9.3000000000000007</v>
      </c>
      <c r="N32" s="114">
        <v>9.4</v>
      </c>
      <c r="O32" s="114">
        <v>9.4</v>
      </c>
      <c r="P32" s="114">
        <v>9.4</v>
      </c>
      <c r="Q32" s="115">
        <v>9.4</v>
      </c>
      <c r="R32" s="423">
        <v>9</v>
      </c>
      <c r="S32" s="114">
        <v>9.3000000000000007</v>
      </c>
      <c r="T32" s="114">
        <v>9.4</v>
      </c>
      <c r="U32" s="114">
        <v>9.4</v>
      </c>
      <c r="V32" s="114">
        <v>9.4</v>
      </c>
      <c r="W32" s="115">
        <v>9.4</v>
      </c>
      <c r="X32" s="87">
        <v>10</v>
      </c>
      <c r="Y32" s="41"/>
      <c r="Z32" s="41"/>
      <c r="AA32" s="41"/>
      <c r="AB32" s="41"/>
      <c r="AC32" s="41">
        <v>10</v>
      </c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>
        <v>10</v>
      </c>
      <c r="AT32" s="41"/>
      <c r="AU32" s="41"/>
      <c r="AV32" s="41">
        <v>10</v>
      </c>
      <c r="AW32" s="41">
        <v>7</v>
      </c>
      <c r="AX32" s="41"/>
      <c r="AY32" s="41"/>
      <c r="AZ32" s="41"/>
      <c r="BA32" s="403">
        <v>10</v>
      </c>
      <c r="BB32" s="41"/>
      <c r="BC32" s="41">
        <v>9</v>
      </c>
      <c r="BD32" s="20"/>
      <c r="BE32" s="20"/>
      <c r="BF32" s="41">
        <v>10</v>
      </c>
      <c r="BG32" s="20"/>
      <c r="BH32" s="20"/>
      <c r="BI32" s="20"/>
      <c r="BJ32" s="3"/>
      <c r="BK32" s="3"/>
    </row>
    <row r="33" spans="1:63" ht="15.75" customHeight="1">
      <c r="A33" s="195" t="s">
        <v>1439</v>
      </c>
      <c r="B33" s="195">
        <v>10</v>
      </c>
      <c r="C33" s="389">
        <v>44459</v>
      </c>
      <c r="D33" s="390" t="s">
        <v>1481</v>
      </c>
      <c r="E33" s="390" t="s">
        <v>318</v>
      </c>
      <c r="F33" s="400" t="s">
        <v>1482</v>
      </c>
      <c r="G33" s="573" t="s">
        <v>433</v>
      </c>
      <c r="H33" s="573">
        <v>93</v>
      </c>
      <c r="I33" s="573">
        <v>5</v>
      </c>
      <c r="J33" s="573">
        <v>5</v>
      </c>
      <c r="K33" s="595" t="s">
        <v>1439</v>
      </c>
      <c r="L33" s="423">
        <v>9.4</v>
      </c>
      <c r="M33" s="114">
        <v>9.4</v>
      </c>
      <c r="N33" s="114">
        <v>9.4</v>
      </c>
      <c r="O33" s="114">
        <v>9.4</v>
      </c>
      <c r="P33" s="114">
        <v>9.4</v>
      </c>
      <c r="Q33" s="115">
        <v>9.4</v>
      </c>
      <c r="R33" s="423">
        <v>9</v>
      </c>
      <c r="S33" s="114">
        <v>9.4</v>
      </c>
      <c r="T33" s="114">
        <v>9.4</v>
      </c>
      <c r="U33" s="114">
        <v>9.4</v>
      </c>
      <c r="V33" s="114">
        <v>9.4</v>
      </c>
      <c r="W33" s="115">
        <v>9.4</v>
      </c>
      <c r="X33" s="87">
        <v>10</v>
      </c>
      <c r="Y33" s="41"/>
      <c r="Z33" s="41"/>
      <c r="AA33" s="41"/>
      <c r="AB33" s="41"/>
      <c r="AC33" s="41">
        <v>10</v>
      </c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>
        <v>0</v>
      </c>
      <c r="AW33" s="41">
        <v>7</v>
      </c>
      <c r="AX33" s="41"/>
      <c r="AY33" s="41"/>
      <c r="AZ33" s="41"/>
      <c r="BA33" s="403"/>
      <c r="BB33" s="41"/>
      <c r="BC33" s="41">
        <v>9</v>
      </c>
      <c r="BD33" s="20"/>
      <c r="BE33" s="20"/>
      <c r="BF33" s="41">
        <v>10</v>
      </c>
      <c r="BG33" s="20"/>
      <c r="BH33" s="20"/>
      <c r="BI33" s="20"/>
      <c r="BJ33" s="3"/>
      <c r="BK33" s="3"/>
    </row>
    <row r="34" spans="1:63" ht="15.75" customHeight="1">
      <c r="A34" s="195" t="s">
        <v>1439</v>
      </c>
      <c r="B34" s="195">
        <v>11</v>
      </c>
      <c r="C34" s="389">
        <v>44216</v>
      </c>
      <c r="D34" s="390" t="s">
        <v>317</v>
      </c>
      <c r="E34" s="390" t="s">
        <v>1488</v>
      </c>
      <c r="F34" s="400" t="s">
        <v>319</v>
      </c>
      <c r="G34" s="573" t="s">
        <v>433</v>
      </c>
      <c r="H34" s="573">
        <v>98</v>
      </c>
      <c r="I34" s="573">
        <v>12</v>
      </c>
      <c r="J34" s="573">
        <v>18</v>
      </c>
      <c r="K34" s="595" t="s">
        <v>1439</v>
      </c>
      <c r="L34" s="641">
        <v>7</v>
      </c>
      <c r="M34" s="640">
        <v>7</v>
      </c>
      <c r="N34" s="640">
        <v>7</v>
      </c>
      <c r="O34" s="640">
        <v>7</v>
      </c>
      <c r="P34" s="114">
        <v>9.1999999999999993</v>
      </c>
      <c r="Q34" s="115">
        <v>9.1999999999999993</v>
      </c>
      <c r="R34" s="423">
        <v>9.1</v>
      </c>
      <c r="S34" s="114">
        <v>6</v>
      </c>
      <c r="T34" s="114">
        <v>8</v>
      </c>
      <c r="U34" s="114">
        <v>9.1999999999999993</v>
      </c>
      <c r="V34" s="114">
        <v>7</v>
      </c>
      <c r="W34" s="115">
        <v>9.1999999999999993</v>
      </c>
      <c r="X34" s="87">
        <v>9.6999999999999993</v>
      </c>
      <c r="Y34" s="41"/>
      <c r="Z34" s="41"/>
      <c r="AA34" s="41"/>
      <c r="AB34" s="41"/>
      <c r="AC34" s="41">
        <v>10</v>
      </c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340"/>
      <c r="AT34" s="340"/>
      <c r="AU34" s="340"/>
      <c r="AV34" s="340"/>
      <c r="AW34" s="41">
        <v>9.1999999999999993</v>
      </c>
      <c r="AX34" s="41"/>
      <c r="AY34" s="41"/>
      <c r="AZ34" s="41"/>
      <c r="BA34" s="403"/>
      <c r="BB34" s="41"/>
      <c r="BC34" s="41">
        <v>9</v>
      </c>
      <c r="BD34" s="20"/>
      <c r="BE34" s="20"/>
      <c r="BF34" s="41">
        <v>10</v>
      </c>
      <c r="BG34" s="20"/>
      <c r="BH34" s="20"/>
      <c r="BI34" s="20"/>
      <c r="BJ34" s="3"/>
      <c r="BK34" s="3"/>
    </row>
    <row r="35" spans="1:63" ht="15.75" customHeight="1">
      <c r="A35" s="195" t="s">
        <v>1439</v>
      </c>
      <c r="B35" s="195">
        <v>12</v>
      </c>
      <c r="C35" s="389">
        <v>44459</v>
      </c>
      <c r="D35" s="390" t="s">
        <v>744</v>
      </c>
      <c r="E35" s="390" t="s">
        <v>1491</v>
      </c>
      <c r="F35" s="400" t="s">
        <v>1489</v>
      </c>
      <c r="G35" s="573" t="s">
        <v>433</v>
      </c>
      <c r="H35" s="573">
        <v>67</v>
      </c>
      <c r="I35" s="573">
        <v>12</v>
      </c>
      <c r="J35" s="573">
        <v>15</v>
      </c>
      <c r="K35" s="595" t="s">
        <v>1439</v>
      </c>
      <c r="L35" s="423">
        <v>9.3000000000000007</v>
      </c>
      <c r="M35" s="114">
        <v>9.3000000000000007</v>
      </c>
      <c r="N35" s="114">
        <v>9.3000000000000007</v>
      </c>
      <c r="O35" s="114">
        <v>9.3000000000000007</v>
      </c>
      <c r="P35" s="114">
        <v>9.3000000000000007</v>
      </c>
      <c r="Q35" s="115">
        <v>9.3000000000000007</v>
      </c>
      <c r="R35" s="423">
        <v>9</v>
      </c>
      <c r="S35" s="114">
        <v>9.3000000000000007</v>
      </c>
      <c r="T35" s="114">
        <v>9.3000000000000007</v>
      </c>
      <c r="U35" s="114">
        <v>9.3000000000000007</v>
      </c>
      <c r="V35" s="114">
        <v>9.3000000000000007</v>
      </c>
      <c r="W35" s="115">
        <v>9.3000000000000007</v>
      </c>
      <c r="X35" s="87">
        <v>9</v>
      </c>
      <c r="Y35" s="41"/>
      <c r="Z35" s="41"/>
      <c r="AA35" s="41"/>
      <c r="AB35" s="41"/>
      <c r="AC35" s="41">
        <v>10</v>
      </c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>
        <v>9.6999999999999993</v>
      </c>
      <c r="AT35" s="41"/>
      <c r="AU35" s="41"/>
      <c r="AV35" s="41">
        <v>10</v>
      </c>
      <c r="AW35" s="41">
        <v>9.6</v>
      </c>
      <c r="AX35" s="41"/>
      <c r="AY35" s="41"/>
      <c r="AZ35" s="41"/>
      <c r="BA35" s="403">
        <v>10</v>
      </c>
      <c r="BB35" s="41"/>
      <c r="BC35" s="41">
        <v>9</v>
      </c>
      <c r="BD35" s="20"/>
      <c r="BE35" s="20"/>
      <c r="BF35" s="41">
        <v>10</v>
      </c>
      <c r="BG35" s="20"/>
      <c r="BH35" s="20"/>
      <c r="BI35" s="20"/>
      <c r="BJ35" s="3"/>
      <c r="BK35" s="3"/>
    </row>
    <row r="36" spans="1:63" ht="15.75" customHeight="1">
      <c r="A36" s="195" t="s">
        <v>1439</v>
      </c>
      <c r="B36" s="195">
        <v>13</v>
      </c>
      <c r="C36" s="389">
        <v>44459</v>
      </c>
      <c r="D36" s="390" t="s">
        <v>1538</v>
      </c>
      <c r="E36" s="390" t="s">
        <v>1494</v>
      </c>
      <c r="F36" s="400" t="s">
        <v>1681</v>
      </c>
      <c r="G36" s="573" t="s">
        <v>432</v>
      </c>
      <c r="H36" s="573">
        <v>79</v>
      </c>
      <c r="I36" s="573">
        <v>1</v>
      </c>
      <c r="J36" s="573">
        <v>19</v>
      </c>
      <c r="K36" s="595" t="s">
        <v>1439</v>
      </c>
      <c r="L36" s="423">
        <v>9.3000000000000007</v>
      </c>
      <c r="M36" s="114">
        <v>9.3000000000000007</v>
      </c>
      <c r="N36" s="114">
        <v>9.3000000000000007</v>
      </c>
      <c r="O36" s="114">
        <v>9.3000000000000007</v>
      </c>
      <c r="P36" s="114">
        <v>9.3000000000000007</v>
      </c>
      <c r="Q36" s="115">
        <v>9.4</v>
      </c>
      <c r="R36" s="423">
        <v>9</v>
      </c>
      <c r="S36" s="114">
        <v>9.3000000000000007</v>
      </c>
      <c r="T36" s="114">
        <v>9.3000000000000007</v>
      </c>
      <c r="U36" s="114">
        <v>9.3000000000000007</v>
      </c>
      <c r="V36" s="114">
        <v>9.3000000000000007</v>
      </c>
      <c r="W36" s="115">
        <v>9.4</v>
      </c>
      <c r="X36" s="87">
        <v>9.5</v>
      </c>
      <c r="Y36" s="41"/>
      <c r="Z36" s="41"/>
      <c r="AA36" s="41"/>
      <c r="AB36" s="41"/>
      <c r="AC36" s="41">
        <v>9</v>
      </c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54">
        <v>8</v>
      </c>
      <c r="AT36" s="54"/>
      <c r="AU36" s="54"/>
      <c r="AV36" s="54">
        <v>8</v>
      </c>
      <c r="AW36" s="41">
        <v>9.6999999999999993</v>
      </c>
      <c r="AX36" s="41"/>
      <c r="AY36" s="41"/>
      <c r="AZ36" s="41"/>
      <c r="BA36" s="403"/>
      <c r="BB36" s="41"/>
      <c r="BC36" s="41">
        <v>9</v>
      </c>
      <c r="BD36" s="20"/>
      <c r="BE36" s="20"/>
      <c r="BF36" s="41"/>
      <c r="BG36" s="20"/>
      <c r="BH36" s="20"/>
      <c r="BI36" s="20"/>
      <c r="BJ36" s="3"/>
      <c r="BK36" s="3"/>
    </row>
    <row r="37" spans="1:63" ht="15.75" customHeight="1">
      <c r="A37" s="195" t="s">
        <v>1439</v>
      </c>
      <c r="B37" s="195">
        <v>14</v>
      </c>
      <c r="C37" s="389">
        <v>44459</v>
      </c>
      <c r="D37" s="390" t="s">
        <v>748</v>
      </c>
      <c r="E37" s="390" t="s">
        <v>1496</v>
      </c>
      <c r="F37" s="400" t="s">
        <v>749</v>
      </c>
      <c r="G37" s="573" t="s">
        <v>432</v>
      </c>
      <c r="H37" s="573">
        <v>93</v>
      </c>
      <c r="I37" s="573">
        <v>2</v>
      </c>
      <c r="J37" s="573">
        <v>19</v>
      </c>
      <c r="K37" s="595" t="s">
        <v>1439</v>
      </c>
      <c r="L37" s="423">
        <v>9.4</v>
      </c>
      <c r="M37" s="114">
        <v>9.4</v>
      </c>
      <c r="N37" s="114">
        <v>9.4</v>
      </c>
      <c r="O37" s="114">
        <v>9.4</v>
      </c>
      <c r="P37" s="114">
        <v>9.3000000000000007</v>
      </c>
      <c r="Q37" s="115">
        <v>9.4</v>
      </c>
      <c r="R37" s="423">
        <v>9</v>
      </c>
      <c r="S37" s="114">
        <v>9.4</v>
      </c>
      <c r="T37" s="114">
        <v>9.4</v>
      </c>
      <c r="U37" s="114">
        <v>9.4</v>
      </c>
      <c r="V37" s="114">
        <v>9.3000000000000007</v>
      </c>
      <c r="W37" s="115">
        <v>9.4</v>
      </c>
      <c r="X37" s="87">
        <v>9</v>
      </c>
      <c r="Y37" s="41"/>
      <c r="Z37" s="41"/>
      <c r="AA37" s="41"/>
      <c r="AB37" s="41"/>
      <c r="AC37" s="41">
        <v>10</v>
      </c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54"/>
      <c r="AT37" s="54"/>
      <c r="AU37" s="54"/>
      <c r="AV37" s="54"/>
      <c r="AW37" s="41">
        <v>7</v>
      </c>
      <c r="AX37" s="41"/>
      <c r="AY37" s="41"/>
      <c r="AZ37" s="41"/>
      <c r="BA37" s="403"/>
      <c r="BB37" s="41"/>
      <c r="BC37" s="41">
        <v>9</v>
      </c>
      <c r="BD37" s="20"/>
      <c r="BE37" s="20"/>
      <c r="BF37" s="41"/>
      <c r="BG37" s="20"/>
      <c r="BH37" s="20"/>
      <c r="BI37" s="20"/>
      <c r="BJ37" s="3"/>
      <c r="BK37" s="3"/>
    </row>
    <row r="38" spans="1:63" ht="15.75" customHeight="1">
      <c r="A38" s="195" t="s">
        <v>1439</v>
      </c>
      <c r="B38" s="195">
        <v>15</v>
      </c>
      <c r="C38" s="389">
        <v>44459</v>
      </c>
      <c r="D38" s="390" t="s">
        <v>1498</v>
      </c>
      <c r="E38" s="390" t="s">
        <v>1499</v>
      </c>
      <c r="F38" s="400" t="s">
        <v>1500</v>
      </c>
      <c r="G38" s="573" t="s">
        <v>432</v>
      </c>
      <c r="H38" s="573">
        <v>65</v>
      </c>
      <c r="I38" s="573">
        <v>1</v>
      </c>
      <c r="J38" s="573">
        <v>30</v>
      </c>
      <c r="K38" s="595" t="s">
        <v>1439</v>
      </c>
      <c r="L38" s="423">
        <v>9.4</v>
      </c>
      <c r="M38" s="114">
        <v>9.4</v>
      </c>
      <c r="N38" s="114">
        <v>9.4</v>
      </c>
      <c r="O38" s="114">
        <v>9.4</v>
      </c>
      <c r="P38" s="114">
        <v>9.4</v>
      </c>
      <c r="Q38" s="115">
        <v>9.4</v>
      </c>
      <c r="R38" s="423">
        <v>9</v>
      </c>
      <c r="S38" s="114">
        <v>9.4</v>
      </c>
      <c r="T38" s="114">
        <v>9.4</v>
      </c>
      <c r="U38" s="114">
        <v>9.4</v>
      </c>
      <c r="V38" s="114">
        <v>9.4</v>
      </c>
      <c r="W38" s="115">
        <v>9.4</v>
      </c>
      <c r="X38" s="87" t="s">
        <v>1679</v>
      </c>
      <c r="Y38" s="41"/>
      <c r="Z38" s="41"/>
      <c r="AA38" s="41"/>
      <c r="AB38" s="41"/>
      <c r="AC38" s="41">
        <v>10</v>
      </c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>
        <v>10</v>
      </c>
      <c r="AT38" s="41"/>
      <c r="AU38" s="41"/>
      <c r="AV38" s="41">
        <v>10</v>
      </c>
      <c r="AW38" s="41">
        <v>9.6</v>
      </c>
      <c r="AX38" s="41"/>
      <c r="AY38" s="41"/>
      <c r="AZ38" s="41"/>
      <c r="BA38" s="403">
        <v>10</v>
      </c>
      <c r="BB38" s="41"/>
      <c r="BC38" s="41">
        <v>9</v>
      </c>
      <c r="BD38" s="20"/>
      <c r="BE38" s="20"/>
      <c r="BF38" s="41"/>
      <c r="BG38" s="20"/>
      <c r="BH38" s="20"/>
      <c r="BI38" s="20"/>
      <c r="BJ38" s="3"/>
      <c r="BK38" s="3"/>
    </row>
    <row r="39" spans="1:63" ht="15.75" customHeight="1">
      <c r="A39" s="195" t="s">
        <v>1439</v>
      </c>
      <c r="B39" s="195">
        <v>16</v>
      </c>
      <c r="C39" s="389">
        <v>44459</v>
      </c>
      <c r="D39" s="390" t="s">
        <v>1540</v>
      </c>
      <c r="E39" s="390" t="s">
        <v>1502</v>
      </c>
      <c r="F39" s="400" t="s">
        <v>1542</v>
      </c>
      <c r="G39" s="573" t="s">
        <v>433</v>
      </c>
      <c r="H39" s="573">
        <v>77</v>
      </c>
      <c r="I39" s="573">
        <v>6</v>
      </c>
      <c r="J39" s="573">
        <v>21</v>
      </c>
      <c r="K39" s="595" t="s">
        <v>1439</v>
      </c>
      <c r="L39" s="423">
        <v>9.1999999999999993</v>
      </c>
      <c r="M39" s="114">
        <v>9.1999999999999993</v>
      </c>
      <c r="N39" s="114">
        <v>9.1999999999999993</v>
      </c>
      <c r="O39" s="114">
        <v>9.1999999999999993</v>
      </c>
      <c r="P39" s="114">
        <v>9.4</v>
      </c>
      <c r="Q39" s="115">
        <v>9.1999999999999993</v>
      </c>
      <c r="R39" s="423">
        <v>9</v>
      </c>
      <c r="S39" s="114">
        <v>9.1999999999999993</v>
      </c>
      <c r="T39" s="114">
        <v>9.1999999999999993</v>
      </c>
      <c r="U39" s="114">
        <v>9.1999999999999993</v>
      </c>
      <c r="V39" s="114">
        <v>9.4</v>
      </c>
      <c r="W39" s="115">
        <v>9.1999999999999993</v>
      </c>
      <c r="X39" s="87">
        <v>9.1</v>
      </c>
      <c r="Y39" s="41"/>
      <c r="Z39" s="41"/>
      <c r="AA39" s="41"/>
      <c r="AB39" s="41"/>
      <c r="AC39" s="41">
        <v>10</v>
      </c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>
        <v>8.5</v>
      </c>
      <c r="AT39" s="41"/>
      <c r="AU39" s="41"/>
      <c r="AV39" s="41">
        <v>9.6</v>
      </c>
      <c r="AW39" s="41">
        <v>7.6</v>
      </c>
      <c r="AX39" s="41"/>
      <c r="AY39" s="41"/>
      <c r="AZ39" s="41"/>
      <c r="BA39" s="403">
        <v>10</v>
      </c>
      <c r="BB39" s="41"/>
      <c r="BC39" s="41">
        <v>10</v>
      </c>
      <c r="BD39" s="20"/>
      <c r="BE39" s="20"/>
      <c r="BF39" s="41">
        <v>10</v>
      </c>
      <c r="BG39" s="20"/>
      <c r="BH39" s="20"/>
      <c r="BI39" s="20"/>
      <c r="BJ39" s="3"/>
      <c r="BK39" s="3"/>
    </row>
    <row r="40" spans="1:63" ht="15.75" customHeight="1">
      <c r="A40" s="195" t="s">
        <v>1439</v>
      </c>
      <c r="B40" s="195">
        <v>17</v>
      </c>
      <c r="C40" s="389">
        <v>44459</v>
      </c>
      <c r="D40" s="390" t="s">
        <v>1503</v>
      </c>
      <c r="E40" s="390" t="s">
        <v>1504</v>
      </c>
      <c r="F40" s="400" t="s">
        <v>1505</v>
      </c>
      <c r="G40" s="573" t="s">
        <v>432</v>
      </c>
      <c r="H40" s="573">
        <v>76</v>
      </c>
      <c r="I40" s="573">
        <v>12</v>
      </c>
      <c r="J40" s="573">
        <v>29</v>
      </c>
      <c r="K40" s="595" t="s">
        <v>1439</v>
      </c>
      <c r="L40" s="423">
        <v>9.3000000000000007</v>
      </c>
      <c r="M40" s="114">
        <v>9.3000000000000007</v>
      </c>
      <c r="N40" s="114">
        <v>9.3000000000000007</v>
      </c>
      <c r="O40" s="114">
        <v>9.3000000000000007</v>
      </c>
      <c r="P40" s="114">
        <v>9.3000000000000007</v>
      </c>
      <c r="Q40" s="115">
        <v>9.3000000000000007</v>
      </c>
      <c r="R40" s="423">
        <v>9</v>
      </c>
      <c r="S40" s="114">
        <v>9.3000000000000007</v>
      </c>
      <c r="T40" s="114">
        <v>9.3000000000000007</v>
      </c>
      <c r="U40" s="114">
        <v>9.3000000000000007</v>
      </c>
      <c r="V40" s="114">
        <v>9.3000000000000007</v>
      </c>
      <c r="W40" s="115">
        <v>9.3000000000000007</v>
      </c>
      <c r="X40" s="87">
        <v>10</v>
      </c>
      <c r="Y40" s="41"/>
      <c r="Z40" s="41"/>
      <c r="AA40" s="41"/>
      <c r="AB40" s="41"/>
      <c r="AC40" s="41">
        <v>10</v>
      </c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224">
        <v>10</v>
      </c>
      <c r="AT40" s="41"/>
      <c r="AU40" s="41"/>
      <c r="AV40" s="41">
        <v>10</v>
      </c>
      <c r="AW40" s="41">
        <v>9.6999999999999993</v>
      </c>
      <c r="AX40" s="41"/>
      <c r="AY40" s="41"/>
      <c r="AZ40" s="41"/>
      <c r="BA40" s="403">
        <v>10</v>
      </c>
      <c r="BB40" s="41"/>
      <c r="BC40" s="41">
        <v>10</v>
      </c>
      <c r="BD40" s="20"/>
      <c r="BE40" s="20"/>
      <c r="BF40" s="41">
        <v>10</v>
      </c>
      <c r="BG40" s="20"/>
      <c r="BH40" s="20"/>
      <c r="BI40" s="20"/>
      <c r="BJ40" s="3"/>
      <c r="BK40" s="3"/>
    </row>
    <row r="41" spans="1:63" ht="15.75" customHeight="1">
      <c r="A41" s="195" t="s">
        <v>1439</v>
      </c>
      <c r="B41" s="195">
        <v>18</v>
      </c>
      <c r="C41" s="389">
        <v>44520</v>
      </c>
      <c r="D41" s="390" t="s">
        <v>1506</v>
      </c>
      <c r="E41" s="390" t="s">
        <v>1507</v>
      </c>
      <c r="F41" s="400" t="s">
        <v>1508</v>
      </c>
      <c r="G41" s="573" t="s">
        <v>432</v>
      </c>
      <c r="H41" s="573">
        <v>88</v>
      </c>
      <c r="I41" s="573">
        <v>6</v>
      </c>
      <c r="J41" s="573">
        <v>15</v>
      </c>
      <c r="K41" s="595" t="s">
        <v>1439</v>
      </c>
      <c r="L41" s="423">
        <v>9.3000000000000007</v>
      </c>
      <c r="M41" s="114">
        <v>9.3000000000000007</v>
      </c>
      <c r="N41" s="114">
        <v>9.3000000000000007</v>
      </c>
      <c r="O41" s="114">
        <v>9.3000000000000007</v>
      </c>
      <c r="P41" s="114">
        <v>9.3000000000000007</v>
      </c>
      <c r="Q41" s="115">
        <v>9.3000000000000007</v>
      </c>
      <c r="R41" s="423">
        <v>9</v>
      </c>
      <c r="S41" s="114">
        <v>9.3000000000000007</v>
      </c>
      <c r="T41" s="114">
        <v>9.3000000000000007</v>
      </c>
      <c r="U41" s="114">
        <v>9.3000000000000007</v>
      </c>
      <c r="V41" s="114">
        <v>9.3000000000000007</v>
      </c>
      <c r="W41" s="115">
        <v>9.3000000000000007</v>
      </c>
      <c r="X41" s="87" t="s">
        <v>1679</v>
      </c>
      <c r="Y41" s="41"/>
      <c r="Z41" s="41"/>
      <c r="AA41" s="41"/>
      <c r="AB41" s="41"/>
      <c r="AC41" s="41">
        <v>10</v>
      </c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>
        <v>9.6999999999999993</v>
      </c>
      <c r="AT41" s="41"/>
      <c r="AU41" s="41"/>
      <c r="AV41" s="41">
        <v>9.1999999999999993</v>
      </c>
      <c r="AW41" s="41">
        <v>9.5</v>
      </c>
      <c r="AX41" s="41"/>
      <c r="AY41" s="41"/>
      <c r="AZ41" s="41"/>
      <c r="BA41" s="403">
        <v>10</v>
      </c>
      <c r="BB41" s="41"/>
      <c r="BC41" s="41">
        <v>9</v>
      </c>
      <c r="BD41" s="20"/>
      <c r="BE41" s="20"/>
      <c r="BF41" s="41"/>
      <c r="BG41" s="20"/>
      <c r="BH41" s="20"/>
      <c r="BI41" s="20"/>
      <c r="BJ41" s="3"/>
      <c r="BK41" s="3"/>
    </row>
    <row r="42" spans="1:63" ht="15.75" customHeight="1">
      <c r="A42" s="195" t="s">
        <v>1439</v>
      </c>
      <c r="B42" s="195">
        <v>19</v>
      </c>
      <c r="C42" s="601">
        <v>44459</v>
      </c>
      <c r="D42" s="602" t="s">
        <v>1512</v>
      </c>
      <c r="E42" s="602" t="s">
        <v>1510</v>
      </c>
      <c r="F42" s="603" t="s">
        <v>1514</v>
      </c>
      <c r="G42" s="573" t="s">
        <v>432</v>
      </c>
      <c r="H42" s="573">
        <v>78</v>
      </c>
      <c r="I42" s="573">
        <v>10</v>
      </c>
      <c r="J42" s="573">
        <v>10</v>
      </c>
      <c r="K42" s="595" t="s">
        <v>1439</v>
      </c>
      <c r="L42" s="604">
        <v>9.4</v>
      </c>
      <c r="M42" s="605">
        <v>9.4</v>
      </c>
      <c r="N42" s="605">
        <v>9.4</v>
      </c>
      <c r="O42" s="605">
        <v>9.4</v>
      </c>
      <c r="P42" s="605">
        <v>9.4</v>
      </c>
      <c r="Q42" s="606">
        <v>9.4</v>
      </c>
      <c r="R42" s="604">
        <v>9</v>
      </c>
      <c r="S42" s="605">
        <v>9.4</v>
      </c>
      <c r="T42" s="605">
        <v>9.4</v>
      </c>
      <c r="U42" s="605">
        <v>9.4</v>
      </c>
      <c r="V42" s="605">
        <v>9.4</v>
      </c>
      <c r="W42" s="606">
        <v>9.4</v>
      </c>
      <c r="X42" s="382" t="s">
        <v>1679</v>
      </c>
      <c r="Y42" s="262"/>
      <c r="Z42" s="262"/>
      <c r="AA42" s="262"/>
      <c r="AB42" s="262"/>
      <c r="AC42" s="262">
        <v>10</v>
      </c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>
        <v>8.1</v>
      </c>
      <c r="AW42" s="262">
        <v>7</v>
      </c>
      <c r="AX42" s="262"/>
      <c r="AY42" s="262"/>
      <c r="AZ42" s="262"/>
      <c r="BA42" s="607">
        <v>10</v>
      </c>
      <c r="BB42" s="262"/>
      <c r="BC42" s="262" t="s">
        <v>1679</v>
      </c>
      <c r="BD42" s="351"/>
      <c r="BE42" s="351"/>
      <c r="BF42" s="262">
        <v>8.9</v>
      </c>
      <c r="BG42" s="20"/>
      <c r="BH42" s="20"/>
      <c r="BI42" s="20"/>
      <c r="BJ42" s="3"/>
      <c r="BK42" s="3"/>
    </row>
    <row r="43" spans="1:63" ht="15.75" customHeight="1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378"/>
      <c r="BE43" s="378"/>
      <c r="BF43" s="378"/>
      <c r="BG43" s="3"/>
      <c r="BH43" s="3"/>
      <c r="BI43" s="3"/>
      <c r="BJ43" s="3"/>
      <c r="BK43" s="3"/>
    </row>
    <row r="44" spans="1:63" ht="15.75" customHeight="1">
      <c r="A44" s="2"/>
      <c r="B44" s="2"/>
      <c r="C44" s="209"/>
      <c r="D44" s="2"/>
      <c r="E44" s="2"/>
      <c r="F44" s="209" t="s">
        <v>1682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3"/>
      <c r="BE44" s="3"/>
      <c r="BF44" s="3"/>
      <c r="BG44" s="3"/>
      <c r="BH44" s="3"/>
      <c r="BI44" s="3"/>
      <c r="BJ44" s="3"/>
      <c r="BK44" s="3"/>
    </row>
    <row r="45" spans="1:63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3"/>
      <c r="BE45" s="3"/>
      <c r="BF45" s="3"/>
      <c r="BG45" s="3"/>
      <c r="BH45" s="3"/>
      <c r="BI45" s="3"/>
      <c r="BJ45" s="3"/>
      <c r="BK45" s="3"/>
    </row>
    <row r="46" spans="1:63" ht="15.75" customHeight="1">
      <c r="A46" s="2"/>
      <c r="B46" s="2"/>
      <c r="C46" s="2"/>
      <c r="D46" s="2"/>
      <c r="E46" s="2"/>
      <c r="F46" s="2" t="s">
        <v>1712</v>
      </c>
      <c r="G46" s="2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2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</row>
    <row r="47" spans="1:63" ht="15.75" customHeight="1">
      <c r="A47" s="2"/>
      <c r="B47" s="2"/>
      <c r="C47" s="2"/>
      <c r="D47" s="2"/>
      <c r="E47" s="2"/>
      <c r="F47" s="2" t="s">
        <v>1711</v>
      </c>
      <c r="G47" s="2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</row>
    <row r="48" spans="1:63" ht="15.75" customHeight="1">
      <c r="A48" s="2"/>
      <c r="B48" s="2"/>
      <c r="C48" s="2"/>
      <c r="D48" s="2"/>
      <c r="E48" s="2"/>
      <c r="F48" s="2"/>
      <c r="G48" s="2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2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</row>
    <row r="49" spans="1:63" ht="15.75" customHeight="1">
      <c r="A49" s="2"/>
      <c r="B49" s="2"/>
      <c r="C49" s="2"/>
      <c r="D49" s="2"/>
      <c r="E49" s="2"/>
      <c r="F49" s="2"/>
      <c r="G49" s="2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2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</row>
    <row r="50" spans="1:63" ht="15.75" customHeight="1">
      <c r="A50" s="2"/>
      <c r="B50" s="2"/>
      <c r="C50" s="2"/>
      <c r="D50" s="2"/>
      <c r="E50" s="2"/>
      <c r="F50" s="2"/>
      <c r="G50" s="2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2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</row>
    <row r="51" spans="1:63" ht="15.75" customHeight="1">
      <c r="A51" s="2"/>
      <c r="B51" s="2"/>
      <c r="C51" s="2"/>
      <c r="D51" s="2"/>
      <c r="E51" s="2"/>
      <c r="F51" s="2"/>
      <c r="G51" s="2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2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</row>
    <row r="52" spans="1:63" ht="15.75" customHeight="1">
      <c r="A52" s="2"/>
      <c r="B52" s="2"/>
      <c r="C52" s="2"/>
      <c r="D52" s="2"/>
      <c r="E52" s="2"/>
      <c r="F52" s="2"/>
      <c r="G52" s="2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2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</row>
    <row r="53" spans="1:63" ht="15.75" customHeight="1">
      <c r="A53" s="2"/>
      <c r="B53" s="2"/>
      <c r="C53" s="2"/>
      <c r="D53" s="2"/>
      <c r="E53" s="2"/>
      <c r="F53" s="2"/>
      <c r="G53" s="2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2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</row>
    <row r="54" spans="1:63" ht="15.75" customHeight="1">
      <c r="A54" s="2"/>
      <c r="B54" s="2"/>
      <c r="C54" s="2"/>
      <c r="D54" s="2"/>
      <c r="E54" s="2"/>
      <c r="F54" s="2"/>
      <c r="G54" s="2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2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</row>
    <row r="55" spans="1:63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608">
        <f t="shared" ref="BD55:BD56" si="2">AVERAGE(L6:BD6)</f>
        <v>8.7222222222222214</v>
      </c>
      <c r="BE55" s="2"/>
      <c r="BF55" s="2"/>
      <c r="BG55" s="2"/>
      <c r="BH55" s="2"/>
      <c r="BI55" s="2"/>
      <c r="BJ55" s="3"/>
      <c r="BK55" s="3"/>
    </row>
    <row r="56" spans="1:63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609" t="e">
        <f t="shared" si="2"/>
        <v>#DIV/0!</v>
      </c>
      <c r="BE56" s="2"/>
      <c r="BF56" s="2"/>
      <c r="BG56" s="2"/>
      <c r="BH56" s="2"/>
      <c r="BI56" s="2"/>
      <c r="BJ56" s="3"/>
      <c r="BK56" s="3"/>
    </row>
    <row r="57" spans="1:63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609">
        <f>AVERAGE(L18:BD18)</f>
        <v>9.1314285714285699</v>
      </c>
      <c r="BE57" s="2"/>
      <c r="BF57" s="2"/>
      <c r="BG57" s="2"/>
      <c r="BH57" s="2"/>
      <c r="BI57" s="2"/>
      <c r="BJ57" s="3"/>
      <c r="BK57" s="3"/>
    </row>
    <row r="58" spans="1:63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609" t="e">
        <f t="shared" ref="BD58:BD65" si="3">AVERAGE(#REF!)</f>
        <v>#REF!</v>
      </c>
      <c r="BE58" s="2"/>
      <c r="BF58" s="2"/>
      <c r="BG58" s="2"/>
      <c r="BH58" s="2"/>
      <c r="BI58" s="2"/>
      <c r="BJ58" s="3"/>
      <c r="BK58" s="3"/>
    </row>
    <row r="59" spans="1:63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609" t="e">
        <f t="shared" si="3"/>
        <v>#REF!</v>
      </c>
      <c r="BE59" s="2"/>
      <c r="BF59" s="2"/>
      <c r="BG59" s="2"/>
      <c r="BH59" s="2"/>
      <c r="BI59" s="2"/>
      <c r="BJ59" s="3"/>
      <c r="BK59" s="3"/>
    </row>
    <row r="60" spans="1:63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609" t="e">
        <f t="shared" si="3"/>
        <v>#REF!</v>
      </c>
      <c r="BE60" s="2"/>
      <c r="BF60" s="2"/>
      <c r="BG60" s="2"/>
      <c r="BH60" s="2"/>
      <c r="BI60" s="2"/>
      <c r="BJ60" s="3"/>
      <c r="BK60" s="3"/>
    </row>
    <row r="61" spans="1:63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608" t="e">
        <f t="shared" si="3"/>
        <v>#REF!</v>
      </c>
      <c r="BE61" s="2"/>
      <c r="BF61" s="2"/>
      <c r="BG61" s="2"/>
      <c r="BH61" s="2"/>
      <c r="BI61" s="2"/>
      <c r="BJ61" s="3"/>
      <c r="BK61" s="3"/>
    </row>
    <row r="62" spans="1:63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609" t="e">
        <f t="shared" si="3"/>
        <v>#REF!</v>
      </c>
      <c r="BE62" s="2"/>
      <c r="BF62" s="2"/>
      <c r="BG62" s="2"/>
      <c r="BH62" s="2"/>
      <c r="BI62" s="2"/>
      <c r="BJ62" s="3"/>
      <c r="BK62" s="3"/>
    </row>
    <row r="63" spans="1: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608" t="e">
        <f t="shared" si="3"/>
        <v>#REF!</v>
      </c>
      <c r="BE63" s="2"/>
      <c r="BF63" s="2"/>
      <c r="BG63" s="2"/>
      <c r="BH63" s="2"/>
      <c r="BI63" s="2"/>
      <c r="BJ63" s="3"/>
      <c r="BK63" s="3"/>
    </row>
    <row r="64" spans="1:63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609" t="e">
        <f t="shared" si="3"/>
        <v>#REF!</v>
      </c>
      <c r="BE64" s="2"/>
      <c r="BF64" s="2"/>
      <c r="BG64" s="2"/>
      <c r="BH64" s="2"/>
      <c r="BI64" s="2"/>
      <c r="BJ64" s="3"/>
      <c r="BK64" s="3"/>
    </row>
    <row r="65" spans="1:63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608" t="e">
        <f t="shared" si="3"/>
        <v>#REF!</v>
      </c>
      <c r="BE65" s="2"/>
      <c r="BF65" s="2"/>
      <c r="BG65" s="2"/>
      <c r="BH65" s="2"/>
      <c r="BI65" s="2"/>
      <c r="BJ65" s="3"/>
      <c r="BK65" s="3"/>
    </row>
    <row r="66" spans="1:63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3"/>
      <c r="BK66" s="3"/>
    </row>
    <row r="67" spans="1:63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3"/>
      <c r="BK67" s="3"/>
    </row>
    <row r="68" spans="1:63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3"/>
      <c r="BK68" s="3"/>
    </row>
    <row r="69" spans="1:63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3"/>
      <c r="BK69" s="3"/>
    </row>
    <row r="70" spans="1:63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3"/>
      <c r="BK70" s="3"/>
    </row>
    <row r="71" spans="1:63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3"/>
      <c r="BK71" s="3"/>
    </row>
    <row r="72" spans="1:63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3"/>
      <c r="BK72" s="3"/>
    </row>
    <row r="73" spans="1:6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3"/>
      <c r="BK73" s="3"/>
    </row>
    <row r="74" spans="1:63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3"/>
      <c r="BK74" s="3"/>
    </row>
    <row r="75" spans="1:63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3"/>
      <c r="BK75" s="3"/>
    </row>
    <row r="76" spans="1:63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3"/>
      <c r="BK76" s="3"/>
    </row>
    <row r="77" spans="1:63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3"/>
      <c r="BK77" s="3"/>
    </row>
    <row r="78" spans="1:63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3"/>
      <c r="BK78" s="3"/>
    </row>
    <row r="79" spans="1:63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3"/>
      <c r="BK79" s="3"/>
    </row>
    <row r="80" spans="1:63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3"/>
      <c r="BK80" s="3"/>
    </row>
    <row r="81" spans="1:63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3"/>
      <c r="BK81" s="3"/>
    </row>
    <row r="82" spans="1:63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3"/>
      <c r="BK82" s="3"/>
    </row>
    <row r="83" spans="1:6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3"/>
      <c r="BK83" s="3"/>
    </row>
    <row r="84" spans="1:63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3"/>
      <c r="BK84" s="3"/>
    </row>
    <row r="85" spans="1:63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3"/>
      <c r="BK85" s="3"/>
    </row>
    <row r="86" spans="1:63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3"/>
      <c r="BK86" s="3"/>
    </row>
    <row r="87" spans="1:63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3"/>
      <c r="BK87" s="3"/>
    </row>
    <row r="88" spans="1:63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3"/>
      <c r="BK88" s="3"/>
    </row>
    <row r="89" spans="1:63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3"/>
      <c r="BK89" s="3"/>
    </row>
    <row r="90" spans="1:63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3"/>
      <c r="BK90" s="3"/>
    </row>
    <row r="91" spans="1:63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3"/>
      <c r="BK91" s="3"/>
    </row>
    <row r="92" spans="1:63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3"/>
      <c r="BK92" s="3"/>
    </row>
    <row r="93" spans="1:6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3"/>
      <c r="BK93" s="3"/>
    </row>
    <row r="94" spans="1:63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3"/>
      <c r="BK94" s="3"/>
    </row>
    <row r="95" spans="1:63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3"/>
      <c r="BK95" s="3"/>
    </row>
    <row r="96" spans="1:63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3"/>
      <c r="BK96" s="3"/>
    </row>
    <row r="97" spans="1:63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3"/>
      <c r="BK97" s="3"/>
    </row>
    <row r="98" spans="1:63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3"/>
      <c r="BK98" s="3"/>
    </row>
    <row r="99" spans="1:63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3"/>
      <c r="BK99" s="3"/>
    </row>
    <row r="100" spans="1:63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3"/>
      <c r="BK100" s="3"/>
    </row>
    <row r="101" spans="1:63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3"/>
      <c r="BK101" s="3"/>
    </row>
    <row r="102" spans="1:63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3"/>
      <c r="BK102" s="3"/>
    </row>
    <row r="103" spans="1:6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3"/>
      <c r="BK103" s="3"/>
    </row>
    <row r="104" spans="1:63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3"/>
      <c r="BK104" s="3"/>
    </row>
    <row r="105" spans="1:63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3"/>
      <c r="BK105" s="3"/>
    </row>
    <row r="106" spans="1:63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3"/>
      <c r="BK106" s="3"/>
    </row>
    <row r="107" spans="1:63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3"/>
      <c r="BK107" s="3"/>
    </row>
    <row r="108" spans="1:63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3"/>
      <c r="BK108" s="3"/>
    </row>
    <row r="109" spans="1:63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3"/>
      <c r="BK109" s="3"/>
    </row>
    <row r="110" spans="1:63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3"/>
      <c r="BK110" s="3"/>
    </row>
    <row r="111" spans="1:63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3"/>
      <c r="BK111" s="3"/>
    </row>
    <row r="112" spans="1:63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3"/>
      <c r="BK112" s="3"/>
    </row>
    <row r="113" spans="1:6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3"/>
      <c r="BK113" s="3"/>
    </row>
    <row r="114" spans="1:63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3"/>
      <c r="BK114" s="3"/>
    </row>
    <row r="115" spans="1:63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3"/>
      <c r="BK115" s="3"/>
    </row>
    <row r="116" spans="1:63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3"/>
      <c r="BK116" s="3"/>
    </row>
    <row r="117" spans="1:63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3"/>
      <c r="BK117" s="3"/>
    </row>
    <row r="118" spans="1:63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3"/>
      <c r="BK118" s="3"/>
    </row>
    <row r="119" spans="1:63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3"/>
      <c r="BK119" s="3"/>
    </row>
    <row r="120" spans="1:63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3"/>
      <c r="BK120" s="3"/>
    </row>
    <row r="121" spans="1:63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3"/>
      <c r="BK121" s="3"/>
    </row>
    <row r="122" spans="1:63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3"/>
      <c r="BK122" s="3"/>
    </row>
    <row r="123" spans="1:6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3"/>
      <c r="BK123" s="3"/>
    </row>
    <row r="124" spans="1:63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3"/>
      <c r="BK124" s="3"/>
    </row>
    <row r="125" spans="1:63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3"/>
      <c r="BK125" s="3"/>
    </row>
    <row r="126" spans="1:63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3"/>
      <c r="BK126" s="3"/>
    </row>
    <row r="127" spans="1:63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3"/>
      <c r="BK127" s="3"/>
    </row>
    <row r="128" spans="1:63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3"/>
      <c r="BK128" s="3"/>
    </row>
    <row r="129" spans="1:63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3"/>
      <c r="BK129" s="3"/>
    </row>
    <row r="130" spans="1:63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3"/>
      <c r="BK130" s="3"/>
    </row>
    <row r="131" spans="1:63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3"/>
      <c r="BK131" s="3"/>
    </row>
    <row r="132" spans="1:63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3"/>
      <c r="BK132" s="3"/>
    </row>
    <row r="133" spans="1:6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3"/>
      <c r="BK133" s="3"/>
    </row>
    <row r="134" spans="1:63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3"/>
      <c r="BK134" s="3"/>
    </row>
    <row r="135" spans="1:63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3"/>
      <c r="BK135" s="3"/>
    </row>
    <row r="136" spans="1:63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3"/>
      <c r="BK136" s="3"/>
    </row>
    <row r="137" spans="1:63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3"/>
      <c r="BK137" s="3"/>
    </row>
    <row r="138" spans="1:63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3"/>
      <c r="BK138" s="3"/>
    </row>
    <row r="139" spans="1:63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3"/>
      <c r="BK139" s="3"/>
    </row>
    <row r="140" spans="1:63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3"/>
      <c r="BK140" s="3"/>
    </row>
    <row r="141" spans="1:63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3"/>
      <c r="BK141" s="3"/>
    </row>
    <row r="142" spans="1:63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3"/>
      <c r="BK142" s="3"/>
    </row>
    <row r="143" spans="1:6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3"/>
      <c r="BK143" s="3"/>
    </row>
    <row r="144" spans="1:63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3"/>
      <c r="BK144" s="3"/>
    </row>
    <row r="145" spans="1:63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3"/>
      <c r="BK145" s="3"/>
    </row>
    <row r="146" spans="1:63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3"/>
      <c r="BK146" s="3"/>
    </row>
    <row r="147" spans="1:63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3"/>
      <c r="BK147" s="3"/>
    </row>
    <row r="148" spans="1:63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3"/>
      <c r="BK148" s="3"/>
    </row>
    <row r="149" spans="1:63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3"/>
      <c r="BK149" s="3"/>
    </row>
    <row r="150" spans="1:63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3"/>
      <c r="BK150" s="3"/>
    </row>
    <row r="151" spans="1:63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3"/>
      <c r="BK151" s="3"/>
    </row>
    <row r="152" spans="1:63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3"/>
      <c r="BK152" s="3"/>
    </row>
    <row r="153" spans="1:6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3"/>
      <c r="BK153" s="3"/>
    </row>
    <row r="154" spans="1:63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3"/>
      <c r="BK154" s="3"/>
    </row>
    <row r="155" spans="1:63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3"/>
      <c r="BK155" s="3"/>
    </row>
    <row r="156" spans="1:63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3"/>
      <c r="BK156" s="3"/>
    </row>
    <row r="157" spans="1:63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3"/>
      <c r="BK157" s="3"/>
    </row>
    <row r="158" spans="1:63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3"/>
      <c r="BK158" s="3"/>
    </row>
    <row r="159" spans="1:63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3"/>
      <c r="BK159" s="3"/>
    </row>
    <row r="160" spans="1:63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3"/>
      <c r="BK160" s="3"/>
    </row>
    <row r="161" spans="1:63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3"/>
      <c r="BK161" s="3"/>
    </row>
    <row r="162" spans="1:63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3"/>
      <c r="BK162" s="3"/>
    </row>
    <row r="163" spans="1: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3"/>
      <c r="BK163" s="3"/>
    </row>
    <row r="164" spans="1:63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3"/>
      <c r="BK164" s="3"/>
    </row>
    <row r="165" spans="1:63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3"/>
      <c r="BK165" s="3"/>
    </row>
    <row r="166" spans="1:63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3"/>
      <c r="BK166" s="3"/>
    </row>
    <row r="167" spans="1:63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3"/>
      <c r="BK167" s="3"/>
    </row>
    <row r="168" spans="1:63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3"/>
      <c r="BK168" s="3"/>
    </row>
    <row r="169" spans="1:63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3"/>
      <c r="BK169" s="3"/>
    </row>
    <row r="170" spans="1:63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3"/>
      <c r="BK170" s="3"/>
    </row>
    <row r="171" spans="1:63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3"/>
      <c r="BK171" s="3"/>
    </row>
    <row r="172" spans="1:63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3"/>
      <c r="BK172" s="3"/>
    </row>
    <row r="173" spans="1:6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3"/>
      <c r="BK173" s="3"/>
    </row>
    <row r="174" spans="1:63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3"/>
      <c r="BK174" s="3"/>
    </row>
    <row r="175" spans="1:63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3"/>
      <c r="BK175" s="3"/>
    </row>
    <row r="176" spans="1:63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3"/>
      <c r="BK176" s="3"/>
    </row>
    <row r="177" spans="1:63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3"/>
      <c r="BK177" s="3"/>
    </row>
    <row r="178" spans="1:63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3"/>
      <c r="BK178" s="3"/>
    </row>
    <row r="179" spans="1:63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3"/>
      <c r="BK179" s="3"/>
    </row>
    <row r="180" spans="1:63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3"/>
      <c r="BK180" s="3"/>
    </row>
    <row r="181" spans="1:63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3"/>
      <c r="BK181" s="3"/>
    </row>
    <row r="182" spans="1:63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3"/>
      <c r="BK182" s="3"/>
    </row>
    <row r="183" spans="1:6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3"/>
      <c r="BK183" s="3"/>
    </row>
    <row r="184" spans="1:63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3"/>
      <c r="BK184" s="3"/>
    </row>
    <row r="185" spans="1:63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3"/>
      <c r="BK185" s="3"/>
    </row>
    <row r="186" spans="1:63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3"/>
      <c r="BK186" s="3"/>
    </row>
    <row r="187" spans="1:63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3"/>
      <c r="BK187" s="3"/>
    </row>
    <row r="188" spans="1:63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3"/>
      <c r="BK188" s="3"/>
    </row>
    <row r="189" spans="1:63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3"/>
      <c r="BK189" s="3"/>
    </row>
    <row r="190" spans="1:63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3"/>
      <c r="BK190" s="3"/>
    </row>
    <row r="191" spans="1:63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3"/>
      <c r="BK191" s="3"/>
    </row>
    <row r="192" spans="1:63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3"/>
      <c r="BK192" s="3"/>
    </row>
    <row r="193" spans="1:6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3"/>
      <c r="BK193" s="3"/>
    </row>
    <row r="194" spans="1:63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3"/>
      <c r="BK194" s="3"/>
    </row>
    <row r="195" spans="1:63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3"/>
      <c r="BK195" s="3"/>
    </row>
    <row r="196" spans="1:63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3"/>
      <c r="BK196" s="3"/>
    </row>
    <row r="197" spans="1:63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3"/>
      <c r="BK197" s="3"/>
    </row>
    <row r="198" spans="1:63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3"/>
      <c r="BK198" s="3"/>
    </row>
    <row r="199" spans="1:63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3"/>
      <c r="BK199" s="3"/>
    </row>
    <row r="200" spans="1:63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3"/>
      <c r="BK200" s="3"/>
    </row>
    <row r="201" spans="1:63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3"/>
      <c r="BK201" s="3"/>
    </row>
    <row r="202" spans="1:63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3"/>
      <c r="BK202" s="3"/>
    </row>
    <row r="203" spans="1:6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3"/>
      <c r="BK203" s="3"/>
    </row>
    <row r="204" spans="1:63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3"/>
      <c r="BK204" s="3"/>
    </row>
    <row r="205" spans="1:63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3"/>
      <c r="BK205" s="3"/>
    </row>
    <row r="206" spans="1:63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3"/>
      <c r="BK206" s="3"/>
    </row>
    <row r="207" spans="1:63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3"/>
      <c r="BK207" s="3"/>
    </row>
    <row r="208" spans="1:63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3"/>
      <c r="BK208" s="3"/>
    </row>
    <row r="209" spans="1:63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3"/>
      <c r="BK209" s="3"/>
    </row>
    <row r="210" spans="1:63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3"/>
      <c r="BK210" s="3"/>
    </row>
    <row r="211" spans="1:63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3"/>
      <c r="BK211" s="3"/>
    </row>
    <row r="212" spans="1:63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3"/>
      <c r="BK212" s="3"/>
    </row>
    <row r="213" spans="1:6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3"/>
      <c r="BK213" s="3"/>
    </row>
    <row r="214" spans="1:63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3"/>
      <c r="BK214" s="3"/>
    </row>
    <row r="215" spans="1:63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3"/>
      <c r="BK215" s="3"/>
    </row>
    <row r="216" spans="1:63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3"/>
      <c r="BK216" s="3"/>
    </row>
    <row r="217" spans="1:63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3"/>
      <c r="BK217" s="3"/>
    </row>
    <row r="218" spans="1:63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3"/>
      <c r="BK218" s="3"/>
    </row>
    <row r="219" spans="1:63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3"/>
      <c r="BK219" s="3"/>
    </row>
    <row r="220" spans="1:63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3"/>
      <c r="BK220" s="3"/>
    </row>
    <row r="221" spans="1:63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3"/>
      <c r="BK221" s="3"/>
    </row>
    <row r="222" spans="1:63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3"/>
      <c r="BK222" s="3"/>
    </row>
    <row r="223" spans="1:6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3"/>
      <c r="BK223" s="3"/>
    </row>
    <row r="224" spans="1:63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3"/>
      <c r="BK224" s="3"/>
    </row>
    <row r="225" spans="1:63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3"/>
      <c r="BK225" s="3"/>
    </row>
    <row r="226" spans="1:63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3"/>
      <c r="BK226" s="3"/>
    </row>
    <row r="227" spans="1:63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3"/>
      <c r="BK227" s="3"/>
    </row>
    <row r="228" spans="1:63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3"/>
      <c r="BK228" s="3"/>
    </row>
    <row r="229" spans="1:63" ht="15.7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3"/>
      <c r="BK229" s="3"/>
    </row>
    <row r="230" spans="1:63" ht="15.7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3"/>
      <c r="BK230" s="3"/>
    </row>
    <row r="231" spans="1:63" ht="15.7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3"/>
      <c r="BK231" s="3"/>
    </row>
    <row r="232" spans="1:63" ht="15.7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3"/>
      <c r="BK232" s="3"/>
    </row>
    <row r="233" spans="1:63" ht="15.7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3"/>
      <c r="BK233" s="3"/>
    </row>
    <row r="234" spans="1:63" ht="15.7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3"/>
      <c r="BK234" s="3"/>
    </row>
    <row r="235" spans="1:63" ht="15.7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3"/>
      <c r="BK235" s="3"/>
    </row>
    <row r="236" spans="1:63" ht="15.7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3"/>
      <c r="BK236" s="3"/>
    </row>
    <row r="237" spans="1:63" ht="15.7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3"/>
      <c r="BK237" s="3"/>
    </row>
    <row r="238" spans="1:63" ht="15.7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3"/>
      <c r="BK238" s="3"/>
    </row>
    <row r="239" spans="1:63" ht="15.7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3"/>
      <c r="BK239" s="3"/>
    </row>
    <row r="240" spans="1:63" ht="15.7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3"/>
      <c r="BK240" s="3"/>
    </row>
    <row r="241" spans="1:63" ht="15.7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3"/>
      <c r="BK241" s="3"/>
    </row>
    <row r="242" spans="1:63" ht="15.7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3"/>
      <c r="BK242" s="3"/>
    </row>
    <row r="243" spans="1:63" ht="15.7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3"/>
      <c r="BK243" s="3"/>
    </row>
    <row r="244" spans="1:63" ht="15.7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3"/>
      <c r="BK244" s="3"/>
    </row>
    <row r="245" spans="1:63" ht="15.7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3"/>
      <c r="BK245" s="3"/>
    </row>
    <row r="246" spans="1:63" ht="15.7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3"/>
      <c r="BK246" s="3"/>
    </row>
    <row r="247" spans="1:63" ht="15.7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3"/>
      <c r="BK247" s="3"/>
    </row>
    <row r="248" spans="1:63" ht="15.7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3"/>
      <c r="BK248" s="3"/>
    </row>
    <row r="249" spans="1:63" ht="15.7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3"/>
      <c r="BK249" s="3"/>
    </row>
    <row r="250" spans="1:63" ht="15.7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3"/>
      <c r="BK250" s="3"/>
    </row>
    <row r="251" spans="1:63" ht="15.7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3"/>
      <c r="BK251" s="3"/>
    </row>
    <row r="252" spans="1:63" ht="15.7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3"/>
      <c r="BK252" s="3"/>
    </row>
    <row r="253" spans="1:63" ht="15.7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3"/>
      <c r="BK253" s="3"/>
    </row>
    <row r="254" spans="1:63" ht="15.7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3"/>
      <c r="BK254" s="3"/>
    </row>
    <row r="255" spans="1:63" ht="15.7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3"/>
      <c r="BK255" s="3"/>
    </row>
    <row r="256" spans="1:63" ht="15.7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3"/>
      <c r="BK256" s="3"/>
    </row>
    <row r="257" spans="1:63" ht="15.7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3"/>
      <c r="BK257" s="3"/>
    </row>
    <row r="258" spans="1:63" ht="15.7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3"/>
      <c r="BK258" s="3"/>
    </row>
    <row r="259" spans="1:63" ht="15.7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3"/>
      <c r="BK259" s="3"/>
    </row>
    <row r="260" spans="1:63" ht="15.7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3"/>
      <c r="BK260" s="3"/>
    </row>
    <row r="261" spans="1:63" ht="15.7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3"/>
      <c r="BK261" s="3"/>
    </row>
    <row r="262" spans="1:63" ht="15.7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3"/>
      <c r="BK262" s="3"/>
    </row>
    <row r="263" spans="1:63" ht="15.7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3"/>
      <c r="BK263" s="3"/>
    </row>
    <row r="264" spans="1:63" ht="15.7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3"/>
      <c r="BK264" s="3"/>
    </row>
    <row r="265" spans="1:63" ht="15.7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3"/>
      <c r="BK265" s="3"/>
    </row>
    <row r="266" spans="1:63" ht="15.75" customHeight="1"/>
    <row r="267" spans="1:63" ht="15.75" customHeight="1"/>
    <row r="268" spans="1:63" ht="15.75" customHeight="1"/>
    <row r="269" spans="1:63" ht="15.75" customHeight="1"/>
    <row r="270" spans="1:63" ht="15.75" customHeight="1"/>
    <row r="271" spans="1:63" ht="15.75" customHeight="1"/>
    <row r="272" spans="1:63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H22:J22"/>
    <mergeCell ref="B1:B2"/>
    <mergeCell ref="D1:D2"/>
    <mergeCell ref="E1:E2"/>
    <mergeCell ref="G1:G2"/>
    <mergeCell ref="H1:J1"/>
    <mergeCell ref="B9:B10"/>
    <mergeCell ref="D9:D10"/>
    <mergeCell ref="H9:J9"/>
    <mergeCell ref="E9:E10"/>
    <mergeCell ref="G9:G10"/>
    <mergeCell ref="B22:B23"/>
    <mergeCell ref="D22:D23"/>
    <mergeCell ref="E22:E23"/>
    <mergeCell ref="G22:G23"/>
  </mergeCells>
  <pageMargins left="0.7" right="0.7" top="0.75" bottom="0.75" header="0" footer="0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C3:G1000"/>
  <sheetViews>
    <sheetView workbookViewId="0">
      <selection activeCell="H9" sqref="H9"/>
    </sheetView>
  </sheetViews>
  <sheetFormatPr baseColWidth="10" defaultColWidth="14.42578125" defaultRowHeight="15" customHeight="1"/>
  <cols>
    <col min="1" max="6" width="10.5703125" customWidth="1"/>
  </cols>
  <sheetData>
    <row r="3" spans="3:7">
      <c r="C3" s="2"/>
    </row>
    <row r="7" spans="3:7" ht="15.75">
      <c r="C7" s="204" t="s">
        <v>1683</v>
      </c>
      <c r="D7" s="2" t="s">
        <v>1656</v>
      </c>
      <c r="E7" s="610" t="s">
        <v>1636</v>
      </c>
      <c r="F7" s="41" t="s">
        <v>1049</v>
      </c>
    </row>
    <row r="8" spans="3:7">
      <c r="C8" s="219"/>
      <c r="D8" s="2"/>
      <c r="E8" s="611" t="s">
        <v>790</v>
      </c>
      <c r="F8" s="198" t="s">
        <v>938</v>
      </c>
      <c r="G8" s="612" t="s">
        <v>1626</v>
      </c>
    </row>
    <row r="9" spans="3:7">
      <c r="C9" s="219"/>
      <c r="D9" s="2"/>
      <c r="E9" s="58"/>
      <c r="F9" s="17" t="s">
        <v>1684</v>
      </c>
    </row>
    <row r="10" spans="3:7" ht="30">
      <c r="C10" s="2"/>
      <c r="D10" s="2"/>
      <c r="E10" s="611" t="s">
        <v>1685</v>
      </c>
      <c r="F10" s="613" t="s">
        <v>1686</v>
      </c>
    </row>
    <row r="11" spans="3:7" ht="48">
      <c r="C11" s="2"/>
      <c r="D11" s="234" t="s">
        <v>950</v>
      </c>
      <c r="E11" s="239" t="s">
        <v>966</v>
      </c>
      <c r="F11" s="253">
        <v>10</v>
      </c>
    </row>
    <row r="12" spans="3:7" ht="72">
      <c r="C12" s="2"/>
      <c r="D12" s="235" t="s">
        <v>951</v>
      </c>
      <c r="E12" s="240" t="s">
        <v>967</v>
      </c>
      <c r="F12" s="215">
        <v>10</v>
      </c>
    </row>
    <row r="13" spans="3:7" ht="48">
      <c r="C13" s="2"/>
      <c r="D13" s="235" t="s">
        <v>952</v>
      </c>
      <c r="E13" s="241" t="s">
        <v>968</v>
      </c>
      <c r="F13" s="217">
        <v>9</v>
      </c>
    </row>
    <row r="14" spans="3:7" ht="48">
      <c r="C14" s="2"/>
      <c r="D14" s="235" t="s">
        <v>953</v>
      </c>
      <c r="E14" s="241" t="s">
        <v>969</v>
      </c>
      <c r="F14" s="254">
        <v>10</v>
      </c>
    </row>
    <row r="15" spans="3:7" ht="120">
      <c r="C15" s="2"/>
      <c r="D15" s="235" t="s">
        <v>954</v>
      </c>
      <c r="E15" s="242" t="s">
        <v>970</v>
      </c>
      <c r="F15" s="255">
        <v>9.1999999999999993</v>
      </c>
    </row>
    <row r="16" spans="3:7" ht="24">
      <c r="C16" s="2"/>
      <c r="D16" s="235" t="s">
        <v>955</v>
      </c>
      <c r="E16" s="243" t="s">
        <v>971</v>
      </c>
      <c r="F16" s="215">
        <v>10</v>
      </c>
    </row>
    <row r="17" spans="3:6" ht="120">
      <c r="C17" s="2"/>
      <c r="D17" s="235" t="s">
        <v>955</v>
      </c>
      <c r="E17" s="243" t="s">
        <v>972</v>
      </c>
      <c r="F17" s="256">
        <f>(F15+F16+F18)/3</f>
        <v>9.7333333333333325</v>
      </c>
    </row>
    <row r="18" spans="3:6" ht="60">
      <c r="C18" s="2"/>
      <c r="D18" s="235" t="s">
        <v>956</v>
      </c>
      <c r="E18" s="244" t="s">
        <v>973</v>
      </c>
      <c r="F18" s="257">
        <v>10</v>
      </c>
    </row>
    <row r="19" spans="3:6" ht="48">
      <c r="C19" s="2"/>
      <c r="D19" s="235" t="s">
        <v>957</v>
      </c>
      <c r="E19" s="245" t="s">
        <v>974</v>
      </c>
      <c r="F19" s="50">
        <v>8.85</v>
      </c>
    </row>
    <row r="20" spans="3:6" ht="48">
      <c r="C20" s="2"/>
      <c r="D20" s="235" t="s">
        <v>958</v>
      </c>
      <c r="E20" s="246" t="s">
        <v>975</v>
      </c>
      <c r="F20" s="41">
        <v>10</v>
      </c>
    </row>
    <row r="21" spans="3:6" ht="15.75" customHeight="1">
      <c r="C21" s="2"/>
      <c r="D21" s="235" t="s">
        <v>958</v>
      </c>
      <c r="E21" s="246" t="s">
        <v>976</v>
      </c>
      <c r="F21" s="41">
        <v>10</v>
      </c>
    </row>
    <row r="22" spans="3:6" ht="15.75" customHeight="1">
      <c r="C22" s="2"/>
      <c r="D22" s="235" t="s">
        <v>959</v>
      </c>
      <c r="E22" s="247" t="s">
        <v>977</v>
      </c>
      <c r="F22" s="41">
        <v>9.6</v>
      </c>
    </row>
    <row r="23" spans="3:6" ht="15.75" customHeight="1">
      <c r="C23" s="2"/>
      <c r="D23" s="236" t="s">
        <v>1687</v>
      </c>
      <c r="E23" s="248" t="s">
        <v>978</v>
      </c>
      <c r="F23" s="132">
        <v>9.4</v>
      </c>
    </row>
    <row r="24" spans="3:6" ht="15.75" customHeight="1">
      <c r="C24" s="2"/>
      <c r="D24" s="236" t="s">
        <v>1687</v>
      </c>
      <c r="E24" s="248" t="s">
        <v>979</v>
      </c>
      <c r="F24" s="132">
        <v>9.4</v>
      </c>
    </row>
    <row r="25" spans="3:6" ht="15.75" customHeight="1">
      <c r="C25" s="2"/>
      <c r="D25" s="235" t="s">
        <v>961</v>
      </c>
      <c r="E25" s="249" t="s">
        <v>980</v>
      </c>
      <c r="F25" s="41">
        <v>10</v>
      </c>
    </row>
    <row r="26" spans="3:6" ht="15.75" customHeight="1">
      <c r="C26" s="2"/>
      <c r="D26" s="235" t="s">
        <v>962</v>
      </c>
      <c r="E26" s="249" t="s">
        <v>981</v>
      </c>
      <c r="F26" s="41">
        <v>10</v>
      </c>
    </row>
    <row r="27" spans="3:6" ht="15.75" customHeight="1">
      <c r="C27" s="2"/>
      <c r="D27" s="237" t="s">
        <v>962</v>
      </c>
      <c r="E27" s="250" t="s">
        <v>982</v>
      </c>
      <c r="F27" s="41">
        <v>10</v>
      </c>
    </row>
    <row r="28" spans="3:6" ht="15.75" customHeight="1">
      <c r="C28" s="2"/>
      <c r="D28" s="235" t="s">
        <v>963</v>
      </c>
      <c r="E28" s="251" t="s">
        <v>983</v>
      </c>
      <c r="F28" s="41">
        <v>10</v>
      </c>
    </row>
    <row r="29" spans="3:6" ht="15.75" customHeight="1">
      <c r="C29" s="2"/>
      <c r="D29" s="41" t="s">
        <v>965</v>
      </c>
      <c r="E29" s="251" t="s">
        <v>984</v>
      </c>
      <c r="F29" s="41">
        <v>10</v>
      </c>
    </row>
    <row r="30" spans="3:6" ht="15.75" customHeight="1">
      <c r="C30" s="2"/>
      <c r="D30" s="235" t="s">
        <v>965</v>
      </c>
      <c r="E30" s="251" t="s">
        <v>610</v>
      </c>
      <c r="F30" s="50">
        <v>9</v>
      </c>
    </row>
    <row r="31" spans="3:6" ht="15.75" customHeight="1">
      <c r="C31" s="2"/>
      <c r="D31" s="237"/>
    </row>
    <row r="32" spans="3:6" ht="15.75" customHeight="1">
      <c r="C32" s="2"/>
    </row>
    <row r="33" spans="3:3" ht="15.75" customHeight="1">
      <c r="C33" s="2"/>
    </row>
    <row r="34" spans="3:3" ht="15.75" customHeight="1">
      <c r="C34" s="2"/>
    </row>
    <row r="35" spans="3:3" ht="15.75" customHeight="1"/>
    <row r="36" spans="3:3" ht="15.75" customHeight="1"/>
    <row r="37" spans="3:3" ht="15.75" customHeight="1"/>
    <row r="38" spans="3:3" ht="15.75" customHeight="1"/>
    <row r="39" spans="3:3" ht="15.75" customHeight="1"/>
    <row r="40" spans="3:3" ht="15.75" customHeight="1"/>
    <row r="41" spans="3:3" ht="15.75" customHeight="1"/>
    <row r="42" spans="3:3" ht="15.75" customHeight="1"/>
    <row r="43" spans="3:3" ht="15.75" customHeight="1"/>
    <row r="44" spans="3:3" ht="15.75" customHeight="1"/>
    <row r="45" spans="3:3" ht="15.75" customHeight="1"/>
    <row r="46" spans="3:3" ht="15.75" customHeight="1"/>
    <row r="47" spans="3:3" ht="15.75" customHeight="1"/>
    <row r="48" spans="3:3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F08B9-4E86-469C-B8FD-85A6A16128C1}">
  <sheetPr codeName="Hoja17"/>
  <dimension ref="A1"/>
  <sheetViews>
    <sheetView topLeftCell="A43" workbookViewId="0"/>
  </sheetViews>
  <sheetFormatPr baseColWidth="10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0735A5-8BDD-4BAC-B571-E9FD30BE82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4</vt:i4>
      </vt:variant>
    </vt:vector>
  </HeadingPairs>
  <TitlesOfParts>
    <vt:vector size="21" baseType="lpstr">
      <vt:lpstr>Criterios</vt:lpstr>
      <vt:lpstr>Tabla3</vt:lpstr>
      <vt:lpstr>Plantillas</vt:lpstr>
      <vt:lpstr>LD</vt:lpstr>
      <vt:lpstr>MD</vt:lpstr>
      <vt:lpstr>DD</vt:lpstr>
      <vt:lpstr> JT LD </vt:lpstr>
      <vt:lpstr>PREVIO Boletas </vt:lpstr>
      <vt:lpstr>Boleta LD</vt:lpstr>
      <vt:lpstr>Boleta MD Y DD</vt:lpstr>
      <vt:lpstr>Boleta MD Y DD Guatemala</vt:lpstr>
      <vt:lpstr>PREV KARDEX</vt:lpstr>
      <vt:lpstr>KARDEX POSGRADOS</vt:lpstr>
      <vt:lpstr>KARDE LD</vt:lpstr>
      <vt:lpstr>PRUEBA JT</vt:lpstr>
      <vt:lpstr>PRED</vt:lpstr>
      <vt:lpstr>Hoja2</vt:lpstr>
      <vt:lpstr>'Boleta LD'!Área_de_impresión</vt:lpstr>
      <vt:lpstr>'Boleta MD Y DD'!Área_de_impresión</vt:lpstr>
      <vt:lpstr>'Boleta MD Y DD Guatemala'!Área_de_impresión</vt:lpstr>
      <vt:lpstr>'KARDEX POSGRADOS'!Área_de_impresión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IUAF</dc:creator>
  <cp:lastModifiedBy>Auxiliar Académico</cp:lastModifiedBy>
  <cp:lastPrinted>2025-11-01T19:23:42Z</cp:lastPrinted>
  <dcterms:created xsi:type="dcterms:W3CDTF">2020-12-30T19:33:52Z</dcterms:created>
  <dcterms:modified xsi:type="dcterms:W3CDTF">2025-11-08T20:41:52Z</dcterms:modified>
</cp:coreProperties>
</file>