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Notebook/Library/Mobile Documents/3L68KQB4HG~com~readdle~CommonDocuments/Documents/Fi/Wohnungskauf Steuerberater/Excel_2_DE/2024.10.01 GitHub/"/>
    </mc:Choice>
  </mc:AlternateContent>
  <xr:revisionPtr revIDLastSave="0" documentId="13_ncr:1_{E3BBE327-338D-2344-ABFB-F3BAAB8B6C0C}" xr6:coauthVersionLast="47" xr6:coauthVersionMax="47" xr10:uidLastSave="{00000000-0000-0000-0000-000000000000}"/>
  <bookViews>
    <workbookView xWindow="0" yWindow="680" windowWidth="29920" windowHeight="17800" xr2:uid="{06CBA46F-CD0E-E449-B092-F1D9465DA970}"/>
  </bookViews>
  <sheets>
    <sheet name="Cash flow"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0" i="2" l="1"/>
  <c r="R30" i="2" s="1"/>
  <c r="S30" i="2" s="1"/>
  <c r="T30" i="2" s="1"/>
  <c r="U30" i="2" s="1"/>
  <c r="V30" i="2" s="1"/>
  <c r="W30" i="2" s="1"/>
  <c r="X30" i="2" s="1"/>
  <c r="Y30" i="2" s="1"/>
  <c r="Z30" i="2" s="1"/>
  <c r="AA30" i="2" s="1"/>
  <c r="AB30" i="2" s="1"/>
  <c r="AC30" i="2" s="1"/>
  <c r="AD30" i="2" s="1"/>
  <c r="AE30" i="2" s="1"/>
  <c r="AF30" i="2" s="1"/>
  <c r="AG30" i="2" s="1"/>
  <c r="AH30" i="2" s="1"/>
  <c r="AI30" i="2" s="1"/>
  <c r="AJ30" i="2" s="1"/>
  <c r="AK30" i="2" s="1"/>
  <c r="AL30" i="2" s="1"/>
  <c r="AM30" i="2" s="1"/>
  <c r="AN30" i="2" s="1"/>
  <c r="AO30" i="2" s="1"/>
  <c r="AP30" i="2" s="1"/>
  <c r="AQ30" i="2" s="1"/>
  <c r="AR30" i="2" s="1"/>
  <c r="AS30" i="2" s="1"/>
  <c r="AT30" i="2" s="1"/>
  <c r="AU30" i="2" s="1"/>
  <c r="AV30" i="2" s="1"/>
  <c r="AW30" i="2" s="1"/>
  <c r="AX30" i="2" s="1"/>
  <c r="AY30" i="2" s="1"/>
  <c r="AZ30" i="2" s="1"/>
  <c r="BA30" i="2" s="1"/>
  <c r="BB30" i="2" s="1"/>
  <c r="BC30" i="2" s="1"/>
  <c r="BD30" i="2" s="1"/>
  <c r="BE30" i="2" s="1"/>
  <c r="BF30" i="2" s="1"/>
  <c r="BG30" i="2" s="1"/>
  <c r="BH30" i="2" s="1"/>
  <c r="BI30" i="2" s="1"/>
  <c r="BJ30" i="2" s="1"/>
  <c r="BK30" i="2" s="1"/>
  <c r="BL30" i="2" s="1"/>
  <c r="BM30" i="2" s="1"/>
  <c r="BN30" i="2" s="1"/>
  <c r="C24" i="2"/>
  <c r="F4" i="2" s="1"/>
  <c r="F6" i="2" s="1"/>
  <c r="F7" i="2" s="1"/>
  <c r="F20" i="2"/>
  <c r="N19" i="2"/>
  <c r="F19" i="2"/>
  <c r="Q31" i="2" s="1"/>
  <c r="R31" i="2" s="1"/>
  <c r="S31" i="2" s="1"/>
  <c r="T31" i="2" s="1"/>
  <c r="U31" i="2" s="1"/>
  <c r="V31" i="2" s="1"/>
  <c r="W31" i="2" s="1"/>
  <c r="X31" i="2" s="1"/>
  <c r="Y31" i="2" s="1"/>
  <c r="Z31" i="2" s="1"/>
  <c r="AA31" i="2" s="1"/>
  <c r="AB31" i="2" s="1"/>
  <c r="AC31" i="2" s="1"/>
  <c r="AD31" i="2" s="1"/>
  <c r="AE31" i="2" s="1"/>
  <c r="AF31" i="2" s="1"/>
  <c r="AG31" i="2" s="1"/>
  <c r="AH31" i="2" s="1"/>
  <c r="AI31" i="2" s="1"/>
  <c r="AJ31" i="2" s="1"/>
  <c r="AK31" i="2" s="1"/>
  <c r="AL31" i="2" s="1"/>
  <c r="AM31" i="2" s="1"/>
  <c r="AN31" i="2" s="1"/>
  <c r="AO31" i="2" s="1"/>
  <c r="AP31" i="2" s="1"/>
  <c r="AQ31" i="2" s="1"/>
  <c r="AR31" i="2" s="1"/>
  <c r="AS31" i="2" s="1"/>
  <c r="AT31" i="2" s="1"/>
  <c r="AU31" i="2" s="1"/>
  <c r="AV31" i="2" s="1"/>
  <c r="AW31" i="2" s="1"/>
  <c r="AX31" i="2" s="1"/>
  <c r="AY31" i="2" s="1"/>
  <c r="AZ31" i="2" s="1"/>
  <c r="BA31" i="2" s="1"/>
  <c r="BB31" i="2" s="1"/>
  <c r="BC31" i="2" s="1"/>
  <c r="BD31" i="2" s="1"/>
  <c r="BE31" i="2" s="1"/>
  <c r="BF31" i="2" s="1"/>
  <c r="BG31" i="2" s="1"/>
  <c r="BH31" i="2" s="1"/>
  <c r="BI31" i="2" s="1"/>
  <c r="BJ31" i="2" s="1"/>
  <c r="BK31" i="2" s="1"/>
  <c r="BL31" i="2" s="1"/>
  <c r="BM31" i="2" s="1"/>
  <c r="BN31" i="2" s="1"/>
  <c r="F18" i="2"/>
  <c r="M17" i="2"/>
  <c r="F13" i="2"/>
  <c r="F14" i="2" s="1"/>
  <c r="F25" i="2" s="1"/>
  <c r="I10" i="2"/>
  <c r="I9" i="2"/>
  <c r="C9" i="2"/>
  <c r="I8" i="2"/>
  <c r="F8" i="2"/>
  <c r="F28" i="2" l="1"/>
  <c r="K19" i="2" s="1"/>
  <c r="F27" i="2"/>
  <c r="J19" i="2" s="1"/>
  <c r="I3" i="2"/>
  <c r="Q29" i="2"/>
  <c r="Q37" i="2"/>
  <c r="F29" i="2"/>
  <c r="I18" i="2"/>
  <c r="F22" i="2"/>
  <c r="F26" i="2" s="1"/>
  <c r="L19" i="2" s="1"/>
  <c r="Q36" i="2"/>
  <c r="Q38" i="2" s="1"/>
  <c r="Q39" i="2" s="1"/>
  <c r="I5" i="2"/>
  <c r="R37" i="2" l="1"/>
  <c r="R36" i="2"/>
  <c r="R38" i="2" s="1"/>
  <c r="R39" i="2" s="1"/>
  <c r="I4" i="2"/>
  <c r="R29" i="2"/>
  <c r="Q32" i="2"/>
  <c r="S36" i="2"/>
  <c r="F33" i="2"/>
  <c r="F34" i="2"/>
  <c r="F30" i="2" s="1"/>
  <c r="M19" i="2" s="1"/>
  <c r="F35" i="2" l="1"/>
  <c r="Q42" i="2"/>
  <c r="Q41" i="2"/>
  <c r="Q33" i="2"/>
  <c r="S29" i="2"/>
  <c r="R32" i="2"/>
  <c r="F36" i="2"/>
  <c r="I6" i="2" s="1"/>
  <c r="I7" i="2"/>
  <c r="S37" i="2"/>
  <c r="R33" i="2" l="1"/>
  <c r="R42" i="2"/>
  <c r="R41" i="2"/>
  <c r="S38" i="2"/>
  <c r="S39" i="2" s="1"/>
  <c r="T36" i="2"/>
  <c r="T37" i="2"/>
  <c r="S32" i="2"/>
  <c r="T29" i="2"/>
  <c r="T38" i="2" l="1"/>
  <c r="T39" i="2" s="1"/>
  <c r="T32" i="2"/>
  <c r="U29" i="2"/>
  <c r="S33" i="2"/>
  <c r="S42" i="2"/>
  <c r="S41" i="2"/>
  <c r="U37" i="2"/>
  <c r="U36" i="2"/>
  <c r="U38" i="2" s="1"/>
  <c r="U39" i="2" s="1"/>
  <c r="V37" i="2" l="1"/>
  <c r="W36" i="2"/>
  <c r="V36" i="2"/>
  <c r="V38" i="2" s="1"/>
  <c r="V39" i="2" s="1"/>
  <c r="V29" i="2"/>
  <c r="U32" i="2"/>
  <c r="T33" i="2"/>
  <c r="T41" i="2"/>
  <c r="T42" i="2"/>
  <c r="U33" i="2" l="1"/>
  <c r="U41" i="2"/>
  <c r="U42" i="2"/>
  <c r="V32" i="2"/>
  <c r="W29" i="2"/>
  <c r="W37" i="2"/>
  <c r="X37" i="2" l="1"/>
  <c r="Y36" i="2"/>
  <c r="X36" i="2"/>
  <c r="X38" i="2" s="1"/>
  <c r="X39" i="2" s="1"/>
  <c r="X29" i="2"/>
  <c r="W32" i="2"/>
  <c r="V41" i="2"/>
  <c r="V42" i="2"/>
  <c r="V33" i="2"/>
  <c r="W38" i="2"/>
  <c r="W39" i="2" s="1"/>
  <c r="W41" i="2" l="1"/>
  <c r="W42" i="2"/>
  <c r="W33" i="2"/>
  <c r="X32" i="2"/>
  <c r="Y29" i="2"/>
  <c r="Y37" i="2"/>
  <c r="Y32" i="2" l="1"/>
  <c r="Z29" i="2"/>
  <c r="X42" i="2"/>
  <c r="X41" i="2"/>
  <c r="X33" i="2"/>
  <c r="Z37" i="2"/>
  <c r="Z36" i="2"/>
  <c r="Z38" i="2" s="1"/>
  <c r="Z39" i="2" s="1"/>
  <c r="Y38" i="2"/>
  <c r="Y39" i="2" s="1"/>
  <c r="AA37" i="2" l="1"/>
  <c r="AA36" i="2"/>
  <c r="AA38" i="2" s="1"/>
  <c r="AA39" i="2" s="1"/>
  <c r="Z32" i="2"/>
  <c r="AA29" i="2"/>
  <c r="Y42" i="2"/>
  <c r="Y41" i="2"/>
  <c r="Y33" i="2"/>
  <c r="Z42" i="2" l="1"/>
  <c r="Z41" i="2"/>
  <c r="Z33" i="2"/>
  <c r="AA32" i="2"/>
  <c r="AB29" i="2"/>
  <c r="AB37" i="2"/>
  <c r="AB36" i="2"/>
  <c r="AB38" i="2" s="1"/>
  <c r="AB39" i="2" s="1"/>
  <c r="AC37" i="2" l="1"/>
  <c r="AC36" i="2"/>
  <c r="AC38" i="2" s="1"/>
  <c r="AC39" i="2" s="1"/>
  <c r="AC29" i="2"/>
  <c r="AB32" i="2"/>
  <c r="AA42" i="2"/>
  <c r="AA41" i="2"/>
  <c r="AA33" i="2"/>
  <c r="AC32" i="2" l="1"/>
  <c r="AD29" i="2"/>
  <c r="AB33" i="2"/>
  <c r="AB42" i="2"/>
  <c r="AB41" i="2"/>
  <c r="AD37" i="2"/>
  <c r="AD36" i="2"/>
  <c r="AD38" i="2" s="1"/>
  <c r="AD39" i="2" s="1"/>
  <c r="AE37" i="2" l="1"/>
  <c r="AE36" i="2"/>
  <c r="AE38" i="2" s="1"/>
  <c r="AE39" i="2" s="1"/>
  <c r="AD32" i="2"/>
  <c r="AE29" i="2"/>
  <c r="AC33" i="2"/>
  <c r="AC41" i="2"/>
  <c r="AC42" i="2"/>
  <c r="AF29" i="2" l="1"/>
  <c r="AE32" i="2"/>
  <c r="AD33" i="2"/>
  <c r="AD42" i="2"/>
  <c r="AD41" i="2"/>
  <c r="AF37" i="2"/>
  <c r="AF36" i="2"/>
  <c r="AF38" i="2" s="1"/>
  <c r="AF39" i="2" s="1"/>
  <c r="AG37" i="2" l="1"/>
  <c r="AG36" i="2"/>
  <c r="AG38" i="2" s="1"/>
  <c r="AG39" i="2" s="1"/>
  <c r="AE33" i="2"/>
  <c r="AE42" i="2"/>
  <c r="AE41" i="2"/>
  <c r="AF32" i="2"/>
  <c r="AG29" i="2"/>
  <c r="AH29" i="2" l="1"/>
  <c r="AG32" i="2"/>
  <c r="AF33" i="2"/>
  <c r="AF42" i="2"/>
  <c r="AF41" i="2"/>
  <c r="AH37" i="2"/>
  <c r="AH36" i="2"/>
  <c r="AH38" i="2" s="1"/>
  <c r="AH39" i="2" s="1"/>
  <c r="AI37" i="2" l="1"/>
  <c r="AI36" i="2"/>
  <c r="AI38" i="2" s="1"/>
  <c r="AI39" i="2" s="1"/>
  <c r="AG42" i="2"/>
  <c r="AG33" i="2"/>
  <c r="AG41" i="2"/>
  <c r="AI29" i="2"/>
  <c r="AH32" i="2"/>
  <c r="AJ29" i="2" l="1"/>
  <c r="AI32" i="2"/>
  <c r="AH42" i="2"/>
  <c r="AH41" i="2"/>
  <c r="AH33" i="2"/>
  <c r="AJ37" i="2"/>
  <c r="AJ36" i="2"/>
  <c r="AJ38" i="2" s="1"/>
  <c r="AJ39" i="2" s="1"/>
  <c r="AK37" i="2" l="1"/>
  <c r="AK36" i="2"/>
  <c r="AK38" i="2" s="1"/>
  <c r="AK39" i="2" s="1"/>
  <c r="AI42" i="2"/>
  <c r="AI41" i="2"/>
  <c r="AI33" i="2"/>
  <c r="AJ32" i="2"/>
  <c r="AK29" i="2"/>
  <c r="AJ42" i="2" l="1"/>
  <c r="AJ41" i="2"/>
  <c r="AJ33" i="2"/>
  <c r="AK32" i="2"/>
  <c r="AL29" i="2"/>
  <c r="AL37" i="2"/>
  <c r="AL36" i="2"/>
  <c r="AL38" i="2" s="1"/>
  <c r="AL39" i="2" s="1"/>
  <c r="AM37" i="2" l="1"/>
  <c r="AM36" i="2"/>
  <c r="AM38" i="2" s="1"/>
  <c r="AM39" i="2" s="1"/>
  <c r="AL32" i="2"/>
  <c r="AM29" i="2"/>
  <c r="AK42" i="2"/>
  <c r="AK41" i="2"/>
  <c r="AK33" i="2"/>
  <c r="AM32" i="2" l="1"/>
  <c r="AN29" i="2"/>
  <c r="AL33" i="2"/>
  <c r="AL42" i="2"/>
  <c r="AL41" i="2"/>
  <c r="AN37" i="2"/>
  <c r="AN36" i="2"/>
  <c r="AN38" i="2" s="1"/>
  <c r="AN39" i="2" s="1"/>
  <c r="AO37" i="2" l="1"/>
  <c r="AO36" i="2"/>
  <c r="AO38" i="2" s="1"/>
  <c r="AO39" i="2" s="1"/>
  <c r="AN32" i="2"/>
  <c r="AO29" i="2"/>
  <c r="AM33" i="2"/>
  <c r="AM42" i="2"/>
  <c r="AM41" i="2"/>
  <c r="AO32" i="2" l="1"/>
  <c r="AP29" i="2"/>
  <c r="AN41" i="2"/>
  <c r="AN42" i="2"/>
  <c r="AN33" i="2"/>
  <c r="AP37" i="2"/>
  <c r="AP36" i="2"/>
  <c r="AP38" i="2" s="1"/>
  <c r="AP39" i="2" s="1"/>
  <c r="AQ37" i="2" l="1"/>
  <c r="AQ36" i="2"/>
  <c r="AQ38" i="2" s="1"/>
  <c r="AQ39" i="2" s="1"/>
  <c r="AP32" i="2"/>
  <c r="AQ29" i="2"/>
  <c r="AO33" i="2"/>
  <c r="AO41" i="2"/>
  <c r="AO42" i="2"/>
  <c r="AQ32" i="2" l="1"/>
  <c r="AR29" i="2"/>
  <c r="AP41" i="2"/>
  <c r="AP33" i="2"/>
  <c r="AP42" i="2"/>
  <c r="AR37" i="2"/>
  <c r="AR36" i="2"/>
  <c r="AR38" i="2" s="1"/>
  <c r="AR39" i="2" s="1"/>
  <c r="AS37" i="2" l="1"/>
  <c r="AS36" i="2"/>
  <c r="AS38" i="2" s="1"/>
  <c r="AS39" i="2" s="1"/>
  <c r="AR32" i="2"/>
  <c r="AS29" i="2"/>
  <c r="AQ33" i="2"/>
  <c r="AQ41" i="2"/>
  <c r="AQ42" i="2"/>
  <c r="AT29" i="2" l="1"/>
  <c r="AS32" i="2"/>
  <c r="AR42" i="2"/>
  <c r="AR41" i="2"/>
  <c r="AR33" i="2"/>
  <c r="AT37" i="2"/>
  <c r="AT36" i="2"/>
  <c r="AT38" i="2" s="1"/>
  <c r="AT39" i="2" s="1"/>
  <c r="AU37" i="2" l="1"/>
  <c r="AU36" i="2"/>
  <c r="AU38" i="2" s="1"/>
  <c r="AU39" i="2" s="1"/>
  <c r="AS42" i="2"/>
  <c r="AS41" i="2"/>
  <c r="AS33" i="2"/>
  <c r="AU29" i="2"/>
  <c r="AT32" i="2"/>
  <c r="AT42" i="2" l="1"/>
  <c r="AT41" i="2"/>
  <c r="AT33" i="2"/>
  <c r="AV29" i="2"/>
  <c r="AU32" i="2"/>
  <c r="AV37" i="2"/>
  <c r="AV36" i="2"/>
  <c r="AV38" i="2" s="1"/>
  <c r="AV39" i="2" s="1"/>
  <c r="AW37" i="2" l="1"/>
  <c r="AW36" i="2"/>
  <c r="AW38" i="2" s="1"/>
  <c r="AW39" i="2" s="1"/>
  <c r="AU42" i="2"/>
  <c r="AU41" i="2"/>
  <c r="AU33" i="2"/>
  <c r="AW29" i="2"/>
  <c r="AV32" i="2"/>
  <c r="AW32" i="2" l="1"/>
  <c r="AX29" i="2"/>
  <c r="AV33" i="2"/>
  <c r="AV42" i="2"/>
  <c r="AV41" i="2"/>
  <c r="AX37" i="2"/>
  <c r="AX36" i="2"/>
  <c r="AX38" i="2" s="1"/>
  <c r="AX39" i="2" s="1"/>
  <c r="AY37" i="2" l="1"/>
  <c r="AY36" i="2"/>
  <c r="AY38" i="2" s="1"/>
  <c r="AY39" i="2" s="1"/>
  <c r="AX32" i="2"/>
  <c r="AY29" i="2"/>
  <c r="AW33" i="2"/>
  <c r="AW41" i="2"/>
  <c r="AW42" i="2"/>
  <c r="AZ29" i="2" l="1"/>
  <c r="AY32" i="2"/>
  <c r="AX42" i="2"/>
  <c r="AX41" i="2"/>
  <c r="AX33" i="2"/>
  <c r="AZ37" i="2"/>
  <c r="AZ36" i="2"/>
  <c r="AZ38" i="2" s="1"/>
  <c r="AZ39" i="2" s="1"/>
  <c r="BA37" i="2" l="1"/>
  <c r="BA36" i="2"/>
  <c r="BA38" i="2" s="1"/>
  <c r="BA39" i="2" s="1"/>
  <c r="AY33" i="2"/>
  <c r="AY42" i="2"/>
  <c r="AY41" i="2"/>
  <c r="AZ32" i="2"/>
  <c r="BA29" i="2"/>
  <c r="AZ42" i="2" l="1"/>
  <c r="AZ41" i="2"/>
  <c r="AZ33" i="2"/>
  <c r="BA32" i="2"/>
  <c r="BB29" i="2"/>
  <c r="BB37" i="2"/>
  <c r="BB36" i="2"/>
  <c r="BB38" i="2" s="1"/>
  <c r="BB39" i="2" s="1"/>
  <c r="BC37" i="2" l="1"/>
  <c r="BC36" i="2"/>
  <c r="BC38" i="2" s="1"/>
  <c r="BC39" i="2" s="1"/>
  <c r="BB32" i="2"/>
  <c r="BC29" i="2"/>
  <c r="BA42" i="2"/>
  <c r="BA41" i="2"/>
  <c r="BA33" i="2"/>
  <c r="BC32" i="2" l="1"/>
  <c r="BD29" i="2"/>
  <c r="BB42" i="2"/>
  <c r="BB41" i="2"/>
  <c r="BB33" i="2"/>
  <c r="BD37" i="2"/>
  <c r="BD36" i="2"/>
  <c r="BD38" i="2" s="1"/>
  <c r="BD39" i="2" s="1"/>
  <c r="BE37" i="2" l="1"/>
  <c r="BE36" i="2"/>
  <c r="BE38" i="2" s="1"/>
  <c r="BE39" i="2" s="1"/>
  <c r="BD32" i="2"/>
  <c r="BE29" i="2"/>
  <c r="BC42" i="2"/>
  <c r="BC41" i="2"/>
  <c r="BC33" i="2"/>
  <c r="BE32" i="2" l="1"/>
  <c r="BF29" i="2"/>
  <c r="BD42" i="2"/>
  <c r="BD41" i="2"/>
  <c r="BD33" i="2"/>
  <c r="BF37" i="2"/>
  <c r="BF36" i="2"/>
  <c r="BF38" i="2" s="1"/>
  <c r="BF39" i="2" s="1"/>
  <c r="BG37" i="2" l="1"/>
  <c r="BG36" i="2"/>
  <c r="BG38" i="2" s="1"/>
  <c r="BG39" i="2" s="1"/>
  <c r="BG29" i="2"/>
  <c r="BF32" i="2"/>
  <c r="BE42" i="2"/>
  <c r="BE41" i="2"/>
  <c r="BE33" i="2"/>
  <c r="BF33" i="2" l="1"/>
  <c r="BF42" i="2"/>
  <c r="BF41" i="2"/>
  <c r="BG32" i="2"/>
  <c r="BH29" i="2"/>
  <c r="BH37" i="2"/>
  <c r="BH36" i="2"/>
  <c r="BH38" i="2" s="1"/>
  <c r="BH39" i="2" s="1"/>
  <c r="BI37" i="2" l="1"/>
  <c r="BI36" i="2"/>
  <c r="BI38" i="2" s="1"/>
  <c r="BI39" i="2" s="1"/>
  <c r="BH32" i="2"/>
  <c r="BI29" i="2"/>
  <c r="BG33" i="2"/>
  <c r="BG42" i="2"/>
  <c r="BG41" i="2"/>
  <c r="BH42" i="2" l="1"/>
  <c r="BH33" i="2"/>
  <c r="BH41" i="2"/>
  <c r="BJ29" i="2"/>
  <c r="BI32" i="2"/>
  <c r="BJ37" i="2"/>
  <c r="BJ36" i="2"/>
  <c r="BJ38" i="2" s="1"/>
  <c r="BJ39" i="2" s="1"/>
  <c r="BK37" i="2" l="1"/>
  <c r="BK36" i="2"/>
  <c r="BK38" i="2" s="1"/>
  <c r="BK39" i="2" s="1"/>
  <c r="BI42" i="2"/>
  <c r="BI33" i="2"/>
  <c r="BI41" i="2"/>
  <c r="BJ32" i="2"/>
  <c r="BK29" i="2"/>
  <c r="BJ42" i="2" l="1"/>
  <c r="BJ41" i="2"/>
  <c r="BJ33" i="2"/>
  <c r="BL29" i="2"/>
  <c r="BK32" i="2"/>
  <c r="BL37" i="2"/>
  <c r="BL36" i="2"/>
  <c r="BL38" i="2" s="1"/>
  <c r="BL39" i="2" s="1"/>
  <c r="BM37" i="2" l="1"/>
  <c r="BM36" i="2"/>
  <c r="BM38" i="2" s="1"/>
  <c r="BM39" i="2" s="1"/>
  <c r="BK42" i="2"/>
  <c r="BK33" i="2"/>
  <c r="BK41" i="2"/>
  <c r="BM29" i="2"/>
  <c r="BL32" i="2"/>
  <c r="BL41" i="2" l="1"/>
  <c r="BL42" i="2"/>
  <c r="BL33" i="2"/>
  <c r="BM32" i="2"/>
  <c r="BN29" i="2"/>
  <c r="BN32" i="2" s="1"/>
  <c r="BN37" i="2"/>
  <c r="BN36" i="2"/>
  <c r="BN38" i="2" s="1"/>
  <c r="BN39" i="2" s="1"/>
  <c r="BN42" i="2" l="1"/>
  <c r="BN41" i="2"/>
  <c r="BN33" i="2"/>
  <c r="BM42" i="2"/>
  <c r="BM41" i="2"/>
  <c r="BM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8359B441-7245-6E44-AB47-8F6F0A5BEC5C}">
      <text>
        <r>
          <rPr>
            <sz val="10"/>
            <color rgb="FF000000"/>
            <rFont val="Calibri"/>
            <family val="2"/>
          </rPr>
          <t xml:space="preserve">Author:
</t>
        </r>
        <r>
          <rPr>
            <sz val="10"/>
            <color rgb="FF000000"/>
            <rFont val="Calibri"/>
            <family val="2"/>
          </rPr>
          <t xml:space="preserve">Es ist gesetzlich erlaubt die Miete bis zu 10% über dem Mietspiegel anzusetzen. 
</t>
        </r>
        <r>
          <rPr>
            <sz val="10"/>
            <color rgb="FF000000"/>
            <rFont val="Calibri"/>
            <family val="2"/>
          </rPr>
          <t xml:space="preserve">Die 100% werden hinzu addiert, da das Feld später als Faktor verwendet wird.
</t>
        </r>
      </text>
    </comment>
    <comment ref="B13" authorId="0" shapeId="0" xr:uid="{429E0139-14F0-FE42-BA2D-17EBB0EC0C10}">
      <text>
        <r>
          <rPr>
            <sz val="10"/>
            <color rgb="FF000000"/>
            <rFont val="Calibri"/>
            <family val="2"/>
          </rPr>
          <t xml:space="preserve">Author:
</t>
        </r>
        <r>
          <rPr>
            <sz val="10"/>
            <color rgb="FF000000"/>
            <rFont val="Calibri"/>
            <family val="2"/>
          </rPr>
          <t xml:space="preserve">1-3% von Banken verlangt, um so geringer um so besser, um die bersönliche Einkommenssteuer aus dem Beruf zu reduzieren. Mittelwert von 2% empfohlen, aber wenn Bank mit geringerer Tilgung einverstanden ist, dann annehmen.
</t>
        </r>
      </text>
    </comment>
    <comment ref="B14" authorId="0" shapeId="0" xr:uid="{907CECA8-7D45-144E-B02C-7DB61C1CDBEA}">
      <text>
        <r>
          <rPr>
            <sz val="10"/>
            <color rgb="FF000000"/>
            <rFont val="Calibri"/>
            <family val="2"/>
          </rPr>
          <t xml:space="preserve">Author:
</t>
        </r>
        <r>
          <rPr>
            <sz val="10"/>
            <color rgb="FF000000"/>
            <rFont val="Calibri"/>
            <family val="2"/>
          </rPr>
          <t xml:space="preserve">Immobileien nach 31.12.1924 2%. 
</t>
        </r>
        <r>
          <rPr>
            <sz val="10"/>
            <color rgb="FF000000"/>
            <rFont val="Calibri"/>
            <family val="2"/>
          </rPr>
          <t xml:space="preserve">Vor 01.01.1925 fertig gestellt 2.5%
</t>
        </r>
      </text>
    </comment>
    <comment ref="E18" authorId="0" shapeId="0" xr:uid="{1D4582D0-8A26-7C45-AA68-A0CD6B04A306}">
      <text>
        <r>
          <rPr>
            <sz val="10"/>
            <color rgb="FF000000"/>
            <rFont val="Calibri"/>
            <family val="2"/>
          </rPr>
          <t xml:space="preserve">Author:
</t>
        </r>
        <r>
          <rPr>
            <sz val="10"/>
            <color rgb="FF000000"/>
            <rFont val="Calibri"/>
            <family val="2"/>
          </rPr>
          <t>115 qm große Wohnung, Baujahr 1980:</t>
        </r>
        <r>
          <rPr>
            <sz val="10"/>
            <color rgb="FF000000"/>
            <rFont val="Tahoma"/>
            <family val="2"/>
          </rPr>
          <t xml:space="preserve">
</t>
        </r>
        <r>
          <rPr>
            <sz val="10"/>
            <color rgb="FF000000"/>
            <rFont val="Calibri"/>
            <family val="2"/>
          </rPr>
          <t xml:space="preserve">Private Instandhaltungsrücklagen:
</t>
        </r>
        <r>
          <rPr>
            <sz val="10"/>
            <color rgb="FF000000"/>
            <rFont val="Calibri"/>
            <family val="2"/>
          </rPr>
          <t xml:space="preserve">115 qm x 8,50 € = </t>
        </r>
        <r>
          <rPr>
            <b/>
            <sz val="10"/>
            <color rgb="FF000000"/>
            <rFont val="Calibri"/>
            <family val="2"/>
          </rPr>
          <t>977,50 € pro Jahr</t>
        </r>
      </text>
    </comment>
    <comment ref="E19" authorId="0" shapeId="0" xr:uid="{9F118E24-2E6C-E24D-B2B9-7BC4D7B461CD}">
      <text>
        <r>
          <rPr>
            <sz val="10"/>
            <color rgb="FF000000"/>
            <rFont val="Tahoma"/>
            <family val="2"/>
          </rPr>
          <t xml:space="preserve">Author:
</t>
        </r>
        <r>
          <rPr>
            <sz val="10"/>
            <color rgb="FF000000"/>
            <rFont val="Tahoma"/>
            <family val="2"/>
          </rPr>
          <t>(Hausgeld nicht umlegbar 115 qm x 1,00 € x 12 Monate) Richtwert</t>
        </r>
      </text>
    </comment>
    <comment ref="P28" authorId="0" shapeId="0" xr:uid="{00F8A907-17DA-774C-A6CF-6F067B360B19}">
      <text>
        <r>
          <rPr>
            <b/>
            <sz val="10"/>
            <color rgb="FF000000"/>
            <rFont val="Tahoma"/>
            <family val="2"/>
          </rPr>
          <t xml:space="preserve">Author:
</t>
        </r>
        <r>
          <rPr>
            <sz val="10"/>
            <color rgb="FF000000"/>
            <rFont val="Tahoma"/>
            <family val="2"/>
          </rPr>
          <t xml:space="preserve">Gibt die jährliche prozentuale Steigerung an. 
</t>
        </r>
        <r>
          <rPr>
            <sz val="10"/>
            <color rgb="FF000000"/>
            <rFont val="Tahoma"/>
            <family val="2"/>
          </rPr>
          <t>Die 100% werden addiert, weil es in der weiteren Berechnung als Faktor verwendet wird.</t>
        </r>
      </text>
    </comment>
  </commentList>
</comments>
</file>

<file path=xl/sharedStrings.xml><?xml version="1.0" encoding="utf-8"?>
<sst xmlns="http://schemas.openxmlformats.org/spreadsheetml/2006/main" count="90" uniqueCount="86">
  <si>
    <t>Technische Daten</t>
  </si>
  <si>
    <t>Kauf</t>
  </si>
  <si>
    <t>Kennzahlen</t>
  </si>
  <si>
    <t>Baujahr</t>
  </si>
  <si>
    <t>Kaufpreis</t>
  </si>
  <si>
    <t>Brutto-Rendite</t>
  </si>
  <si>
    <t>Strasse</t>
  </si>
  <si>
    <t>Hauptstraße</t>
  </si>
  <si>
    <t>Kaufnebenkosten</t>
  </si>
  <si>
    <t>Eigenkapital-Rendite</t>
  </si>
  <si>
    <t>Ort und PLZ</t>
  </si>
  <si>
    <t>München</t>
  </si>
  <si>
    <t>Sanierungskosten</t>
  </si>
  <si>
    <t>Kaltmiete*75% = welche Annuität?</t>
  </si>
  <si>
    <t>Wohnfläche in qm</t>
  </si>
  <si>
    <t>Kaufpreis + Kaufnebenkosten + Sanierung</t>
  </si>
  <si>
    <t>Überschuss/Kaufpreis/10</t>
  </si>
  <si>
    <t>Grundstück (Anteil am Boden - Grundhuch)</t>
  </si>
  <si>
    <t>Darlehen</t>
  </si>
  <si>
    <t>Netto-Rendite</t>
  </si>
  <si>
    <t>Bodenrichtwert (Google)</t>
  </si>
  <si>
    <t>Eigenkapital</t>
  </si>
  <si>
    <t>11% Modernisierungs-Umlage mtl.</t>
  </si>
  <si>
    <t>Bodenwert</t>
  </si>
  <si>
    <t>Quadratmeterpreis</t>
  </si>
  <si>
    <t>Miete</t>
  </si>
  <si>
    <t>Quadratmeterpreis inkl. Sanierung</t>
  </si>
  <si>
    <t>Parameter</t>
  </si>
  <si>
    <t>Mietspiegel pro Quadratmeter</t>
  </si>
  <si>
    <t xml:space="preserve">Zins in % </t>
  </si>
  <si>
    <t>Prozentsatz über Mietspiegel bis max. 10% + 100%</t>
  </si>
  <si>
    <t xml:space="preserve">Tilgung in % </t>
  </si>
  <si>
    <t>Tatsächliche Miete pro Quadratmeter</t>
  </si>
  <si>
    <t>Abschreibung in %</t>
  </si>
  <si>
    <t>Gesamt Mieteinnahmen pro Monat</t>
  </si>
  <si>
    <t>Persönlicher Steuersatz (Job) in %</t>
  </si>
  <si>
    <t>Leerstand</t>
  </si>
  <si>
    <t>Bewirtschaftung</t>
  </si>
  <si>
    <t>Tabelle für die Grafik</t>
  </si>
  <si>
    <t xml:space="preserve">Verwaltung </t>
  </si>
  <si>
    <t>Kaltmiete</t>
  </si>
  <si>
    <t>Zinsen</t>
  </si>
  <si>
    <t>Tilgung</t>
  </si>
  <si>
    <t>Private IHR</t>
  </si>
  <si>
    <t>IHR Instandhaltungsrücklage 8.5€/qm² (0.85% Kaufpreis pro Jahr)</t>
  </si>
  <si>
    <t>Einnahmen</t>
  </si>
  <si>
    <t>Notar</t>
  </si>
  <si>
    <t>Hausgeld nicht umlegbar</t>
  </si>
  <si>
    <t>Ausgaben</t>
  </si>
  <si>
    <t>Grundbuch</t>
  </si>
  <si>
    <t>Steuerberater</t>
  </si>
  <si>
    <t>Grunderwerbssteuer</t>
  </si>
  <si>
    <t>Sonstiges</t>
  </si>
  <si>
    <t>Makler</t>
  </si>
  <si>
    <t>Gesamt</t>
  </si>
  <si>
    <t>Einnahmen/Ausgaben Gegenüberstellung für das erste Jahr</t>
  </si>
  <si>
    <t>Gutachter</t>
  </si>
  <si>
    <t>Finanzzahlen</t>
  </si>
  <si>
    <t>Kaltmiete im ersten Jahr</t>
  </si>
  <si>
    <t>Bewirtschafttung im ersten Jahr</t>
  </si>
  <si>
    <t>Cash flow Plan für die Dauer der Rückzahlung</t>
  </si>
  <si>
    <t>Individuell anpassen</t>
  </si>
  <si>
    <t>Zinsen im ersten Jahr</t>
  </si>
  <si>
    <t>Der Kredit ist zurückgezahlt, ab dem ersten der Spalte in der Zeile der jährlichen Zinszahlungen, in der zum ersten Mal kein Wert mehr steht. AB DA TABELLE NICHT WEITER VERWENDEN</t>
  </si>
  <si>
    <t>Tilgung im ersten Jahr</t>
  </si>
  <si>
    <t>Jahr</t>
  </si>
  <si>
    <t>Dynamik + 100%</t>
  </si>
  <si>
    <t>Abschreibung jedes Jahr</t>
  </si>
  <si>
    <t>Bruttojahreskaltmiete - Leerstand, Dynamik</t>
  </si>
  <si>
    <t>Steuern im ersten Jahr, vor den weiteren Ausgaben aus der langen Tabelle</t>
  </si>
  <si>
    <t>Instandhaltungsrücklage IHR</t>
  </si>
  <si>
    <t>Sosntige nicht umlagefähige Kosten, Dynamik</t>
  </si>
  <si>
    <t>Kalkulationen</t>
  </si>
  <si>
    <t>Net Operating Income (NOI)</t>
  </si>
  <si>
    <t>Ergebnis nach Bewirtschaftung</t>
  </si>
  <si>
    <t>Monatliche Einnahmen, nach Abzug der IHR und der sonstigen nicht umlagefähigen Kosten</t>
  </si>
  <si>
    <t>Hilfsberechnung für Steuern</t>
  </si>
  <si>
    <t>Ergebnis nach Steuern</t>
  </si>
  <si>
    <t>Der Kredit ist zurückgezahlt, ab dem ersten der Spalte 36 in der Zeile der jährlichen Zinszahlungen, in der zum ersten Mal kein Wert mehr steht. AB DA TABELLE NICHT WEITER VERWENDEN</t>
  </si>
  <si>
    <t>Ergebnis nach Steuern und Rücklagen monatlich, soll &gt; 0.001 Kaufpreis</t>
  </si>
  <si>
    <t>Jährliche Zinszahlungen</t>
  </si>
  <si>
    <r>
      <t xml:space="preserve">Jährliche Tilgungszahlungen, so einstellen, dass bis zum Ende immer !&gt;1, </t>
    </r>
    <r>
      <rPr>
        <b/>
        <sz val="10"/>
        <color theme="1"/>
        <rFont val="Aptos Narrow"/>
        <family val="2"/>
        <scheme val="minor"/>
      </rPr>
      <t xml:space="preserve">Dynamik </t>
    </r>
  </si>
  <si>
    <t>Total Debt Service (TDS)</t>
  </si>
  <si>
    <t>Monatliche Rate an die Bank</t>
  </si>
  <si>
    <t>Debt Service Coverage Ratio (DSCR) = NOI/TDS !&gt;1.0</t>
  </si>
  <si>
    <t>Gewinn/Verlust pro Jahr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</si>
</sst>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407]_-;\-* #,##0\ [$€-407]_-;_-* &quot;-&quot;??\ [$€-407]_-;_-@_-"/>
    <numFmt numFmtId="165" formatCode="0.0%"/>
    <numFmt numFmtId="166" formatCode="_ * #,##0.00_ ;_ * \-#,##0.00_ ;_ * &quot;-&quot;??_ ;_ @_ "/>
    <numFmt numFmtId="167" formatCode="_ * #,##0_ ;_ * \-#,##0_ ;_ * &quot;-&quot;??_ ;_ @_ "/>
    <numFmt numFmtId="168" formatCode="_ &quot;Fr.&quot;\ * #,##0.00_ ;_ &quot;Fr.&quot;\ * \-#,##0.00_ ;_ &quot;Fr.&quot;\ * &quot;-&quot;??_ ;_ @_ "/>
    <numFmt numFmtId="169" formatCode="_-* #,##0.00\ [$€-407]_-;\-* #,##0.00\ [$€-407]_-;_-* &quot;-&quot;??\ [$€-407]_-;_-@_-"/>
    <numFmt numFmtId="170" formatCode="_ [$€-2]\ * #,##0.00_ ;_ [$€-2]\ * \-#,##0.00_ ;_ [$€-2]\ * &quot;-&quot;??_ ;_ @_ "/>
  </numFmts>
  <fonts count="14" x14ac:knownFonts="1">
    <font>
      <sz val="12"/>
      <color theme="1"/>
      <name val="Aptos Narrow"/>
      <family val="2"/>
      <scheme val="minor"/>
    </font>
    <font>
      <sz val="12"/>
      <color theme="1"/>
      <name val="Aptos Narrow"/>
      <family val="2"/>
      <scheme val="minor"/>
    </font>
    <font>
      <sz val="11"/>
      <color theme="1"/>
      <name val="Aptos Narrow"/>
      <family val="2"/>
      <scheme val="minor"/>
    </font>
    <font>
      <sz val="10"/>
      <color theme="1"/>
      <name val="Aptos Narrow"/>
      <family val="2"/>
      <scheme val="minor"/>
    </font>
    <font>
      <b/>
      <sz val="10"/>
      <color theme="1"/>
      <name val="Aptos Narrow"/>
      <family val="2"/>
      <scheme val="minor"/>
    </font>
    <font>
      <sz val="10"/>
      <color theme="1"/>
      <name val="Arial Unicode MS"/>
      <family val="2"/>
    </font>
    <font>
      <u/>
      <sz val="11"/>
      <color theme="10"/>
      <name val="Aptos Narrow"/>
      <family val="2"/>
      <scheme val="minor"/>
    </font>
    <font>
      <b/>
      <sz val="14"/>
      <color theme="1"/>
      <name val="Calibri (Body)"/>
    </font>
    <font>
      <b/>
      <u/>
      <sz val="10"/>
      <color theme="1"/>
      <name val="Aptos Narrow"/>
      <family val="2"/>
      <scheme val="minor"/>
    </font>
    <font>
      <b/>
      <sz val="11"/>
      <color theme="1"/>
      <name val="Aptos Narrow"/>
      <family val="2"/>
      <scheme val="minor"/>
    </font>
    <font>
      <sz val="10"/>
      <color rgb="FF000000"/>
      <name val="Calibri"/>
      <family val="2"/>
    </font>
    <font>
      <sz val="10"/>
      <color rgb="FF000000"/>
      <name val="Tahoma"/>
      <family val="2"/>
    </font>
    <font>
      <b/>
      <sz val="10"/>
      <color rgb="FF000000"/>
      <name val="Calibri"/>
      <family val="2"/>
    </font>
    <font>
      <b/>
      <sz val="10"/>
      <color rgb="FF000000"/>
      <name val="Tahoma"/>
      <family val="2"/>
    </font>
  </fonts>
  <fills count="6">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6">
    <xf numFmtId="0" fontId="0" fillId="0" borderId="0"/>
    <xf numFmtId="0" fontId="2" fillId="0" borderId="0"/>
    <xf numFmtId="9"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0" fontId="6" fillId="0" borderId="0" applyNumberFormat="0" applyFill="0" applyBorder="0" applyAlignment="0" applyProtection="0"/>
  </cellStyleXfs>
  <cellXfs count="101">
    <xf numFmtId="0" fontId="0" fillId="0" borderId="0" xfId="0"/>
    <xf numFmtId="0" fontId="3" fillId="0" borderId="0" xfId="1" applyFont="1"/>
    <xf numFmtId="0" fontId="4" fillId="2" borderId="1" xfId="1" applyFont="1" applyFill="1" applyBorder="1" applyAlignment="1">
      <alignment horizontal="center"/>
    </xf>
    <xf numFmtId="0" fontId="3" fillId="2" borderId="2" xfId="1" applyFont="1" applyFill="1" applyBorder="1"/>
    <xf numFmtId="0" fontId="3" fillId="2" borderId="2" xfId="1" applyFont="1" applyFill="1" applyBorder="1" applyAlignment="1">
      <alignment horizontal="center"/>
    </xf>
    <xf numFmtId="0" fontId="3" fillId="3" borderId="3" xfId="1" applyFont="1" applyFill="1" applyBorder="1"/>
    <xf numFmtId="0" fontId="3" fillId="0" borderId="4" xfId="1" applyFont="1" applyBorder="1" applyAlignment="1">
      <alignment horizontal="right"/>
    </xf>
    <xf numFmtId="164" fontId="3" fillId="0" borderId="4" xfId="1" applyNumberFormat="1" applyFont="1" applyBorder="1"/>
    <xf numFmtId="0" fontId="3" fillId="0" borderId="3" xfId="1" applyFont="1" applyBorder="1"/>
    <xf numFmtId="165" fontId="3" fillId="0" borderId="4" xfId="2" applyNumberFormat="1" applyFont="1" applyBorder="1"/>
    <xf numFmtId="0" fontId="3" fillId="0" borderId="4" xfId="1" applyFont="1" applyBorder="1" applyAlignment="1">
      <alignment horizontal="right" wrapText="1"/>
    </xf>
    <xf numFmtId="10" fontId="3" fillId="0" borderId="4" xfId="2" applyNumberFormat="1" applyFont="1" applyBorder="1"/>
    <xf numFmtId="167" fontId="3" fillId="0" borderId="4" xfId="3" applyNumberFormat="1" applyFont="1" applyFill="1" applyBorder="1" applyAlignment="1">
      <alignment horizontal="right"/>
    </xf>
    <xf numFmtId="10" fontId="3" fillId="0" borderId="3" xfId="2" applyNumberFormat="1" applyFont="1" applyBorder="1"/>
    <xf numFmtId="164" fontId="3" fillId="0" borderId="4" xfId="4" applyNumberFormat="1" applyFont="1" applyFill="1" applyBorder="1" applyAlignment="1">
      <alignment horizontal="right"/>
    </xf>
    <xf numFmtId="0" fontId="3" fillId="0" borderId="5" xfId="1" applyFont="1" applyBorder="1"/>
    <xf numFmtId="164" fontId="3" fillId="0" borderId="6" xfId="1" applyNumberFormat="1" applyFont="1" applyBorder="1"/>
    <xf numFmtId="164" fontId="3" fillId="0" borderId="4" xfId="3" applyNumberFormat="1" applyFont="1" applyBorder="1"/>
    <xf numFmtId="169" fontId="3" fillId="0" borderId="6" xfId="1" applyNumberFormat="1" applyFont="1" applyBorder="1" applyAlignment="1">
      <alignment horizontal="right"/>
    </xf>
    <xf numFmtId="0" fontId="3" fillId="4" borderId="0" xfId="1" applyFont="1" applyFill="1"/>
    <xf numFmtId="164" fontId="3" fillId="4" borderId="0" xfId="4" applyNumberFormat="1" applyFont="1" applyFill="1" applyAlignment="1">
      <alignment horizontal="right"/>
    </xf>
    <xf numFmtId="0" fontId="3" fillId="2" borderId="2" xfId="1" applyFont="1" applyFill="1" applyBorder="1" applyAlignment="1">
      <alignment horizontal="right"/>
    </xf>
    <xf numFmtId="169" fontId="3" fillId="0" borderId="4" xfId="1" applyNumberFormat="1" applyFont="1" applyBorder="1"/>
    <xf numFmtId="10" fontId="3" fillId="0" borderId="4" xfId="2" applyNumberFormat="1" applyFont="1" applyFill="1" applyBorder="1" applyAlignment="1">
      <alignment horizontal="right"/>
    </xf>
    <xf numFmtId="9" fontId="3" fillId="0" borderId="4" xfId="1" applyNumberFormat="1" applyFont="1" applyBorder="1"/>
    <xf numFmtId="165" fontId="3" fillId="0" borderId="4" xfId="2" applyNumberFormat="1" applyFont="1" applyFill="1" applyBorder="1" applyAlignment="1">
      <alignment horizontal="right"/>
    </xf>
    <xf numFmtId="169" fontId="3" fillId="0" borderId="6" xfId="1" applyNumberFormat="1" applyFont="1" applyBorder="1"/>
    <xf numFmtId="9" fontId="3" fillId="0" borderId="4" xfId="2" applyFont="1" applyFill="1" applyBorder="1" applyAlignment="1">
      <alignment horizontal="right"/>
    </xf>
    <xf numFmtId="0" fontId="5" fillId="0" borderId="0" xfId="1" applyFont="1"/>
    <xf numFmtId="0" fontId="3" fillId="3" borderId="5" xfId="1" applyFont="1" applyFill="1" applyBorder="1"/>
    <xf numFmtId="165" fontId="3" fillId="0" borderId="6" xfId="2" applyNumberFormat="1" applyFont="1" applyFill="1" applyBorder="1" applyAlignment="1">
      <alignment horizontal="right"/>
    </xf>
    <xf numFmtId="0" fontId="4" fillId="2" borderId="7" xfId="1" applyFont="1" applyFill="1" applyBorder="1" applyAlignment="1">
      <alignment horizontal="center"/>
    </xf>
    <xf numFmtId="0" fontId="3" fillId="2" borderId="8" xfId="1" applyFont="1" applyFill="1" applyBorder="1"/>
    <xf numFmtId="164" fontId="3" fillId="0" borderId="4" xfId="4" applyNumberFormat="1" applyFont="1" applyFill="1" applyBorder="1"/>
    <xf numFmtId="0" fontId="3" fillId="0" borderId="9" xfId="1" applyFont="1" applyBorder="1"/>
    <xf numFmtId="0" fontId="3" fillId="0" borderId="10" xfId="1" applyFont="1" applyBorder="1"/>
    <xf numFmtId="164" fontId="3" fillId="0" borderId="10" xfId="1" applyNumberFormat="1" applyFont="1" applyBorder="1"/>
    <xf numFmtId="0" fontId="3" fillId="0" borderId="4" xfId="1" applyFont="1" applyBorder="1"/>
    <xf numFmtId="0" fontId="2" fillId="4" borderId="0" xfId="1" applyFill="1"/>
    <xf numFmtId="0" fontId="3" fillId="0" borderId="11" xfId="1" applyFont="1" applyBorder="1"/>
    <xf numFmtId="0" fontId="3" fillId="5" borderId="3" xfId="1" applyFont="1" applyFill="1" applyBorder="1"/>
    <xf numFmtId="0" fontId="3" fillId="0" borderId="12" xfId="1" applyFont="1" applyBorder="1"/>
    <xf numFmtId="0" fontId="3" fillId="0" borderId="13" xfId="1" applyFont="1" applyBorder="1"/>
    <xf numFmtId="164" fontId="3" fillId="0" borderId="13" xfId="1" applyNumberFormat="1" applyFont="1" applyBorder="1"/>
    <xf numFmtId="0" fontId="3" fillId="2" borderId="5" xfId="1" applyFont="1" applyFill="1" applyBorder="1"/>
    <xf numFmtId="164" fontId="3" fillId="2" borderId="6" xfId="1" applyNumberFormat="1" applyFont="1" applyFill="1" applyBorder="1"/>
    <xf numFmtId="0" fontId="4" fillId="2" borderId="7" xfId="1" applyFont="1" applyFill="1" applyBorder="1"/>
    <xf numFmtId="0" fontId="3" fillId="2" borderId="14" xfId="1" applyFont="1" applyFill="1" applyBorder="1"/>
    <xf numFmtId="0" fontId="3" fillId="2" borderId="15" xfId="1" applyFont="1" applyFill="1" applyBorder="1"/>
    <xf numFmtId="0" fontId="3" fillId="0" borderId="16" xfId="1" applyFont="1" applyBorder="1"/>
    <xf numFmtId="0" fontId="3" fillId="0" borderId="17" xfId="1" applyFont="1" applyBorder="1"/>
    <xf numFmtId="0" fontId="4" fillId="2" borderId="5" xfId="1" applyFont="1" applyFill="1" applyBorder="1"/>
    <xf numFmtId="164" fontId="3" fillId="2" borderId="6" xfId="1" applyNumberFormat="1" applyFont="1" applyFill="1" applyBorder="1" applyAlignment="1">
      <alignment horizontal="right"/>
    </xf>
    <xf numFmtId="170" fontId="3" fillId="0" borderId="0" xfId="1" applyNumberFormat="1" applyFont="1"/>
    <xf numFmtId="169" fontId="3" fillId="4" borderId="4" xfId="1" applyNumberFormat="1" applyFont="1" applyFill="1" applyBorder="1"/>
    <xf numFmtId="0" fontId="6" fillId="4" borderId="0" xfId="5" applyFill="1" applyBorder="1"/>
    <xf numFmtId="164" fontId="3" fillId="4" borderId="4" xfId="1" applyNumberFormat="1" applyFont="1" applyFill="1" applyBorder="1"/>
    <xf numFmtId="0" fontId="3" fillId="0" borderId="14" xfId="1" applyFont="1" applyBorder="1"/>
    <xf numFmtId="0" fontId="3" fillId="0" borderId="15" xfId="1" applyFont="1" applyBorder="1"/>
    <xf numFmtId="0" fontId="7" fillId="3" borderId="18" xfId="1" applyFont="1" applyFill="1" applyBorder="1"/>
    <xf numFmtId="0" fontId="3" fillId="5" borderId="16" xfId="1" applyFont="1" applyFill="1" applyBorder="1"/>
    <xf numFmtId="0" fontId="3" fillId="5" borderId="0" xfId="1" applyFont="1" applyFill="1"/>
    <xf numFmtId="0" fontId="4" fillId="0" borderId="7" xfId="1" applyFont="1" applyBorder="1"/>
    <xf numFmtId="0" fontId="3" fillId="0" borderId="18" xfId="1" applyFont="1" applyBorder="1"/>
    <xf numFmtId="0" fontId="3" fillId="0" borderId="19" xfId="1" applyFont="1" applyBorder="1"/>
    <xf numFmtId="0" fontId="3" fillId="0" borderId="20" xfId="1" applyFont="1" applyBorder="1"/>
    <xf numFmtId="0" fontId="3" fillId="0" borderId="21" xfId="1" applyFont="1" applyBorder="1"/>
    <xf numFmtId="0" fontId="3" fillId="0" borderId="22" xfId="1" applyFont="1" applyBorder="1"/>
    <xf numFmtId="10" fontId="3" fillId="3" borderId="23" xfId="1" applyNumberFormat="1" applyFont="1" applyFill="1" applyBorder="1"/>
    <xf numFmtId="169" fontId="3" fillId="0" borderId="24" xfId="1" applyNumberFormat="1" applyFont="1" applyBorder="1"/>
    <xf numFmtId="169" fontId="3" fillId="0" borderId="25" xfId="1" applyNumberFormat="1" applyFont="1" applyBorder="1"/>
    <xf numFmtId="169" fontId="3" fillId="0" borderId="26" xfId="1" applyNumberFormat="1" applyFont="1" applyBorder="1"/>
    <xf numFmtId="10" fontId="3" fillId="3" borderId="27" xfId="1" applyNumberFormat="1" applyFont="1" applyFill="1" applyBorder="1"/>
    <xf numFmtId="164" fontId="3" fillId="0" borderId="28" xfId="1" applyNumberFormat="1" applyFont="1" applyBorder="1"/>
    <xf numFmtId="169" fontId="3" fillId="0" borderId="10" xfId="1" applyNumberFormat="1" applyFont="1" applyBorder="1"/>
    <xf numFmtId="0" fontId="4" fillId="0" borderId="11" xfId="1" applyFont="1" applyBorder="1"/>
    <xf numFmtId="0" fontId="4" fillId="0" borderId="27" xfId="1" applyFont="1" applyBorder="1"/>
    <xf numFmtId="169" fontId="3" fillId="0" borderId="28" xfId="1" applyNumberFormat="1" applyFont="1" applyBorder="1"/>
    <xf numFmtId="0" fontId="3" fillId="0" borderId="27" xfId="1" applyFont="1" applyBorder="1"/>
    <xf numFmtId="0" fontId="3" fillId="0" borderId="29" xfId="1" applyFont="1" applyBorder="1"/>
    <xf numFmtId="0" fontId="4" fillId="5" borderId="30" xfId="1" applyFont="1" applyFill="1" applyBorder="1"/>
    <xf numFmtId="0" fontId="3" fillId="5" borderId="31" xfId="1" applyFont="1" applyFill="1" applyBorder="1"/>
    <xf numFmtId="0" fontId="3" fillId="5" borderId="32" xfId="1" applyFont="1" applyFill="1" applyBorder="1"/>
    <xf numFmtId="164" fontId="1" fillId="4" borderId="6" xfId="1" applyNumberFormat="1" applyFont="1" applyFill="1" applyBorder="1"/>
    <xf numFmtId="0" fontId="3" fillId="0" borderId="33" xfId="1" applyFont="1" applyBorder="1"/>
    <xf numFmtId="0" fontId="3" fillId="0" borderId="34" xfId="1" applyFont="1" applyBorder="1"/>
    <xf numFmtId="0" fontId="3" fillId="0" borderId="35" xfId="1" applyFont="1" applyBorder="1"/>
    <xf numFmtId="164" fontId="3" fillId="4" borderId="0" xfId="1" applyNumberFormat="1" applyFont="1" applyFill="1"/>
    <xf numFmtId="0" fontId="3" fillId="0" borderId="28" xfId="1" applyFont="1" applyBorder="1"/>
    <xf numFmtId="0" fontId="8" fillId="0" borderId="11" xfId="1" applyFont="1" applyBorder="1"/>
    <xf numFmtId="0" fontId="8" fillId="0" borderId="27" xfId="1" applyFont="1" applyBorder="1"/>
    <xf numFmtId="2" fontId="3" fillId="0" borderId="28" xfId="1" applyNumberFormat="1" applyFont="1" applyBorder="1"/>
    <xf numFmtId="2" fontId="3" fillId="0" borderId="10" xfId="1" applyNumberFormat="1" applyFont="1" applyBorder="1"/>
    <xf numFmtId="2" fontId="3" fillId="0" borderId="4" xfId="1" applyNumberFormat="1" applyFont="1" applyBorder="1"/>
    <xf numFmtId="0" fontId="3" fillId="0" borderId="36" xfId="1" applyFont="1" applyBorder="1"/>
    <xf numFmtId="169" fontId="3" fillId="0" borderId="37" xfId="1" applyNumberFormat="1" applyFont="1" applyBorder="1"/>
    <xf numFmtId="169" fontId="3" fillId="0" borderId="13" xfId="1" applyNumberFormat="1" applyFont="1" applyBorder="1"/>
    <xf numFmtId="0" fontId="7" fillId="3" borderId="7" xfId="1" applyFont="1" applyFill="1" applyBorder="1"/>
    <xf numFmtId="0" fontId="3" fillId="3" borderId="15" xfId="1" applyFont="1" applyFill="1" applyBorder="1"/>
    <xf numFmtId="0" fontId="9" fillId="0" borderId="0" xfId="1" applyFont="1"/>
    <xf numFmtId="0" fontId="2" fillId="0" borderId="0" xfId="1"/>
  </cellXfs>
  <cellStyles count="6">
    <cellStyle name="Comma 2" xfId="3" xr:uid="{82518493-E533-EE48-B175-40105F8DA53E}"/>
    <cellStyle name="Currency 2" xfId="4" xr:uid="{ECEEFA4A-8C1E-3C44-912B-6B81A4F55ECF}"/>
    <cellStyle name="Hyperlink" xfId="5" builtinId="8"/>
    <cellStyle name="Normal" xfId="0" builtinId="0"/>
    <cellStyle name="Normal 2" xfId="1" xr:uid="{315E81DE-2F3A-4E45-B0A7-1013B471D510}"/>
    <cellStyle name="Percent 2" xfId="2" xr:uid="{BF6F67FB-FEA2-9C41-A475-A3CB5F934DD6}"/>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025727642406582"/>
          <c:y val="4.4933701423294642E-2"/>
          <c:w val="0.84327411065928082"/>
          <c:h val="0.85367818557100528"/>
        </c:manualLayout>
      </c:layout>
      <c:barChart>
        <c:barDir val="col"/>
        <c:grouping val="stacked"/>
        <c:varyColors val="0"/>
        <c:ser>
          <c:idx val="0"/>
          <c:order val="0"/>
          <c:tx>
            <c:strRef>
              <c:f>'Cash flow'!$I$17</c:f>
              <c:strCache>
                <c:ptCount val="1"/>
                <c:pt idx="0">
                  <c:v>Kaltmiete</c:v>
                </c:pt>
              </c:strCache>
            </c:strRef>
          </c:tx>
          <c:spPr>
            <a:solidFill>
              <a:schemeClr val="accent3"/>
            </a:solidFill>
          </c:spPr>
          <c:invertIfNegative val="0"/>
          <c:cat>
            <c:strRef>
              <c:f>'Cash flow'!$H$18:$H$19</c:f>
              <c:strCache>
                <c:ptCount val="2"/>
                <c:pt idx="0">
                  <c:v>Einnahmen</c:v>
                </c:pt>
                <c:pt idx="1">
                  <c:v>Ausgaben</c:v>
                </c:pt>
              </c:strCache>
            </c:strRef>
          </c:cat>
          <c:val>
            <c:numRef>
              <c:f>'Cash flow'!$I$18:$I$19</c:f>
              <c:numCache>
                <c:formatCode>General</c:formatCode>
                <c:ptCount val="2"/>
                <c:pt idx="0" formatCode="_-* #,##0\ [$€-407]_-;\-* #,##0\ [$€-407]_-;_-* &quot;-&quot;??\ [$€-407]_-;_-@_-">
                  <c:v>9780.75</c:v>
                </c:pt>
              </c:numCache>
            </c:numRef>
          </c:val>
          <c:extLst>
            <c:ext xmlns:c16="http://schemas.microsoft.com/office/drawing/2014/chart" uri="{C3380CC4-5D6E-409C-BE32-E72D297353CC}">
              <c16:uniqueId val="{00000000-EF20-1C4A-9C41-8BF0390346B8}"/>
            </c:ext>
          </c:extLst>
        </c:ser>
        <c:ser>
          <c:idx val="1"/>
          <c:order val="1"/>
          <c:tx>
            <c:strRef>
              <c:f>'Cash flow'!$J$17</c:f>
              <c:strCache>
                <c:ptCount val="1"/>
                <c:pt idx="0">
                  <c:v>Zinsen</c:v>
                </c:pt>
              </c:strCache>
            </c:strRef>
          </c:tx>
          <c:spPr>
            <a:solidFill>
              <a:schemeClr val="tx2">
                <a:lumMod val="60000"/>
                <a:lumOff val="40000"/>
              </a:schemeClr>
            </a:solidFill>
          </c:spPr>
          <c:invertIfNegative val="0"/>
          <c:cat>
            <c:strRef>
              <c:f>'Cash flow'!$H$18:$H$19</c:f>
              <c:strCache>
                <c:ptCount val="2"/>
                <c:pt idx="0">
                  <c:v>Einnahmen</c:v>
                </c:pt>
                <c:pt idx="1">
                  <c:v>Ausgaben</c:v>
                </c:pt>
              </c:strCache>
            </c:strRef>
          </c:cat>
          <c:val>
            <c:numRef>
              <c:f>'Cash flow'!$J$18:$J$19</c:f>
              <c:numCache>
                <c:formatCode>_-* #,##0\ [$€-407]_-;\-* #,##0\ [$€-407]_-;_-* "-"??\ [$€-407]_-;_-@_-</c:formatCode>
                <c:ptCount val="2"/>
                <c:pt idx="1">
                  <c:v>5605</c:v>
                </c:pt>
              </c:numCache>
            </c:numRef>
          </c:val>
          <c:extLst>
            <c:ext xmlns:c16="http://schemas.microsoft.com/office/drawing/2014/chart" uri="{C3380CC4-5D6E-409C-BE32-E72D297353CC}">
              <c16:uniqueId val="{00000001-EF20-1C4A-9C41-8BF0390346B8}"/>
            </c:ext>
          </c:extLst>
        </c:ser>
        <c:ser>
          <c:idx val="2"/>
          <c:order val="2"/>
          <c:tx>
            <c:strRef>
              <c:f>'Cash flow'!$K$17</c:f>
              <c:strCache>
                <c:ptCount val="1"/>
                <c:pt idx="0">
                  <c:v>Tilgung</c:v>
                </c:pt>
              </c:strCache>
            </c:strRef>
          </c:tx>
          <c:spPr>
            <a:solidFill>
              <a:schemeClr val="accent2">
                <a:lumMod val="20000"/>
                <a:lumOff val="80000"/>
              </a:schemeClr>
            </a:solidFill>
          </c:spPr>
          <c:invertIfNegative val="0"/>
          <c:cat>
            <c:strRef>
              <c:f>'Cash flow'!$H$18:$H$19</c:f>
              <c:strCache>
                <c:ptCount val="2"/>
                <c:pt idx="0">
                  <c:v>Einnahmen</c:v>
                </c:pt>
                <c:pt idx="1">
                  <c:v>Ausgaben</c:v>
                </c:pt>
              </c:strCache>
            </c:strRef>
          </c:cat>
          <c:val>
            <c:numRef>
              <c:f>'Cash flow'!$K$18:$K$19</c:f>
              <c:numCache>
                <c:formatCode>_-* #,##0\ [$€-407]_-;\-* #,##0\ [$€-407]_-;_-* "-"??\ [$€-407]_-;_-@_-</c:formatCode>
                <c:ptCount val="2"/>
                <c:pt idx="1">
                  <c:v>1180</c:v>
                </c:pt>
              </c:numCache>
            </c:numRef>
          </c:val>
          <c:extLst>
            <c:ext xmlns:c16="http://schemas.microsoft.com/office/drawing/2014/chart" uri="{C3380CC4-5D6E-409C-BE32-E72D297353CC}">
              <c16:uniqueId val="{00000002-EF20-1C4A-9C41-8BF0390346B8}"/>
            </c:ext>
          </c:extLst>
        </c:ser>
        <c:ser>
          <c:idx val="3"/>
          <c:order val="3"/>
          <c:tx>
            <c:strRef>
              <c:f>'Cash flow'!$L$17</c:f>
              <c:strCache>
                <c:ptCount val="1"/>
                <c:pt idx="0">
                  <c:v> Bewirtschaftung </c:v>
                </c:pt>
              </c:strCache>
            </c:strRef>
          </c:tx>
          <c:spPr>
            <a:solidFill>
              <a:schemeClr val="bg1">
                <a:lumMod val="85000"/>
              </a:schemeClr>
            </a:solidFill>
          </c:spPr>
          <c:invertIfNegative val="0"/>
          <c:cat>
            <c:strRef>
              <c:f>'Cash flow'!$H$18:$H$19</c:f>
              <c:strCache>
                <c:ptCount val="2"/>
                <c:pt idx="0">
                  <c:v>Einnahmen</c:v>
                </c:pt>
                <c:pt idx="1">
                  <c:v>Ausgaben</c:v>
                </c:pt>
              </c:strCache>
            </c:strRef>
          </c:cat>
          <c:val>
            <c:numRef>
              <c:f>'Cash flow'!$L$18:$L$19</c:f>
              <c:numCache>
                <c:formatCode>_-* #,##0\ [$€-407]_-;\-* #,##0\ [$€-407]_-;_-* "-"??\ [$€-407]_-;_-@_-</c:formatCode>
                <c:ptCount val="2"/>
                <c:pt idx="1">
                  <c:v>2857.5</c:v>
                </c:pt>
              </c:numCache>
            </c:numRef>
          </c:val>
          <c:extLst>
            <c:ext xmlns:c16="http://schemas.microsoft.com/office/drawing/2014/chart" uri="{C3380CC4-5D6E-409C-BE32-E72D297353CC}">
              <c16:uniqueId val="{00000003-EF20-1C4A-9C41-8BF0390346B8}"/>
            </c:ext>
          </c:extLst>
        </c:ser>
        <c:dLbls>
          <c:showLegendKey val="0"/>
          <c:showVal val="0"/>
          <c:showCatName val="0"/>
          <c:showSerName val="0"/>
          <c:showPercent val="0"/>
          <c:showBubbleSize val="0"/>
        </c:dLbls>
        <c:gapWidth val="150"/>
        <c:overlap val="100"/>
        <c:axId val="224321344"/>
        <c:axId val="224326440"/>
      </c:barChart>
      <c:catAx>
        <c:axId val="224321344"/>
        <c:scaling>
          <c:orientation val="minMax"/>
        </c:scaling>
        <c:delete val="0"/>
        <c:axPos val="b"/>
        <c:numFmt formatCode="General" sourceLinked="0"/>
        <c:majorTickMark val="out"/>
        <c:minorTickMark val="none"/>
        <c:tickLblPos val="nextTo"/>
        <c:crossAx val="224326440"/>
        <c:crosses val="autoZero"/>
        <c:auto val="1"/>
        <c:lblAlgn val="ctr"/>
        <c:lblOffset val="100"/>
        <c:noMultiLvlLbl val="0"/>
      </c:catAx>
      <c:valAx>
        <c:axId val="224326440"/>
        <c:scaling>
          <c:orientation val="minMax"/>
        </c:scaling>
        <c:delete val="0"/>
        <c:axPos val="l"/>
        <c:majorGridlines>
          <c:spPr>
            <a:ln>
              <a:noFill/>
            </a:ln>
          </c:spPr>
        </c:majorGridlines>
        <c:numFmt formatCode="_-* #,##0\ [$€-407]_-;\-* #,##0\ [$€-407]_-;_-* &quot;-&quot;??\ [$€-407]_-;_-@_-" sourceLinked="1"/>
        <c:majorTickMark val="out"/>
        <c:minorTickMark val="none"/>
        <c:tickLblPos val="nextTo"/>
        <c:crossAx val="224321344"/>
        <c:crosses val="autoZero"/>
        <c:crossBetween val="between"/>
      </c:valAx>
    </c:plotArea>
    <c:legend>
      <c:legendPos val="r"/>
      <c:layout>
        <c:manualLayout>
          <c:xMode val="edge"/>
          <c:yMode val="edge"/>
          <c:x val="0.47132719678500506"/>
          <c:y val="9.2715577254903814E-2"/>
          <c:w val="0.26357850488457751"/>
          <c:h val="0.45719148403416277"/>
        </c:manualLayout>
      </c:layout>
      <c:overlay val="0"/>
    </c:legend>
    <c:plotVisOnly val="1"/>
    <c:dispBlanksAs val="gap"/>
    <c:showDLblsOverMax val="0"/>
  </c:chart>
  <c:spPr>
    <a:noFill/>
    <a:ln>
      <a:noFill/>
    </a:ln>
  </c:spPr>
  <c:printSettings>
    <c:headerFooter/>
    <c:pageMargins b="0.78740157499999996" l="0.7" r="0.7" t="0.78740157499999996"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CA22BE3-BBE0-F145-A738-DB710FA116D5}" type="doc">
      <dgm:prSet loTypeId="urn:microsoft.com/office/officeart/2005/8/layout/hProcess3" loCatId="" qsTypeId="urn:microsoft.com/office/officeart/2005/8/quickstyle/simple1" qsCatId="simple" csTypeId="urn:microsoft.com/office/officeart/2005/8/colors/accent1_2" csCatId="accent1" phldr="1"/>
      <dgm:spPr/>
    </dgm:pt>
    <dgm:pt modelId="{2D188517-0810-6B41-A4BB-ED4E38C59005}">
      <dgm:prSet phldrT="[Text]"/>
      <dgm:spPr/>
      <dgm:t>
        <a:bodyPr/>
        <a:lstStyle/>
        <a:p>
          <a:r>
            <a:rPr lang="en-US"/>
            <a:t>Cash flow Plan für die Dauer der Rückzahlung</a:t>
          </a:r>
        </a:p>
      </dgm:t>
    </dgm:pt>
    <dgm:pt modelId="{FE3708AC-5CA6-8647-BD65-91F3960EAD90}" type="parTrans" cxnId="{5195BA67-0564-354C-B2F9-ACFBBA9B6F7D}">
      <dgm:prSet/>
      <dgm:spPr/>
      <dgm:t>
        <a:bodyPr/>
        <a:lstStyle/>
        <a:p>
          <a:endParaRPr lang="en-US"/>
        </a:p>
      </dgm:t>
    </dgm:pt>
    <dgm:pt modelId="{00D5E70D-3CBD-BD47-9809-B9DCD0F0120C}" type="sibTrans" cxnId="{5195BA67-0564-354C-B2F9-ACFBBA9B6F7D}">
      <dgm:prSet/>
      <dgm:spPr/>
      <dgm:t>
        <a:bodyPr/>
        <a:lstStyle/>
        <a:p>
          <a:endParaRPr lang="en-US"/>
        </a:p>
      </dgm:t>
    </dgm:pt>
    <dgm:pt modelId="{F3ED1CED-06CD-D844-96FB-30C2EFDB9FB7}" type="pres">
      <dgm:prSet presAssocID="{ECA22BE3-BBE0-F145-A738-DB710FA116D5}" presName="Name0" presStyleCnt="0">
        <dgm:presLayoutVars>
          <dgm:dir/>
          <dgm:animLvl val="lvl"/>
          <dgm:resizeHandles val="exact"/>
        </dgm:presLayoutVars>
      </dgm:prSet>
      <dgm:spPr/>
    </dgm:pt>
    <dgm:pt modelId="{6EA89730-2ABD-A14A-8010-57ABEE3F2C2D}" type="pres">
      <dgm:prSet presAssocID="{ECA22BE3-BBE0-F145-A738-DB710FA116D5}" presName="dummy" presStyleCnt="0"/>
      <dgm:spPr/>
    </dgm:pt>
    <dgm:pt modelId="{8789D3AE-84AE-4547-AD68-841313855812}" type="pres">
      <dgm:prSet presAssocID="{ECA22BE3-BBE0-F145-A738-DB710FA116D5}" presName="linH" presStyleCnt="0"/>
      <dgm:spPr/>
    </dgm:pt>
    <dgm:pt modelId="{F8C86B03-BCE7-FF46-8C1C-358490526CBE}" type="pres">
      <dgm:prSet presAssocID="{ECA22BE3-BBE0-F145-A738-DB710FA116D5}" presName="padding1" presStyleCnt="0"/>
      <dgm:spPr/>
    </dgm:pt>
    <dgm:pt modelId="{AC43674D-D06E-1341-BA99-3AD8AEDB516E}" type="pres">
      <dgm:prSet presAssocID="{2D188517-0810-6B41-A4BB-ED4E38C59005}" presName="linV" presStyleCnt="0"/>
      <dgm:spPr/>
    </dgm:pt>
    <dgm:pt modelId="{CC305941-E57A-B14D-B1B7-1ADDB7BE5093}" type="pres">
      <dgm:prSet presAssocID="{2D188517-0810-6B41-A4BB-ED4E38C59005}" presName="spVertical1" presStyleCnt="0"/>
      <dgm:spPr/>
    </dgm:pt>
    <dgm:pt modelId="{F37672A8-77E6-BA42-8AC3-3D29F2684822}" type="pres">
      <dgm:prSet presAssocID="{2D188517-0810-6B41-A4BB-ED4E38C59005}" presName="parTx" presStyleLbl="revTx" presStyleIdx="0" presStyleCnt="1">
        <dgm:presLayoutVars>
          <dgm:chMax val="0"/>
          <dgm:chPref val="0"/>
          <dgm:bulletEnabled val="1"/>
        </dgm:presLayoutVars>
      </dgm:prSet>
      <dgm:spPr/>
    </dgm:pt>
    <dgm:pt modelId="{30B0F5D8-1C0C-5C4F-A316-EEAA512C247C}" type="pres">
      <dgm:prSet presAssocID="{2D188517-0810-6B41-A4BB-ED4E38C59005}" presName="spVertical2" presStyleCnt="0"/>
      <dgm:spPr/>
    </dgm:pt>
    <dgm:pt modelId="{15A55D86-CE07-384F-8A60-D06FDABBCE5F}" type="pres">
      <dgm:prSet presAssocID="{2D188517-0810-6B41-A4BB-ED4E38C59005}" presName="spVertical3" presStyleCnt="0"/>
      <dgm:spPr/>
    </dgm:pt>
    <dgm:pt modelId="{1856DFA3-677D-7841-BF1E-B863A9BA5FF9}" type="pres">
      <dgm:prSet presAssocID="{ECA22BE3-BBE0-F145-A738-DB710FA116D5}" presName="padding2" presStyleCnt="0"/>
      <dgm:spPr/>
    </dgm:pt>
    <dgm:pt modelId="{1DE10BC6-209D-D044-B337-2CD10E76C61B}" type="pres">
      <dgm:prSet presAssocID="{ECA22BE3-BBE0-F145-A738-DB710FA116D5}" presName="negArrow" presStyleCnt="0"/>
      <dgm:spPr/>
    </dgm:pt>
    <dgm:pt modelId="{A8AB0DFE-5F93-EA44-9754-518CC19E16EF}" type="pres">
      <dgm:prSet presAssocID="{ECA22BE3-BBE0-F145-A738-DB710FA116D5}" presName="backgroundArrow" presStyleLbl="node1" presStyleIdx="0" presStyleCnt="1" custLinFactNeighborX="344" custLinFactNeighborY="67843"/>
      <dgm:spPr>
        <a:solidFill>
          <a:schemeClr val="tx2">
            <a:lumMod val="20000"/>
            <a:lumOff val="80000"/>
          </a:schemeClr>
        </a:solidFill>
      </dgm:spPr>
    </dgm:pt>
  </dgm:ptLst>
  <dgm:cxnLst>
    <dgm:cxn modelId="{3999D846-917A-874D-81DD-0B99AAAF0F8F}" type="presOf" srcId="{2D188517-0810-6B41-A4BB-ED4E38C59005}" destId="{F37672A8-77E6-BA42-8AC3-3D29F2684822}" srcOrd="0" destOrd="0" presId="urn:microsoft.com/office/officeart/2005/8/layout/hProcess3"/>
    <dgm:cxn modelId="{5195BA67-0564-354C-B2F9-ACFBBA9B6F7D}" srcId="{ECA22BE3-BBE0-F145-A738-DB710FA116D5}" destId="{2D188517-0810-6B41-A4BB-ED4E38C59005}" srcOrd="0" destOrd="0" parTransId="{FE3708AC-5CA6-8647-BD65-91F3960EAD90}" sibTransId="{00D5E70D-3CBD-BD47-9809-B9DCD0F0120C}"/>
    <dgm:cxn modelId="{782E39E0-D475-6543-84FC-1B8B7F822F78}" type="presOf" srcId="{ECA22BE3-BBE0-F145-A738-DB710FA116D5}" destId="{F3ED1CED-06CD-D844-96FB-30C2EFDB9FB7}" srcOrd="0" destOrd="0" presId="urn:microsoft.com/office/officeart/2005/8/layout/hProcess3"/>
    <dgm:cxn modelId="{5C2FBC9F-240B-6441-BACC-94CD4DBDF86B}" type="presParOf" srcId="{F3ED1CED-06CD-D844-96FB-30C2EFDB9FB7}" destId="{6EA89730-2ABD-A14A-8010-57ABEE3F2C2D}" srcOrd="0" destOrd="0" presId="urn:microsoft.com/office/officeart/2005/8/layout/hProcess3"/>
    <dgm:cxn modelId="{FD7B07E4-5F18-EC4D-AD26-8E1A5CE6B45E}" type="presParOf" srcId="{F3ED1CED-06CD-D844-96FB-30C2EFDB9FB7}" destId="{8789D3AE-84AE-4547-AD68-841313855812}" srcOrd="1" destOrd="0" presId="urn:microsoft.com/office/officeart/2005/8/layout/hProcess3"/>
    <dgm:cxn modelId="{DE989A36-98D5-AA4D-9CFF-47856E66E5EF}" type="presParOf" srcId="{8789D3AE-84AE-4547-AD68-841313855812}" destId="{F8C86B03-BCE7-FF46-8C1C-358490526CBE}" srcOrd="0" destOrd="0" presId="urn:microsoft.com/office/officeart/2005/8/layout/hProcess3"/>
    <dgm:cxn modelId="{370D04C2-2439-F047-A7EE-BE8A3B8533C1}" type="presParOf" srcId="{8789D3AE-84AE-4547-AD68-841313855812}" destId="{AC43674D-D06E-1341-BA99-3AD8AEDB516E}" srcOrd="1" destOrd="0" presId="urn:microsoft.com/office/officeart/2005/8/layout/hProcess3"/>
    <dgm:cxn modelId="{11CC4D20-7F55-444C-8F6D-E004EFDEB17E}" type="presParOf" srcId="{AC43674D-D06E-1341-BA99-3AD8AEDB516E}" destId="{CC305941-E57A-B14D-B1B7-1ADDB7BE5093}" srcOrd="0" destOrd="0" presId="urn:microsoft.com/office/officeart/2005/8/layout/hProcess3"/>
    <dgm:cxn modelId="{429CB64C-A754-7D4A-AC63-E8666C0B9C4A}" type="presParOf" srcId="{AC43674D-D06E-1341-BA99-3AD8AEDB516E}" destId="{F37672A8-77E6-BA42-8AC3-3D29F2684822}" srcOrd="1" destOrd="0" presId="urn:microsoft.com/office/officeart/2005/8/layout/hProcess3"/>
    <dgm:cxn modelId="{1EBCDB42-ACBB-1340-8AC5-0D5F20036B16}" type="presParOf" srcId="{AC43674D-D06E-1341-BA99-3AD8AEDB516E}" destId="{30B0F5D8-1C0C-5C4F-A316-EEAA512C247C}" srcOrd="2" destOrd="0" presId="urn:microsoft.com/office/officeart/2005/8/layout/hProcess3"/>
    <dgm:cxn modelId="{A67B1FB1-2B46-8A4A-B7A5-FD53C3790231}" type="presParOf" srcId="{AC43674D-D06E-1341-BA99-3AD8AEDB516E}" destId="{15A55D86-CE07-384F-8A60-D06FDABBCE5F}" srcOrd="3" destOrd="0" presId="urn:microsoft.com/office/officeart/2005/8/layout/hProcess3"/>
    <dgm:cxn modelId="{28EC04FD-E40F-B04D-9F74-26234FCB5463}" type="presParOf" srcId="{8789D3AE-84AE-4547-AD68-841313855812}" destId="{1856DFA3-677D-7841-BF1E-B863A9BA5FF9}" srcOrd="2" destOrd="0" presId="urn:microsoft.com/office/officeart/2005/8/layout/hProcess3"/>
    <dgm:cxn modelId="{9F2A65BD-F55E-CE49-92EC-C5E1BB71AD31}" type="presParOf" srcId="{8789D3AE-84AE-4547-AD68-841313855812}" destId="{1DE10BC6-209D-D044-B337-2CD10E76C61B}" srcOrd="3" destOrd="0" presId="urn:microsoft.com/office/officeart/2005/8/layout/hProcess3"/>
    <dgm:cxn modelId="{E7F8E9D9-BCB0-1542-AE7C-FD46F5C4E38C}" type="presParOf" srcId="{8789D3AE-84AE-4547-AD68-841313855812}" destId="{A8AB0DFE-5F93-EA44-9754-518CC19E16EF}" srcOrd="4" destOrd="0" presId="urn:microsoft.com/office/officeart/2005/8/layout/hProcess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8AB0DFE-5F93-EA44-9754-518CC19E16EF}">
      <dsp:nvSpPr>
        <dsp:cNvPr id="0" name=""/>
        <dsp:cNvSpPr/>
      </dsp:nvSpPr>
      <dsp:spPr>
        <a:xfrm>
          <a:off x="0" y="42999"/>
          <a:ext cx="11065933" cy="1080000"/>
        </a:xfrm>
        <a:prstGeom prst="rightArrow">
          <a:avLst/>
        </a:prstGeom>
        <a:solidFill>
          <a:schemeClr val="tx2">
            <a:lumMod val="20000"/>
            <a:lumOff val="80000"/>
          </a:schemeClr>
        </a:solidFill>
        <a:ln w="1905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sp>
    <dsp:sp modelId="{F37672A8-77E6-BA42-8AC3-3D29F2684822}">
      <dsp:nvSpPr>
        <dsp:cNvPr id="0" name=""/>
        <dsp:cNvSpPr/>
      </dsp:nvSpPr>
      <dsp:spPr>
        <a:xfrm>
          <a:off x="886360" y="291499"/>
          <a:ext cx="9898822" cy="540000"/>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0" tIns="152400" rIns="0" bIns="152400" numCol="1" spcCol="1270" anchor="ctr" anchorCtr="0">
          <a:noAutofit/>
        </a:bodyPr>
        <a:lstStyle/>
        <a:p>
          <a:pPr marL="0" lvl="0" indent="0" algn="ctr" defTabSz="666750">
            <a:lnSpc>
              <a:spcPct val="90000"/>
            </a:lnSpc>
            <a:spcBef>
              <a:spcPct val="0"/>
            </a:spcBef>
            <a:spcAft>
              <a:spcPct val="35000"/>
            </a:spcAft>
            <a:buNone/>
          </a:pPr>
          <a:r>
            <a:rPr lang="en-US" sz="1500" kern="1200"/>
            <a:t>Cash flow Plan für die Dauer der Rückzahlung</a:t>
          </a:r>
        </a:p>
      </dsp:txBody>
      <dsp:txXfrm>
        <a:off x="886360" y="291499"/>
        <a:ext cx="9898822" cy="540000"/>
      </dsp:txXfrm>
    </dsp:sp>
  </dsp:spTree>
</dsp:drawing>
</file>

<file path=xl/diagrams/layout1.xml><?xml version="1.0" encoding="utf-8"?>
<dgm:layoutDef xmlns:dgm="http://schemas.openxmlformats.org/drawingml/2006/diagram" xmlns:a="http://schemas.openxmlformats.org/drawingml/2006/main" uniqueId="urn:microsoft.com/office/officeart/2005/8/layout/hProcess3">
  <dgm:title val=""/>
  <dgm:desc val=""/>
  <dgm:catLst>
    <dgm:cat type="process" pri="6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chOrder="t">
    <dgm:varLst>
      <dgm:dir/>
      <dgm:animLvl val="lvl"/>
      <dgm:resizeHandles val="exact"/>
    </dgm:varLst>
    <dgm:alg type="composite"/>
    <dgm:shape xmlns:r="http://schemas.openxmlformats.org/officeDocument/2006/relationships" r:blip="">
      <dgm:adjLst/>
    </dgm:shape>
    <dgm:presOf/>
    <dgm:constrLst>
      <dgm:constr type="w" for="ch" forName="dummy" refType="w"/>
      <dgm:constr type="h" for="ch" forName="dummy" refType="h"/>
      <dgm:constr type="h" for="ch" forName="dummy" refType="w" refFor="ch" refForName="dummy" op="lte" fact="0.4"/>
      <dgm:constr type="ctrX" for="ch" forName="dummy" refType="w" fact="0.5"/>
      <dgm:constr type="ctrY" for="ch" forName="dummy" refType="h" fact="0.5"/>
      <dgm:constr type="w" for="ch" forName="linH" refType="w"/>
      <dgm:constr type="h" for="ch" forName="linH" refType="h"/>
      <dgm:constr type="ctrX" for="ch" forName="linH" refType="w" fact="0.5"/>
      <dgm:constr type="ctrY" for="ch" forName="linH" refType="h" fact="0.5"/>
      <dgm:constr type="userP" for="ch" forName="linH" refType="h" refFor="ch" refForName="dummy" fact="0.25"/>
      <dgm:constr type="userT" for="des" forName="parTx" refType="w" refFor="ch" refForName="dummy" fact="0.2"/>
    </dgm:constrLst>
    <dgm:ruleLst/>
    <dgm:layoutNode name="dummy">
      <dgm:alg type="sp"/>
      <dgm:shape xmlns:r="http://schemas.openxmlformats.org/officeDocument/2006/relationships" r:blip="">
        <dgm:adjLst/>
      </dgm:shape>
      <dgm:presOf/>
      <dgm:constrLst/>
      <dgm:ruleLst/>
    </dgm:layoutNode>
    <dgm:layoutNode name="linH">
      <dgm:choose name="Name1">
        <dgm:if name="Name2" func="var" arg="dir" op="equ" val="norm">
          <dgm:alg type="lin">
            <dgm:param type="linDir" val="fromL"/>
            <dgm:param type="nodeVertAlign" val="t"/>
          </dgm:alg>
        </dgm:if>
        <dgm:else name="Name3">
          <dgm:alg type="lin">
            <dgm:param type="linDir" val="fromR"/>
            <dgm:param type="nodeVertAlign" val="t"/>
          </dgm:alg>
        </dgm:else>
      </dgm:choose>
      <dgm:shape xmlns:r="http://schemas.openxmlformats.org/officeDocument/2006/relationships" r:blip="">
        <dgm:adjLst/>
      </dgm:shape>
      <dgm:presOf/>
      <dgm:constrLst>
        <dgm:constr type="primFontSz" for="des" forName="parTx" val="65"/>
        <dgm:constr type="primFontSz" for="des" forName="desTx" refType="primFontSz" refFor="des" refForName="parTx" op="equ"/>
        <dgm:constr type="h" for="des" forName="parTx" refType="primFontSz" refFor="des" refForName="parTx"/>
        <dgm:constr type="h" for="des" forName="desTx" refType="primFontSz" refFor="des" refForName="parTx" fact="0.5"/>
        <dgm:constr type="h" for="des" forName="parTx" op="equ"/>
        <dgm:constr type="h" for="des" forName="desTx" op="equ"/>
        <dgm:constr type="h" for="ch" forName="backgroundArrow" refType="primFontSz" refFor="des" refForName="parTx" fact="2"/>
        <dgm:constr type="h" for="ch" forName="backgroundArrow" refType="h" refFor="des" refForName="parTx" op="lte" fact="2"/>
        <dgm:constr type="h" for="ch" forName="backgroundArrow" refType="h" refFor="des" refForName="parTx" op="gte" fact="2"/>
        <dgm:constr type="h" for="des" forName="spVertical1" refType="primFontSz" refFor="des" refForName="parTx" fact="0.5"/>
        <dgm:constr type="h" for="des" forName="spVertical1" refType="h" refFor="des" refForName="parTx" op="lte" fact="0.5"/>
        <dgm:constr type="h" for="des" forName="spVertical1" refType="h" refFor="des" refForName="parTx" op="gte" fact="0.5"/>
        <dgm:constr type="h" for="des" forName="spVertical2" refType="primFontSz" refFor="des" refForName="parTx" fact="0.5"/>
        <dgm:constr type="h" for="des" forName="spVertical2" refType="h" refFor="des" refForName="parTx" op="lte" fact="0.5"/>
        <dgm:constr type="h" for="des" forName="spVertical2" refType="h" refFor="des" refForName="parTx" op="gte" fact="0.5"/>
        <dgm:constr type="h" for="des" forName="spVertical3" refType="primFontSz" refFor="des" refForName="parTx" fact="-0.4"/>
        <dgm:constr type="h" for="des" forName="spVertical3" refType="h" refFor="des" refForName="parTx" op="lte" fact="-0.4"/>
        <dgm:constr type="h" for="des" forName="spVertical3" refType="h" refFor="des" refForName="parTx" op="gte" fact="-0.4"/>
        <dgm:constr type="w" for="ch" forName="backgroundArrow" refType="w"/>
        <dgm:constr type="w" for="ch" forName="negArrow" refType="w" fact="-1"/>
        <dgm:constr type="w" for="ch" forName="linV" refType="w"/>
        <dgm:constr type="w" for="ch" forName="space" refType="w" refFor="ch" refForName="linV" fact="0.2"/>
        <dgm:constr type="w" for="ch" forName="padding1" refType="w" fact="0.08"/>
        <dgm:constr type="userP"/>
        <dgm:constr type="w" for="ch" forName="padding2" refType="userP"/>
      </dgm:constrLst>
      <dgm:ruleLst>
        <dgm:rule type="w" for="ch" forName="linV" val="0" fact="NaN" max="NaN"/>
        <dgm:rule type="primFontSz" for="des" forName="parTx" val="5" fact="NaN" max="NaN"/>
      </dgm:ruleLst>
      <dgm:layoutNode name="padding1">
        <dgm:alg type="sp"/>
        <dgm:shape xmlns:r="http://schemas.openxmlformats.org/officeDocument/2006/relationships" r:blip="">
          <dgm:adjLst/>
        </dgm:shape>
        <dgm:presOf/>
        <dgm:constrLst/>
        <dgm:ruleLst/>
      </dgm:layoutNode>
      <dgm:forEach name="Name4" axis="ch" ptType="node">
        <dgm:layoutNode name="linV">
          <dgm:alg type="lin">
            <dgm:param type="linDir" val="fromT"/>
          </dgm:alg>
          <dgm:shape xmlns:r="http://schemas.openxmlformats.org/officeDocument/2006/relationships" r:blip="">
            <dgm:adjLst/>
          </dgm:shape>
          <dgm:presOf/>
          <dgm:constrLst>
            <dgm:constr type="w" for="ch" forName="spVertical1" refType="w"/>
            <dgm:constr type="w" for="ch" forName="parTx" refType="w"/>
            <dgm:constr type="w" for="ch" forName="spVertical2" refType="w"/>
            <dgm:constr type="w" for="ch" forName="spVertical3" refType="w"/>
            <dgm:constr type="w" for="ch" forName="desTx" refType="w"/>
          </dgm:constrLst>
          <dgm:ruleLst/>
          <dgm:layoutNode name="spVertical1">
            <dgm:alg type="sp"/>
            <dgm:shape xmlns:r="http://schemas.openxmlformats.org/officeDocument/2006/relationships" r:blip="">
              <dgm:adjLst/>
            </dgm:shape>
            <dgm:presOf/>
            <dgm:constrLst/>
            <dgm:ruleLst/>
          </dgm:layoutNode>
          <dgm:layoutNode name="parTx" styleLbl="revTx">
            <dgm:varLst>
              <dgm:chMax val="0"/>
              <dgm:chPref val="0"/>
              <dgm:bulletEnabled val="1"/>
            </dgm:varLst>
            <dgm:choose name="Name5">
              <dgm:if name="Name6" axis="root des" ptType="all node" func="maxDepth" op="gt" val="1">
                <dgm:alg type="tx">
                  <dgm:param type="parTxLTRAlign" val="l"/>
                  <dgm:param type="parTxRTLAlign" val="r"/>
                </dgm:alg>
              </dgm:if>
              <dgm:else name="Name7">
                <dgm:alg type="tx">
                  <dgm:param type="parTxLTRAlign" val="ctr"/>
                  <dgm:param type="parTxRTLAlign" val="ctr"/>
                </dgm:alg>
              </dgm:else>
            </dgm:choose>
            <dgm:shape xmlns:r="http://schemas.openxmlformats.org/officeDocument/2006/relationships" type="rect" r:blip="">
              <dgm:adjLst/>
            </dgm:shape>
            <dgm:presOf axis="self" ptType="node"/>
            <dgm:choose name="Name8">
              <dgm:if name="Name9" func="var" arg="dir" op="equ" val="norm">
                <dgm:constrLst>
                  <dgm:constr type="userT"/>
                  <dgm:constr type="h" refType="userT" op="lte"/>
                  <dgm:constr type="tMarg" refType="primFontSz" fact="0.8"/>
                  <dgm:constr type="bMarg" refType="tMarg"/>
                  <dgm:constr type="lMarg"/>
                  <dgm:constr type="rMarg"/>
                </dgm:constrLst>
              </dgm:if>
              <dgm:else name="Name10">
                <dgm:constrLst>
                  <dgm:constr type="userT"/>
                  <dgm:constr type="h" refType="userT" op="lte"/>
                  <dgm:constr type="tMarg" refType="primFontSz" fact="0.8"/>
                  <dgm:constr type="bMarg" refType="tMarg"/>
                  <dgm:constr type="lMarg"/>
                  <dgm:constr type="rMarg"/>
                </dgm:constrLst>
              </dgm:else>
            </dgm:choose>
            <dgm:ruleLst>
              <dgm:rule type="h" val="INF" fact="NaN" max="NaN"/>
            </dgm:ruleLst>
          </dgm:layoutNode>
          <dgm:layoutNode name="spVertical2">
            <dgm:alg type="sp"/>
            <dgm:shape xmlns:r="http://schemas.openxmlformats.org/officeDocument/2006/relationships" r:blip="">
              <dgm:adjLst/>
            </dgm:shape>
            <dgm:presOf/>
            <dgm:constrLst/>
            <dgm:ruleLst/>
          </dgm:layoutNode>
          <dgm:layoutNode name="spVertical3">
            <dgm:alg type="sp"/>
            <dgm:shape xmlns:r="http://schemas.openxmlformats.org/officeDocument/2006/relationships" r:blip="">
              <dgm:adjLst/>
            </dgm:shape>
            <dgm:presOf/>
            <dgm:constrLst/>
            <dgm:ruleLst/>
          </dgm:layoutNode>
          <dgm:choose name="Name11">
            <dgm:if name="Name12" axis="ch" ptType="node" func="cnt" op="gte" val="1">
              <dgm:layoutNode name="desTx" styleLbl="revTx">
                <dgm:varLst>
                  <dgm:bulletEnabled val="1"/>
                </dgm:varLst>
                <dgm:alg type="tx">
                  <dgm:param type="stBulletLvl" val="1"/>
                </dgm:alg>
                <dgm:shape xmlns:r="http://schemas.openxmlformats.org/officeDocument/2006/relationships" type="rect" r:blip="">
                  <dgm:adjLst/>
                </dgm:shape>
                <dgm:presOf axis="des" ptType="node"/>
                <dgm:constrLst>
                  <dgm:constr type="tMarg"/>
                  <dgm:constr type="bMarg"/>
                  <dgm:constr type="rMarg"/>
                  <dgm:constr type="lMarg"/>
                </dgm:constrLst>
                <dgm:ruleLst>
                  <dgm:rule type="h" val="INF" fact="NaN" max="NaN"/>
                </dgm:ruleLst>
              </dgm:layoutNode>
            </dgm:if>
            <dgm:else name="Name13"/>
          </dgm:choose>
        </dgm:layoutNode>
        <dgm:forEach name="Name14" axis="followSib" ptType="sibTrans" cnt="1">
          <dgm:layoutNode name="space">
            <dgm:alg type="sp"/>
            <dgm:shape xmlns:r="http://schemas.openxmlformats.org/officeDocument/2006/relationships" r:blip="">
              <dgm:adjLst/>
            </dgm:shape>
            <dgm:presOf/>
            <dgm:constrLst/>
            <dgm:ruleLst/>
          </dgm:layoutNode>
        </dgm:forEach>
      </dgm:forEach>
      <dgm:layoutNode name="padding2">
        <dgm:alg type="sp"/>
        <dgm:shape xmlns:r="http://schemas.openxmlformats.org/officeDocument/2006/relationships" r:blip="">
          <dgm:adjLst/>
        </dgm:shape>
        <dgm:presOf/>
        <dgm:constrLst/>
        <dgm:ruleLst/>
      </dgm:layoutNode>
      <dgm:layoutNode name="negArrow">
        <dgm:alg type="sp"/>
        <dgm:shape xmlns:r="http://schemas.openxmlformats.org/officeDocument/2006/relationships" r:blip="">
          <dgm:adjLst/>
        </dgm:shape>
        <dgm:presOf/>
        <dgm:constrLst/>
        <dgm:ruleLst/>
      </dgm:layoutNode>
      <dgm:layoutNode name="backgroundArrow" styleLbl="node1">
        <dgm:alg type="sp"/>
        <dgm:choose name="Name15">
          <dgm:if name="Name16" func="var" arg="dir" op="equ" val="norm">
            <dgm:shape xmlns:r="http://schemas.openxmlformats.org/officeDocument/2006/relationships" type="rightArrow" r:blip="">
              <dgm:adjLst/>
            </dgm:shape>
          </dgm:if>
          <dgm:else name="Name17">
            <dgm:shape xmlns:r="http://schemas.openxmlformats.org/officeDocument/2006/relationships" type="leftArrow" r:blip="">
              <dgm:adjLst/>
            </dgm:shape>
          </dgm:else>
        </dgm:choose>
        <dgm:presOf/>
        <dgm:constrLst/>
        <dgm:ruleLst/>
      </dgm:layoutNode>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7</xdr:col>
      <xdr:colOff>156632</xdr:colOff>
      <xdr:row>22</xdr:row>
      <xdr:rowOff>120486</xdr:rowOff>
    </xdr:from>
    <xdr:to>
      <xdr:col>12</xdr:col>
      <xdr:colOff>1032932</xdr:colOff>
      <xdr:row>35</xdr:row>
      <xdr:rowOff>135467</xdr:rowOff>
    </xdr:to>
    <xdr:graphicFrame macro="">
      <xdr:nvGraphicFramePr>
        <xdr:cNvPr id="2" name="Diagramm 5">
          <a:extLst>
            <a:ext uri="{FF2B5EF4-FFF2-40B4-BE49-F238E27FC236}">
              <a16:creationId xmlns:a16="http://schemas.microsoft.com/office/drawing/2014/main" id="{F15C949F-32BA-9A4B-B9C1-C66461A5A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165100</xdr:colOff>
      <xdr:row>38</xdr:row>
      <xdr:rowOff>66129</xdr:rowOff>
    </xdr:from>
    <xdr:to>
      <xdr:col>13</xdr:col>
      <xdr:colOff>309033</xdr:colOff>
      <xdr:row>44</xdr:row>
      <xdr:rowOff>20729</xdr:rowOff>
    </xdr:to>
    <xdr:graphicFrame macro="">
      <xdr:nvGraphicFramePr>
        <xdr:cNvPr id="3" name="Diagram 2">
          <a:extLst>
            <a:ext uri="{FF2B5EF4-FFF2-40B4-BE49-F238E27FC236}">
              <a16:creationId xmlns:a16="http://schemas.microsoft.com/office/drawing/2014/main" id="{8DDF4033-B1F3-1E4F-86A5-27ADC544B15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8ABAB-5AE5-8C44-B6A9-7327D781A006}">
  <dimension ref="B1:BN83"/>
  <sheetViews>
    <sheetView showGridLines="0" tabSelected="1" zoomScale="94" zoomScaleNormal="125" workbookViewId="0">
      <selection activeCell="E18" sqref="E18"/>
    </sheetView>
  </sheetViews>
  <sheetFormatPr baseColWidth="10" defaultColWidth="9.1640625" defaultRowHeight="14" x14ac:dyDescent="0.2"/>
  <cols>
    <col min="1" max="1" width="2.33203125" style="1" customWidth="1"/>
    <col min="2" max="2" width="31" style="1" bestFit="1" customWidth="1"/>
    <col min="3" max="3" width="24.1640625" style="1" customWidth="1"/>
    <col min="4" max="4" width="2.33203125" style="1" customWidth="1"/>
    <col min="5" max="5" width="51" style="1" bestFit="1" customWidth="1"/>
    <col min="6" max="6" width="11.6640625" style="1" customWidth="1"/>
    <col min="7" max="7" width="2.33203125" style="1" customWidth="1"/>
    <col min="8" max="8" width="25.83203125" style="1" bestFit="1" customWidth="1"/>
    <col min="9" max="9" width="7.83203125" style="1" bestFit="1" customWidth="1"/>
    <col min="10" max="11" width="7.5" style="1" bestFit="1" customWidth="1"/>
    <col min="12" max="12" width="10.83203125" style="1" customWidth="1"/>
    <col min="13" max="13" width="16.5" style="1" customWidth="1"/>
    <col min="14" max="14" width="8.5" style="1" bestFit="1" customWidth="1"/>
    <col min="15" max="15" width="62.1640625" style="1" customWidth="1"/>
    <col min="16" max="16" width="12.83203125" style="1" customWidth="1"/>
    <col min="17" max="66" width="10.83203125" style="1" customWidth="1"/>
    <col min="67" max="75" width="10.33203125" style="1" customWidth="1"/>
    <col min="76" max="16384" width="9.1640625" style="1"/>
  </cols>
  <sheetData>
    <row r="1" spans="2:26" ht="15" thickBot="1" x14ac:dyDescent="0.25"/>
    <row r="2" spans="2:26" ht="15.75" customHeight="1" x14ac:dyDescent="0.2">
      <c r="B2" s="2" t="s">
        <v>0</v>
      </c>
      <c r="C2" s="3"/>
      <c r="E2" s="2" t="s">
        <v>1</v>
      </c>
      <c r="F2" s="3"/>
      <c r="H2" s="2" t="s">
        <v>2</v>
      </c>
      <c r="I2" s="4"/>
    </row>
    <row r="3" spans="2:26" x14ac:dyDescent="0.2">
      <c r="B3" s="5" t="s">
        <v>3</v>
      </c>
      <c r="C3" s="6">
        <v>2000</v>
      </c>
      <c r="E3" s="5" t="s">
        <v>4</v>
      </c>
      <c r="F3" s="7">
        <v>115000</v>
      </c>
      <c r="H3" s="8" t="s">
        <v>5</v>
      </c>
      <c r="I3" s="9">
        <f>F25/F6</f>
        <v>7.3511837655016912E-2</v>
      </c>
    </row>
    <row r="4" spans="2:26" ht="15" x14ac:dyDescent="0.2">
      <c r="B4" s="5" t="s">
        <v>6</v>
      </c>
      <c r="C4" s="10" t="s">
        <v>7</v>
      </c>
      <c r="E4" s="8" t="s">
        <v>8</v>
      </c>
      <c r="F4" s="7">
        <f>C24</f>
        <v>15050</v>
      </c>
      <c r="H4" s="8" t="s">
        <v>9</v>
      </c>
      <c r="I4" s="9">
        <f>(F25-F26-F27)/F8</f>
        <v>8.7591362126245853E-2</v>
      </c>
    </row>
    <row r="5" spans="2:26" x14ac:dyDescent="0.2">
      <c r="B5" s="5" t="s">
        <v>10</v>
      </c>
      <c r="C5" s="6" t="s">
        <v>11</v>
      </c>
      <c r="E5" s="5" t="s">
        <v>12</v>
      </c>
      <c r="F5" s="7">
        <v>3000</v>
      </c>
      <c r="H5" s="8" t="s">
        <v>13</v>
      </c>
      <c r="I5" s="11">
        <f>(F25*0.75)/F7</f>
        <v>6.2165783898305085E-2</v>
      </c>
    </row>
    <row r="6" spans="2:26" x14ac:dyDescent="0.2">
      <c r="B6" s="5" t="s">
        <v>14</v>
      </c>
      <c r="C6" s="12">
        <v>115</v>
      </c>
      <c r="E6" s="8" t="s">
        <v>15</v>
      </c>
      <c r="F6" s="7">
        <f>F3+F4+F5</f>
        <v>133050</v>
      </c>
      <c r="H6" s="13" t="s">
        <v>16</v>
      </c>
      <c r="I6" s="11">
        <f>F36/F6*10</f>
        <v>1.6893789928598281E-3</v>
      </c>
    </row>
    <row r="7" spans="2:26" x14ac:dyDescent="0.2">
      <c r="B7" s="5" t="s">
        <v>17</v>
      </c>
      <c r="C7" s="6">
        <v>115</v>
      </c>
      <c r="E7" s="8" t="s">
        <v>18</v>
      </c>
      <c r="F7" s="7">
        <f>F6-F8</f>
        <v>118000</v>
      </c>
      <c r="H7" s="13" t="s">
        <v>19</v>
      </c>
      <c r="I7" s="11">
        <f>(F35/F6)</f>
        <v>2.0272547914317938E-3</v>
      </c>
    </row>
    <row r="8" spans="2:26" ht="15" thickBot="1" x14ac:dyDescent="0.25">
      <c r="B8" s="5" t="s">
        <v>20</v>
      </c>
      <c r="C8" s="14">
        <v>100</v>
      </c>
      <c r="E8" s="15" t="s">
        <v>21</v>
      </c>
      <c r="F8" s="16">
        <f>C24</f>
        <v>15050</v>
      </c>
      <c r="H8" s="13" t="s">
        <v>22</v>
      </c>
      <c r="I8" s="17">
        <f>F5*0.11/12</f>
        <v>27.5</v>
      </c>
    </row>
    <row r="9" spans="2:26" ht="15" thickBot="1" x14ac:dyDescent="0.25">
      <c r="B9" s="15" t="s">
        <v>23</v>
      </c>
      <c r="C9" s="18">
        <f>C7*C8</f>
        <v>11500</v>
      </c>
      <c r="H9" s="8" t="s">
        <v>24</v>
      </c>
      <c r="I9" s="7">
        <f>F3/C6</f>
        <v>1000</v>
      </c>
    </row>
    <row r="10" spans="2:26" ht="15" thickBot="1" x14ac:dyDescent="0.25">
      <c r="B10" s="19"/>
      <c r="C10" s="20"/>
      <c r="E10" s="2" t="s">
        <v>25</v>
      </c>
      <c r="F10" s="3"/>
      <c r="H10" s="15" t="s">
        <v>26</v>
      </c>
      <c r="I10" s="16">
        <f>(F3+F5)/C6</f>
        <v>1026.0869565217392</v>
      </c>
    </row>
    <row r="11" spans="2:26" x14ac:dyDescent="0.2">
      <c r="B11" s="2" t="s">
        <v>27</v>
      </c>
      <c r="C11" s="21"/>
      <c r="E11" s="5" t="s">
        <v>28</v>
      </c>
      <c r="F11" s="22">
        <v>6.75</v>
      </c>
    </row>
    <row r="12" spans="2:26" x14ac:dyDescent="0.2">
      <c r="B12" s="5" t="s">
        <v>29</v>
      </c>
      <c r="C12" s="23">
        <v>4.7500000000000001E-2</v>
      </c>
      <c r="E12" s="5" t="s">
        <v>30</v>
      </c>
      <c r="F12" s="24">
        <v>1.05</v>
      </c>
    </row>
    <row r="13" spans="2:26" x14ac:dyDescent="0.2">
      <c r="B13" s="5" t="s">
        <v>31</v>
      </c>
      <c r="C13" s="23">
        <v>0.01</v>
      </c>
      <c r="E13" s="8" t="s">
        <v>32</v>
      </c>
      <c r="F13" s="22">
        <f>F12*F11</f>
        <v>7.0875000000000004</v>
      </c>
    </row>
    <row r="14" spans="2:26" ht="15" thickBot="1" x14ac:dyDescent="0.25">
      <c r="B14" s="8" t="s">
        <v>33</v>
      </c>
      <c r="C14" s="25">
        <v>0.02</v>
      </c>
      <c r="E14" s="15" t="s">
        <v>34</v>
      </c>
      <c r="F14" s="26">
        <f>F13*C6</f>
        <v>815.0625</v>
      </c>
    </row>
    <row r="15" spans="2:26" ht="17" thickBot="1" x14ac:dyDescent="0.3">
      <c r="B15" s="5" t="s">
        <v>35</v>
      </c>
      <c r="C15" s="27">
        <v>0.25</v>
      </c>
      <c r="Z15" s="28"/>
    </row>
    <row r="16" spans="2:26" ht="15" thickBot="1" x14ac:dyDescent="0.25">
      <c r="B16" s="29" t="s">
        <v>36</v>
      </c>
      <c r="C16" s="30">
        <v>0.02</v>
      </c>
      <c r="E16" s="2" t="s">
        <v>37</v>
      </c>
      <c r="F16" s="4"/>
      <c r="H16" s="31" t="s">
        <v>38</v>
      </c>
      <c r="I16" s="32"/>
      <c r="J16" s="32"/>
      <c r="K16" s="32"/>
      <c r="L16" s="32"/>
      <c r="M16" s="32"/>
      <c r="N16" s="3"/>
    </row>
    <row r="17" spans="2:66" ht="16" thickBot="1" x14ac:dyDescent="0.25">
      <c r="E17" s="5" t="s">
        <v>39</v>
      </c>
      <c r="F17" s="33"/>
      <c r="H17" s="34"/>
      <c r="I17" s="35" t="s">
        <v>40</v>
      </c>
      <c r="J17" s="35" t="s">
        <v>41</v>
      </c>
      <c r="K17" s="35" t="s">
        <v>42</v>
      </c>
      <c r="L17" s="36" t="s">
        <v>37</v>
      </c>
      <c r="M17" s="36" t="str">
        <f>E30</f>
        <v>Steuern im ersten Jahr, vor den weiteren Ausgaben aus der langen Tabelle</v>
      </c>
      <c r="N17" s="37" t="s">
        <v>43</v>
      </c>
      <c r="O17" s="38"/>
    </row>
    <row r="18" spans="2:66" ht="15" x14ac:dyDescent="0.2">
      <c r="B18" s="2" t="s">
        <v>8</v>
      </c>
      <c r="C18" s="21"/>
      <c r="E18" s="8" t="s">
        <v>44</v>
      </c>
      <c r="F18" s="33">
        <f>C6*8.5</f>
        <v>977.5</v>
      </c>
      <c r="H18" s="39" t="s">
        <v>45</v>
      </c>
      <c r="I18" s="36">
        <f>F25</f>
        <v>9780.75</v>
      </c>
      <c r="J18" s="35"/>
      <c r="K18" s="35"/>
      <c r="L18" s="35"/>
      <c r="M18" s="35"/>
      <c r="N18" s="37"/>
      <c r="O18" s="38"/>
    </row>
    <row r="19" spans="2:66" ht="16" thickBot="1" x14ac:dyDescent="0.25">
      <c r="B19" s="5" t="s">
        <v>46</v>
      </c>
      <c r="C19" s="25">
        <v>0.02</v>
      </c>
      <c r="E19" s="40" t="s">
        <v>47</v>
      </c>
      <c r="F19" s="33">
        <f>C6*1*12</f>
        <v>1380</v>
      </c>
      <c r="H19" s="41" t="s">
        <v>48</v>
      </c>
      <c r="I19" s="42"/>
      <c r="J19" s="43">
        <f>F27</f>
        <v>5605</v>
      </c>
      <c r="K19" s="43">
        <f>F28</f>
        <v>1180</v>
      </c>
      <c r="L19" s="43">
        <f>F26</f>
        <v>2857.5</v>
      </c>
      <c r="M19" s="43">
        <f>F30</f>
        <v>-327.09124999999995</v>
      </c>
      <c r="N19" s="16">
        <f>F18</f>
        <v>977.5</v>
      </c>
      <c r="O19" s="38"/>
    </row>
    <row r="20" spans="2:66" ht="15" x14ac:dyDescent="0.2">
      <c r="B20" s="5" t="s">
        <v>49</v>
      </c>
      <c r="C20" s="25">
        <v>0.01</v>
      </c>
      <c r="E20" s="8" t="s">
        <v>50</v>
      </c>
      <c r="F20" s="33">
        <f>500</f>
        <v>500</v>
      </c>
      <c r="O20" s="38"/>
    </row>
    <row r="21" spans="2:66" ht="16" thickBot="1" x14ac:dyDescent="0.25">
      <c r="B21" s="5" t="s">
        <v>51</v>
      </c>
      <c r="C21" s="25">
        <v>6.5000000000000002E-2</v>
      </c>
      <c r="E21" s="8" t="s">
        <v>52</v>
      </c>
      <c r="F21" s="33">
        <v>0</v>
      </c>
      <c r="N21" s="38"/>
    </row>
    <row r="22" spans="2:66" ht="16" thickBot="1" x14ac:dyDescent="0.25">
      <c r="B22" s="5" t="s">
        <v>53</v>
      </c>
      <c r="C22" s="23">
        <v>3.5000000000000003E-2</v>
      </c>
      <c r="E22" s="44" t="s">
        <v>54</v>
      </c>
      <c r="F22" s="45">
        <f>SUM(F18:F21)</f>
        <v>2857.5</v>
      </c>
      <c r="H22" s="46" t="s">
        <v>55</v>
      </c>
      <c r="I22" s="47"/>
      <c r="J22" s="47"/>
      <c r="K22" s="47"/>
      <c r="L22" s="47"/>
      <c r="M22" s="48"/>
      <c r="N22" s="38"/>
    </row>
    <row r="23" spans="2:66" ht="16" thickBot="1" x14ac:dyDescent="0.25">
      <c r="B23" s="5" t="s">
        <v>56</v>
      </c>
      <c r="C23" s="14">
        <v>100</v>
      </c>
      <c r="H23" s="49"/>
      <c r="M23" s="50"/>
      <c r="N23" s="38"/>
    </row>
    <row r="24" spans="2:66" ht="16" thickBot="1" x14ac:dyDescent="0.25">
      <c r="B24" s="51" t="s">
        <v>54</v>
      </c>
      <c r="C24" s="52">
        <f>(C19+C20+C21+C22)*F3+C23</f>
        <v>15050</v>
      </c>
      <c r="D24" s="53"/>
      <c r="E24" s="2" t="s">
        <v>57</v>
      </c>
      <c r="F24" s="4"/>
      <c r="H24" s="49"/>
      <c r="M24" s="50"/>
      <c r="N24" s="38"/>
    </row>
    <row r="25" spans="2:66" ht="16" thickBot="1" x14ac:dyDescent="0.25">
      <c r="D25" s="53"/>
      <c r="E25" s="8" t="s">
        <v>58</v>
      </c>
      <c r="F25" s="54">
        <f>F14*12</f>
        <v>9780.75</v>
      </c>
      <c r="H25" s="49"/>
      <c r="M25" s="50"/>
      <c r="N25" s="38"/>
    </row>
    <row r="26" spans="2:66" ht="16" thickBot="1" x14ac:dyDescent="0.25">
      <c r="B26" s="55"/>
      <c r="C26" s="55"/>
      <c r="D26" s="53"/>
      <c r="E26" s="8" t="s">
        <v>59</v>
      </c>
      <c r="F26" s="56">
        <f>F22</f>
        <v>2857.5</v>
      </c>
      <c r="H26" s="49"/>
      <c r="M26" s="50"/>
      <c r="N26" s="38"/>
      <c r="O26" s="46" t="s">
        <v>60</v>
      </c>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8"/>
    </row>
    <row r="27" spans="2:66" ht="20" thickBot="1" x14ac:dyDescent="0.3">
      <c r="B27" s="59" t="s">
        <v>61</v>
      </c>
      <c r="C27" s="55"/>
      <c r="D27" s="53"/>
      <c r="E27" s="8" t="s">
        <v>62</v>
      </c>
      <c r="F27" s="7">
        <f>C12*F7</f>
        <v>5605</v>
      </c>
      <c r="H27" s="49"/>
      <c r="M27" s="50"/>
      <c r="N27" s="38"/>
      <c r="O27" s="60" t="s">
        <v>63</v>
      </c>
      <c r="P27" s="61"/>
      <c r="Q27" s="61"/>
      <c r="R27" s="61"/>
      <c r="S27" s="61"/>
      <c r="T27" s="61"/>
      <c r="U27" s="61"/>
      <c r="V27" s="61"/>
      <c r="BN27" s="50"/>
    </row>
    <row r="28" spans="2:66" ht="16" thickBot="1" x14ac:dyDescent="0.25">
      <c r="B28" s="55"/>
      <c r="C28" s="55"/>
      <c r="E28" s="8" t="s">
        <v>64</v>
      </c>
      <c r="F28" s="7">
        <f>C13*F7</f>
        <v>1180</v>
      </c>
      <c r="H28" s="49"/>
      <c r="M28" s="50"/>
      <c r="N28" s="38"/>
      <c r="O28" s="62" t="s">
        <v>65</v>
      </c>
      <c r="P28" s="63" t="s">
        <v>66</v>
      </c>
      <c r="Q28" s="64">
        <v>1</v>
      </c>
      <c r="R28" s="65">
        <v>2</v>
      </c>
      <c r="S28" s="65">
        <v>3</v>
      </c>
      <c r="T28" s="65">
        <v>4</v>
      </c>
      <c r="U28" s="65">
        <v>5</v>
      </c>
      <c r="V28" s="65">
        <v>6</v>
      </c>
      <c r="W28" s="65">
        <v>7</v>
      </c>
      <c r="X28" s="65">
        <v>8</v>
      </c>
      <c r="Y28" s="65">
        <v>9</v>
      </c>
      <c r="Z28" s="65">
        <v>10</v>
      </c>
      <c r="AA28" s="65">
        <v>11</v>
      </c>
      <c r="AB28" s="65">
        <v>12</v>
      </c>
      <c r="AC28" s="65">
        <v>13</v>
      </c>
      <c r="AD28" s="65">
        <v>14</v>
      </c>
      <c r="AE28" s="65">
        <v>15</v>
      </c>
      <c r="AF28" s="65">
        <v>16</v>
      </c>
      <c r="AG28" s="65">
        <v>17</v>
      </c>
      <c r="AH28" s="65">
        <v>18</v>
      </c>
      <c r="AI28" s="65">
        <v>19</v>
      </c>
      <c r="AJ28" s="65">
        <v>20</v>
      </c>
      <c r="AK28" s="65">
        <v>21</v>
      </c>
      <c r="AL28" s="65">
        <v>22</v>
      </c>
      <c r="AM28" s="65">
        <v>23</v>
      </c>
      <c r="AN28" s="65">
        <v>24</v>
      </c>
      <c r="AO28" s="65">
        <v>25</v>
      </c>
      <c r="AP28" s="65">
        <v>26</v>
      </c>
      <c r="AQ28" s="65">
        <v>27</v>
      </c>
      <c r="AR28" s="65">
        <v>28</v>
      </c>
      <c r="AS28" s="65">
        <v>29</v>
      </c>
      <c r="AT28" s="65">
        <v>30</v>
      </c>
      <c r="AU28" s="65">
        <v>31</v>
      </c>
      <c r="AV28" s="65">
        <v>32</v>
      </c>
      <c r="AW28" s="65">
        <v>33</v>
      </c>
      <c r="AX28" s="65">
        <v>34</v>
      </c>
      <c r="AY28" s="65">
        <v>35</v>
      </c>
      <c r="AZ28" s="65">
        <v>36</v>
      </c>
      <c r="BA28" s="65">
        <v>37</v>
      </c>
      <c r="BB28" s="65">
        <v>38</v>
      </c>
      <c r="BC28" s="65">
        <v>39</v>
      </c>
      <c r="BD28" s="65">
        <v>40</v>
      </c>
      <c r="BE28" s="65">
        <v>41</v>
      </c>
      <c r="BF28" s="65">
        <v>42</v>
      </c>
      <c r="BG28" s="65">
        <v>43</v>
      </c>
      <c r="BH28" s="65">
        <v>44</v>
      </c>
      <c r="BI28" s="65">
        <v>45</v>
      </c>
      <c r="BJ28" s="65">
        <v>46</v>
      </c>
      <c r="BK28" s="65">
        <v>47</v>
      </c>
      <c r="BL28" s="65">
        <v>48</v>
      </c>
      <c r="BM28" s="65">
        <v>49</v>
      </c>
      <c r="BN28" s="66">
        <v>50</v>
      </c>
    </row>
    <row r="29" spans="2:66" ht="15" x14ac:dyDescent="0.2">
      <c r="B29" s="55"/>
      <c r="C29" s="55"/>
      <c r="E29" s="8" t="s">
        <v>67</v>
      </c>
      <c r="F29" s="7">
        <f>(F6-C9)*C14</f>
        <v>2431</v>
      </c>
      <c r="H29" s="49"/>
      <c r="M29" s="50"/>
      <c r="N29" s="38"/>
      <c r="O29" s="67" t="s">
        <v>68</v>
      </c>
      <c r="P29" s="68">
        <v>1.0249999999999999</v>
      </c>
      <c r="Q29" s="69">
        <f>F25*(1-C16)</f>
        <v>9585.1350000000002</v>
      </c>
      <c r="R29" s="70">
        <f t="shared" ref="R29:AW29" si="0">$P$29*Q$29</f>
        <v>9824.7633749999986</v>
      </c>
      <c r="S29" s="70">
        <f t="shared" si="0"/>
        <v>10070.382459374998</v>
      </c>
      <c r="T29" s="70">
        <f t="shared" si="0"/>
        <v>10322.142020859372</v>
      </c>
      <c r="U29" s="70">
        <f t="shared" si="0"/>
        <v>10580.195571380855</v>
      </c>
      <c r="V29" s="70">
        <f t="shared" si="0"/>
        <v>10844.700460665375</v>
      </c>
      <c r="W29" s="70">
        <f t="shared" si="0"/>
        <v>11115.817972182009</v>
      </c>
      <c r="X29" s="70">
        <f t="shared" si="0"/>
        <v>11393.713421486558</v>
      </c>
      <c r="Y29" s="70">
        <f t="shared" si="0"/>
        <v>11678.556257023722</v>
      </c>
      <c r="Z29" s="70">
        <f t="shared" si="0"/>
        <v>11970.520163449313</v>
      </c>
      <c r="AA29" s="70">
        <f t="shared" si="0"/>
        <v>12269.783167535545</v>
      </c>
      <c r="AB29" s="70">
        <f t="shared" si="0"/>
        <v>12576.527746723932</v>
      </c>
      <c r="AC29" s="70">
        <f t="shared" si="0"/>
        <v>12890.940940392029</v>
      </c>
      <c r="AD29" s="70">
        <f t="shared" si="0"/>
        <v>13213.214463901828</v>
      </c>
      <c r="AE29" s="70">
        <f t="shared" si="0"/>
        <v>13543.544825499372</v>
      </c>
      <c r="AF29" s="70">
        <f t="shared" si="0"/>
        <v>13882.133446136855</v>
      </c>
      <c r="AG29" s="70">
        <f t="shared" si="0"/>
        <v>14229.186782290275</v>
      </c>
      <c r="AH29" s="70">
        <f t="shared" si="0"/>
        <v>14584.91645184753</v>
      </c>
      <c r="AI29" s="70">
        <f t="shared" si="0"/>
        <v>14949.539363143716</v>
      </c>
      <c r="AJ29" s="70">
        <f t="shared" si="0"/>
        <v>15323.277847222307</v>
      </c>
      <c r="AK29" s="70">
        <f t="shared" si="0"/>
        <v>15706.359793402864</v>
      </c>
      <c r="AL29" s="70">
        <f t="shared" si="0"/>
        <v>16099.018788237934</v>
      </c>
      <c r="AM29" s="70">
        <f t="shared" si="0"/>
        <v>16501.494257943879</v>
      </c>
      <c r="AN29" s="70">
        <f t="shared" si="0"/>
        <v>16914.031614392476</v>
      </c>
      <c r="AO29" s="70">
        <f t="shared" si="0"/>
        <v>17336.882404752287</v>
      </c>
      <c r="AP29" s="70">
        <f t="shared" si="0"/>
        <v>17770.304464871093</v>
      </c>
      <c r="AQ29" s="70">
        <f t="shared" si="0"/>
        <v>18214.562076492868</v>
      </c>
      <c r="AR29" s="70">
        <f t="shared" si="0"/>
        <v>18669.92612840519</v>
      </c>
      <c r="AS29" s="70">
        <f t="shared" si="0"/>
        <v>19136.674281615316</v>
      </c>
      <c r="AT29" s="70">
        <f t="shared" si="0"/>
        <v>19615.091138655698</v>
      </c>
      <c r="AU29" s="70">
        <f t="shared" si="0"/>
        <v>20105.468417122091</v>
      </c>
      <c r="AV29" s="70">
        <f t="shared" si="0"/>
        <v>20608.105127550141</v>
      </c>
      <c r="AW29" s="70">
        <f t="shared" si="0"/>
        <v>21123.307755738893</v>
      </c>
      <c r="AX29" s="70">
        <f t="shared" ref="AX29:BN29" si="1">$P$29*AW$29</f>
        <v>21651.390449632363</v>
      </c>
      <c r="AY29" s="70">
        <f t="shared" si="1"/>
        <v>22192.675210873171</v>
      </c>
      <c r="AZ29" s="70">
        <f t="shared" si="1"/>
        <v>22747.492091144999</v>
      </c>
      <c r="BA29" s="70">
        <f t="shared" si="1"/>
        <v>23316.179393423623</v>
      </c>
      <c r="BB29" s="70">
        <f t="shared" si="1"/>
        <v>23899.083878259211</v>
      </c>
      <c r="BC29" s="70">
        <f t="shared" si="1"/>
        <v>24496.560975215689</v>
      </c>
      <c r="BD29" s="70">
        <f t="shared" si="1"/>
        <v>25108.974999596077</v>
      </c>
      <c r="BE29" s="70">
        <f t="shared" si="1"/>
        <v>25736.699374585976</v>
      </c>
      <c r="BF29" s="70">
        <f t="shared" si="1"/>
        <v>26380.116858950623</v>
      </c>
      <c r="BG29" s="70">
        <f t="shared" si="1"/>
        <v>27039.619780424386</v>
      </c>
      <c r="BH29" s="70">
        <f t="shared" si="1"/>
        <v>27715.610274934992</v>
      </c>
      <c r="BI29" s="70">
        <f t="shared" si="1"/>
        <v>28408.500531808364</v>
      </c>
      <c r="BJ29" s="70">
        <f t="shared" si="1"/>
        <v>29118.71304510357</v>
      </c>
      <c r="BK29" s="70">
        <f t="shared" si="1"/>
        <v>29846.680871231158</v>
      </c>
      <c r="BL29" s="70">
        <f t="shared" si="1"/>
        <v>30592.847893011935</v>
      </c>
      <c r="BM29" s="70">
        <f t="shared" si="1"/>
        <v>31357.669090337229</v>
      </c>
      <c r="BN29" s="71">
        <f t="shared" si="1"/>
        <v>32141.610817595658</v>
      </c>
    </row>
    <row r="30" spans="2:66" ht="15" x14ac:dyDescent="0.2">
      <c r="E30" s="8" t="s">
        <v>69</v>
      </c>
      <c r="F30" s="7">
        <f>F34*C15</f>
        <v>-327.09124999999995</v>
      </c>
      <c r="G30" s="19"/>
      <c r="H30" s="49"/>
      <c r="M30" s="50"/>
      <c r="N30" s="38"/>
      <c r="O30" s="39" t="s">
        <v>70</v>
      </c>
      <c r="P30" s="72">
        <v>1.01</v>
      </c>
      <c r="Q30" s="73">
        <f>$F18</f>
        <v>977.5</v>
      </c>
      <c r="R30" s="36">
        <f t="shared" ref="R30:AW30" si="2">$P$30*Q$30</f>
        <v>987.27499999999998</v>
      </c>
      <c r="S30" s="36">
        <f t="shared" si="2"/>
        <v>997.14774999999997</v>
      </c>
      <c r="T30" s="36">
        <f t="shared" si="2"/>
        <v>1007.1192275</v>
      </c>
      <c r="U30" s="36">
        <f t="shared" si="2"/>
        <v>1017.190419775</v>
      </c>
      <c r="V30" s="36">
        <f t="shared" si="2"/>
        <v>1027.3623239727501</v>
      </c>
      <c r="W30" s="36">
        <f t="shared" si="2"/>
        <v>1037.6359472124777</v>
      </c>
      <c r="X30" s="36">
        <f t="shared" si="2"/>
        <v>1048.0123066846024</v>
      </c>
      <c r="Y30" s="36">
        <f t="shared" si="2"/>
        <v>1058.4924297514485</v>
      </c>
      <c r="Z30" s="36">
        <f t="shared" si="2"/>
        <v>1069.0773540489631</v>
      </c>
      <c r="AA30" s="36">
        <f t="shared" si="2"/>
        <v>1079.7681275894527</v>
      </c>
      <c r="AB30" s="36">
        <f t="shared" si="2"/>
        <v>1090.5658088653472</v>
      </c>
      <c r="AC30" s="36">
        <f t="shared" si="2"/>
        <v>1101.4714669540008</v>
      </c>
      <c r="AD30" s="36">
        <f t="shared" si="2"/>
        <v>1112.4861816235409</v>
      </c>
      <c r="AE30" s="36">
        <f t="shared" si="2"/>
        <v>1123.6110434397763</v>
      </c>
      <c r="AF30" s="36">
        <f t="shared" si="2"/>
        <v>1134.847153874174</v>
      </c>
      <c r="AG30" s="36">
        <f t="shared" si="2"/>
        <v>1146.1956254129157</v>
      </c>
      <c r="AH30" s="36">
        <f t="shared" si="2"/>
        <v>1157.6575816670447</v>
      </c>
      <c r="AI30" s="36">
        <f t="shared" si="2"/>
        <v>1169.2341574837151</v>
      </c>
      <c r="AJ30" s="36">
        <f t="shared" si="2"/>
        <v>1180.9264990585523</v>
      </c>
      <c r="AK30" s="36">
        <f t="shared" si="2"/>
        <v>1192.7357640491377</v>
      </c>
      <c r="AL30" s="36">
        <f t="shared" si="2"/>
        <v>1204.6631216896292</v>
      </c>
      <c r="AM30" s="36">
        <f t="shared" si="2"/>
        <v>1216.7097529065254</v>
      </c>
      <c r="AN30" s="36">
        <f t="shared" si="2"/>
        <v>1228.8768504355908</v>
      </c>
      <c r="AO30" s="36">
        <f t="shared" si="2"/>
        <v>1241.1656189399466</v>
      </c>
      <c r="AP30" s="36">
        <f t="shared" si="2"/>
        <v>1253.5772751293462</v>
      </c>
      <c r="AQ30" s="36">
        <f t="shared" si="2"/>
        <v>1266.1130478806397</v>
      </c>
      <c r="AR30" s="36">
        <f t="shared" si="2"/>
        <v>1278.7741783594461</v>
      </c>
      <c r="AS30" s="36">
        <f t="shared" si="2"/>
        <v>1291.5619201430407</v>
      </c>
      <c r="AT30" s="36">
        <f t="shared" si="2"/>
        <v>1304.4775393444711</v>
      </c>
      <c r="AU30" s="36">
        <f t="shared" si="2"/>
        <v>1317.5223147379158</v>
      </c>
      <c r="AV30" s="36">
        <f t="shared" si="2"/>
        <v>1330.6975378852951</v>
      </c>
      <c r="AW30" s="36">
        <f t="shared" si="2"/>
        <v>1344.004513264148</v>
      </c>
      <c r="AX30" s="36">
        <f t="shared" ref="AX30:BN30" si="3">$P$30*AW$30</f>
        <v>1357.4445583967895</v>
      </c>
      <c r="AY30" s="36">
        <f t="shared" si="3"/>
        <v>1371.0190039807574</v>
      </c>
      <c r="AZ30" s="36">
        <f t="shared" si="3"/>
        <v>1384.729194020565</v>
      </c>
      <c r="BA30" s="36">
        <f t="shared" si="3"/>
        <v>1398.5764859607707</v>
      </c>
      <c r="BB30" s="36">
        <f t="shared" si="3"/>
        <v>1412.5622508203785</v>
      </c>
      <c r="BC30" s="36">
        <f t="shared" si="3"/>
        <v>1426.6878733285823</v>
      </c>
      <c r="BD30" s="36">
        <f t="shared" si="3"/>
        <v>1440.9547520618682</v>
      </c>
      <c r="BE30" s="36">
        <f t="shared" si="3"/>
        <v>1455.3642995824869</v>
      </c>
      <c r="BF30" s="36">
        <f t="shared" si="3"/>
        <v>1469.9179425783118</v>
      </c>
      <c r="BG30" s="36">
        <f t="shared" si="3"/>
        <v>1484.6171220040949</v>
      </c>
      <c r="BH30" s="36">
        <f t="shared" si="3"/>
        <v>1499.4632932241359</v>
      </c>
      <c r="BI30" s="36">
        <f t="shared" si="3"/>
        <v>1514.4579261563772</v>
      </c>
      <c r="BJ30" s="36">
        <f t="shared" si="3"/>
        <v>1529.6025054179411</v>
      </c>
      <c r="BK30" s="36">
        <f t="shared" si="3"/>
        <v>1544.8985304721205</v>
      </c>
      <c r="BL30" s="36">
        <f t="shared" si="3"/>
        <v>1560.3475157768416</v>
      </c>
      <c r="BM30" s="36">
        <f t="shared" si="3"/>
        <v>1575.95099093461</v>
      </c>
      <c r="BN30" s="7">
        <f t="shared" si="3"/>
        <v>1591.7105008439562</v>
      </c>
    </row>
    <row r="31" spans="2:66" ht="16" thickBot="1" x14ac:dyDescent="0.25">
      <c r="G31" s="19"/>
      <c r="H31" s="49"/>
      <c r="M31" s="50"/>
      <c r="N31" s="38"/>
      <c r="O31" s="39" t="s">
        <v>71</v>
      </c>
      <c r="P31" s="72">
        <v>1.0149999999999999</v>
      </c>
      <c r="Q31" s="73">
        <f>F19</f>
        <v>1380</v>
      </c>
      <c r="R31" s="74">
        <f t="shared" ref="R31:AW31" si="4">$P$31*Q$31</f>
        <v>1400.6999999999998</v>
      </c>
      <c r="S31" s="74">
        <f t="shared" si="4"/>
        <v>1421.7104999999997</v>
      </c>
      <c r="T31" s="74">
        <f t="shared" si="4"/>
        <v>1443.0361574999995</v>
      </c>
      <c r="U31" s="74">
        <f t="shared" si="4"/>
        <v>1464.6816998624993</v>
      </c>
      <c r="V31" s="74">
        <f t="shared" si="4"/>
        <v>1486.6519253604365</v>
      </c>
      <c r="W31" s="74">
        <f t="shared" si="4"/>
        <v>1508.9517042408429</v>
      </c>
      <c r="X31" s="74">
        <f t="shared" si="4"/>
        <v>1531.5859798044553</v>
      </c>
      <c r="Y31" s="74">
        <f t="shared" si="4"/>
        <v>1554.5597695015219</v>
      </c>
      <c r="Z31" s="74">
        <f t="shared" si="4"/>
        <v>1577.8781660440445</v>
      </c>
      <c r="AA31" s="74">
        <f t="shared" si="4"/>
        <v>1601.546338534705</v>
      </c>
      <c r="AB31" s="74">
        <f t="shared" si="4"/>
        <v>1625.5695336127253</v>
      </c>
      <c r="AC31" s="74">
        <f t="shared" si="4"/>
        <v>1649.953076616916</v>
      </c>
      <c r="AD31" s="74">
        <f t="shared" si="4"/>
        <v>1674.7023727661694</v>
      </c>
      <c r="AE31" s="74">
        <f t="shared" si="4"/>
        <v>1699.8229083576618</v>
      </c>
      <c r="AF31" s="74">
        <f t="shared" si="4"/>
        <v>1725.3202519830265</v>
      </c>
      <c r="AG31" s="74">
        <f t="shared" si="4"/>
        <v>1751.2000557627719</v>
      </c>
      <c r="AH31" s="74">
        <f t="shared" si="4"/>
        <v>1777.4680565992132</v>
      </c>
      <c r="AI31" s="74">
        <f t="shared" si="4"/>
        <v>1804.1300774482013</v>
      </c>
      <c r="AJ31" s="74">
        <f t="shared" si="4"/>
        <v>1831.1920286099241</v>
      </c>
      <c r="AK31" s="74">
        <f t="shared" si="4"/>
        <v>1858.6599090390728</v>
      </c>
      <c r="AL31" s="74">
        <f t="shared" si="4"/>
        <v>1886.5398076746587</v>
      </c>
      <c r="AM31" s="74">
        <f t="shared" si="4"/>
        <v>1914.8379047897783</v>
      </c>
      <c r="AN31" s="74">
        <f t="shared" si="4"/>
        <v>1943.5604733616249</v>
      </c>
      <c r="AO31" s="74">
        <f t="shared" si="4"/>
        <v>1972.713880462049</v>
      </c>
      <c r="AP31" s="74">
        <f t="shared" si="4"/>
        <v>2002.3045886689795</v>
      </c>
      <c r="AQ31" s="74">
        <f t="shared" si="4"/>
        <v>2032.3391574990139</v>
      </c>
      <c r="AR31" s="74">
        <f t="shared" si="4"/>
        <v>2062.8242448614988</v>
      </c>
      <c r="AS31" s="74">
        <f t="shared" si="4"/>
        <v>2093.7666085344208</v>
      </c>
      <c r="AT31" s="74">
        <f t="shared" si="4"/>
        <v>2125.1731076624369</v>
      </c>
      <c r="AU31" s="74">
        <f t="shared" si="4"/>
        <v>2157.0507042773734</v>
      </c>
      <c r="AV31" s="74">
        <f t="shared" si="4"/>
        <v>2189.4064648415338</v>
      </c>
      <c r="AW31" s="74">
        <f t="shared" si="4"/>
        <v>2222.2475618141566</v>
      </c>
      <c r="AX31" s="74">
        <f t="shared" ref="AX31:BN31" si="5">$P$31*AW$31</f>
        <v>2255.5812752413685</v>
      </c>
      <c r="AY31" s="74">
        <f t="shared" si="5"/>
        <v>2289.414994369989</v>
      </c>
      <c r="AZ31" s="74">
        <f t="shared" si="5"/>
        <v>2323.7562192855385</v>
      </c>
      <c r="BA31" s="74">
        <f t="shared" si="5"/>
        <v>2358.6125625748214</v>
      </c>
      <c r="BB31" s="74">
        <f t="shared" si="5"/>
        <v>2393.9917510134433</v>
      </c>
      <c r="BC31" s="74">
        <f t="shared" si="5"/>
        <v>2429.9016272786448</v>
      </c>
      <c r="BD31" s="74">
        <f t="shared" si="5"/>
        <v>2466.3501516878241</v>
      </c>
      <c r="BE31" s="74">
        <f t="shared" si="5"/>
        <v>2503.3454039631411</v>
      </c>
      <c r="BF31" s="74">
        <f t="shared" si="5"/>
        <v>2540.895585022588</v>
      </c>
      <c r="BG31" s="74">
        <f t="shared" si="5"/>
        <v>2579.0090187979267</v>
      </c>
      <c r="BH31" s="74">
        <f t="shared" si="5"/>
        <v>2617.6941540798953</v>
      </c>
      <c r="BI31" s="74">
        <f t="shared" si="5"/>
        <v>2656.9595663910936</v>
      </c>
      <c r="BJ31" s="74">
        <f t="shared" si="5"/>
        <v>2696.8139598869598</v>
      </c>
      <c r="BK31" s="74">
        <f t="shared" si="5"/>
        <v>2737.2661692852639</v>
      </c>
      <c r="BL31" s="74">
        <f t="shared" si="5"/>
        <v>2778.3251618245426</v>
      </c>
      <c r="BM31" s="74">
        <f t="shared" si="5"/>
        <v>2820.0000392519105</v>
      </c>
      <c r="BN31" s="22">
        <f t="shared" si="5"/>
        <v>2862.3000398406889</v>
      </c>
    </row>
    <row r="32" spans="2:66" ht="15" x14ac:dyDescent="0.2">
      <c r="E32" s="2" t="s">
        <v>72</v>
      </c>
      <c r="F32" s="4"/>
      <c r="H32" s="49"/>
      <c r="M32" s="50"/>
      <c r="N32" s="38"/>
      <c r="O32" s="75" t="s">
        <v>73</v>
      </c>
      <c r="P32" s="76"/>
      <c r="Q32" s="77">
        <f t="shared" ref="Q32:AV32" si="6">Q$29-Q$30-Q$31</f>
        <v>7227.6350000000002</v>
      </c>
      <c r="R32" s="74">
        <f t="shared" si="6"/>
        <v>7436.7883749999992</v>
      </c>
      <c r="S32" s="74">
        <f t="shared" si="6"/>
        <v>7651.5242093749985</v>
      </c>
      <c r="T32" s="74">
        <f t="shared" si="6"/>
        <v>7871.9866358593727</v>
      </c>
      <c r="U32" s="74">
        <f t="shared" si="6"/>
        <v>8098.3234517433566</v>
      </c>
      <c r="V32" s="74">
        <f t="shared" si="6"/>
        <v>8330.6862113321895</v>
      </c>
      <c r="W32" s="74">
        <f t="shared" si="6"/>
        <v>8569.2303207286877</v>
      </c>
      <c r="X32" s="74">
        <f t="shared" si="6"/>
        <v>8814.1151349975007</v>
      </c>
      <c r="Y32" s="74">
        <f t="shared" si="6"/>
        <v>9065.5040577707514</v>
      </c>
      <c r="Z32" s="74">
        <f t="shared" si="6"/>
        <v>9323.5646433563052</v>
      </c>
      <c r="AA32" s="74">
        <f t="shared" si="6"/>
        <v>9588.4687014113879</v>
      </c>
      <c r="AB32" s="74">
        <f t="shared" si="6"/>
        <v>9860.3924042458602</v>
      </c>
      <c r="AC32" s="74">
        <f t="shared" si="6"/>
        <v>10139.516396821113</v>
      </c>
      <c r="AD32" s="74">
        <f t="shared" si="6"/>
        <v>10426.025909512118</v>
      </c>
      <c r="AE32" s="74">
        <f t="shared" si="6"/>
        <v>10720.110873701933</v>
      </c>
      <c r="AF32" s="74">
        <f t="shared" si="6"/>
        <v>11021.966040279654</v>
      </c>
      <c r="AG32" s="74">
        <f t="shared" si="6"/>
        <v>11331.791101114586</v>
      </c>
      <c r="AH32" s="74">
        <f t="shared" si="6"/>
        <v>11649.790813581272</v>
      </c>
      <c r="AI32" s="74">
        <f t="shared" si="6"/>
        <v>11976.1751282118</v>
      </c>
      <c r="AJ32" s="74">
        <f t="shared" si="6"/>
        <v>12311.15931955383</v>
      </c>
      <c r="AK32" s="74">
        <f t="shared" si="6"/>
        <v>12654.964120314653</v>
      </c>
      <c r="AL32" s="74">
        <f t="shared" si="6"/>
        <v>13007.815858873646</v>
      </c>
      <c r="AM32" s="74">
        <f t="shared" si="6"/>
        <v>13369.946600247576</v>
      </c>
      <c r="AN32" s="74">
        <f t="shared" si="6"/>
        <v>13741.59429059526</v>
      </c>
      <c r="AO32" s="74">
        <f t="shared" si="6"/>
        <v>14123.002905350291</v>
      </c>
      <c r="AP32" s="74">
        <f t="shared" si="6"/>
        <v>14514.422601072765</v>
      </c>
      <c r="AQ32" s="74">
        <f t="shared" si="6"/>
        <v>14916.109871113213</v>
      </c>
      <c r="AR32" s="74">
        <f t="shared" si="6"/>
        <v>15328.327705184245</v>
      </c>
      <c r="AS32" s="74">
        <f t="shared" si="6"/>
        <v>15751.345752937854</v>
      </c>
      <c r="AT32" s="74">
        <f t="shared" si="6"/>
        <v>16185.440491648789</v>
      </c>
      <c r="AU32" s="74">
        <f t="shared" si="6"/>
        <v>16630.895398106804</v>
      </c>
      <c r="AV32" s="74">
        <f t="shared" si="6"/>
        <v>17088.001124823313</v>
      </c>
      <c r="AW32" s="74">
        <f t="shared" ref="AW32:BN32" si="7">AW$29-AW$30-AW$31</f>
        <v>17557.055680660585</v>
      </c>
      <c r="AX32" s="74">
        <f t="shared" si="7"/>
        <v>18038.364615994204</v>
      </c>
      <c r="AY32" s="74">
        <f t="shared" si="7"/>
        <v>18532.241212522425</v>
      </c>
      <c r="AZ32" s="74">
        <f t="shared" si="7"/>
        <v>19039.006677838894</v>
      </c>
      <c r="BA32" s="74">
        <f t="shared" si="7"/>
        <v>19558.990344888032</v>
      </c>
      <c r="BB32" s="74">
        <f t="shared" si="7"/>
        <v>20092.529876425389</v>
      </c>
      <c r="BC32" s="74">
        <f t="shared" si="7"/>
        <v>20639.971474608465</v>
      </c>
      <c r="BD32" s="74">
        <f t="shared" si="7"/>
        <v>21201.670095846384</v>
      </c>
      <c r="BE32" s="74">
        <f t="shared" si="7"/>
        <v>21777.989671040348</v>
      </c>
      <c r="BF32" s="74">
        <f t="shared" si="7"/>
        <v>22369.303331349725</v>
      </c>
      <c r="BG32" s="74">
        <f t="shared" si="7"/>
        <v>22975.993639622364</v>
      </c>
      <c r="BH32" s="74">
        <f t="shared" si="7"/>
        <v>23598.452827630961</v>
      </c>
      <c r="BI32" s="74">
        <f t="shared" si="7"/>
        <v>24237.083039260891</v>
      </c>
      <c r="BJ32" s="74">
        <f t="shared" si="7"/>
        <v>24892.296579798669</v>
      </c>
      <c r="BK32" s="74">
        <f t="shared" si="7"/>
        <v>25564.516171473773</v>
      </c>
      <c r="BL32" s="74">
        <f t="shared" si="7"/>
        <v>26254.175215410552</v>
      </c>
      <c r="BM32" s="74">
        <f t="shared" si="7"/>
        <v>26961.71806015071</v>
      </c>
      <c r="BN32" s="22">
        <f t="shared" si="7"/>
        <v>27687.600276911013</v>
      </c>
    </row>
    <row r="33" spans="5:66" x14ac:dyDescent="0.2">
      <c r="E33" s="8" t="s">
        <v>74</v>
      </c>
      <c r="F33" s="7">
        <f>F25-(F25*C16)-F26-F27</f>
        <v>1122.6350000000002</v>
      </c>
      <c r="H33" s="49"/>
      <c r="M33" s="50"/>
      <c r="O33" s="39" t="s">
        <v>75</v>
      </c>
      <c r="P33" s="78"/>
      <c r="Q33" s="77">
        <f>Q$32/12</f>
        <v>602.30291666666665</v>
      </c>
      <c r="R33" s="74">
        <f t="shared" ref="R33:BN33" si="8">R$32/12</f>
        <v>619.73236458333326</v>
      </c>
      <c r="S33" s="74">
        <f t="shared" si="8"/>
        <v>637.6270174479165</v>
      </c>
      <c r="T33" s="74">
        <f t="shared" si="8"/>
        <v>655.99888632161435</v>
      </c>
      <c r="U33" s="74">
        <f t="shared" si="8"/>
        <v>674.86028764527975</v>
      </c>
      <c r="V33" s="74">
        <f t="shared" si="8"/>
        <v>694.22385094434912</v>
      </c>
      <c r="W33" s="74">
        <f t="shared" si="8"/>
        <v>714.10252672739068</v>
      </c>
      <c r="X33" s="74">
        <f t="shared" si="8"/>
        <v>734.50959458312502</v>
      </c>
      <c r="Y33" s="74">
        <f t="shared" si="8"/>
        <v>755.45867148089599</v>
      </c>
      <c r="Z33" s="74">
        <f t="shared" si="8"/>
        <v>776.9637202796921</v>
      </c>
      <c r="AA33" s="74">
        <f t="shared" si="8"/>
        <v>799.03905845094903</v>
      </c>
      <c r="AB33" s="74">
        <f t="shared" si="8"/>
        <v>821.69936702048835</v>
      </c>
      <c r="AC33" s="74">
        <f t="shared" si="8"/>
        <v>844.95969973509273</v>
      </c>
      <c r="AD33" s="74">
        <f t="shared" si="8"/>
        <v>868.83549245934319</v>
      </c>
      <c r="AE33" s="74">
        <f t="shared" si="8"/>
        <v>893.34257280849442</v>
      </c>
      <c r="AF33" s="74">
        <f t="shared" si="8"/>
        <v>918.49717002330453</v>
      </c>
      <c r="AG33" s="74">
        <f t="shared" si="8"/>
        <v>944.31592509288214</v>
      </c>
      <c r="AH33" s="74">
        <f t="shared" si="8"/>
        <v>970.81590113177265</v>
      </c>
      <c r="AI33" s="74">
        <f t="shared" si="8"/>
        <v>998.01459401764998</v>
      </c>
      <c r="AJ33" s="74">
        <f t="shared" si="8"/>
        <v>1025.9299432961525</v>
      </c>
      <c r="AK33" s="74">
        <f t="shared" si="8"/>
        <v>1054.5803433595545</v>
      </c>
      <c r="AL33" s="74">
        <f t="shared" si="8"/>
        <v>1083.9846549061372</v>
      </c>
      <c r="AM33" s="74">
        <f t="shared" si="8"/>
        <v>1114.162216687298</v>
      </c>
      <c r="AN33" s="74">
        <f t="shared" si="8"/>
        <v>1145.132857549605</v>
      </c>
      <c r="AO33" s="74">
        <f t="shared" si="8"/>
        <v>1176.9169087791909</v>
      </c>
      <c r="AP33" s="74">
        <f t="shared" si="8"/>
        <v>1209.5352167560638</v>
      </c>
      <c r="AQ33" s="74">
        <f t="shared" si="8"/>
        <v>1243.0091559261011</v>
      </c>
      <c r="AR33" s="74">
        <f t="shared" si="8"/>
        <v>1277.3606420986871</v>
      </c>
      <c r="AS33" s="74">
        <f t="shared" si="8"/>
        <v>1312.6121460781544</v>
      </c>
      <c r="AT33" s="74">
        <f t="shared" si="8"/>
        <v>1348.7867076373991</v>
      </c>
      <c r="AU33" s="74">
        <f t="shared" si="8"/>
        <v>1385.9079498422336</v>
      </c>
      <c r="AV33" s="74">
        <f t="shared" si="8"/>
        <v>1424.0000937352761</v>
      </c>
      <c r="AW33" s="74">
        <f t="shared" si="8"/>
        <v>1463.0879733883821</v>
      </c>
      <c r="AX33" s="74">
        <f t="shared" si="8"/>
        <v>1503.1970513328504</v>
      </c>
      <c r="AY33" s="74">
        <f t="shared" si="8"/>
        <v>1544.3534343768688</v>
      </c>
      <c r="AZ33" s="74">
        <f t="shared" si="8"/>
        <v>1586.5838898199079</v>
      </c>
      <c r="BA33" s="74">
        <f t="shared" si="8"/>
        <v>1629.9158620740027</v>
      </c>
      <c r="BB33" s="74">
        <f t="shared" si="8"/>
        <v>1674.3774897021158</v>
      </c>
      <c r="BC33" s="74">
        <f t="shared" si="8"/>
        <v>1719.9976228840387</v>
      </c>
      <c r="BD33" s="74">
        <f t="shared" si="8"/>
        <v>1766.805841320532</v>
      </c>
      <c r="BE33" s="74">
        <f t="shared" si="8"/>
        <v>1814.8324725866958</v>
      </c>
      <c r="BF33" s="74">
        <f t="shared" si="8"/>
        <v>1864.1086109458104</v>
      </c>
      <c r="BG33" s="74">
        <f t="shared" si="8"/>
        <v>1914.6661366351971</v>
      </c>
      <c r="BH33" s="74">
        <f t="shared" si="8"/>
        <v>1966.5377356359134</v>
      </c>
      <c r="BI33" s="74">
        <f t="shared" si="8"/>
        <v>2019.7569199384077</v>
      </c>
      <c r="BJ33" s="74">
        <f t="shared" si="8"/>
        <v>2074.3580483165556</v>
      </c>
      <c r="BK33" s="74">
        <f t="shared" si="8"/>
        <v>2130.3763476228146</v>
      </c>
      <c r="BL33" s="74">
        <f t="shared" si="8"/>
        <v>2187.8479346175459</v>
      </c>
      <c r="BM33" s="74">
        <f t="shared" si="8"/>
        <v>2246.8098383458923</v>
      </c>
      <c r="BN33" s="22">
        <f t="shared" si="8"/>
        <v>2307.3000230759176</v>
      </c>
    </row>
    <row r="34" spans="5:66" ht="15" thickBot="1" x14ac:dyDescent="0.25">
      <c r="E34" s="8" t="s">
        <v>76</v>
      </c>
      <c r="F34" s="7">
        <f>F25-(F25*C16)-F26-F27-F29</f>
        <v>-1308.3649999999998</v>
      </c>
      <c r="H34" s="49"/>
      <c r="M34" s="50"/>
      <c r="O34" s="49"/>
      <c r="P34" s="79"/>
      <c r="BN34" s="50"/>
    </row>
    <row r="35" spans="5:66" ht="16" x14ac:dyDescent="0.25">
      <c r="E35" s="8" t="s">
        <v>77</v>
      </c>
      <c r="F35" s="7">
        <f>F25-(F25*C16)-F26-F27-F28-F30</f>
        <v>269.72625000000016</v>
      </c>
      <c r="H35" s="49"/>
      <c r="M35" s="50"/>
      <c r="O35" s="49"/>
      <c r="P35" s="79"/>
      <c r="T35" s="28"/>
      <c r="U35" s="28"/>
      <c r="V35" s="28"/>
      <c r="AK35" s="80" t="s">
        <v>78</v>
      </c>
      <c r="AL35" s="81"/>
      <c r="AM35" s="81"/>
      <c r="AN35" s="81"/>
      <c r="AO35" s="81"/>
      <c r="AP35" s="81"/>
      <c r="AQ35" s="81"/>
      <c r="AR35" s="81"/>
      <c r="AS35" s="81"/>
      <c r="AT35" s="81"/>
      <c r="AU35" s="81"/>
      <c r="AV35" s="81"/>
      <c r="AW35" s="82"/>
      <c r="BN35" s="50"/>
    </row>
    <row r="36" spans="5:66" ht="17" thickBot="1" x14ac:dyDescent="0.25">
      <c r="E36" s="15" t="s">
        <v>79</v>
      </c>
      <c r="F36" s="83">
        <f>F35/12</f>
        <v>22.477187500000014</v>
      </c>
      <c r="H36" s="84"/>
      <c r="I36" s="85"/>
      <c r="J36" s="85"/>
      <c r="K36" s="85"/>
      <c r="L36" s="85"/>
      <c r="M36" s="86"/>
      <c r="O36" s="39" t="s">
        <v>80</v>
      </c>
      <c r="P36" s="78"/>
      <c r="Q36" s="77">
        <f>F7*C12</f>
        <v>5605</v>
      </c>
      <c r="R36" s="74">
        <f>MAX(0,(($F$7-SUM($Q$37:Q37))*$C$12))</f>
        <v>5548.95</v>
      </c>
      <c r="S36" s="74">
        <f>MAX(0,(($F$7-SUM($Q$37:R37))*$C$12))</f>
        <v>5487.8555000000006</v>
      </c>
      <c r="T36" s="74">
        <f>MAX(0,(($F$7-SUM($Q$37:S37))*$C$12))</f>
        <v>5421.2624949999999</v>
      </c>
      <c r="U36" s="74">
        <f>MAX(0,(($F$7-SUM($Q$37:T37))*$C$12))</f>
        <v>5348.6761195500003</v>
      </c>
      <c r="V36" s="74">
        <f>MAX(0,(($F$7-SUM($Q$37:U37))*$C$12))</f>
        <v>5269.5569703094998</v>
      </c>
      <c r="W36" s="74">
        <f>MAX(0,(($F$7-SUM($Q$37:V37))*$C$12))</f>
        <v>5183.3170976373558</v>
      </c>
      <c r="X36" s="74">
        <f>MAX(0,(($F$7-SUM($Q$37:W37))*$C$12))</f>
        <v>5089.315636424717</v>
      </c>
      <c r="Y36" s="74">
        <f>MAX(0,(($F$7-SUM($Q$37:X37))*$C$12))</f>
        <v>4986.8540437029415</v>
      </c>
      <c r="Z36" s="74">
        <f>MAX(0,(($F$7-SUM($Q$37:Y37))*$C$12))</f>
        <v>4875.1709076362058</v>
      </c>
      <c r="AA36" s="74">
        <f>MAX(0,(($F$7-SUM($Q$37:Z37))*$C$12))</f>
        <v>4753.4362893234638</v>
      </c>
      <c r="AB36" s="74">
        <f>MAX(0,(($F$7-SUM($Q$37:AA37))*$C$12))</f>
        <v>4620.7455553625769</v>
      </c>
      <c r="AC36" s="74">
        <f>MAX(0,(($F$7-SUM($Q$37:AB37))*$C$12))</f>
        <v>4476.1126553452086</v>
      </c>
      <c r="AD36" s="74">
        <f>MAX(0,(($F$7-SUM($Q$37:AC37))*$C$12))</f>
        <v>4318.4627943262767</v>
      </c>
      <c r="AE36" s="74">
        <f>MAX(0,(($F$7-SUM($Q$37:AD37))*$C$12))</f>
        <v>4146.6244458156416</v>
      </c>
      <c r="AF36" s="74">
        <f>MAX(0,(($F$7-SUM($Q$37:AE37))*$C$12))</f>
        <v>3959.320645939049</v>
      </c>
      <c r="AG36" s="74">
        <f>MAX(0,(($F$7-SUM($Q$37:AF37))*$C$12))</f>
        <v>3755.1595040735633</v>
      </c>
      <c r="AH36" s="74">
        <f>MAX(0,(($F$7-SUM($Q$37:AG37))*$C$12))</f>
        <v>3532.6238594401839</v>
      </c>
      <c r="AI36" s="74">
        <f>MAX(0,(($F$7-SUM($Q$37:AH37))*$C$12))</f>
        <v>3290.0600067898004</v>
      </c>
      <c r="AJ36" s="74">
        <f>MAX(0,(($F$7-SUM($Q$37:AI37))*$C$12))</f>
        <v>3025.665407400882</v>
      </c>
      <c r="AK36" s="74">
        <f>MAX(0,(($F$7-SUM($Q$37:AJ37))*$C$12))</f>
        <v>2737.4752940669614</v>
      </c>
      <c r="AL36" s="74">
        <f>MAX(0,(($F$7-SUM($Q$37:AK37))*$C$12))</f>
        <v>2423.3480705329871</v>
      </c>
      <c r="AM36" s="74">
        <f>MAX(0,(($F$7-SUM($Q$37:AL37))*$C$12))</f>
        <v>2080.9493968809556</v>
      </c>
      <c r="AN36" s="74">
        <f>MAX(0,(($F$7-SUM($Q$37:AM37))*$C$12))</f>
        <v>1707.7348426002418</v>
      </c>
      <c r="AO36" s="74">
        <f>MAX(0,(($F$7-SUM($Q$37:AN37))*$C$12))</f>
        <v>1300.9309784342636</v>
      </c>
      <c r="AP36" s="74">
        <f>MAX(0,(($F$7-SUM($Q$37:AO37))*$C$12))</f>
        <v>857.51476649334666</v>
      </c>
      <c r="AQ36" s="74">
        <f>MAX(0,(($F$7-SUM($Q$37:AP37))*$C$12))</f>
        <v>374.19109547774764</v>
      </c>
      <c r="AR36" s="74">
        <f>MAX(0,(($F$7-SUM($Q$37:AQ37))*$C$12))</f>
        <v>0</v>
      </c>
      <c r="AS36" s="74">
        <f>MAX(0,(($F$7-SUM($Q$37:AR37))*$C$12))</f>
        <v>0</v>
      </c>
      <c r="AT36" s="74">
        <f>MAX(0,(($F$7-SUM($Q$37:AS37))*$C$12))</f>
        <v>0</v>
      </c>
      <c r="AU36" s="74">
        <f>MAX(0,(($F$7-SUM($Q$37:AT37))*$C$12))</f>
        <v>0</v>
      </c>
      <c r="AV36" s="74">
        <f>MAX(0,(($F$7-SUM($Q$37:AU37))*$C$12))</f>
        <v>0</v>
      </c>
      <c r="AW36" s="74">
        <f>MAX(0,(($F$7-SUM($Q$37:AV37))*$C$12))</f>
        <v>0</v>
      </c>
      <c r="AX36" s="74">
        <f>MAX(0,(($F$7-SUM($Q$37:AW37))*$C$12))</f>
        <v>0</v>
      </c>
      <c r="AY36" s="74">
        <f>MAX(0,(($F$7-SUM($Q$37:AX37))*$C$12))</f>
        <v>0</v>
      </c>
      <c r="AZ36" s="74">
        <f>MAX(0,(($F$7-SUM($Q$37:AY37))*$C$12))</f>
        <v>0</v>
      </c>
      <c r="BA36" s="74">
        <f>MAX(0,(($F$7-SUM($Q$37:AZ37))*$C$12))</f>
        <v>0</v>
      </c>
      <c r="BB36" s="74">
        <f>MAX(0,(($F$7-SUM($Q$37:BA37))*$C$12))</f>
        <v>0</v>
      </c>
      <c r="BC36" s="74">
        <f>MAX(0,(($F$7-SUM($Q$37:BB37))*$C$12))</f>
        <v>0</v>
      </c>
      <c r="BD36" s="74">
        <f>MAX(0,(($F$7-SUM($Q$37:BC37))*$C$12))</f>
        <v>0</v>
      </c>
      <c r="BE36" s="74">
        <f>MAX(0,(($F$7-SUM($Q$37:BD37))*$C$12))</f>
        <v>0</v>
      </c>
      <c r="BF36" s="74">
        <f>MAX(0,(($F$7-SUM($Q$37:BE37))*$C$12))</f>
        <v>0</v>
      </c>
      <c r="BG36" s="74">
        <f>MAX(0,(($F$7-SUM($Q$37:BF37))*$C$12))</f>
        <v>0</v>
      </c>
      <c r="BH36" s="74">
        <f>MAX(0,(($F$7-SUM($Q$37:BG37))*$C$12))</f>
        <v>0</v>
      </c>
      <c r="BI36" s="74">
        <f>MAX(0,(($F$7-SUM($Q$37:BH37))*$C$12))</f>
        <v>0</v>
      </c>
      <c r="BJ36" s="74">
        <f>MAX(0,(($F$7-SUM($Q$37:BI37))*$C$12))</f>
        <v>0</v>
      </c>
      <c r="BK36" s="74">
        <f>MAX(0,(($F$7-SUM($Q$37:BJ37))*$C$12))</f>
        <v>0</v>
      </c>
      <c r="BL36" s="74">
        <f>MAX(0,(($F$7-SUM($Q$37:BK37))*$C$12))</f>
        <v>0</v>
      </c>
      <c r="BM36" s="74">
        <f>MAX(0,(($F$7-SUM($Q$37:BL37))*$C$12))</f>
        <v>0</v>
      </c>
      <c r="BN36" s="22">
        <f>MAX(0,(($F$7-SUM($Q$37:BM37))*$C$12))</f>
        <v>0</v>
      </c>
    </row>
    <row r="37" spans="5:66" ht="15" x14ac:dyDescent="0.2">
      <c r="J37" s="38"/>
      <c r="O37" s="39" t="s">
        <v>81</v>
      </c>
      <c r="P37" s="72">
        <v>1.0900000000000001</v>
      </c>
      <c r="Q37" s="77">
        <f>F7*C13</f>
        <v>1180</v>
      </c>
      <c r="R37" s="74">
        <f t="shared" ref="R37:AW37" si="9">Q$37*$P$37</f>
        <v>1286.2</v>
      </c>
      <c r="S37" s="74">
        <f t="shared" si="9"/>
        <v>1401.9580000000001</v>
      </c>
      <c r="T37" s="74">
        <f t="shared" si="9"/>
        <v>1528.1342200000001</v>
      </c>
      <c r="U37" s="74">
        <f t="shared" si="9"/>
        <v>1665.6662998000004</v>
      </c>
      <c r="V37" s="74">
        <f t="shared" si="9"/>
        <v>1815.5762667820006</v>
      </c>
      <c r="W37" s="74">
        <f t="shared" si="9"/>
        <v>1978.9781307923809</v>
      </c>
      <c r="X37" s="74">
        <f t="shared" si="9"/>
        <v>2157.0861625636953</v>
      </c>
      <c r="Y37" s="74">
        <f t="shared" si="9"/>
        <v>2351.2239171944279</v>
      </c>
      <c r="Z37" s="74">
        <f t="shared" si="9"/>
        <v>2562.8340697419267</v>
      </c>
      <c r="AA37" s="74">
        <f t="shared" si="9"/>
        <v>2793.4891360187003</v>
      </c>
      <c r="AB37" s="74">
        <f t="shared" si="9"/>
        <v>3044.9031582603834</v>
      </c>
      <c r="AC37" s="74">
        <f t="shared" si="9"/>
        <v>3318.9444425038182</v>
      </c>
      <c r="AD37" s="74">
        <f t="shared" si="9"/>
        <v>3617.649442329162</v>
      </c>
      <c r="AE37" s="74">
        <f t="shared" si="9"/>
        <v>3943.2378921387867</v>
      </c>
      <c r="AF37" s="74">
        <f t="shared" si="9"/>
        <v>4298.1293024312781</v>
      </c>
      <c r="AG37" s="74">
        <f t="shared" si="9"/>
        <v>4684.9609396500937</v>
      </c>
      <c r="AH37" s="74">
        <f t="shared" si="9"/>
        <v>5106.6074242186023</v>
      </c>
      <c r="AI37" s="74">
        <f t="shared" si="9"/>
        <v>5566.2020923982773</v>
      </c>
      <c r="AJ37" s="74">
        <f t="shared" si="9"/>
        <v>6067.1602807141226</v>
      </c>
      <c r="AK37" s="74">
        <f t="shared" si="9"/>
        <v>6613.2047059783945</v>
      </c>
      <c r="AL37" s="74">
        <f t="shared" si="9"/>
        <v>7208.3931295164502</v>
      </c>
      <c r="AM37" s="74">
        <f t="shared" si="9"/>
        <v>7857.1485111729316</v>
      </c>
      <c r="AN37" s="74">
        <f t="shared" si="9"/>
        <v>8564.2918771784953</v>
      </c>
      <c r="AO37" s="74">
        <f t="shared" si="9"/>
        <v>9335.0781461245606</v>
      </c>
      <c r="AP37" s="74">
        <f t="shared" si="9"/>
        <v>10175.235179275773</v>
      </c>
      <c r="AQ37" s="74">
        <f t="shared" si="9"/>
        <v>11091.006345410593</v>
      </c>
      <c r="AR37" s="74">
        <f t="shared" si="9"/>
        <v>12089.196916497547</v>
      </c>
      <c r="AS37" s="74">
        <f t="shared" si="9"/>
        <v>13177.224638982327</v>
      </c>
      <c r="AT37" s="74">
        <f t="shared" si="9"/>
        <v>14363.174856490738</v>
      </c>
      <c r="AU37" s="74">
        <f t="shared" si="9"/>
        <v>15655.860593574906</v>
      </c>
      <c r="AV37" s="74">
        <f t="shared" si="9"/>
        <v>17064.88804699665</v>
      </c>
      <c r="AW37" s="74">
        <f t="shared" si="9"/>
        <v>18600.727971226348</v>
      </c>
      <c r="AX37" s="74">
        <f t="shared" ref="AX37:BN37" si="10">AW$37*$P$37</f>
        <v>20274.793488636722</v>
      </c>
      <c r="AY37" s="74">
        <f t="shared" si="10"/>
        <v>22099.52490261403</v>
      </c>
      <c r="AZ37" s="74">
        <f t="shared" si="10"/>
        <v>24088.482143849295</v>
      </c>
      <c r="BA37" s="74">
        <f t="shared" si="10"/>
        <v>26256.445536795734</v>
      </c>
      <c r="BB37" s="74">
        <f t="shared" si="10"/>
        <v>28619.525635107351</v>
      </c>
      <c r="BC37" s="74">
        <f t="shared" si="10"/>
        <v>31195.282942267015</v>
      </c>
      <c r="BD37" s="74">
        <f t="shared" si="10"/>
        <v>34002.858407071049</v>
      </c>
      <c r="BE37" s="74">
        <f t="shared" si="10"/>
        <v>37063.115663707445</v>
      </c>
      <c r="BF37" s="74">
        <f t="shared" si="10"/>
        <v>40398.796073441117</v>
      </c>
      <c r="BG37" s="74">
        <f t="shared" si="10"/>
        <v>44034.687720050824</v>
      </c>
      <c r="BH37" s="74">
        <f t="shared" si="10"/>
        <v>47997.809614855403</v>
      </c>
      <c r="BI37" s="74">
        <f t="shared" si="10"/>
        <v>52317.612480192394</v>
      </c>
      <c r="BJ37" s="74">
        <f t="shared" si="10"/>
        <v>57026.197603409717</v>
      </c>
      <c r="BK37" s="74">
        <f t="shared" si="10"/>
        <v>62158.555387716595</v>
      </c>
      <c r="BL37" s="74">
        <f t="shared" si="10"/>
        <v>67752.8253726111</v>
      </c>
      <c r="BM37" s="74">
        <f t="shared" si="10"/>
        <v>73850.579656146103</v>
      </c>
      <c r="BN37" s="22">
        <f t="shared" si="10"/>
        <v>80497.131825199263</v>
      </c>
    </row>
    <row r="38" spans="5:66" x14ac:dyDescent="0.2">
      <c r="J38" s="87"/>
      <c r="O38" s="75" t="s">
        <v>82</v>
      </c>
      <c r="P38" s="76"/>
      <c r="Q38" s="77">
        <f t="shared" ref="Q38:AV38" si="11">Q$36+Q$37</f>
        <v>6785</v>
      </c>
      <c r="R38" s="74">
        <f t="shared" si="11"/>
        <v>6835.15</v>
      </c>
      <c r="S38" s="74">
        <f t="shared" si="11"/>
        <v>6889.8135000000002</v>
      </c>
      <c r="T38" s="74">
        <f t="shared" si="11"/>
        <v>6949.3967149999999</v>
      </c>
      <c r="U38" s="74">
        <f t="shared" si="11"/>
        <v>7014.3424193500005</v>
      </c>
      <c r="V38" s="74">
        <f t="shared" si="11"/>
        <v>7085.1332370915006</v>
      </c>
      <c r="W38" s="74">
        <f t="shared" si="11"/>
        <v>7162.2952284297371</v>
      </c>
      <c r="X38" s="74">
        <f t="shared" si="11"/>
        <v>7246.4017989884123</v>
      </c>
      <c r="Y38" s="74">
        <f t="shared" si="11"/>
        <v>7338.0779608973698</v>
      </c>
      <c r="Z38" s="74">
        <f t="shared" si="11"/>
        <v>7438.004977378132</v>
      </c>
      <c r="AA38" s="74">
        <f t="shared" si="11"/>
        <v>7546.9254253421641</v>
      </c>
      <c r="AB38" s="74">
        <f t="shared" si="11"/>
        <v>7665.6487136229607</v>
      </c>
      <c r="AC38" s="74">
        <f t="shared" si="11"/>
        <v>7795.0570978490268</v>
      </c>
      <c r="AD38" s="74">
        <f t="shared" si="11"/>
        <v>7936.1122366554391</v>
      </c>
      <c r="AE38" s="74">
        <f t="shared" si="11"/>
        <v>8089.8623379544279</v>
      </c>
      <c r="AF38" s="74">
        <f t="shared" si="11"/>
        <v>8257.4499483703275</v>
      </c>
      <c r="AG38" s="74">
        <f t="shared" si="11"/>
        <v>8440.1204437236574</v>
      </c>
      <c r="AH38" s="74">
        <f t="shared" si="11"/>
        <v>8639.2312836587862</v>
      </c>
      <c r="AI38" s="74">
        <f t="shared" si="11"/>
        <v>8856.2620991880776</v>
      </c>
      <c r="AJ38" s="74">
        <f t="shared" si="11"/>
        <v>9092.8256881150046</v>
      </c>
      <c r="AK38" s="74">
        <f t="shared" si="11"/>
        <v>9350.680000045355</v>
      </c>
      <c r="AL38" s="74">
        <f t="shared" si="11"/>
        <v>9631.7412000494369</v>
      </c>
      <c r="AM38" s="74">
        <f t="shared" si="11"/>
        <v>9938.0979080538873</v>
      </c>
      <c r="AN38" s="74">
        <f t="shared" si="11"/>
        <v>10272.026719778736</v>
      </c>
      <c r="AO38" s="74">
        <f t="shared" si="11"/>
        <v>10636.009124558825</v>
      </c>
      <c r="AP38" s="74">
        <f t="shared" si="11"/>
        <v>11032.749945769119</v>
      </c>
      <c r="AQ38" s="74">
        <f t="shared" si="11"/>
        <v>11465.19744088834</v>
      </c>
      <c r="AR38" s="74">
        <f t="shared" si="11"/>
        <v>12089.196916497547</v>
      </c>
      <c r="AS38" s="74">
        <f t="shared" si="11"/>
        <v>13177.224638982327</v>
      </c>
      <c r="AT38" s="74">
        <f t="shared" si="11"/>
        <v>14363.174856490738</v>
      </c>
      <c r="AU38" s="74">
        <f t="shared" si="11"/>
        <v>15655.860593574906</v>
      </c>
      <c r="AV38" s="74">
        <f t="shared" si="11"/>
        <v>17064.88804699665</v>
      </c>
      <c r="AW38" s="74">
        <f t="shared" ref="AW38:BN38" si="12">AW$36+AW$37</f>
        <v>18600.727971226348</v>
      </c>
      <c r="AX38" s="74">
        <f t="shared" si="12"/>
        <v>20274.793488636722</v>
      </c>
      <c r="AY38" s="74">
        <f t="shared" si="12"/>
        <v>22099.52490261403</v>
      </c>
      <c r="AZ38" s="74">
        <f t="shared" si="12"/>
        <v>24088.482143849295</v>
      </c>
      <c r="BA38" s="74">
        <f t="shared" si="12"/>
        <v>26256.445536795734</v>
      </c>
      <c r="BB38" s="74">
        <f t="shared" si="12"/>
        <v>28619.525635107351</v>
      </c>
      <c r="BC38" s="74">
        <f t="shared" si="12"/>
        <v>31195.282942267015</v>
      </c>
      <c r="BD38" s="74">
        <f t="shared" si="12"/>
        <v>34002.858407071049</v>
      </c>
      <c r="BE38" s="74">
        <f t="shared" si="12"/>
        <v>37063.115663707445</v>
      </c>
      <c r="BF38" s="74">
        <f t="shared" si="12"/>
        <v>40398.796073441117</v>
      </c>
      <c r="BG38" s="74">
        <f t="shared" si="12"/>
        <v>44034.687720050824</v>
      </c>
      <c r="BH38" s="74">
        <f t="shared" si="12"/>
        <v>47997.809614855403</v>
      </c>
      <c r="BI38" s="74">
        <f t="shared" si="12"/>
        <v>52317.612480192394</v>
      </c>
      <c r="BJ38" s="74">
        <f t="shared" si="12"/>
        <v>57026.197603409717</v>
      </c>
      <c r="BK38" s="74">
        <f t="shared" si="12"/>
        <v>62158.555387716595</v>
      </c>
      <c r="BL38" s="74">
        <f t="shared" si="12"/>
        <v>67752.8253726111</v>
      </c>
      <c r="BM38" s="74">
        <f t="shared" si="12"/>
        <v>73850.579656146103</v>
      </c>
      <c r="BN38" s="22">
        <f t="shared" si="12"/>
        <v>80497.131825199263</v>
      </c>
    </row>
    <row r="39" spans="5:66" x14ac:dyDescent="0.2">
      <c r="O39" s="39" t="s">
        <v>83</v>
      </c>
      <c r="P39" s="78"/>
      <c r="Q39" s="77">
        <f t="shared" ref="Q39:AV39" si="13">Q$38/12</f>
        <v>565.41666666666663</v>
      </c>
      <c r="R39" s="74">
        <f t="shared" si="13"/>
        <v>569.5958333333333</v>
      </c>
      <c r="S39" s="74">
        <f t="shared" si="13"/>
        <v>574.15112499999998</v>
      </c>
      <c r="T39" s="74">
        <f t="shared" si="13"/>
        <v>579.11639291666665</v>
      </c>
      <c r="U39" s="74">
        <f t="shared" si="13"/>
        <v>584.52853494583337</v>
      </c>
      <c r="V39" s="74">
        <f t="shared" si="13"/>
        <v>590.42776975762501</v>
      </c>
      <c r="W39" s="74">
        <f t="shared" si="13"/>
        <v>596.85793570247813</v>
      </c>
      <c r="X39" s="74">
        <f t="shared" si="13"/>
        <v>603.86681658236773</v>
      </c>
      <c r="Y39" s="74">
        <f t="shared" si="13"/>
        <v>611.50649674144745</v>
      </c>
      <c r="Z39" s="74">
        <f t="shared" si="13"/>
        <v>619.8337481148443</v>
      </c>
      <c r="AA39" s="74">
        <f t="shared" si="13"/>
        <v>628.91045211184701</v>
      </c>
      <c r="AB39" s="74">
        <f t="shared" si="13"/>
        <v>638.80405946858002</v>
      </c>
      <c r="AC39" s="74">
        <f t="shared" si="13"/>
        <v>649.58809148741886</v>
      </c>
      <c r="AD39" s="74">
        <f t="shared" si="13"/>
        <v>661.34268638795322</v>
      </c>
      <c r="AE39" s="74">
        <f t="shared" si="13"/>
        <v>674.15519482953562</v>
      </c>
      <c r="AF39" s="74">
        <f t="shared" si="13"/>
        <v>688.12082903086059</v>
      </c>
      <c r="AG39" s="74">
        <f t="shared" si="13"/>
        <v>703.34337031030475</v>
      </c>
      <c r="AH39" s="74">
        <f t="shared" si="13"/>
        <v>719.93594030489885</v>
      </c>
      <c r="AI39" s="74">
        <f t="shared" si="13"/>
        <v>738.02184159900651</v>
      </c>
      <c r="AJ39" s="74">
        <f t="shared" si="13"/>
        <v>757.73547400958375</v>
      </c>
      <c r="AK39" s="74">
        <f t="shared" si="13"/>
        <v>779.22333333711288</v>
      </c>
      <c r="AL39" s="74">
        <f t="shared" si="13"/>
        <v>802.64510000411974</v>
      </c>
      <c r="AM39" s="74">
        <f t="shared" si="13"/>
        <v>828.17482567115724</v>
      </c>
      <c r="AN39" s="74">
        <f t="shared" si="13"/>
        <v>856.00222664822797</v>
      </c>
      <c r="AO39" s="74">
        <f t="shared" si="13"/>
        <v>886.33409371323535</v>
      </c>
      <c r="AP39" s="74">
        <f t="shared" si="13"/>
        <v>919.39582881409331</v>
      </c>
      <c r="AQ39" s="74">
        <f t="shared" si="13"/>
        <v>955.43312007402835</v>
      </c>
      <c r="AR39" s="74">
        <f t="shared" si="13"/>
        <v>1007.4330763747956</v>
      </c>
      <c r="AS39" s="74">
        <f t="shared" si="13"/>
        <v>1098.1020532485272</v>
      </c>
      <c r="AT39" s="74">
        <f t="shared" si="13"/>
        <v>1196.9312380408949</v>
      </c>
      <c r="AU39" s="74">
        <f t="shared" si="13"/>
        <v>1304.6550494645755</v>
      </c>
      <c r="AV39" s="74">
        <f t="shared" si="13"/>
        <v>1422.0740039163875</v>
      </c>
      <c r="AW39" s="74">
        <f t="shared" ref="AW39:BN39" si="14">AW$38/12</f>
        <v>1550.0606642688624</v>
      </c>
      <c r="AX39" s="74">
        <f t="shared" si="14"/>
        <v>1689.5661240530601</v>
      </c>
      <c r="AY39" s="74">
        <f t="shared" si="14"/>
        <v>1841.6270752178359</v>
      </c>
      <c r="AZ39" s="74">
        <f t="shared" si="14"/>
        <v>2007.3735119874411</v>
      </c>
      <c r="BA39" s="74">
        <f t="shared" si="14"/>
        <v>2188.0371280663112</v>
      </c>
      <c r="BB39" s="74">
        <f t="shared" si="14"/>
        <v>2384.9604695922794</v>
      </c>
      <c r="BC39" s="74">
        <f t="shared" si="14"/>
        <v>2599.6069118555847</v>
      </c>
      <c r="BD39" s="74">
        <f t="shared" si="14"/>
        <v>2833.5715339225876</v>
      </c>
      <c r="BE39" s="74">
        <f t="shared" si="14"/>
        <v>3088.5929719756205</v>
      </c>
      <c r="BF39" s="74">
        <f t="shared" si="14"/>
        <v>3366.5663394534263</v>
      </c>
      <c r="BG39" s="74">
        <f t="shared" si="14"/>
        <v>3669.5573100042352</v>
      </c>
      <c r="BH39" s="74">
        <f t="shared" si="14"/>
        <v>3999.8174679046169</v>
      </c>
      <c r="BI39" s="74">
        <f t="shared" si="14"/>
        <v>4359.8010400160329</v>
      </c>
      <c r="BJ39" s="74">
        <f t="shared" si="14"/>
        <v>4752.1831336174764</v>
      </c>
      <c r="BK39" s="74">
        <f t="shared" si="14"/>
        <v>5179.8796156430499</v>
      </c>
      <c r="BL39" s="74">
        <f t="shared" si="14"/>
        <v>5646.0687810509253</v>
      </c>
      <c r="BM39" s="74">
        <f t="shared" si="14"/>
        <v>6154.2149713455083</v>
      </c>
      <c r="BN39" s="22">
        <f t="shared" si="14"/>
        <v>6708.0943187666053</v>
      </c>
    </row>
    <row r="40" spans="5:66" x14ac:dyDescent="0.2">
      <c r="O40" s="39"/>
      <c r="P40" s="78"/>
      <c r="Q40" s="88"/>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7"/>
    </row>
    <row r="41" spans="5:66" x14ac:dyDescent="0.2">
      <c r="O41" s="89" t="s">
        <v>84</v>
      </c>
      <c r="P41" s="90"/>
      <c r="Q41" s="91">
        <f t="shared" ref="Q41:AV41" si="15">Q32/Q38</f>
        <v>1.0652372881355932</v>
      </c>
      <c r="R41" s="92">
        <f t="shared" si="15"/>
        <v>1.088021239475359</v>
      </c>
      <c r="S41" s="92">
        <f t="shared" si="15"/>
        <v>1.1105560708392177</v>
      </c>
      <c r="T41" s="92">
        <f t="shared" si="15"/>
        <v>1.1327582750986138</v>
      </c>
      <c r="U41" s="92">
        <f t="shared" si="15"/>
        <v>1.1545377980697165</v>
      </c>
      <c r="V41" s="92">
        <f t="shared" si="15"/>
        <v>1.1757981018225703</v>
      </c>
      <c r="W41" s="92">
        <f t="shared" si="15"/>
        <v>1.1964363444157282</v>
      </c>
      <c r="X41" s="92">
        <f t="shared" si="15"/>
        <v>1.21634369435986</v>
      </c>
      <c r="Y41" s="92">
        <f t="shared" si="15"/>
        <v>1.2354057978231312</v>
      </c>
      <c r="Z41" s="92">
        <f t="shared" si="15"/>
        <v>1.2535034154605831</v>
      </c>
      <c r="AA41" s="92">
        <f t="shared" si="15"/>
        <v>1.2705132436069704</v>
      </c>
      <c r="AB41" s="92">
        <f t="shared" si="15"/>
        <v>1.286308931261424</v>
      </c>
      <c r="AC41" s="92">
        <f t="shared" si="15"/>
        <v>1.3007622996910462</v>
      </c>
      <c r="AD41" s="92">
        <f t="shared" si="15"/>
        <v>1.3137447655233789</v>
      </c>
      <c r="AE41" s="92">
        <f t="shared" si="15"/>
        <v>1.3251289608980639</v>
      </c>
      <c r="AF41" s="92">
        <f t="shared" si="15"/>
        <v>1.3347905357216154</v>
      </c>
      <c r="AG41" s="92">
        <f t="shared" si="15"/>
        <v>1.3426101175536265</v>
      </c>
      <c r="AH41" s="92">
        <f t="shared" si="15"/>
        <v>1.3484753945199959</v>
      </c>
      <c r="AI41" s="92">
        <f t="shared" si="15"/>
        <v>1.3522832764072947</v>
      </c>
      <c r="AJ41" s="92">
        <f t="shared" si="15"/>
        <v>1.3539420793742285</v>
      </c>
      <c r="AK41" s="92">
        <f t="shared" si="15"/>
        <v>1.353373671246719</v>
      </c>
      <c r="AL41" s="92">
        <f t="shared" si="15"/>
        <v>1.35051550791324</v>
      </c>
      <c r="AM41" s="92">
        <f t="shared" si="15"/>
        <v>1.3453224876575729</v>
      </c>
      <c r="AN41" s="92">
        <f t="shared" si="15"/>
        <v>1.3377685500112542</v>
      </c>
      <c r="AO41" s="92">
        <f t="shared" si="15"/>
        <v>1.3278479493534756</v>
      </c>
      <c r="AP41" s="92">
        <f t="shared" si="15"/>
        <v>1.3155761412537779</v>
      </c>
      <c r="AQ41" s="92">
        <f t="shared" si="15"/>
        <v>1.3009902313516104</v>
      </c>
      <c r="AR41" s="92">
        <f t="shared" si="15"/>
        <v>1.2679359771422378</v>
      </c>
      <c r="AS41" s="92">
        <f t="shared" si="15"/>
        <v>1.1953462268784942</v>
      </c>
      <c r="AT41" s="92">
        <f t="shared" si="15"/>
        <v>1.1268706712384391</v>
      </c>
      <c r="AU41" s="92">
        <f t="shared" si="15"/>
        <v>1.0622792211711471</v>
      </c>
      <c r="AV41" s="92">
        <f t="shared" si="15"/>
        <v>1.0013544230564544</v>
      </c>
      <c r="AW41" s="92">
        <f t="shared" ref="AW41:BN41" si="16">AW32/AW38</f>
        <v>0.94389078254462788</v>
      </c>
      <c r="AX41" s="92">
        <f t="shared" si="16"/>
        <v>0.88969412320298336</v>
      </c>
      <c r="AY41" s="92">
        <f t="shared" si="16"/>
        <v>0.83858097828747213</v>
      </c>
      <c r="AZ41" s="92">
        <f t="shared" si="16"/>
        <v>0.79037801402942598</v>
      </c>
      <c r="BA41" s="92">
        <f t="shared" si="16"/>
        <v>0.74492148289752702</v>
      </c>
      <c r="BB41" s="92">
        <f t="shared" si="16"/>
        <v>0.70205670536265063</v>
      </c>
      <c r="BC41" s="92">
        <f t="shared" si="16"/>
        <v>0.66163757875851859</v>
      </c>
      <c r="BD41" s="92">
        <f t="shared" si="16"/>
        <v>0.62352611189409302</v>
      </c>
      <c r="BE41" s="92">
        <f t="shared" si="16"/>
        <v>0.58759198413439273</v>
      </c>
      <c r="BF41" s="92">
        <f t="shared" si="16"/>
        <v>0.55371212772490763</v>
      </c>
      <c r="BG41" s="92">
        <f t="shared" si="16"/>
        <v>0.52177033219110214</v>
      </c>
      <c r="BH41" s="92">
        <f t="shared" si="16"/>
        <v>0.49165686969863726</v>
      </c>
      <c r="BI41" s="92">
        <f t="shared" si="16"/>
        <v>0.46326814031196711</v>
      </c>
      <c r="BJ41" s="92">
        <f t="shared" si="16"/>
        <v>0.43650633613892409</v>
      </c>
      <c r="BK41" s="92">
        <f t="shared" si="16"/>
        <v>0.41127912339683625</v>
      </c>
      <c r="BL41" s="92">
        <f t="shared" si="16"/>
        <v>0.38749934148168724</v>
      </c>
      <c r="BM41" s="92">
        <f t="shared" si="16"/>
        <v>0.36508471816587645</v>
      </c>
      <c r="BN41" s="93">
        <f t="shared" si="16"/>
        <v>0.34395760009232446</v>
      </c>
    </row>
    <row r="42" spans="5:66" ht="15" thickBot="1" x14ac:dyDescent="0.25">
      <c r="O42" s="41" t="s">
        <v>85</v>
      </c>
      <c r="P42" s="94"/>
      <c r="Q42" s="95">
        <f t="shared" ref="Q42:AV42" si="17">Q$32-Q$38</f>
        <v>442.63500000000022</v>
      </c>
      <c r="R42" s="96">
        <f t="shared" si="17"/>
        <v>601.63837499999954</v>
      </c>
      <c r="S42" s="96">
        <f t="shared" si="17"/>
        <v>761.71070937499826</v>
      </c>
      <c r="T42" s="96">
        <f t="shared" si="17"/>
        <v>922.5899208593728</v>
      </c>
      <c r="U42" s="96">
        <f t="shared" si="17"/>
        <v>1083.9810323933561</v>
      </c>
      <c r="V42" s="96">
        <f t="shared" si="17"/>
        <v>1245.5529742406889</v>
      </c>
      <c r="W42" s="96">
        <f t="shared" si="17"/>
        <v>1406.9350922989506</v>
      </c>
      <c r="X42" s="96">
        <f t="shared" si="17"/>
        <v>1567.7133360090884</v>
      </c>
      <c r="Y42" s="96">
        <f t="shared" si="17"/>
        <v>1727.4260968733815</v>
      </c>
      <c r="Z42" s="96">
        <f t="shared" si="17"/>
        <v>1885.5596659781731</v>
      </c>
      <c r="AA42" s="96">
        <f t="shared" si="17"/>
        <v>2041.5432760692238</v>
      </c>
      <c r="AB42" s="96">
        <f t="shared" si="17"/>
        <v>2194.7436906228995</v>
      </c>
      <c r="AC42" s="96">
        <f t="shared" si="17"/>
        <v>2344.4592989720859</v>
      </c>
      <c r="AD42" s="96">
        <f t="shared" si="17"/>
        <v>2489.9136728566791</v>
      </c>
      <c r="AE42" s="96">
        <f t="shared" si="17"/>
        <v>2630.2485357475052</v>
      </c>
      <c r="AF42" s="96">
        <f t="shared" si="17"/>
        <v>2764.5160919093269</v>
      </c>
      <c r="AG42" s="96">
        <f t="shared" si="17"/>
        <v>2891.6706573909287</v>
      </c>
      <c r="AH42" s="96">
        <f t="shared" si="17"/>
        <v>3010.559529922486</v>
      </c>
      <c r="AI42" s="96">
        <f t="shared" si="17"/>
        <v>3119.9130290237226</v>
      </c>
      <c r="AJ42" s="96">
        <f t="shared" si="17"/>
        <v>3218.3336314388253</v>
      </c>
      <c r="AK42" s="96">
        <f t="shared" si="17"/>
        <v>3304.284120269298</v>
      </c>
      <c r="AL42" s="96">
        <f t="shared" si="17"/>
        <v>3376.0746588242091</v>
      </c>
      <c r="AM42" s="96">
        <f t="shared" si="17"/>
        <v>3431.8486921936892</v>
      </c>
      <c r="AN42" s="96">
        <f t="shared" si="17"/>
        <v>3469.5675708165236</v>
      </c>
      <c r="AO42" s="96">
        <f t="shared" si="17"/>
        <v>3486.9937807914666</v>
      </c>
      <c r="AP42" s="96">
        <f t="shared" si="17"/>
        <v>3481.672655303646</v>
      </c>
      <c r="AQ42" s="96">
        <f t="shared" si="17"/>
        <v>3450.9124302248729</v>
      </c>
      <c r="AR42" s="96">
        <f t="shared" si="17"/>
        <v>3239.130788686698</v>
      </c>
      <c r="AS42" s="96">
        <f t="shared" si="17"/>
        <v>2574.1211139555271</v>
      </c>
      <c r="AT42" s="96">
        <f t="shared" si="17"/>
        <v>1822.2656351580517</v>
      </c>
      <c r="AU42" s="96">
        <f t="shared" si="17"/>
        <v>975.03480453189877</v>
      </c>
      <c r="AV42" s="96">
        <f t="shared" si="17"/>
        <v>23.113077826663357</v>
      </c>
      <c r="AW42" s="96">
        <f t="shared" ref="AW42:BN42" si="18">AW$32-AW$38</f>
        <v>-1043.6722905657625</v>
      </c>
      <c r="AX42" s="96">
        <f t="shared" si="18"/>
        <v>-2236.4288726425184</v>
      </c>
      <c r="AY42" s="96">
        <f t="shared" si="18"/>
        <v>-3567.2836900916045</v>
      </c>
      <c r="AZ42" s="96">
        <f t="shared" si="18"/>
        <v>-5049.4754660104009</v>
      </c>
      <c r="BA42" s="96">
        <f t="shared" si="18"/>
        <v>-6697.4551919077021</v>
      </c>
      <c r="BB42" s="96">
        <f t="shared" si="18"/>
        <v>-8526.9957586819619</v>
      </c>
      <c r="BC42" s="96">
        <f t="shared" si="18"/>
        <v>-10555.31146765855</v>
      </c>
      <c r="BD42" s="96">
        <f t="shared" si="18"/>
        <v>-12801.188311224665</v>
      </c>
      <c r="BE42" s="96">
        <f t="shared" si="18"/>
        <v>-15285.125992667097</v>
      </c>
      <c r="BF42" s="96">
        <f t="shared" si="18"/>
        <v>-18029.492742091392</v>
      </c>
      <c r="BG42" s="96">
        <f t="shared" si="18"/>
        <v>-21058.69408042846</v>
      </c>
      <c r="BH42" s="96">
        <f t="shared" si="18"/>
        <v>-24399.356787224442</v>
      </c>
      <c r="BI42" s="96">
        <f t="shared" si="18"/>
        <v>-28080.529440931503</v>
      </c>
      <c r="BJ42" s="96">
        <f t="shared" si="18"/>
        <v>-32133.901023611048</v>
      </c>
      <c r="BK42" s="96">
        <f t="shared" si="18"/>
        <v>-36594.039216242818</v>
      </c>
      <c r="BL42" s="96">
        <f t="shared" si="18"/>
        <v>-41498.650157200551</v>
      </c>
      <c r="BM42" s="96">
        <f t="shared" si="18"/>
        <v>-46888.86159599539</v>
      </c>
      <c r="BN42" s="26">
        <f t="shared" si="18"/>
        <v>-52809.531548288251</v>
      </c>
    </row>
    <row r="43" spans="5:66" ht="15" thickBot="1" x14ac:dyDescent="0.25"/>
    <row r="44" spans="5:66" ht="20" thickBot="1" x14ac:dyDescent="0.3">
      <c r="P44" s="97" t="s">
        <v>61</v>
      </c>
      <c r="Q44" s="98"/>
    </row>
    <row r="67" spans="2:3" ht="15" x14ac:dyDescent="0.2">
      <c r="B67" s="99"/>
    </row>
    <row r="76" spans="2:3" ht="15" x14ac:dyDescent="0.2">
      <c r="B76" s="100"/>
    </row>
    <row r="77" spans="2:3" ht="15" x14ac:dyDescent="0.2">
      <c r="C77" s="100"/>
    </row>
    <row r="78" spans="2:3" ht="15" x14ac:dyDescent="0.2">
      <c r="C78" s="100"/>
    </row>
    <row r="79" spans="2:3" ht="15" x14ac:dyDescent="0.2">
      <c r="C79" s="99"/>
    </row>
    <row r="81" spans="2:2" ht="15" x14ac:dyDescent="0.2">
      <c r="B81" s="99"/>
    </row>
    <row r="83" spans="2:2" ht="15" x14ac:dyDescent="0.2">
      <c r="B83" s="100"/>
    </row>
  </sheetData>
  <conditionalFormatting sqref="F36">
    <cfRule type="cellIs" dxfId="5" priority="5" operator="lessThan">
      <formula>0</formula>
    </cfRule>
    <cfRule type="cellIs" dxfId="4" priority="6" operator="greaterThan">
      <formula>0</formula>
    </cfRule>
  </conditionalFormatting>
  <conditionalFormatting sqref="Q36:BN36">
    <cfRule type="cellIs" dxfId="3" priority="1" operator="lessThan">
      <formula>1</formula>
    </cfRule>
  </conditionalFormatting>
  <conditionalFormatting sqref="Q41:BN41">
    <cfRule type="cellIs" dxfId="2" priority="2" operator="lessThan">
      <formula>1</formula>
    </cfRule>
    <cfRule type="cellIs" dxfId="1" priority="3" operator="greaterThan">
      <formula>1</formula>
    </cfRule>
    <cfRule type="cellIs" dxfId="0" priority="4" operator="greaterThan">
      <formula>1</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Cash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Yannik Trinn</dc:creator>
  <cp:lastModifiedBy>Yannik Trinn</cp:lastModifiedBy>
  <dcterms:created xsi:type="dcterms:W3CDTF">2024-10-01T00:54:27Z</dcterms:created>
  <dcterms:modified xsi:type="dcterms:W3CDTF">2024-10-01T01:19:35Z</dcterms:modified>
</cp:coreProperties>
</file>