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reis-my.sharepoint.com/personal/gordon_allred_marcusmillichap_com/Documents/ALLRED PATEL/(Proposals)/2024/DallasTX Candlewood 150/PnLs/"/>
    </mc:Choice>
  </mc:AlternateContent>
  <xr:revisionPtr revIDLastSave="0" documentId="8_{DB0E2DB0-1E12-4D98-BDA8-DFBEBB36066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rofit and Loss by Month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8" i="1" l="1"/>
  <c r="L88" i="1"/>
  <c r="K88" i="1"/>
  <c r="G88" i="1"/>
  <c r="F88" i="1"/>
  <c r="E88" i="1"/>
  <c r="D88" i="1"/>
  <c r="C88" i="1"/>
  <c r="B88" i="1"/>
  <c r="H87" i="1"/>
  <c r="H88" i="1" s="1"/>
  <c r="N88" i="1" s="1"/>
  <c r="M86" i="1"/>
  <c r="L86" i="1"/>
  <c r="K86" i="1"/>
  <c r="J86" i="1"/>
  <c r="J88" i="1" s="1"/>
  <c r="I86" i="1"/>
  <c r="I88" i="1" s="1"/>
  <c r="G84" i="1"/>
  <c r="G89" i="1" s="1"/>
  <c r="C84" i="1"/>
  <c r="C89" i="1" s="1"/>
  <c r="B84" i="1"/>
  <c r="B89" i="1" s="1"/>
  <c r="M83" i="1"/>
  <c r="M84" i="1" s="1"/>
  <c r="M89" i="1" s="1"/>
  <c r="L83" i="1"/>
  <c r="L84" i="1" s="1"/>
  <c r="L89" i="1" s="1"/>
  <c r="G83" i="1"/>
  <c r="C83" i="1"/>
  <c r="B83" i="1"/>
  <c r="M82" i="1"/>
  <c r="L82" i="1"/>
  <c r="K82" i="1"/>
  <c r="J82" i="1"/>
  <c r="J83" i="1" s="1"/>
  <c r="J84" i="1" s="1"/>
  <c r="J89" i="1" s="1"/>
  <c r="I82" i="1"/>
  <c r="N82" i="1" s="1"/>
  <c r="H82" i="1"/>
  <c r="G82" i="1"/>
  <c r="F82" i="1"/>
  <c r="E82" i="1"/>
  <c r="D82" i="1"/>
  <c r="C82" i="1"/>
  <c r="B82" i="1"/>
  <c r="M81" i="1"/>
  <c r="L81" i="1"/>
  <c r="K81" i="1"/>
  <c r="K83" i="1" s="1"/>
  <c r="K84" i="1" s="1"/>
  <c r="K89" i="1" s="1"/>
  <c r="I81" i="1"/>
  <c r="I83" i="1" s="1"/>
  <c r="I84" i="1" s="1"/>
  <c r="H81" i="1"/>
  <c r="H83" i="1" s="1"/>
  <c r="H84" i="1" s="1"/>
  <c r="F81" i="1"/>
  <c r="F83" i="1" s="1"/>
  <c r="F84" i="1" s="1"/>
  <c r="F89" i="1" s="1"/>
  <c r="E81" i="1"/>
  <c r="E83" i="1" s="1"/>
  <c r="E84" i="1" s="1"/>
  <c r="E89" i="1" s="1"/>
  <c r="D81" i="1"/>
  <c r="N81" i="1" s="1"/>
  <c r="C81" i="1"/>
  <c r="B81" i="1"/>
  <c r="N80" i="1"/>
  <c r="M76" i="1"/>
  <c r="L76" i="1"/>
  <c r="M75" i="1"/>
  <c r="J75" i="1"/>
  <c r="I75" i="1"/>
  <c r="H75" i="1"/>
  <c r="G75" i="1"/>
  <c r="N75" i="1" s="1"/>
  <c r="F75" i="1"/>
  <c r="E75" i="1"/>
  <c r="D75" i="1"/>
  <c r="C75" i="1"/>
  <c r="B75" i="1"/>
  <c r="M74" i="1"/>
  <c r="L74" i="1"/>
  <c r="K74" i="1"/>
  <c r="J74" i="1"/>
  <c r="I74" i="1"/>
  <c r="H74" i="1"/>
  <c r="G74" i="1"/>
  <c r="F74" i="1"/>
  <c r="E74" i="1"/>
  <c r="D74" i="1"/>
  <c r="N74" i="1" s="1"/>
  <c r="C74" i="1"/>
  <c r="B74" i="1"/>
  <c r="M73" i="1"/>
  <c r="L73" i="1"/>
  <c r="K73" i="1"/>
  <c r="K76" i="1" s="1"/>
  <c r="J73" i="1"/>
  <c r="I73" i="1"/>
  <c r="H73" i="1"/>
  <c r="G73" i="1"/>
  <c r="G76" i="1" s="1"/>
  <c r="F73" i="1"/>
  <c r="E73" i="1"/>
  <c r="E76" i="1" s="1"/>
  <c r="D73" i="1"/>
  <c r="D76" i="1" s="1"/>
  <c r="C73" i="1"/>
  <c r="C76" i="1" s="1"/>
  <c r="B73" i="1"/>
  <c r="N73" i="1" s="1"/>
  <c r="N72" i="1"/>
  <c r="M72" i="1"/>
  <c r="L72" i="1"/>
  <c r="J72" i="1"/>
  <c r="J76" i="1" s="1"/>
  <c r="I72" i="1"/>
  <c r="I76" i="1" s="1"/>
  <c r="H72" i="1"/>
  <c r="H76" i="1" s="1"/>
  <c r="F72" i="1"/>
  <c r="F76" i="1" s="1"/>
  <c r="E72" i="1"/>
  <c r="C72" i="1"/>
  <c r="N71" i="1"/>
  <c r="L70" i="1"/>
  <c r="I70" i="1"/>
  <c r="N70" i="1" s="1"/>
  <c r="H69" i="1"/>
  <c r="D69" i="1"/>
  <c r="B69" i="1"/>
  <c r="N69" i="1" s="1"/>
  <c r="M67" i="1"/>
  <c r="L67" i="1"/>
  <c r="N67" i="1" s="1"/>
  <c r="K67" i="1"/>
  <c r="J67" i="1"/>
  <c r="I67" i="1"/>
  <c r="H67" i="1"/>
  <c r="G67" i="1"/>
  <c r="F67" i="1"/>
  <c r="E67" i="1"/>
  <c r="D67" i="1"/>
  <c r="C67" i="1"/>
  <c r="B67" i="1"/>
  <c r="F66" i="1"/>
  <c r="N66" i="1" s="1"/>
  <c r="M65" i="1"/>
  <c r="L65" i="1"/>
  <c r="K65" i="1"/>
  <c r="N65" i="1" s="1"/>
  <c r="J65" i="1"/>
  <c r="I65" i="1"/>
  <c r="G65" i="1"/>
  <c r="F65" i="1"/>
  <c r="E65" i="1"/>
  <c r="D65" i="1"/>
  <c r="C65" i="1"/>
  <c r="B65" i="1"/>
  <c r="K64" i="1"/>
  <c r="I64" i="1"/>
  <c r="H64" i="1"/>
  <c r="B64" i="1"/>
  <c r="N64" i="1" s="1"/>
  <c r="M63" i="1"/>
  <c r="L63" i="1"/>
  <c r="N63" i="1" s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E62" i="1"/>
  <c r="C62" i="1"/>
  <c r="N62" i="1" s="1"/>
  <c r="M61" i="1"/>
  <c r="L61" i="1"/>
  <c r="J61" i="1"/>
  <c r="H61" i="1"/>
  <c r="G61" i="1"/>
  <c r="N61" i="1" s="1"/>
  <c r="G60" i="1"/>
  <c r="F60" i="1"/>
  <c r="E60" i="1"/>
  <c r="D59" i="1"/>
  <c r="N59" i="1" s="1"/>
  <c r="D58" i="1"/>
  <c r="D60" i="1" s="1"/>
  <c r="C58" i="1"/>
  <c r="B58" i="1"/>
  <c r="N58" i="1" s="1"/>
  <c r="M57" i="1"/>
  <c r="M60" i="1" s="1"/>
  <c r="L57" i="1"/>
  <c r="L60" i="1" s="1"/>
  <c r="K57" i="1"/>
  <c r="K60" i="1" s="1"/>
  <c r="J57" i="1"/>
  <c r="J60" i="1" s="1"/>
  <c r="I57" i="1"/>
  <c r="I60" i="1" s="1"/>
  <c r="H57" i="1"/>
  <c r="N57" i="1" s="1"/>
  <c r="G57" i="1"/>
  <c r="F57" i="1"/>
  <c r="E57" i="1"/>
  <c r="D57" i="1"/>
  <c r="C57" i="1"/>
  <c r="C60" i="1" s="1"/>
  <c r="B57" i="1"/>
  <c r="B60" i="1" s="1"/>
  <c r="I56" i="1"/>
  <c r="N56" i="1" s="1"/>
  <c r="M55" i="1"/>
  <c r="K55" i="1"/>
  <c r="J55" i="1"/>
  <c r="H55" i="1"/>
  <c r="G55" i="1"/>
  <c r="F55" i="1"/>
  <c r="E55" i="1"/>
  <c r="N55" i="1" s="1"/>
  <c r="C55" i="1"/>
  <c r="M54" i="1"/>
  <c r="L54" i="1"/>
  <c r="K54" i="1"/>
  <c r="J54" i="1"/>
  <c r="I54" i="1"/>
  <c r="H54" i="1"/>
  <c r="G54" i="1"/>
  <c r="F54" i="1"/>
  <c r="E54" i="1"/>
  <c r="D54" i="1"/>
  <c r="C54" i="1"/>
  <c r="B54" i="1"/>
  <c r="N54" i="1" s="1"/>
  <c r="M53" i="1"/>
  <c r="N53" i="1" s="1"/>
  <c r="I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N52" i="1" s="1"/>
  <c r="E52" i="1"/>
  <c r="D52" i="1"/>
  <c r="C52" i="1"/>
  <c r="B52" i="1"/>
  <c r="M51" i="1"/>
  <c r="L51" i="1"/>
  <c r="K51" i="1"/>
  <c r="J51" i="1"/>
  <c r="I51" i="1"/>
  <c r="H51" i="1"/>
  <c r="G51" i="1"/>
  <c r="E51" i="1"/>
  <c r="D51" i="1"/>
  <c r="C51" i="1"/>
  <c r="M50" i="1"/>
  <c r="L50" i="1"/>
  <c r="K50" i="1"/>
  <c r="J50" i="1"/>
  <c r="I50" i="1"/>
  <c r="H50" i="1"/>
  <c r="G50" i="1"/>
  <c r="F50" i="1"/>
  <c r="E50" i="1"/>
  <c r="D50" i="1"/>
  <c r="C50" i="1"/>
  <c r="B50" i="1"/>
  <c r="N50" i="1" s="1"/>
  <c r="F49" i="1"/>
  <c r="F51" i="1" s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N48" i="1" s="1"/>
  <c r="H47" i="1"/>
  <c r="F47" i="1"/>
  <c r="C47" i="1"/>
  <c r="M46" i="1"/>
  <c r="N46" i="1" s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K47" i="1" s="1"/>
  <c r="J45" i="1"/>
  <c r="N45" i="1" s="1"/>
  <c r="H45" i="1"/>
  <c r="E45" i="1"/>
  <c r="D45" i="1"/>
  <c r="C45" i="1"/>
  <c r="B45" i="1"/>
  <c r="M44" i="1"/>
  <c r="M47" i="1" s="1"/>
  <c r="J44" i="1"/>
  <c r="J47" i="1" s="1"/>
  <c r="L43" i="1"/>
  <c r="L47" i="1" s="1"/>
  <c r="I43" i="1"/>
  <c r="I47" i="1" s="1"/>
  <c r="G43" i="1"/>
  <c r="G47" i="1" s="1"/>
  <c r="E43" i="1"/>
  <c r="E47" i="1" s="1"/>
  <c r="D43" i="1"/>
  <c r="D47" i="1" s="1"/>
  <c r="B43" i="1"/>
  <c r="N43" i="1" s="1"/>
  <c r="N42" i="1"/>
  <c r="H42" i="1"/>
  <c r="G42" i="1"/>
  <c r="F42" i="1"/>
  <c r="E42" i="1"/>
  <c r="D42" i="1"/>
  <c r="B42" i="1"/>
  <c r="M41" i="1"/>
  <c r="L41" i="1"/>
  <c r="K41" i="1"/>
  <c r="J41" i="1"/>
  <c r="I41" i="1"/>
  <c r="H41" i="1"/>
  <c r="G41" i="1"/>
  <c r="F41" i="1"/>
  <c r="E41" i="1"/>
  <c r="N41" i="1" s="1"/>
  <c r="D41" i="1"/>
  <c r="C41" i="1"/>
  <c r="B41" i="1"/>
  <c r="F40" i="1"/>
  <c r="N40" i="1" s="1"/>
  <c r="M39" i="1"/>
  <c r="L39" i="1"/>
  <c r="J39" i="1"/>
  <c r="I39" i="1"/>
  <c r="G39" i="1"/>
  <c r="F39" i="1"/>
  <c r="E39" i="1"/>
  <c r="D39" i="1"/>
  <c r="C39" i="1"/>
  <c r="N39" i="1" s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N37" i="1" s="1"/>
  <c r="J36" i="1"/>
  <c r="I36" i="1"/>
  <c r="H36" i="1"/>
  <c r="G36" i="1"/>
  <c r="F36" i="1"/>
  <c r="E36" i="1"/>
  <c r="D36" i="1"/>
  <c r="C36" i="1"/>
  <c r="B36" i="1"/>
  <c r="M35" i="1"/>
  <c r="M36" i="1" s="1"/>
  <c r="L35" i="1"/>
  <c r="N35" i="1" s="1"/>
  <c r="K35" i="1"/>
  <c r="K36" i="1" s="1"/>
  <c r="J35" i="1"/>
  <c r="I35" i="1"/>
  <c r="H35" i="1"/>
  <c r="G35" i="1"/>
  <c r="F35" i="1"/>
  <c r="E35" i="1"/>
  <c r="D35" i="1"/>
  <c r="C35" i="1"/>
  <c r="B35" i="1"/>
  <c r="N34" i="1"/>
  <c r="H33" i="1"/>
  <c r="G33" i="1"/>
  <c r="D33" i="1"/>
  <c r="B33" i="1"/>
  <c r="N33" i="1" s="1"/>
  <c r="M32" i="1"/>
  <c r="L32" i="1"/>
  <c r="K32" i="1"/>
  <c r="J32" i="1"/>
  <c r="I32" i="1"/>
  <c r="H32" i="1"/>
  <c r="G32" i="1"/>
  <c r="F32" i="1"/>
  <c r="E32" i="1"/>
  <c r="D32" i="1"/>
  <c r="B32" i="1"/>
  <c r="N32" i="1" s="1"/>
  <c r="M31" i="1"/>
  <c r="L31" i="1"/>
  <c r="F31" i="1"/>
  <c r="N31" i="1" s="1"/>
  <c r="C31" i="1"/>
  <c r="B31" i="1"/>
  <c r="N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N29" i="1" s="1"/>
  <c r="M28" i="1"/>
  <c r="K28" i="1"/>
  <c r="I28" i="1"/>
  <c r="H28" i="1"/>
  <c r="G28" i="1"/>
  <c r="F28" i="1"/>
  <c r="D28" i="1"/>
  <c r="C28" i="1"/>
  <c r="B28" i="1"/>
  <c r="N28" i="1" s="1"/>
  <c r="I27" i="1"/>
  <c r="H27" i="1"/>
  <c r="N27" i="1" s="1"/>
  <c r="G26" i="1"/>
  <c r="N26" i="1" s="1"/>
  <c r="F26" i="1"/>
  <c r="E26" i="1"/>
  <c r="L25" i="1"/>
  <c r="K25" i="1"/>
  <c r="J25" i="1"/>
  <c r="I25" i="1"/>
  <c r="H25" i="1"/>
  <c r="G25" i="1"/>
  <c r="F25" i="1"/>
  <c r="E25" i="1"/>
  <c r="D25" i="1"/>
  <c r="C25" i="1"/>
  <c r="B25" i="1"/>
  <c r="N24" i="1"/>
  <c r="M24" i="1"/>
  <c r="M25" i="1" s="1"/>
  <c r="L24" i="1"/>
  <c r="K24" i="1"/>
  <c r="J24" i="1"/>
  <c r="I24" i="1"/>
  <c r="H24" i="1"/>
  <c r="G24" i="1"/>
  <c r="F24" i="1"/>
  <c r="E24" i="1"/>
  <c r="D24" i="1"/>
  <c r="C24" i="1"/>
  <c r="B24" i="1"/>
  <c r="N23" i="1"/>
  <c r="K22" i="1"/>
  <c r="I22" i="1"/>
  <c r="N22" i="1" s="1"/>
  <c r="H22" i="1"/>
  <c r="E21" i="1"/>
  <c r="D21" i="1"/>
  <c r="N21" i="1" s="1"/>
  <c r="M20" i="1"/>
  <c r="L20" i="1"/>
  <c r="K20" i="1"/>
  <c r="J20" i="1"/>
  <c r="I20" i="1"/>
  <c r="H20" i="1"/>
  <c r="G20" i="1"/>
  <c r="F20" i="1"/>
  <c r="E20" i="1"/>
  <c r="D20" i="1"/>
  <c r="C20" i="1"/>
  <c r="B20" i="1"/>
  <c r="N20" i="1" s="1"/>
  <c r="M19" i="1"/>
  <c r="L19" i="1"/>
  <c r="K19" i="1"/>
  <c r="J19" i="1"/>
  <c r="I19" i="1"/>
  <c r="H19" i="1"/>
  <c r="G19" i="1"/>
  <c r="F19" i="1"/>
  <c r="E19" i="1"/>
  <c r="D19" i="1"/>
  <c r="C19" i="1"/>
  <c r="B19" i="1"/>
  <c r="N19" i="1" s="1"/>
  <c r="M18" i="1"/>
  <c r="N18" i="1" s="1"/>
  <c r="G18" i="1"/>
  <c r="F18" i="1"/>
  <c r="E18" i="1"/>
  <c r="K17" i="1"/>
  <c r="J17" i="1"/>
  <c r="I17" i="1"/>
  <c r="H17" i="1"/>
  <c r="G17" i="1"/>
  <c r="F17" i="1"/>
  <c r="F68" i="1" s="1"/>
  <c r="F77" i="1" s="1"/>
  <c r="E17" i="1"/>
  <c r="E68" i="1" s="1"/>
  <c r="E77" i="1" s="1"/>
  <c r="D17" i="1"/>
  <c r="D68" i="1" s="1"/>
  <c r="D77" i="1" s="1"/>
  <c r="C17" i="1"/>
  <c r="C68" i="1" s="1"/>
  <c r="C77" i="1" s="1"/>
  <c r="B17" i="1"/>
  <c r="M16" i="1"/>
  <c r="N16" i="1" s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J15" i="1"/>
  <c r="I15" i="1"/>
  <c r="N15" i="1" s="1"/>
  <c r="H15" i="1"/>
  <c r="G15" i="1"/>
  <c r="F15" i="1"/>
  <c r="E15" i="1"/>
  <c r="D15" i="1"/>
  <c r="C15" i="1"/>
  <c r="D14" i="1"/>
  <c r="C14" i="1"/>
  <c r="N14" i="1" s="1"/>
  <c r="M13" i="1"/>
  <c r="L13" i="1"/>
  <c r="K13" i="1"/>
  <c r="J13" i="1"/>
  <c r="H13" i="1"/>
  <c r="G13" i="1"/>
  <c r="G68" i="1" s="1"/>
  <c r="C13" i="1"/>
  <c r="B13" i="1"/>
  <c r="N12" i="1"/>
  <c r="H12" i="1"/>
  <c r="N11" i="1"/>
  <c r="L9" i="1"/>
  <c r="K9" i="1"/>
  <c r="J9" i="1"/>
  <c r="I9" i="1"/>
  <c r="H9" i="1"/>
  <c r="G9" i="1"/>
  <c r="F9" i="1"/>
  <c r="E9" i="1"/>
  <c r="D9" i="1"/>
  <c r="L8" i="1"/>
  <c r="K8" i="1"/>
  <c r="J8" i="1"/>
  <c r="I8" i="1"/>
  <c r="H8" i="1"/>
  <c r="G8" i="1"/>
  <c r="F8" i="1"/>
  <c r="E8" i="1"/>
  <c r="D8" i="1"/>
  <c r="C8" i="1"/>
  <c r="C9" i="1" s="1"/>
  <c r="B8" i="1"/>
  <c r="B9" i="1" s="1"/>
  <c r="N7" i="1"/>
  <c r="M7" i="1"/>
  <c r="M8" i="1" s="1"/>
  <c r="M9" i="1" s="1"/>
  <c r="L7" i="1"/>
  <c r="K7" i="1"/>
  <c r="J7" i="1"/>
  <c r="I7" i="1"/>
  <c r="H7" i="1"/>
  <c r="G7" i="1"/>
  <c r="F7" i="1"/>
  <c r="E7" i="1"/>
  <c r="D7" i="1"/>
  <c r="C7" i="1"/>
  <c r="B7" i="1"/>
  <c r="H89" i="1" l="1"/>
  <c r="G77" i="1"/>
  <c r="K68" i="1"/>
  <c r="K77" i="1" s="1"/>
  <c r="I89" i="1"/>
  <c r="G78" i="1"/>
  <c r="G90" i="1" s="1"/>
  <c r="N9" i="1"/>
  <c r="I78" i="1"/>
  <c r="I90" i="1" s="1"/>
  <c r="N25" i="1"/>
  <c r="J78" i="1"/>
  <c r="J90" i="1" s="1"/>
  <c r="D78" i="1"/>
  <c r="J68" i="1"/>
  <c r="J77" i="1" s="1"/>
  <c r="E78" i="1"/>
  <c r="E90" i="1" s="1"/>
  <c r="F78" i="1"/>
  <c r="F90" i="1" s="1"/>
  <c r="M68" i="1"/>
  <c r="M77" i="1" s="1"/>
  <c r="M78" i="1" s="1"/>
  <c r="M90" i="1" s="1"/>
  <c r="C78" i="1"/>
  <c r="C90" i="1" s="1"/>
  <c r="K78" i="1"/>
  <c r="K90" i="1" s="1"/>
  <c r="B47" i="1"/>
  <c r="N47" i="1" s="1"/>
  <c r="N86" i="1"/>
  <c r="B51" i="1"/>
  <c r="N51" i="1" s="1"/>
  <c r="N49" i="1"/>
  <c r="N13" i="1"/>
  <c r="B76" i="1"/>
  <c r="N76" i="1" s="1"/>
  <c r="D83" i="1"/>
  <c r="N17" i="1"/>
  <c r="H60" i="1"/>
  <c r="H68" i="1" s="1"/>
  <c r="H77" i="1" s="1"/>
  <c r="H78" i="1" s="1"/>
  <c r="H90" i="1" s="1"/>
  <c r="N87" i="1"/>
  <c r="N44" i="1"/>
  <c r="I68" i="1"/>
  <c r="I77" i="1" s="1"/>
  <c r="N8" i="1"/>
  <c r="L36" i="1"/>
  <c r="N36" i="1" s="1"/>
  <c r="L68" i="1" l="1"/>
  <c r="L77" i="1" s="1"/>
  <c r="L78" i="1" s="1"/>
  <c r="L90" i="1" s="1"/>
  <c r="N60" i="1"/>
  <c r="D84" i="1"/>
  <c r="N83" i="1"/>
  <c r="B68" i="1"/>
  <c r="N68" i="1" l="1"/>
  <c r="B77" i="1"/>
  <c r="D89" i="1"/>
  <c r="N84" i="1"/>
  <c r="N89" i="1" l="1"/>
  <c r="D90" i="1"/>
  <c r="N77" i="1"/>
  <c r="B78" i="1"/>
  <c r="B90" i="1" l="1"/>
  <c r="N90" i="1" s="1"/>
  <c r="N78" i="1"/>
</calcChain>
</file>

<file path=xl/sharedStrings.xml><?xml version="1.0" encoding="utf-8"?>
<sst xmlns="http://schemas.openxmlformats.org/spreadsheetml/2006/main" count="102" uniqueCount="102">
  <si>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</si>
  <si>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</si>
  <si>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</si>
  <si>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</si>
  <si>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</si>
  <si>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</si>
  <si>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</si>
  <si>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</si>
  <si>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</si>
  <si>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</si>
  <si>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</si>
  <si>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</si>
  <si>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Total</t>
  </si>
  <si>
    <t>Income</t>
  </si>
  <si>
    <t xml:space="preserve">   Room Rentals</t>
  </si>
  <si>
    <t>Total Income</t>
  </si>
  <si>
    <t>Gross Profit</t>
  </si>
  <si>
    <t>Expenses</t>
  </si>
  <si>
    <t xml:space="preserve">   General business expenses</t>
  </si>
  <si>
    <t xml:space="preserve">      Accounting fees</t>
  </si>
  <si>
    <t xml:space="preserve">      Advertising &amp; marketing</t>
  </si>
  <si>
    <t xml:space="preserve">      Airfare</t>
  </si>
  <si>
    <t xml:space="preserve">      Alarm system</t>
  </si>
  <si>
    <t xml:space="preserve">      Bank fees &amp; service charges</t>
  </si>
  <si>
    <t xml:space="preserve">      Business insurance</t>
  </si>
  <si>
    <t xml:space="preserve">      Business licences</t>
  </si>
  <si>
    <t xml:space="preserve">      Commissions &amp; fees</t>
  </si>
  <si>
    <t xml:space="preserve">      Computer and hardware lease</t>
  </si>
  <si>
    <t xml:space="preserve">      Continuing education</t>
  </si>
  <si>
    <t xml:space="preserve">      Contributions to charities</t>
  </si>
  <si>
    <t xml:space="preserve">      Credit Card Processing Fees</t>
  </si>
  <si>
    <t xml:space="preserve">         Credit Card Processing Fees</t>
  </si>
  <si>
    <t xml:space="preserve">      Total Credit Card Processing Fees</t>
  </si>
  <si>
    <t xml:space="preserve">      Dues &amp; subscriptions</t>
  </si>
  <si>
    <t xml:space="preserve">      Employee Appreciation Gift</t>
  </si>
  <si>
    <t xml:space="preserve">      Employee benefits</t>
  </si>
  <si>
    <t xml:space="preserve">      Employee Meals</t>
  </si>
  <si>
    <t xml:space="preserve">      Equipment rental</t>
  </si>
  <si>
    <t xml:space="preserve">      Fire Inspection</t>
  </si>
  <si>
    <t xml:space="preserve">      Franchise Fee</t>
  </si>
  <si>
    <t xml:space="preserve">      Guest transfers</t>
  </si>
  <si>
    <t xml:space="preserve">      Hotel Supplies</t>
  </si>
  <si>
    <t xml:space="preserve">         Supplies &amp; materials</t>
  </si>
  <si>
    <t xml:space="preserve">      Total Hotel Supplies</t>
  </si>
  <si>
    <t xml:space="preserve">      Insurance</t>
  </si>
  <si>
    <t xml:space="preserve">      Internet &amp; TV services</t>
  </si>
  <si>
    <t xml:space="preserve">      Lawncare Expenses</t>
  </si>
  <si>
    <t xml:space="preserve">      Legal fees</t>
  </si>
  <si>
    <t xml:space="preserve">      Occupancy Tax</t>
  </si>
  <si>
    <t xml:space="preserve">      Office expenses</t>
  </si>
  <si>
    <t xml:space="preserve">         Office supplies</t>
  </si>
  <si>
    <t xml:space="preserve">         Printing &amp; photocopying</t>
  </si>
  <si>
    <t xml:space="preserve">         Shipping &amp; postage</t>
  </si>
  <si>
    <t xml:space="preserve">         Software Subscription</t>
  </si>
  <si>
    <t xml:space="preserve">      Total Office expenses</t>
  </si>
  <si>
    <t xml:space="preserve">      Parking &amp; tolls</t>
  </si>
  <si>
    <t xml:space="preserve">      Payroll expenses</t>
  </si>
  <si>
    <t xml:space="preserve">         Wages</t>
  </si>
  <si>
    <t xml:space="preserve">      Total Payroll expenses</t>
  </si>
  <si>
    <t xml:space="preserve">      Payroll taxes</t>
  </si>
  <si>
    <t xml:space="preserve">      Pest Control</t>
  </si>
  <si>
    <t xml:space="preserve">      Phone service</t>
  </si>
  <si>
    <t xml:space="preserve">      Professional Fees</t>
  </si>
  <si>
    <t xml:space="preserve">      Property taxes</t>
  </si>
  <si>
    <t xml:space="preserve">      Repairs &amp; maintenance</t>
  </si>
  <si>
    <t xml:space="preserve">         Elevator</t>
  </si>
  <si>
    <t xml:space="preserve">         United Mechanical</t>
  </si>
  <si>
    <t xml:space="preserve">      Total Repairs &amp; maintenance</t>
  </si>
  <si>
    <t xml:space="preserve">      Taxis or shared rides</t>
  </si>
  <si>
    <t xml:space="preserve">      Uniforms</t>
  </si>
  <si>
    <t xml:space="preserve">      Vehicle gas &amp; fuel</t>
  </si>
  <si>
    <t xml:space="preserve">      Vehicle insurance</t>
  </si>
  <si>
    <t xml:space="preserve">      Vehicle repairs</t>
  </si>
  <si>
    <t xml:space="preserve">      Vehicle wash &amp; road services</t>
  </si>
  <si>
    <t xml:space="preserve">      Worker's compensation insurance</t>
  </si>
  <si>
    <t xml:space="preserve">   Total General business expenses</t>
  </si>
  <si>
    <t xml:space="preserve">   Interest paid</t>
  </si>
  <si>
    <t xml:space="preserve">   Travel</t>
  </si>
  <si>
    <t xml:space="preserve">   Utilities</t>
  </si>
  <si>
    <t xml:space="preserve">      Disposal &amp; waste fees</t>
  </si>
  <si>
    <t xml:space="preserve">      Electricity</t>
  </si>
  <si>
    <t xml:space="preserve">      Gas</t>
  </si>
  <si>
    <t xml:space="preserve">      Water &amp; sewer</t>
  </si>
  <si>
    <t xml:space="preserve">   Total Utilities</t>
  </si>
  <si>
    <t>Total Expenses</t>
  </si>
  <si>
    <t>Net Operating Income</t>
  </si>
  <si>
    <t>Other Income</t>
  </si>
  <si>
    <t xml:space="preserve">   Other income</t>
  </si>
  <si>
    <t xml:space="preserve">      Credit card rewards</t>
  </si>
  <si>
    <t xml:space="preserve">      Interest earned</t>
  </si>
  <si>
    <t xml:space="preserve">   Total Other income</t>
  </si>
  <si>
    <t>Total Other Income</t>
  </si>
  <si>
    <t>Other Expenses</t>
  </si>
  <si>
    <t xml:space="preserve">   Ask My Accountant</t>
  </si>
  <si>
    <t xml:space="preserve">   Depreciation</t>
  </si>
  <si>
    <t>Total Other Expenses</t>
  </si>
  <si>
    <t>Net Other Income</t>
  </si>
  <si>
    <t>Net Income</t>
  </si>
  <si>
    <t>Monday, Jun 17, 2024 02:17:58 PM GMT-7 - Accrual Basis</t>
  </si>
  <si>
    <t>Mac Hospitality LLC</t>
  </si>
  <si>
    <t>Profit and Loss by Month</t>
  </si>
  <si>
    <t>June 2023 -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</si>
</sst>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$&quot;* #,##0.00\ _€"/>
  </numFmts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workbookViewId="0">
      <selection sqref="A1:N1"/>
    </sheetView>
  </sheetViews>
  <sheetFormatPr defaultRowHeight="14.4" x14ac:dyDescent="0.3"/>
  <cols>
    <col min="1" max="1" width="34.33203125" customWidth="1"/>
    <col min="2" max="2" width="12" customWidth="1"/>
    <col min="3" max="7" width="10.33203125" customWidth="1"/>
    <col min="8" max="8" width="13.77734375" customWidth="1"/>
    <col min="9" max="9" width="11.21875" customWidth="1"/>
    <col min="10" max="11" width="10.33203125" customWidth="1"/>
    <col min="12" max="12" width="11.21875" customWidth="1"/>
    <col min="13" max="13" width="12" customWidth="1"/>
    <col min="14" max="14" width="13.77734375" customWidth="1"/>
  </cols>
  <sheetData>
    <row r="1" spans="1:14" ht="17.399999999999999" x14ac:dyDescent="0.3">
      <c r="A1" s="10" t="s">
        <v>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7.399999999999999" x14ac:dyDescent="0.3">
      <c r="A2" s="10" t="s">
        <v>100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3">
      <c r="A3" s="11" t="s">
        <v>101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4" x14ac:dyDescent="0.3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</row>
    <row r="6" spans="1:14" x14ac:dyDescent="0.3">
      <c r="A6" s="3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3" t="s">
        <v>14</v>
      </c>
      <c r="B7" s="5">
        <f>362904.65</f>
        <v>362904.65</v>
      </c>
      <c r="C7" s="5">
        <f>351491.15</f>
        <v>351491.15</v>
      </c>
      <c r="D7" s="5">
        <f>304261.61</f>
        <v>304261.61</v>
      </c>
      <c r="E7" s="5">
        <f>335977.47</f>
        <v>335977.47</v>
      </c>
      <c r="F7" s="5">
        <f>384201.01</f>
        <v>384201.01</v>
      </c>
      <c r="G7" s="5">
        <f>307085.33</f>
        <v>307085.33</v>
      </c>
      <c r="H7" s="5">
        <f>338659.74</f>
        <v>338659.74</v>
      </c>
      <c r="I7" s="5">
        <f>402470.52</f>
        <v>402470.52</v>
      </c>
      <c r="J7" s="5">
        <f>301980.49</f>
        <v>301980.49</v>
      </c>
      <c r="K7" s="5">
        <f>379193.8</f>
        <v>379193.8</v>
      </c>
      <c r="L7" s="5">
        <f>428661.96</f>
        <v>428661.96</v>
      </c>
      <c r="M7" s="5">
        <f>340097.5</f>
        <v>340097.5</v>
      </c>
      <c r="N7" s="5">
        <f>(((((((((((B7)+(C7))+(D7))+(E7))+(F7))+(G7))+(H7))+(I7))+(J7))+(K7))+(L7))+(M7)</f>
        <v>4236985.2299999995</v>
      </c>
    </row>
    <row r="8" spans="1:14" x14ac:dyDescent="0.3">
      <c r="A8" s="3" t="s">
        <v>15</v>
      </c>
      <c r="B8" s="6">
        <f t="shared" ref="B8:M8" si="0">B7</f>
        <v>362904.65</v>
      </c>
      <c r="C8" s="6">
        <f t="shared" si="0"/>
        <v>351491.15</v>
      </c>
      <c r="D8" s="6">
        <f t="shared" si="0"/>
        <v>304261.61</v>
      </c>
      <c r="E8" s="6">
        <f t="shared" si="0"/>
        <v>335977.47</v>
      </c>
      <c r="F8" s="6">
        <f t="shared" si="0"/>
        <v>384201.01</v>
      </c>
      <c r="G8" s="6">
        <f t="shared" si="0"/>
        <v>307085.33</v>
      </c>
      <c r="H8" s="6">
        <f t="shared" si="0"/>
        <v>338659.74</v>
      </c>
      <c r="I8" s="6">
        <f t="shared" si="0"/>
        <v>402470.52</v>
      </c>
      <c r="J8" s="6">
        <f t="shared" si="0"/>
        <v>301980.49</v>
      </c>
      <c r="K8" s="6">
        <f t="shared" si="0"/>
        <v>379193.8</v>
      </c>
      <c r="L8" s="6">
        <f t="shared" si="0"/>
        <v>428661.96</v>
      </c>
      <c r="M8" s="6">
        <f t="shared" si="0"/>
        <v>340097.5</v>
      </c>
      <c r="N8" s="6">
        <f>(((((((((((B8)+(C8))+(D8))+(E8))+(F8))+(G8))+(H8))+(I8))+(J8))+(K8))+(L8))+(M8)</f>
        <v>4236985.2299999995</v>
      </c>
    </row>
    <row r="9" spans="1:14" x14ac:dyDescent="0.3">
      <c r="A9" s="3" t="s">
        <v>16</v>
      </c>
      <c r="B9" s="6">
        <f t="shared" ref="B9:M9" si="1">(B8)-(0)</f>
        <v>362904.65</v>
      </c>
      <c r="C9" s="6">
        <f t="shared" si="1"/>
        <v>351491.15</v>
      </c>
      <c r="D9" s="6">
        <f t="shared" si="1"/>
        <v>304261.61</v>
      </c>
      <c r="E9" s="6">
        <f t="shared" si="1"/>
        <v>335977.47</v>
      </c>
      <c r="F9" s="6">
        <f t="shared" si="1"/>
        <v>384201.01</v>
      </c>
      <c r="G9" s="6">
        <f t="shared" si="1"/>
        <v>307085.33</v>
      </c>
      <c r="H9" s="6">
        <f t="shared" si="1"/>
        <v>338659.74</v>
      </c>
      <c r="I9" s="6">
        <f t="shared" si="1"/>
        <v>402470.52</v>
      </c>
      <c r="J9" s="6">
        <f t="shared" si="1"/>
        <v>301980.49</v>
      </c>
      <c r="K9" s="6">
        <f t="shared" si="1"/>
        <v>379193.8</v>
      </c>
      <c r="L9" s="6">
        <f t="shared" si="1"/>
        <v>428661.96</v>
      </c>
      <c r="M9" s="6">
        <f t="shared" si="1"/>
        <v>340097.5</v>
      </c>
      <c r="N9" s="6">
        <f>(((((((((((B9)+(C9))+(D9))+(E9))+(F9))+(G9))+(H9))+(I9))+(J9))+(K9))+(L9))+(M9)</f>
        <v>4236985.2299999995</v>
      </c>
    </row>
    <row r="10" spans="1:14" x14ac:dyDescent="0.3">
      <c r="A10" s="3" t="s">
        <v>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">
      <c r="A11" s="3" t="s">
        <v>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>
        <f t="shared" ref="N11:N42" si="2">(((((((((((B11)+(C11))+(D11))+(E11))+(F11))+(G11))+(H11))+(I11))+(J11))+(K11))+(L11))+(M11)</f>
        <v>0</v>
      </c>
    </row>
    <row r="12" spans="1:14" x14ac:dyDescent="0.3">
      <c r="A12" s="3" t="s">
        <v>19</v>
      </c>
      <c r="B12" s="4"/>
      <c r="C12" s="4"/>
      <c r="D12" s="4"/>
      <c r="E12" s="4"/>
      <c r="F12" s="4"/>
      <c r="G12" s="4"/>
      <c r="H12" s="5">
        <f>550</f>
        <v>550</v>
      </c>
      <c r="I12" s="4"/>
      <c r="J12" s="4"/>
      <c r="K12" s="4"/>
      <c r="L12" s="4"/>
      <c r="M12" s="4"/>
      <c r="N12" s="5">
        <f t="shared" si="2"/>
        <v>550</v>
      </c>
    </row>
    <row r="13" spans="1:14" x14ac:dyDescent="0.3">
      <c r="A13" s="3" t="s">
        <v>20</v>
      </c>
      <c r="B13" s="5">
        <f>361.48</f>
        <v>361.48</v>
      </c>
      <c r="C13" s="5">
        <f>2508.75</f>
        <v>2508.75</v>
      </c>
      <c r="D13" s="4"/>
      <c r="E13" s="4"/>
      <c r="F13" s="4"/>
      <c r="G13" s="5">
        <f>198</f>
        <v>198</v>
      </c>
      <c r="H13" s="5">
        <f>54</f>
        <v>54</v>
      </c>
      <c r="I13" s="4"/>
      <c r="J13" s="5">
        <f>136.52</f>
        <v>136.52000000000001</v>
      </c>
      <c r="K13" s="5">
        <f>242.8</f>
        <v>242.8</v>
      </c>
      <c r="L13" s="5">
        <f>99.84</f>
        <v>99.84</v>
      </c>
      <c r="M13" s="5">
        <f>1101.72</f>
        <v>1101.72</v>
      </c>
      <c r="N13" s="5">
        <f t="shared" si="2"/>
        <v>4703.1100000000006</v>
      </c>
    </row>
    <row r="14" spans="1:14" x14ac:dyDescent="0.3">
      <c r="A14" s="3" t="s">
        <v>21</v>
      </c>
      <c r="B14" s="4"/>
      <c r="C14" s="5">
        <f>158.98</f>
        <v>158.97999999999999</v>
      </c>
      <c r="D14" s="5">
        <f>295.96</f>
        <v>295.95999999999998</v>
      </c>
      <c r="E14" s="4"/>
      <c r="F14" s="4"/>
      <c r="G14" s="4"/>
      <c r="H14" s="4"/>
      <c r="I14" s="4"/>
      <c r="J14" s="4"/>
      <c r="K14" s="4"/>
      <c r="L14" s="4"/>
      <c r="M14" s="4"/>
      <c r="N14" s="5">
        <f t="shared" si="2"/>
        <v>454.93999999999994</v>
      </c>
    </row>
    <row r="15" spans="1:14" x14ac:dyDescent="0.3">
      <c r="A15" s="3" t="s">
        <v>22</v>
      </c>
      <c r="B15" s="4"/>
      <c r="C15" s="5">
        <f>164.84</f>
        <v>164.84</v>
      </c>
      <c r="D15" s="5">
        <f>129.68</f>
        <v>129.68</v>
      </c>
      <c r="E15" s="5">
        <f t="shared" ref="E15:J15" si="3">64.84</f>
        <v>64.84</v>
      </c>
      <c r="F15" s="5">
        <f t="shared" si="3"/>
        <v>64.84</v>
      </c>
      <c r="G15" s="5">
        <f t="shared" si="3"/>
        <v>64.84</v>
      </c>
      <c r="H15" s="5">
        <f t="shared" si="3"/>
        <v>64.84</v>
      </c>
      <c r="I15" s="5">
        <f t="shared" si="3"/>
        <v>64.84</v>
      </c>
      <c r="J15" s="5">
        <f t="shared" si="3"/>
        <v>64.84</v>
      </c>
      <c r="K15" s="4"/>
      <c r="L15" s="5">
        <f>64.84</f>
        <v>64.84</v>
      </c>
      <c r="M15" s="5">
        <f>64.84</f>
        <v>64.84</v>
      </c>
      <c r="N15" s="5">
        <f t="shared" si="2"/>
        <v>813.24000000000024</v>
      </c>
    </row>
    <row r="16" spans="1:14" x14ac:dyDescent="0.3">
      <c r="A16" s="3" t="s">
        <v>23</v>
      </c>
      <c r="B16" s="5">
        <f>95</f>
        <v>95</v>
      </c>
      <c r="C16" s="5">
        <f>95</f>
        <v>95</v>
      </c>
      <c r="D16" s="5">
        <f>95</f>
        <v>95</v>
      </c>
      <c r="E16" s="5">
        <f>95</f>
        <v>95</v>
      </c>
      <c r="F16" s="5">
        <f>95</f>
        <v>95</v>
      </c>
      <c r="G16" s="5">
        <f>176.08</f>
        <v>176.08</v>
      </c>
      <c r="H16" s="5">
        <f>95</f>
        <v>95</v>
      </c>
      <c r="I16" s="5">
        <f>95</f>
        <v>95</v>
      </c>
      <c r="J16" s="5">
        <f>95</f>
        <v>95</v>
      </c>
      <c r="K16" s="5">
        <f>95</f>
        <v>95</v>
      </c>
      <c r="L16" s="5">
        <f>87.08</f>
        <v>87.08</v>
      </c>
      <c r="M16" s="5">
        <f>290</f>
        <v>290</v>
      </c>
      <c r="N16" s="5">
        <f t="shared" si="2"/>
        <v>1408.1599999999999</v>
      </c>
    </row>
    <row r="17" spans="1:14" x14ac:dyDescent="0.3">
      <c r="A17" s="3" t="s">
        <v>24</v>
      </c>
      <c r="B17" s="5">
        <f>5612.33</f>
        <v>5612.33</v>
      </c>
      <c r="C17" s="5">
        <f>2049.33</f>
        <v>2049.33</v>
      </c>
      <c r="D17" s="5">
        <f>2049.33</f>
        <v>2049.33</v>
      </c>
      <c r="E17" s="5">
        <f>4836.26</f>
        <v>4836.26</v>
      </c>
      <c r="F17" s="5">
        <f>2274.34</f>
        <v>2274.34</v>
      </c>
      <c r="G17" s="5">
        <f>2274.34</f>
        <v>2274.34</v>
      </c>
      <c r="H17" s="5">
        <f>2274.34</f>
        <v>2274.34</v>
      </c>
      <c r="I17" s="5">
        <f>2274.34</f>
        <v>2274.34</v>
      </c>
      <c r="J17" s="5">
        <f>2274.34</f>
        <v>2274.34</v>
      </c>
      <c r="K17" s="5">
        <f>4548.68</f>
        <v>4548.68</v>
      </c>
      <c r="L17" s="4"/>
      <c r="M17" s="4"/>
      <c r="N17" s="5">
        <f t="shared" si="2"/>
        <v>30467.63</v>
      </c>
    </row>
    <row r="18" spans="1:14" x14ac:dyDescent="0.3">
      <c r="A18" s="3" t="s">
        <v>25</v>
      </c>
      <c r="B18" s="4"/>
      <c r="C18" s="4"/>
      <c r="D18" s="4"/>
      <c r="E18" s="5">
        <f>401</f>
        <v>401</v>
      </c>
      <c r="F18" s="5">
        <f>12</f>
        <v>12</v>
      </c>
      <c r="G18" s="5">
        <f>3771.25</f>
        <v>3771.25</v>
      </c>
      <c r="H18" s="4"/>
      <c r="I18" s="4"/>
      <c r="J18" s="4"/>
      <c r="K18" s="4"/>
      <c r="L18" s="4"/>
      <c r="M18" s="5">
        <f>80</f>
        <v>80</v>
      </c>
      <c r="N18" s="5">
        <f t="shared" si="2"/>
        <v>4264.25</v>
      </c>
    </row>
    <row r="19" spans="1:14" x14ac:dyDescent="0.3">
      <c r="A19" s="3" t="s">
        <v>26</v>
      </c>
      <c r="B19" s="5">
        <f>6844.58</f>
        <v>6844.58</v>
      </c>
      <c r="C19" s="5">
        <f>4560.01</f>
        <v>4560.01</v>
      </c>
      <c r="D19" s="5">
        <f>4317.81</f>
        <v>4317.8100000000004</v>
      </c>
      <c r="E19" s="5">
        <f>5724.99</f>
        <v>5724.99</v>
      </c>
      <c r="F19" s="5">
        <f>4258.16</f>
        <v>4258.16</v>
      </c>
      <c r="G19" s="5">
        <f>3144.38</f>
        <v>3144.38</v>
      </c>
      <c r="H19" s="5">
        <f>2710.21</f>
        <v>2710.21</v>
      </c>
      <c r="I19" s="5">
        <f>3192.54</f>
        <v>3192.54</v>
      </c>
      <c r="J19" s="5">
        <f>5013.51</f>
        <v>5013.51</v>
      </c>
      <c r="K19" s="5">
        <f>6804.43</f>
        <v>6804.43</v>
      </c>
      <c r="L19" s="5">
        <f>7292.41</f>
        <v>7292.41</v>
      </c>
      <c r="M19" s="5">
        <f>9073.64</f>
        <v>9073.64</v>
      </c>
      <c r="N19" s="5">
        <f t="shared" si="2"/>
        <v>62936.67</v>
      </c>
    </row>
    <row r="20" spans="1:14" x14ac:dyDescent="0.3">
      <c r="A20" s="3" t="s">
        <v>27</v>
      </c>
      <c r="B20" s="5">
        <f>1398.53</f>
        <v>1398.53</v>
      </c>
      <c r="C20" s="5">
        <f>1474.62</f>
        <v>1474.62</v>
      </c>
      <c r="D20" s="5">
        <f t="shared" ref="D20:I20" si="4">1398.53</f>
        <v>1398.53</v>
      </c>
      <c r="E20" s="5">
        <f t="shared" si="4"/>
        <v>1398.53</v>
      </c>
      <c r="F20" s="5">
        <f t="shared" si="4"/>
        <v>1398.53</v>
      </c>
      <c r="G20" s="5">
        <f t="shared" si="4"/>
        <v>1398.53</v>
      </c>
      <c r="H20" s="5">
        <f t="shared" si="4"/>
        <v>1398.53</v>
      </c>
      <c r="I20" s="5">
        <f t="shared" si="4"/>
        <v>1398.53</v>
      </c>
      <c r="J20" s="5">
        <f>1525.88</f>
        <v>1525.88</v>
      </c>
      <c r="K20" s="5">
        <f>1415.67</f>
        <v>1415.67</v>
      </c>
      <c r="L20" s="5">
        <f>1398.53</f>
        <v>1398.53</v>
      </c>
      <c r="M20" s="5">
        <f>1398.5</f>
        <v>1398.5</v>
      </c>
      <c r="N20" s="5">
        <f t="shared" si="2"/>
        <v>17002.91</v>
      </c>
    </row>
    <row r="21" spans="1:14" x14ac:dyDescent="0.3">
      <c r="A21" s="3" t="s">
        <v>28</v>
      </c>
      <c r="B21" s="4"/>
      <c r="C21" s="4"/>
      <c r="D21" s="5">
        <f>147.8</f>
        <v>147.80000000000001</v>
      </c>
      <c r="E21" s="5">
        <f>295.6</f>
        <v>295.60000000000002</v>
      </c>
      <c r="F21" s="4"/>
      <c r="G21" s="4"/>
      <c r="H21" s="4"/>
      <c r="I21" s="4"/>
      <c r="J21" s="4"/>
      <c r="K21" s="4"/>
      <c r="L21" s="4"/>
      <c r="M21" s="4"/>
      <c r="N21" s="5">
        <f t="shared" si="2"/>
        <v>443.40000000000003</v>
      </c>
    </row>
    <row r="22" spans="1:14" x14ac:dyDescent="0.3">
      <c r="A22" s="3" t="s">
        <v>29</v>
      </c>
      <c r="B22" s="4"/>
      <c r="C22" s="4"/>
      <c r="D22" s="4"/>
      <c r="E22" s="4"/>
      <c r="F22" s="4"/>
      <c r="G22" s="4"/>
      <c r="H22" s="5">
        <f>389.46</f>
        <v>389.46</v>
      </c>
      <c r="I22" s="5">
        <f>644</f>
        <v>644</v>
      </c>
      <c r="J22" s="4"/>
      <c r="K22" s="5">
        <f>500</f>
        <v>500</v>
      </c>
      <c r="L22" s="4"/>
      <c r="M22" s="4"/>
      <c r="N22" s="5">
        <f t="shared" si="2"/>
        <v>1533.46</v>
      </c>
    </row>
    <row r="23" spans="1:14" x14ac:dyDescent="0.3">
      <c r="A23" s="3" t="s">
        <v>30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>
        <f t="shared" si="2"/>
        <v>0</v>
      </c>
    </row>
    <row r="24" spans="1:14" x14ac:dyDescent="0.3">
      <c r="A24" s="3" t="s">
        <v>31</v>
      </c>
      <c r="B24" s="5">
        <f>9077.85</f>
        <v>9077.85</v>
      </c>
      <c r="C24" s="5">
        <f>9819.86</f>
        <v>9819.86</v>
      </c>
      <c r="D24" s="5">
        <f>9880.86</f>
        <v>9880.86</v>
      </c>
      <c r="E24" s="5">
        <f>7127.07</f>
        <v>7127.07</v>
      </c>
      <c r="F24" s="5">
        <f>12178.23</f>
        <v>12178.23</v>
      </c>
      <c r="G24" s="5">
        <f>8519.17</f>
        <v>8519.17</v>
      </c>
      <c r="H24" s="5">
        <f>5328.33</f>
        <v>5328.33</v>
      </c>
      <c r="I24" s="5">
        <f>10579.76</f>
        <v>10579.76</v>
      </c>
      <c r="J24" s="5">
        <f>10506.33</f>
        <v>10506.33</v>
      </c>
      <c r="K24" s="5">
        <f>12728.09</f>
        <v>12728.09</v>
      </c>
      <c r="L24" s="5">
        <f>9884.21</f>
        <v>9884.2099999999991</v>
      </c>
      <c r="M24" s="5">
        <f>13400.44</f>
        <v>13400.44</v>
      </c>
      <c r="N24" s="5">
        <f t="shared" si="2"/>
        <v>119030.19999999998</v>
      </c>
    </row>
    <row r="25" spans="1:14" x14ac:dyDescent="0.3">
      <c r="A25" s="3" t="s">
        <v>32</v>
      </c>
      <c r="B25" s="6">
        <f t="shared" ref="B25:M25" si="5">(B23)+(B24)</f>
        <v>9077.85</v>
      </c>
      <c r="C25" s="6">
        <f t="shared" si="5"/>
        <v>9819.86</v>
      </c>
      <c r="D25" s="6">
        <f t="shared" si="5"/>
        <v>9880.86</v>
      </c>
      <c r="E25" s="6">
        <f t="shared" si="5"/>
        <v>7127.07</v>
      </c>
      <c r="F25" s="6">
        <f t="shared" si="5"/>
        <v>12178.23</v>
      </c>
      <c r="G25" s="6">
        <f t="shared" si="5"/>
        <v>8519.17</v>
      </c>
      <c r="H25" s="6">
        <f t="shared" si="5"/>
        <v>5328.33</v>
      </c>
      <c r="I25" s="6">
        <f t="shared" si="5"/>
        <v>10579.76</v>
      </c>
      <c r="J25" s="6">
        <f t="shared" si="5"/>
        <v>10506.33</v>
      </c>
      <c r="K25" s="6">
        <f t="shared" si="5"/>
        <v>12728.09</v>
      </c>
      <c r="L25" s="6">
        <f t="shared" si="5"/>
        <v>9884.2099999999991</v>
      </c>
      <c r="M25" s="6">
        <f t="shared" si="5"/>
        <v>13400.44</v>
      </c>
      <c r="N25" s="6">
        <f t="shared" si="2"/>
        <v>119030.19999999998</v>
      </c>
    </row>
    <row r="26" spans="1:14" x14ac:dyDescent="0.3">
      <c r="A26" s="3" t="s">
        <v>33</v>
      </c>
      <c r="B26" s="4"/>
      <c r="C26" s="4"/>
      <c r="D26" s="4"/>
      <c r="E26" s="5">
        <f>5.4</f>
        <v>5.4</v>
      </c>
      <c r="F26" s="5">
        <f>5.4</f>
        <v>5.4</v>
      </c>
      <c r="G26" s="5">
        <f>10.82</f>
        <v>10.82</v>
      </c>
      <c r="H26" s="4"/>
      <c r="I26" s="4"/>
      <c r="J26" s="4"/>
      <c r="K26" s="4"/>
      <c r="L26" s="4"/>
      <c r="M26" s="4"/>
      <c r="N26" s="5">
        <f t="shared" si="2"/>
        <v>21.62</v>
      </c>
    </row>
    <row r="27" spans="1:14" x14ac:dyDescent="0.3">
      <c r="A27" s="3" t="s">
        <v>34</v>
      </c>
      <c r="B27" s="4"/>
      <c r="C27" s="4"/>
      <c r="D27" s="4"/>
      <c r="E27" s="4"/>
      <c r="F27" s="4"/>
      <c r="G27" s="4"/>
      <c r="H27" s="5">
        <f>4000</f>
        <v>4000</v>
      </c>
      <c r="I27" s="5">
        <f>3500</f>
        <v>3500</v>
      </c>
      <c r="J27" s="4"/>
      <c r="K27" s="4"/>
      <c r="L27" s="4"/>
      <c r="M27" s="4"/>
      <c r="N27" s="5">
        <f t="shared" si="2"/>
        <v>7500</v>
      </c>
    </row>
    <row r="28" spans="1:14" x14ac:dyDescent="0.3">
      <c r="A28" s="3" t="s">
        <v>35</v>
      </c>
      <c r="B28" s="5">
        <f>541</f>
        <v>541</v>
      </c>
      <c r="C28" s="5">
        <f>157</f>
        <v>157</v>
      </c>
      <c r="D28" s="5">
        <f>150</f>
        <v>150</v>
      </c>
      <c r="E28" s="4"/>
      <c r="F28" s="5">
        <f>391</f>
        <v>391</v>
      </c>
      <c r="G28" s="5">
        <f>391</f>
        <v>391</v>
      </c>
      <c r="H28" s="5">
        <f>982</f>
        <v>982</v>
      </c>
      <c r="I28" s="5">
        <f>400</f>
        <v>400</v>
      </c>
      <c r="J28" s="4"/>
      <c r="K28" s="5">
        <f>400</f>
        <v>400</v>
      </c>
      <c r="L28" s="4"/>
      <c r="M28" s="5">
        <f>400</f>
        <v>400</v>
      </c>
      <c r="N28" s="5">
        <f t="shared" si="2"/>
        <v>3812</v>
      </c>
    </row>
    <row r="29" spans="1:14" x14ac:dyDescent="0.3">
      <c r="A29" s="3" t="s">
        <v>36</v>
      </c>
      <c r="B29" s="5">
        <f>42.57</f>
        <v>42.57</v>
      </c>
      <c r="C29" s="5">
        <f>207.9</f>
        <v>207.9</v>
      </c>
      <c r="D29" s="5">
        <f>108.64</f>
        <v>108.64</v>
      </c>
      <c r="E29" s="5">
        <f>655.32</f>
        <v>655.32000000000005</v>
      </c>
      <c r="F29" s="5">
        <f>666.31</f>
        <v>666.31</v>
      </c>
      <c r="G29" s="5">
        <f>437.46</f>
        <v>437.46</v>
      </c>
      <c r="H29" s="5">
        <f>1431.62</f>
        <v>1431.62</v>
      </c>
      <c r="I29" s="5">
        <f>646.27</f>
        <v>646.27</v>
      </c>
      <c r="J29" s="5">
        <f>368.48</f>
        <v>368.48</v>
      </c>
      <c r="K29" s="5">
        <f>277.63</f>
        <v>277.63</v>
      </c>
      <c r="L29" s="5">
        <f>410.78</f>
        <v>410.78</v>
      </c>
      <c r="M29" s="5">
        <f>1205.5</f>
        <v>1205.5</v>
      </c>
      <c r="N29" s="5">
        <f t="shared" si="2"/>
        <v>6458.48</v>
      </c>
    </row>
    <row r="30" spans="1:14" x14ac:dyDescent="0.3">
      <c r="A30" s="3" t="s">
        <v>37</v>
      </c>
      <c r="B30" s="5">
        <f>398.37</f>
        <v>398.37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>
        <f t="shared" si="2"/>
        <v>398.37</v>
      </c>
    </row>
    <row r="31" spans="1:14" x14ac:dyDescent="0.3">
      <c r="A31" s="3" t="s">
        <v>38</v>
      </c>
      <c r="B31" s="5">
        <f>468</f>
        <v>468</v>
      </c>
      <c r="C31" s="5">
        <f>5312.5</f>
        <v>5312.5</v>
      </c>
      <c r="D31" s="4"/>
      <c r="E31" s="4"/>
      <c r="F31" s="5">
        <f>1965.69</f>
        <v>1965.69</v>
      </c>
      <c r="G31" s="4"/>
      <c r="H31" s="4"/>
      <c r="I31" s="4"/>
      <c r="J31" s="4"/>
      <c r="K31" s="4"/>
      <c r="L31" s="5">
        <f>1160</f>
        <v>1160</v>
      </c>
      <c r="M31" s="5">
        <f>1650.81</f>
        <v>1650.81</v>
      </c>
      <c r="N31" s="5">
        <f t="shared" si="2"/>
        <v>10557</v>
      </c>
    </row>
    <row r="32" spans="1:14" x14ac:dyDescent="0.3">
      <c r="A32" s="3" t="s">
        <v>39</v>
      </c>
      <c r="B32" s="5">
        <f>79853.6</f>
        <v>79853.600000000006</v>
      </c>
      <c r="C32" s="4"/>
      <c r="D32" s="5">
        <f>76118.22</f>
        <v>76118.22</v>
      </c>
      <c r="E32" s="5">
        <f>29555.77</f>
        <v>29555.77</v>
      </c>
      <c r="F32" s="5">
        <f>36244.48</f>
        <v>36244.480000000003</v>
      </c>
      <c r="G32" s="5">
        <f>42084.24</f>
        <v>42084.24</v>
      </c>
      <c r="H32" s="5">
        <f>33959.96</f>
        <v>33959.96</v>
      </c>
      <c r="I32" s="5">
        <f>36994.64</f>
        <v>36994.639999999999</v>
      </c>
      <c r="J32" s="5">
        <f>37171.42</f>
        <v>37171.42</v>
      </c>
      <c r="K32" s="5">
        <f>32528.62</f>
        <v>32528.62</v>
      </c>
      <c r="L32" s="5">
        <f>35189.75</f>
        <v>35189.75</v>
      </c>
      <c r="M32" s="5">
        <f>38033.31</f>
        <v>38033.31</v>
      </c>
      <c r="N32" s="5">
        <f t="shared" si="2"/>
        <v>477734.01</v>
      </c>
    </row>
    <row r="33" spans="1:14" x14ac:dyDescent="0.3">
      <c r="A33" s="3" t="s">
        <v>40</v>
      </c>
      <c r="B33" s="5">
        <f>-559.53</f>
        <v>-559.53</v>
      </c>
      <c r="C33" s="4"/>
      <c r="D33" s="5">
        <f>277.56</f>
        <v>277.56</v>
      </c>
      <c r="E33" s="4"/>
      <c r="F33" s="4"/>
      <c r="G33" s="5">
        <f>278.74</f>
        <v>278.74</v>
      </c>
      <c r="H33" s="5">
        <f>163.05</f>
        <v>163.05000000000001</v>
      </c>
      <c r="I33" s="4"/>
      <c r="J33" s="4"/>
      <c r="K33" s="4"/>
      <c r="L33" s="4"/>
      <c r="M33" s="4"/>
      <c r="N33" s="5">
        <f t="shared" si="2"/>
        <v>159.82000000000005</v>
      </c>
    </row>
    <row r="34" spans="1:14" x14ac:dyDescent="0.3">
      <c r="A34" s="3" t="s">
        <v>41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>
        <f t="shared" si="2"/>
        <v>0</v>
      </c>
    </row>
    <row r="35" spans="1:14" x14ac:dyDescent="0.3">
      <c r="A35" s="3" t="s">
        <v>42</v>
      </c>
      <c r="B35" s="5">
        <f>19829.26</f>
        <v>19829.259999999998</v>
      </c>
      <c r="C35" s="5">
        <f>15442.65</f>
        <v>15442.65</v>
      </c>
      <c r="D35" s="5">
        <f>12151</f>
        <v>12151</v>
      </c>
      <c r="E35" s="5">
        <f>14170.84</f>
        <v>14170.84</v>
      </c>
      <c r="F35" s="5">
        <f>20268.31</f>
        <v>20268.310000000001</v>
      </c>
      <c r="G35" s="5">
        <f>21242.67</f>
        <v>21242.67</v>
      </c>
      <c r="H35" s="5">
        <f>32420.28</f>
        <v>32420.28</v>
      </c>
      <c r="I35" s="5">
        <f>12388.5</f>
        <v>12388.5</v>
      </c>
      <c r="J35" s="5">
        <f>25441.41</f>
        <v>25441.41</v>
      </c>
      <c r="K35" s="5">
        <f>26117.14</f>
        <v>26117.14</v>
      </c>
      <c r="L35" s="5">
        <f>18712.04</f>
        <v>18712.04</v>
      </c>
      <c r="M35" s="5">
        <f>20914.34</f>
        <v>20914.34</v>
      </c>
      <c r="N35" s="5">
        <f t="shared" si="2"/>
        <v>239098.44</v>
      </c>
    </row>
    <row r="36" spans="1:14" x14ac:dyDescent="0.3">
      <c r="A36" s="3" t="s">
        <v>43</v>
      </c>
      <c r="B36" s="6">
        <f t="shared" ref="B36:M36" si="6">(B34)+(B35)</f>
        <v>19829.259999999998</v>
      </c>
      <c r="C36" s="6">
        <f t="shared" si="6"/>
        <v>15442.65</v>
      </c>
      <c r="D36" s="6">
        <f t="shared" si="6"/>
        <v>12151</v>
      </c>
      <c r="E36" s="6">
        <f t="shared" si="6"/>
        <v>14170.84</v>
      </c>
      <c r="F36" s="6">
        <f t="shared" si="6"/>
        <v>20268.310000000001</v>
      </c>
      <c r="G36" s="6">
        <f t="shared" si="6"/>
        <v>21242.67</v>
      </c>
      <c r="H36" s="6">
        <f t="shared" si="6"/>
        <v>32420.28</v>
      </c>
      <c r="I36" s="6">
        <f t="shared" si="6"/>
        <v>12388.5</v>
      </c>
      <c r="J36" s="6">
        <f t="shared" si="6"/>
        <v>25441.41</v>
      </c>
      <c r="K36" s="6">
        <f t="shared" si="6"/>
        <v>26117.14</v>
      </c>
      <c r="L36" s="6">
        <f t="shared" si="6"/>
        <v>18712.04</v>
      </c>
      <c r="M36" s="6">
        <f t="shared" si="6"/>
        <v>20914.34</v>
      </c>
      <c r="N36" s="6">
        <f t="shared" si="2"/>
        <v>239098.44</v>
      </c>
    </row>
    <row r="37" spans="1:14" x14ac:dyDescent="0.3">
      <c r="A37" s="3" t="s">
        <v>44</v>
      </c>
      <c r="B37" s="4"/>
      <c r="C37" s="4"/>
      <c r="D37" s="4"/>
      <c r="E37" s="4"/>
      <c r="F37" s="4"/>
      <c r="G37" s="4"/>
      <c r="H37" s="4"/>
      <c r="I37" s="4"/>
      <c r="J37" s="4"/>
      <c r="K37" s="5">
        <f>17580.88</f>
        <v>17580.88</v>
      </c>
      <c r="L37" s="5">
        <f>65223.48</f>
        <v>65223.48</v>
      </c>
      <c r="M37" s="5">
        <f>724.8</f>
        <v>724.8</v>
      </c>
      <c r="N37" s="5">
        <f t="shared" si="2"/>
        <v>83529.16</v>
      </c>
    </row>
    <row r="38" spans="1:14" x14ac:dyDescent="0.3">
      <c r="A38" s="3" t="s">
        <v>45</v>
      </c>
      <c r="B38" s="5">
        <f>2683.65</f>
        <v>2683.65</v>
      </c>
      <c r="C38" s="5">
        <f>2233.65</f>
        <v>2233.65</v>
      </c>
      <c r="D38" s="5">
        <f>5458.25</f>
        <v>5458.25</v>
      </c>
      <c r="E38" s="5">
        <f>5395.13</f>
        <v>5395.13</v>
      </c>
      <c r="F38" s="5">
        <f>4808.3</f>
        <v>4808.3</v>
      </c>
      <c r="G38" s="5">
        <f>2230.09</f>
        <v>2230.09</v>
      </c>
      <c r="H38" s="5">
        <f>225</f>
        <v>225</v>
      </c>
      <c r="I38" s="5">
        <f>8606.14</f>
        <v>8606.14</v>
      </c>
      <c r="J38" s="5">
        <f>2123.35</f>
        <v>2123.35</v>
      </c>
      <c r="K38" s="5">
        <f>5896.4</f>
        <v>5896.4</v>
      </c>
      <c r="L38" s="5">
        <f>5261.14</f>
        <v>5261.14</v>
      </c>
      <c r="M38" s="5">
        <f>2537.19</f>
        <v>2537.19</v>
      </c>
      <c r="N38" s="5">
        <f t="shared" si="2"/>
        <v>47458.29</v>
      </c>
    </row>
    <row r="39" spans="1:14" x14ac:dyDescent="0.3">
      <c r="A39" s="3" t="s">
        <v>46</v>
      </c>
      <c r="B39" s="4"/>
      <c r="C39" s="5">
        <f>1900</f>
        <v>1900</v>
      </c>
      <c r="D39" s="5">
        <f>2555.6</f>
        <v>2555.6</v>
      </c>
      <c r="E39" s="5">
        <f>1900</f>
        <v>1900</v>
      </c>
      <c r="F39" s="5">
        <f>1900</f>
        <v>1900</v>
      </c>
      <c r="G39" s="5">
        <f>4032.5</f>
        <v>4032.5</v>
      </c>
      <c r="H39" s="4"/>
      <c r="I39" s="5">
        <f>1900</f>
        <v>1900</v>
      </c>
      <c r="J39" s="5">
        <f>3800</f>
        <v>3800</v>
      </c>
      <c r="K39" s="4"/>
      <c r="L39" s="5">
        <f>1900</f>
        <v>1900</v>
      </c>
      <c r="M39" s="5">
        <f>1900</f>
        <v>1900</v>
      </c>
      <c r="N39" s="5">
        <f t="shared" si="2"/>
        <v>21788.1</v>
      </c>
    </row>
    <row r="40" spans="1:14" x14ac:dyDescent="0.3">
      <c r="A40" s="3" t="s">
        <v>47</v>
      </c>
      <c r="B40" s="4"/>
      <c r="C40" s="4"/>
      <c r="D40" s="4"/>
      <c r="E40" s="4"/>
      <c r="F40" s="5">
        <f>10000</f>
        <v>10000</v>
      </c>
      <c r="G40" s="4"/>
      <c r="H40" s="4"/>
      <c r="I40" s="4"/>
      <c r="J40" s="4"/>
      <c r="K40" s="4"/>
      <c r="L40" s="4"/>
      <c r="M40" s="4"/>
      <c r="N40" s="5">
        <f t="shared" si="2"/>
        <v>10000</v>
      </c>
    </row>
    <row r="41" spans="1:14" x14ac:dyDescent="0.3">
      <c r="A41" s="3" t="s">
        <v>48</v>
      </c>
      <c r="B41" s="5">
        <f>32599.09</f>
        <v>32599.09</v>
      </c>
      <c r="C41" s="5">
        <f>31876.92</f>
        <v>31876.92</v>
      </c>
      <c r="D41" s="5">
        <f>19853.4</f>
        <v>19853.400000000001</v>
      </c>
      <c r="E41" s="5">
        <f>8542.16</f>
        <v>8542.16</v>
      </c>
      <c r="F41" s="5">
        <f>14869.34</f>
        <v>14869.34</v>
      </c>
      <c r="G41" s="5">
        <f>14444.61</f>
        <v>14444.61</v>
      </c>
      <c r="H41" s="5">
        <f>16899.75</f>
        <v>16899.75</v>
      </c>
      <c r="I41" s="5">
        <f>14567.24</f>
        <v>14567.24</v>
      </c>
      <c r="J41" s="5">
        <f>23576.27</f>
        <v>23576.27</v>
      </c>
      <c r="K41" s="5">
        <f>17317.97</f>
        <v>17317.97</v>
      </c>
      <c r="L41" s="5">
        <f>13989.53</f>
        <v>13989.53</v>
      </c>
      <c r="M41" s="5">
        <f>21897.33</f>
        <v>21897.33</v>
      </c>
      <c r="N41" s="5">
        <f t="shared" si="2"/>
        <v>230433.61</v>
      </c>
    </row>
    <row r="42" spans="1:14" x14ac:dyDescent="0.3">
      <c r="A42" s="3" t="s">
        <v>49</v>
      </c>
      <c r="B42" s="5">
        <f>523.16</f>
        <v>523.16</v>
      </c>
      <c r="C42" s="4"/>
      <c r="D42" s="5">
        <f>494.36</f>
        <v>494.36</v>
      </c>
      <c r="E42" s="5">
        <f>249.34</f>
        <v>249.34</v>
      </c>
      <c r="F42" s="5">
        <f>-196.54</f>
        <v>-196.54</v>
      </c>
      <c r="G42" s="5">
        <f>-194.75</f>
        <v>-194.75</v>
      </c>
      <c r="H42" s="5">
        <f>379.89</f>
        <v>379.89</v>
      </c>
      <c r="I42" s="4"/>
      <c r="J42" s="4"/>
      <c r="K42" s="4"/>
      <c r="L42" s="4"/>
      <c r="M42" s="4"/>
      <c r="N42" s="5">
        <f t="shared" si="2"/>
        <v>1255.46</v>
      </c>
    </row>
    <row r="43" spans="1:14" x14ac:dyDescent="0.3">
      <c r="A43" s="3" t="s">
        <v>50</v>
      </c>
      <c r="B43" s="5">
        <f>16.92</f>
        <v>16.920000000000002</v>
      </c>
      <c r="C43" s="4"/>
      <c r="D43" s="5">
        <f>177.47</f>
        <v>177.47</v>
      </c>
      <c r="E43" s="5">
        <f>249.84</f>
        <v>249.84</v>
      </c>
      <c r="F43" s="4"/>
      <c r="G43" s="5">
        <f>1291.42</f>
        <v>1291.42</v>
      </c>
      <c r="H43" s="4"/>
      <c r="I43" s="5">
        <f>13.79</f>
        <v>13.79</v>
      </c>
      <c r="J43" s="4"/>
      <c r="K43" s="4"/>
      <c r="L43" s="5">
        <f>3.15</f>
        <v>3.15</v>
      </c>
      <c r="M43" s="4"/>
      <c r="N43" s="5">
        <f t="shared" ref="N43:N74" si="7">(((((((((((B43)+(C43))+(D43))+(E43))+(F43))+(G43))+(H43))+(I43))+(J43))+(K43))+(L43))+(M43)</f>
        <v>1752.5900000000001</v>
      </c>
    </row>
    <row r="44" spans="1:14" x14ac:dyDescent="0.3">
      <c r="A44" s="3" t="s">
        <v>51</v>
      </c>
      <c r="B44" s="4"/>
      <c r="C44" s="4"/>
      <c r="D44" s="4"/>
      <c r="E44" s="4"/>
      <c r="F44" s="4"/>
      <c r="G44" s="4"/>
      <c r="H44" s="4"/>
      <c r="I44" s="4"/>
      <c r="J44" s="5">
        <f>95.23</f>
        <v>95.23</v>
      </c>
      <c r="K44" s="4"/>
      <c r="L44" s="4"/>
      <c r="M44" s="5">
        <f>97.43</f>
        <v>97.43</v>
      </c>
      <c r="N44" s="5">
        <f t="shared" si="7"/>
        <v>192.66000000000003</v>
      </c>
    </row>
    <row r="45" spans="1:14" x14ac:dyDescent="0.3">
      <c r="A45" s="3" t="s">
        <v>52</v>
      </c>
      <c r="B45" s="5">
        <f>30.52</f>
        <v>30.52</v>
      </c>
      <c r="C45" s="5">
        <f>35.64</f>
        <v>35.64</v>
      </c>
      <c r="D45" s="5">
        <f>19.04</f>
        <v>19.04</v>
      </c>
      <c r="E45" s="5">
        <f>45.59</f>
        <v>45.59</v>
      </c>
      <c r="F45" s="4"/>
      <c r="G45" s="4"/>
      <c r="H45" s="5">
        <f>39.6</f>
        <v>39.6</v>
      </c>
      <c r="I45" s="4"/>
      <c r="J45" s="5">
        <f>257.84</f>
        <v>257.83999999999997</v>
      </c>
      <c r="K45" s="5">
        <f>47.55</f>
        <v>47.55</v>
      </c>
      <c r="L45" s="5">
        <f>44.86</f>
        <v>44.86</v>
      </c>
      <c r="M45" s="5">
        <f>206.9</f>
        <v>206.9</v>
      </c>
      <c r="N45" s="5">
        <f t="shared" si="7"/>
        <v>727.54</v>
      </c>
    </row>
    <row r="46" spans="1:14" x14ac:dyDescent="0.3">
      <c r="A46" s="3" t="s">
        <v>53</v>
      </c>
      <c r="B46" s="5">
        <f>455.54</f>
        <v>455.54</v>
      </c>
      <c r="C46" s="5">
        <f>453.2</f>
        <v>453.2</v>
      </c>
      <c r="D46" s="5">
        <f>989.78</f>
        <v>989.78</v>
      </c>
      <c r="E46" s="5">
        <f>447.91</f>
        <v>447.91</v>
      </c>
      <c r="F46" s="5">
        <f>2440.01</f>
        <v>2440.0100000000002</v>
      </c>
      <c r="G46" s="5">
        <f>913.73</f>
        <v>913.73</v>
      </c>
      <c r="H46" s="5">
        <f>563.39</f>
        <v>563.39</v>
      </c>
      <c r="I46" s="5">
        <f>9492.92</f>
        <v>9492.92</v>
      </c>
      <c r="J46" s="5">
        <f>1811.98</f>
        <v>1811.98</v>
      </c>
      <c r="K46" s="5">
        <f>561.98</f>
        <v>561.98</v>
      </c>
      <c r="L46" s="5">
        <f>576.86</f>
        <v>576.86</v>
      </c>
      <c r="M46" s="5">
        <f>876.32</f>
        <v>876.32</v>
      </c>
      <c r="N46" s="5">
        <f t="shared" si="7"/>
        <v>19583.62</v>
      </c>
    </row>
    <row r="47" spans="1:14" x14ac:dyDescent="0.3">
      <c r="A47" s="3" t="s">
        <v>54</v>
      </c>
      <c r="B47" s="6">
        <f t="shared" ref="B47:M47" si="8">((((B42)+(B43))+(B44))+(B45))+(B46)</f>
        <v>1026.1399999999999</v>
      </c>
      <c r="C47" s="6">
        <f t="shared" si="8"/>
        <v>488.84</v>
      </c>
      <c r="D47" s="6">
        <f t="shared" si="8"/>
        <v>1680.65</v>
      </c>
      <c r="E47" s="6">
        <f t="shared" si="8"/>
        <v>992.68000000000006</v>
      </c>
      <c r="F47" s="6">
        <f t="shared" si="8"/>
        <v>2243.4700000000003</v>
      </c>
      <c r="G47" s="6">
        <f t="shared" si="8"/>
        <v>2010.4</v>
      </c>
      <c r="H47" s="6">
        <f t="shared" si="8"/>
        <v>982.88</v>
      </c>
      <c r="I47" s="6">
        <f t="shared" si="8"/>
        <v>9506.7100000000009</v>
      </c>
      <c r="J47" s="6">
        <f t="shared" si="8"/>
        <v>2165.0500000000002</v>
      </c>
      <c r="K47" s="6">
        <f t="shared" si="8"/>
        <v>609.53</v>
      </c>
      <c r="L47" s="6">
        <f t="shared" si="8"/>
        <v>624.87</v>
      </c>
      <c r="M47" s="6">
        <f t="shared" si="8"/>
        <v>1180.6500000000001</v>
      </c>
      <c r="N47" s="6">
        <f t="shared" si="7"/>
        <v>23511.87</v>
      </c>
    </row>
    <row r="48" spans="1:14" x14ac:dyDescent="0.3">
      <c r="A48" s="3" t="s">
        <v>55</v>
      </c>
      <c r="B48" s="5">
        <f>557.78</f>
        <v>557.78</v>
      </c>
      <c r="C48" s="5">
        <f>882.61</f>
        <v>882.61</v>
      </c>
      <c r="D48" s="5">
        <f>1128</f>
        <v>1128</v>
      </c>
      <c r="E48" s="5">
        <f>970.66</f>
        <v>970.66</v>
      </c>
      <c r="F48" s="5">
        <f>80</f>
        <v>80</v>
      </c>
      <c r="G48" s="5">
        <f>160</f>
        <v>160</v>
      </c>
      <c r="H48" s="5">
        <f>250</f>
        <v>250</v>
      </c>
      <c r="I48" s="5">
        <f>60</f>
        <v>60</v>
      </c>
      <c r="J48" s="5">
        <f>750</f>
        <v>750</v>
      </c>
      <c r="K48" s="5">
        <f>1000</f>
        <v>1000</v>
      </c>
      <c r="L48" s="5">
        <f>1792</f>
        <v>1792</v>
      </c>
      <c r="M48" s="5">
        <f>1036</f>
        <v>1036</v>
      </c>
      <c r="N48" s="5">
        <f t="shared" si="7"/>
        <v>8667.0499999999993</v>
      </c>
    </row>
    <row r="49" spans="1:14" x14ac:dyDescent="0.3">
      <c r="A49" s="3" t="s">
        <v>56</v>
      </c>
      <c r="B49" s="5">
        <f>55</f>
        <v>55</v>
      </c>
      <c r="C49" s="5">
        <f>55</f>
        <v>55</v>
      </c>
      <c r="D49" s="5">
        <f>55</f>
        <v>55</v>
      </c>
      <c r="E49" s="5">
        <f>55</f>
        <v>55</v>
      </c>
      <c r="F49" s="5">
        <f>60</f>
        <v>60</v>
      </c>
      <c r="G49" s="4"/>
      <c r="H49" s="4"/>
      <c r="I49" s="4"/>
      <c r="J49" s="4"/>
      <c r="K49" s="4"/>
      <c r="L49" s="4"/>
      <c r="M49" s="4"/>
      <c r="N49" s="5">
        <f t="shared" si="7"/>
        <v>280</v>
      </c>
    </row>
    <row r="50" spans="1:14" x14ac:dyDescent="0.3">
      <c r="A50" s="3" t="s">
        <v>57</v>
      </c>
      <c r="B50" s="5">
        <f>137187.47</f>
        <v>137187.47</v>
      </c>
      <c r="C50" s="5">
        <f>75330.96</f>
        <v>75330.960000000006</v>
      </c>
      <c r="D50" s="5">
        <f>93593.61</f>
        <v>93593.61</v>
      </c>
      <c r="E50" s="5">
        <f>81585.31</f>
        <v>81585.31</v>
      </c>
      <c r="F50" s="5">
        <f>73419.44</f>
        <v>73419.44</v>
      </c>
      <c r="G50" s="5">
        <f>73633.89</f>
        <v>73633.89</v>
      </c>
      <c r="H50" s="5">
        <f>69341.78</f>
        <v>69341.78</v>
      </c>
      <c r="I50" s="5">
        <f>65157.4</f>
        <v>65157.4</v>
      </c>
      <c r="J50" s="5">
        <f>93695.09</f>
        <v>93695.09</v>
      </c>
      <c r="K50" s="5">
        <f>78977.86</f>
        <v>78977.86</v>
      </c>
      <c r="L50" s="5">
        <f>78600.65</f>
        <v>78600.649999999994</v>
      </c>
      <c r="M50" s="5">
        <f>72137.72</f>
        <v>72137.72</v>
      </c>
      <c r="N50" s="5">
        <f t="shared" si="7"/>
        <v>992661.17999999993</v>
      </c>
    </row>
    <row r="51" spans="1:14" x14ac:dyDescent="0.3">
      <c r="A51" s="3" t="s">
        <v>58</v>
      </c>
      <c r="B51" s="6">
        <f t="shared" ref="B51:M51" si="9">(B49)+(B50)</f>
        <v>137242.47</v>
      </c>
      <c r="C51" s="6">
        <f t="shared" si="9"/>
        <v>75385.960000000006</v>
      </c>
      <c r="D51" s="6">
        <f t="shared" si="9"/>
        <v>93648.61</v>
      </c>
      <c r="E51" s="6">
        <f t="shared" si="9"/>
        <v>81640.31</v>
      </c>
      <c r="F51" s="6">
        <f t="shared" si="9"/>
        <v>73479.44</v>
      </c>
      <c r="G51" s="6">
        <f t="shared" si="9"/>
        <v>73633.89</v>
      </c>
      <c r="H51" s="6">
        <f t="shared" si="9"/>
        <v>69341.78</v>
      </c>
      <c r="I51" s="6">
        <f t="shared" si="9"/>
        <v>65157.4</v>
      </c>
      <c r="J51" s="6">
        <f t="shared" si="9"/>
        <v>93695.09</v>
      </c>
      <c r="K51" s="6">
        <f t="shared" si="9"/>
        <v>78977.86</v>
      </c>
      <c r="L51" s="6">
        <f t="shared" si="9"/>
        <v>78600.649999999994</v>
      </c>
      <c r="M51" s="6">
        <f t="shared" si="9"/>
        <v>72137.72</v>
      </c>
      <c r="N51" s="6">
        <f t="shared" si="7"/>
        <v>992941.17999999993</v>
      </c>
    </row>
    <row r="52" spans="1:14" x14ac:dyDescent="0.3">
      <c r="A52" s="3" t="s">
        <v>59</v>
      </c>
      <c r="B52" s="5">
        <f>-39540.16</f>
        <v>-39540.160000000003</v>
      </c>
      <c r="C52" s="5">
        <f>20944.27</f>
        <v>20944.27</v>
      </c>
      <c r="D52" s="5">
        <f>17086.86</f>
        <v>17086.86</v>
      </c>
      <c r="E52" s="5">
        <f>17177.04</f>
        <v>17177.04</v>
      </c>
      <c r="F52" s="5">
        <f>27378.16</f>
        <v>27378.16</v>
      </c>
      <c r="G52" s="5">
        <f>31825.98</f>
        <v>31825.98</v>
      </c>
      <c r="H52" s="5">
        <f>16197.08</f>
        <v>16197.08</v>
      </c>
      <c r="I52" s="5">
        <f>27936.88</f>
        <v>27936.880000000001</v>
      </c>
      <c r="J52" s="5">
        <f>31967.21</f>
        <v>31967.21</v>
      </c>
      <c r="K52" s="5">
        <f>29908.93</f>
        <v>29908.93</v>
      </c>
      <c r="L52" s="5">
        <f>31878.81</f>
        <v>31878.81</v>
      </c>
      <c r="M52" s="5">
        <f>39894.75</f>
        <v>39894.75</v>
      </c>
      <c r="N52" s="5">
        <f t="shared" si="7"/>
        <v>252655.81</v>
      </c>
    </row>
    <row r="53" spans="1:14" x14ac:dyDescent="0.3">
      <c r="A53" s="3" t="s">
        <v>60</v>
      </c>
      <c r="B53" s="5">
        <f>333.41</f>
        <v>333.41</v>
      </c>
      <c r="C53" s="5">
        <f>604.04</f>
        <v>604.04</v>
      </c>
      <c r="D53" s="5">
        <f>405.94</f>
        <v>405.94</v>
      </c>
      <c r="E53" s="5">
        <f>968.84</f>
        <v>968.84</v>
      </c>
      <c r="F53" s="5">
        <f>333.41</f>
        <v>333.41</v>
      </c>
      <c r="G53" s="5">
        <f>666.82</f>
        <v>666.82</v>
      </c>
      <c r="H53" s="4"/>
      <c r="I53" s="5">
        <f>1208.08</f>
        <v>1208.08</v>
      </c>
      <c r="J53" s="4"/>
      <c r="K53" s="4"/>
      <c r="L53" s="4"/>
      <c r="M53" s="5">
        <f>1000.23</f>
        <v>1000.23</v>
      </c>
      <c r="N53" s="5">
        <f t="shared" si="7"/>
        <v>5520.77</v>
      </c>
    </row>
    <row r="54" spans="1:14" x14ac:dyDescent="0.3">
      <c r="A54" s="3" t="s">
        <v>61</v>
      </c>
      <c r="B54" s="5">
        <f>788.35</f>
        <v>788.35</v>
      </c>
      <c r="C54" s="5">
        <f>1962.88</f>
        <v>1962.88</v>
      </c>
      <c r="D54" s="5">
        <f>745.15</f>
        <v>745.15</v>
      </c>
      <c r="E54" s="5">
        <f>1230.91</f>
        <v>1230.9100000000001</v>
      </c>
      <c r="F54" s="5">
        <f>543.38</f>
        <v>543.38</v>
      </c>
      <c r="G54" s="5">
        <f>1330.83</f>
        <v>1330.83</v>
      </c>
      <c r="H54" s="5">
        <f>1271.16</f>
        <v>1271.1600000000001</v>
      </c>
      <c r="I54" s="5">
        <f>882.52</f>
        <v>882.52</v>
      </c>
      <c r="J54" s="5">
        <f>1866.05</f>
        <v>1866.05</v>
      </c>
      <c r="K54" s="5">
        <f>2007.16</f>
        <v>2007.16</v>
      </c>
      <c r="L54" s="5">
        <f>150.53</f>
        <v>150.53</v>
      </c>
      <c r="M54" s="5">
        <f>1923.68</f>
        <v>1923.68</v>
      </c>
      <c r="N54" s="5">
        <f t="shared" si="7"/>
        <v>14702.6</v>
      </c>
    </row>
    <row r="55" spans="1:14" x14ac:dyDescent="0.3">
      <c r="A55" s="3" t="s">
        <v>62</v>
      </c>
      <c r="B55" s="4"/>
      <c r="C55" s="5">
        <f>5108.62</f>
        <v>5108.62</v>
      </c>
      <c r="D55" s="4"/>
      <c r="E55" s="5">
        <f>806.37</f>
        <v>806.37</v>
      </c>
      <c r="F55" s="5">
        <f>4069.5</f>
        <v>4069.5</v>
      </c>
      <c r="G55" s="5">
        <f>7218.88</f>
        <v>7218.88</v>
      </c>
      <c r="H55" s="5">
        <f>1413</f>
        <v>1413</v>
      </c>
      <c r="I55" s="4"/>
      <c r="J55" s="5">
        <f>1484.65</f>
        <v>1484.65</v>
      </c>
      <c r="K55" s="5">
        <f>1285</f>
        <v>1285</v>
      </c>
      <c r="L55" s="4"/>
      <c r="M55" s="5">
        <f>1262.4</f>
        <v>1262.4000000000001</v>
      </c>
      <c r="N55" s="5">
        <f t="shared" si="7"/>
        <v>22648.420000000002</v>
      </c>
    </row>
    <row r="56" spans="1:14" x14ac:dyDescent="0.3">
      <c r="A56" s="3" t="s">
        <v>63</v>
      </c>
      <c r="B56" s="4"/>
      <c r="C56" s="4"/>
      <c r="D56" s="4"/>
      <c r="E56" s="4"/>
      <c r="F56" s="4"/>
      <c r="G56" s="4"/>
      <c r="H56" s="4"/>
      <c r="I56" s="5">
        <f>245885.79</f>
        <v>245885.79</v>
      </c>
      <c r="J56" s="4"/>
      <c r="K56" s="4"/>
      <c r="L56" s="4"/>
      <c r="M56" s="4"/>
      <c r="N56" s="5">
        <f t="shared" si="7"/>
        <v>245885.79</v>
      </c>
    </row>
    <row r="57" spans="1:14" x14ac:dyDescent="0.3">
      <c r="A57" s="3" t="s">
        <v>64</v>
      </c>
      <c r="B57" s="5">
        <f>7494.34</f>
        <v>7494.34</v>
      </c>
      <c r="C57" s="5">
        <f>5928.4</f>
        <v>5928.4</v>
      </c>
      <c r="D57" s="5">
        <f>8574.15</f>
        <v>8574.15</v>
      </c>
      <c r="E57" s="5">
        <f>9000.6</f>
        <v>9000.6</v>
      </c>
      <c r="F57" s="5">
        <f>9094.08</f>
        <v>9094.08</v>
      </c>
      <c r="G57" s="5">
        <f>3953.94</f>
        <v>3953.94</v>
      </c>
      <c r="H57" s="5">
        <f>4786.17</f>
        <v>4786.17</v>
      </c>
      <c r="I57" s="5">
        <f>8097.33</f>
        <v>8097.33</v>
      </c>
      <c r="J57" s="5">
        <f>3948.21</f>
        <v>3948.21</v>
      </c>
      <c r="K57" s="5">
        <f>4674.97</f>
        <v>4674.97</v>
      </c>
      <c r="L57" s="5">
        <f>5896.54</f>
        <v>5896.54</v>
      </c>
      <c r="M57" s="5">
        <f>3284.56</f>
        <v>3284.56</v>
      </c>
      <c r="N57" s="5">
        <f t="shared" si="7"/>
        <v>74733.289999999994</v>
      </c>
    </row>
    <row r="58" spans="1:14" x14ac:dyDescent="0.3">
      <c r="A58" s="3" t="s">
        <v>65</v>
      </c>
      <c r="B58" s="5">
        <f>1403.65</f>
        <v>1403.65</v>
      </c>
      <c r="C58" s="5">
        <f>1055.84</f>
        <v>1055.8399999999999</v>
      </c>
      <c r="D58" s="5">
        <f>527.93</f>
        <v>527.92999999999995</v>
      </c>
      <c r="E58" s="4"/>
      <c r="F58" s="4"/>
      <c r="G58" s="4"/>
      <c r="H58" s="4"/>
      <c r="I58" s="4"/>
      <c r="J58" s="4"/>
      <c r="K58" s="4"/>
      <c r="L58" s="4"/>
      <c r="M58" s="4"/>
      <c r="N58" s="5">
        <f t="shared" si="7"/>
        <v>2987.4199999999996</v>
      </c>
    </row>
    <row r="59" spans="1:14" x14ac:dyDescent="0.3">
      <c r="A59" s="3" t="s">
        <v>66</v>
      </c>
      <c r="B59" s="4"/>
      <c r="C59" s="4"/>
      <c r="D59" s="5">
        <f>296.61</f>
        <v>296.61</v>
      </c>
      <c r="E59" s="4"/>
      <c r="F59" s="4"/>
      <c r="G59" s="4"/>
      <c r="H59" s="4"/>
      <c r="I59" s="4"/>
      <c r="J59" s="4"/>
      <c r="K59" s="4"/>
      <c r="L59" s="4"/>
      <c r="M59" s="4"/>
      <c r="N59" s="5">
        <f t="shared" si="7"/>
        <v>296.61</v>
      </c>
    </row>
    <row r="60" spans="1:14" x14ac:dyDescent="0.3">
      <c r="A60" s="3" t="s">
        <v>67</v>
      </c>
      <c r="B60" s="6">
        <f t="shared" ref="B60:M60" si="10">((B57)+(B58))+(B59)</f>
        <v>8897.99</v>
      </c>
      <c r="C60" s="6">
        <f t="shared" si="10"/>
        <v>6984.24</v>
      </c>
      <c r="D60" s="6">
        <f t="shared" si="10"/>
        <v>9398.69</v>
      </c>
      <c r="E60" s="6">
        <f t="shared" si="10"/>
        <v>9000.6</v>
      </c>
      <c r="F60" s="6">
        <f t="shared" si="10"/>
        <v>9094.08</v>
      </c>
      <c r="G60" s="6">
        <f t="shared" si="10"/>
        <v>3953.94</v>
      </c>
      <c r="H60" s="6">
        <f t="shared" si="10"/>
        <v>4786.17</v>
      </c>
      <c r="I60" s="6">
        <f t="shared" si="10"/>
        <v>8097.33</v>
      </c>
      <c r="J60" s="6">
        <f t="shared" si="10"/>
        <v>3948.21</v>
      </c>
      <c r="K60" s="6">
        <f t="shared" si="10"/>
        <v>4674.97</v>
      </c>
      <c r="L60" s="6">
        <f t="shared" si="10"/>
        <v>5896.54</v>
      </c>
      <c r="M60" s="6">
        <f t="shared" si="10"/>
        <v>3284.56</v>
      </c>
      <c r="N60" s="6">
        <f t="shared" si="7"/>
        <v>78017.319999999992</v>
      </c>
    </row>
    <row r="61" spans="1:14" x14ac:dyDescent="0.3">
      <c r="A61" s="3" t="s">
        <v>68</v>
      </c>
      <c r="B61" s="4"/>
      <c r="C61" s="4"/>
      <c r="D61" s="4"/>
      <c r="E61" s="4"/>
      <c r="F61" s="4"/>
      <c r="G61" s="5">
        <f>5.58</f>
        <v>5.58</v>
      </c>
      <c r="H61" s="5">
        <f>83.35</f>
        <v>83.35</v>
      </c>
      <c r="I61" s="4"/>
      <c r="J61" s="5">
        <f>8.72</f>
        <v>8.7200000000000006</v>
      </c>
      <c r="K61" s="4"/>
      <c r="L61" s="5">
        <f>53.68</f>
        <v>53.68</v>
      </c>
      <c r="M61" s="5">
        <f>24.86</f>
        <v>24.86</v>
      </c>
      <c r="N61" s="5">
        <f t="shared" si="7"/>
        <v>176.19</v>
      </c>
    </row>
    <row r="62" spans="1:14" x14ac:dyDescent="0.3">
      <c r="A62" s="3" t="s">
        <v>69</v>
      </c>
      <c r="B62" s="4"/>
      <c r="C62" s="5">
        <f>1047.94</f>
        <v>1047.94</v>
      </c>
      <c r="D62" s="4"/>
      <c r="E62" s="5">
        <f>476.94</f>
        <v>476.94</v>
      </c>
      <c r="F62" s="4"/>
      <c r="G62" s="4"/>
      <c r="H62" s="4"/>
      <c r="I62" s="4"/>
      <c r="J62" s="4"/>
      <c r="K62" s="5">
        <f>1036.81</f>
        <v>1036.81</v>
      </c>
      <c r="L62" s="5">
        <f>1663.33</f>
        <v>1663.33</v>
      </c>
      <c r="M62" s="5">
        <f>267.57</f>
        <v>267.57</v>
      </c>
      <c r="N62" s="5">
        <f t="shared" si="7"/>
        <v>4492.59</v>
      </c>
    </row>
    <row r="63" spans="1:14" x14ac:dyDescent="0.3">
      <c r="A63" s="3" t="s">
        <v>70</v>
      </c>
      <c r="B63" s="5">
        <f>3433.77</f>
        <v>3433.77</v>
      </c>
      <c r="C63" s="5">
        <f>2649.91</f>
        <v>2649.91</v>
      </c>
      <c r="D63" s="5">
        <f>2672.36</f>
        <v>2672.36</v>
      </c>
      <c r="E63" s="5">
        <f>2140.89</f>
        <v>2140.89</v>
      </c>
      <c r="F63" s="5">
        <f>2146.42</f>
        <v>2146.42</v>
      </c>
      <c r="G63" s="5">
        <f>2087.94</f>
        <v>2087.94</v>
      </c>
      <c r="H63" s="5">
        <f>1401.04</f>
        <v>1401.04</v>
      </c>
      <c r="I63" s="5">
        <f>2189.17</f>
        <v>2189.17</v>
      </c>
      <c r="J63" s="5">
        <f>1735.66</f>
        <v>1735.66</v>
      </c>
      <c r="K63" s="5">
        <f>2241.52</f>
        <v>2241.52</v>
      </c>
      <c r="L63" s="5">
        <f>708.36</f>
        <v>708.36</v>
      </c>
      <c r="M63" s="5">
        <f>232.74</f>
        <v>232.74</v>
      </c>
      <c r="N63" s="5">
        <f t="shared" si="7"/>
        <v>23639.780000000002</v>
      </c>
    </row>
    <row r="64" spans="1:14" x14ac:dyDescent="0.3">
      <c r="A64" s="3" t="s">
        <v>71</v>
      </c>
      <c r="B64" s="5">
        <f>1764</f>
        <v>1764</v>
      </c>
      <c r="C64" s="4"/>
      <c r="D64" s="4"/>
      <c r="E64" s="4"/>
      <c r="F64" s="4"/>
      <c r="G64" s="4"/>
      <c r="H64" s="5">
        <f>1872.5</f>
        <v>1872.5</v>
      </c>
      <c r="I64" s="5">
        <f>2219</f>
        <v>2219</v>
      </c>
      <c r="J64" s="4"/>
      <c r="K64" s="5">
        <f>22807</f>
        <v>22807</v>
      </c>
      <c r="L64" s="4"/>
      <c r="M64" s="4"/>
      <c r="N64" s="5">
        <f t="shared" si="7"/>
        <v>28662.5</v>
      </c>
    </row>
    <row r="65" spans="1:14" x14ac:dyDescent="0.3">
      <c r="A65" s="3" t="s">
        <v>72</v>
      </c>
      <c r="B65" s="5">
        <f>2818.28</f>
        <v>2818.28</v>
      </c>
      <c r="C65" s="5">
        <f>252.35</f>
        <v>252.35</v>
      </c>
      <c r="D65" s="5">
        <f>181.96</f>
        <v>181.96</v>
      </c>
      <c r="E65" s="5">
        <f>984.88</f>
        <v>984.88</v>
      </c>
      <c r="F65" s="5">
        <f>392.21</f>
        <v>392.21</v>
      </c>
      <c r="G65" s="5">
        <f>1828.28</f>
        <v>1828.28</v>
      </c>
      <c r="H65" s="4"/>
      <c r="I65" s="5">
        <f>533.58</f>
        <v>533.58000000000004</v>
      </c>
      <c r="J65" s="5">
        <f>1964.4</f>
        <v>1964.4</v>
      </c>
      <c r="K65" s="5">
        <f>304.02</f>
        <v>304.02</v>
      </c>
      <c r="L65" s="5">
        <f>155.13</f>
        <v>155.13</v>
      </c>
      <c r="M65" s="5">
        <f>380.69</f>
        <v>380.69</v>
      </c>
      <c r="N65" s="5">
        <f t="shared" si="7"/>
        <v>9795.7800000000007</v>
      </c>
    </row>
    <row r="66" spans="1:14" x14ac:dyDescent="0.3">
      <c r="A66" s="3" t="s">
        <v>73</v>
      </c>
      <c r="B66" s="4"/>
      <c r="C66" s="4"/>
      <c r="D66" s="4"/>
      <c r="E66" s="4"/>
      <c r="F66" s="5">
        <f>13</f>
        <v>13</v>
      </c>
      <c r="G66" s="4"/>
      <c r="H66" s="4"/>
      <c r="I66" s="4"/>
      <c r="J66" s="4"/>
      <c r="K66" s="4"/>
      <c r="L66" s="4"/>
      <c r="M66" s="4"/>
      <c r="N66" s="5">
        <f t="shared" si="7"/>
        <v>13</v>
      </c>
    </row>
    <row r="67" spans="1:14" x14ac:dyDescent="0.3">
      <c r="A67" s="3" t="s">
        <v>74</v>
      </c>
      <c r="B67" s="5">
        <f>4086.05</f>
        <v>4086.05</v>
      </c>
      <c r="C67" s="5">
        <f>494.05</f>
        <v>494.05</v>
      </c>
      <c r="D67" s="5">
        <f>494.05</f>
        <v>494.05</v>
      </c>
      <c r="E67" s="5">
        <f>494.05</f>
        <v>494.05</v>
      </c>
      <c r="F67" s="5">
        <f>494.05</f>
        <v>494.05</v>
      </c>
      <c r="G67" s="5">
        <f>494.05</f>
        <v>494.05</v>
      </c>
      <c r="H67" s="5">
        <f>494.04</f>
        <v>494.04</v>
      </c>
      <c r="I67" s="5">
        <f>494.04</f>
        <v>494.04</v>
      </c>
      <c r="J67" s="5">
        <f>494.04</f>
        <v>494.04</v>
      </c>
      <c r="K67" s="5">
        <f>416.17</f>
        <v>416.17</v>
      </c>
      <c r="L67" s="5">
        <f>415.81</f>
        <v>415.81</v>
      </c>
      <c r="M67" s="5">
        <f>415.81</f>
        <v>415.81</v>
      </c>
      <c r="N67" s="5">
        <f t="shared" si="7"/>
        <v>9286.2099999999991</v>
      </c>
    </row>
    <row r="68" spans="1:14" x14ac:dyDescent="0.3">
      <c r="A68" s="3" t="s">
        <v>75</v>
      </c>
      <c r="B68" s="6">
        <f t="shared" ref="B68:M68" si="11">((((((((((((((((((((((((((((((((((((((((((B11)+(B12))+(B13))+(B14))+(B15))+(B16))+(B17))+(B18))+(B19))+(B20))+(B21))+(B22))+(B25))+(B26))+(B27))+(B28))+(B29))+(B30))+(B31))+(B32))+(B33))+(B36))+(B37))+(B38))+(B39))+(B40))+(B41))+(B47))+(B48))+(B51))+(B52))+(B53))+(B54))+(B55))+(B56))+(B60))+(B61))+(B62))+(B63))+(B64))+(B65))+(B66))+(B67)</f>
        <v>280653.8600000001</v>
      </c>
      <c r="C68" s="6">
        <f t="shared" si="11"/>
        <v>194767.72</v>
      </c>
      <c r="D68" s="6">
        <f t="shared" si="11"/>
        <v>262429.90999999997</v>
      </c>
      <c r="E68" s="6">
        <f t="shared" si="11"/>
        <v>197052.08000000002</v>
      </c>
      <c r="F68" s="6">
        <f t="shared" si="11"/>
        <v>231667.05000000002</v>
      </c>
      <c r="G68" s="6">
        <f t="shared" si="11"/>
        <v>229915.30999999997</v>
      </c>
      <c r="H68" s="6">
        <f t="shared" si="11"/>
        <v>201039.37000000002</v>
      </c>
      <c r="I68" s="6">
        <f t="shared" si="11"/>
        <v>461422.3</v>
      </c>
      <c r="J68" s="6">
        <f t="shared" si="11"/>
        <v>252176.42999999996</v>
      </c>
      <c r="K68" s="6">
        <f t="shared" si="11"/>
        <v>271722.27999999997</v>
      </c>
      <c r="L68" s="6">
        <f t="shared" si="11"/>
        <v>282613.34000000003</v>
      </c>
      <c r="M68" s="6">
        <f t="shared" si="11"/>
        <v>237714.07999999996</v>
      </c>
      <c r="N68" s="6">
        <f t="shared" si="7"/>
        <v>3103173.73</v>
      </c>
    </row>
    <row r="69" spans="1:14" x14ac:dyDescent="0.3">
      <c r="A69" s="3" t="s">
        <v>76</v>
      </c>
      <c r="B69" s="5">
        <f>215444.74</f>
        <v>215444.74</v>
      </c>
      <c r="C69" s="4"/>
      <c r="D69" s="5">
        <f>0</f>
        <v>0</v>
      </c>
      <c r="E69" s="4"/>
      <c r="F69" s="4"/>
      <c r="G69" s="4"/>
      <c r="H69" s="5">
        <f>211690.34</f>
        <v>211690.34</v>
      </c>
      <c r="I69" s="4"/>
      <c r="J69" s="4"/>
      <c r="K69" s="4"/>
      <c r="L69" s="4"/>
      <c r="M69" s="4"/>
      <c r="N69" s="5">
        <f t="shared" si="7"/>
        <v>427135.07999999996</v>
      </c>
    </row>
    <row r="70" spans="1:14" x14ac:dyDescent="0.3">
      <c r="A70" s="3" t="s">
        <v>77</v>
      </c>
      <c r="B70" s="4"/>
      <c r="C70" s="4"/>
      <c r="D70" s="4"/>
      <c r="E70" s="4"/>
      <c r="F70" s="4"/>
      <c r="G70" s="4"/>
      <c r="H70" s="4"/>
      <c r="I70" s="5">
        <f>0</f>
        <v>0</v>
      </c>
      <c r="J70" s="4"/>
      <c r="K70" s="4"/>
      <c r="L70" s="5">
        <f>5</f>
        <v>5</v>
      </c>
      <c r="M70" s="4"/>
      <c r="N70" s="5">
        <f t="shared" si="7"/>
        <v>5</v>
      </c>
    </row>
    <row r="71" spans="1:14" x14ac:dyDescent="0.3">
      <c r="A71" s="3" t="s">
        <v>78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>
        <f t="shared" si="7"/>
        <v>0</v>
      </c>
    </row>
    <row r="72" spans="1:14" x14ac:dyDescent="0.3">
      <c r="A72" s="3" t="s">
        <v>79</v>
      </c>
      <c r="B72" s="4"/>
      <c r="C72" s="5">
        <f>1836.98</f>
        <v>1836.98</v>
      </c>
      <c r="D72" s="4"/>
      <c r="E72" s="5">
        <f>693.42</f>
        <v>693.42</v>
      </c>
      <c r="F72" s="5">
        <f>647.13</f>
        <v>647.13</v>
      </c>
      <c r="G72" s="4"/>
      <c r="H72" s="5">
        <f>691.71</f>
        <v>691.71</v>
      </c>
      <c r="I72" s="5">
        <f>602.55</f>
        <v>602.54999999999995</v>
      </c>
      <c r="J72" s="5">
        <f>1383.42</f>
        <v>1383.42</v>
      </c>
      <c r="K72" s="4"/>
      <c r="L72" s="5">
        <f>1399.31</f>
        <v>1399.31</v>
      </c>
      <c r="M72" s="5">
        <f>707.6</f>
        <v>707.6</v>
      </c>
      <c r="N72" s="5">
        <f t="shared" si="7"/>
        <v>7962.1200000000008</v>
      </c>
    </row>
    <row r="73" spans="1:14" x14ac:dyDescent="0.3">
      <c r="A73" s="3" t="s">
        <v>80</v>
      </c>
      <c r="B73" s="5">
        <f>9117.86</f>
        <v>9117.86</v>
      </c>
      <c r="C73" s="5">
        <f>12865.49</f>
        <v>12865.49</v>
      </c>
      <c r="D73" s="5">
        <f>13986.46</f>
        <v>13986.46</v>
      </c>
      <c r="E73" s="5">
        <f>14633.83</f>
        <v>14633.83</v>
      </c>
      <c r="F73" s="5">
        <f>13089.99</f>
        <v>13089.99</v>
      </c>
      <c r="G73" s="5">
        <f>7984.34</f>
        <v>7984.34</v>
      </c>
      <c r="H73" s="5">
        <f>7082.77</f>
        <v>7082.77</v>
      </c>
      <c r="I73" s="5">
        <f>7759.52</f>
        <v>7759.52</v>
      </c>
      <c r="J73" s="5">
        <f>10626.63</f>
        <v>10626.63</v>
      </c>
      <c r="K73" s="5">
        <f>7079.52</f>
        <v>7079.52</v>
      </c>
      <c r="L73" s="5">
        <f>6808.2</f>
        <v>6808.2</v>
      </c>
      <c r="M73" s="5">
        <f>7523.94</f>
        <v>7523.94</v>
      </c>
      <c r="N73" s="5">
        <f t="shared" si="7"/>
        <v>118558.55000000002</v>
      </c>
    </row>
    <row r="74" spans="1:14" x14ac:dyDescent="0.3">
      <c r="A74" s="3" t="s">
        <v>81</v>
      </c>
      <c r="B74" s="5">
        <f>899.07</f>
        <v>899.07</v>
      </c>
      <c r="C74" s="5">
        <f>1763.15</f>
        <v>1763.15</v>
      </c>
      <c r="D74" s="5">
        <f>1766.62</f>
        <v>1766.62</v>
      </c>
      <c r="E74" s="5">
        <f>805.68</f>
        <v>805.68</v>
      </c>
      <c r="F74" s="5">
        <f>1578.09</f>
        <v>1578.09</v>
      </c>
      <c r="G74" s="5">
        <f>1527.36</f>
        <v>1527.36</v>
      </c>
      <c r="H74" s="5">
        <f>1923.63</f>
        <v>1923.63</v>
      </c>
      <c r="I74" s="5">
        <f>2109.37</f>
        <v>2109.37</v>
      </c>
      <c r="J74" s="5">
        <f>1996.25</f>
        <v>1996.25</v>
      </c>
      <c r="K74" s="5">
        <f>2023.98</f>
        <v>2023.98</v>
      </c>
      <c r="L74" s="5">
        <f>1921.53</f>
        <v>1921.53</v>
      </c>
      <c r="M74" s="5">
        <f>1660.6</f>
        <v>1660.6</v>
      </c>
      <c r="N74" s="5">
        <f t="shared" si="7"/>
        <v>19975.329999999998</v>
      </c>
    </row>
    <row r="75" spans="1:14" x14ac:dyDescent="0.3">
      <c r="A75" s="3" t="s">
        <v>82</v>
      </c>
      <c r="B75" s="5">
        <f>5033.27</f>
        <v>5033.2700000000004</v>
      </c>
      <c r="C75" s="5">
        <f>6694.93</f>
        <v>6694.93</v>
      </c>
      <c r="D75" s="5">
        <f>7488.68</f>
        <v>7488.68</v>
      </c>
      <c r="E75" s="5">
        <f>7293.83</f>
        <v>7293.83</v>
      </c>
      <c r="F75" s="5">
        <f>7410.13</f>
        <v>7410.13</v>
      </c>
      <c r="G75" s="5">
        <f>6288.54</f>
        <v>6288.54</v>
      </c>
      <c r="H75" s="5">
        <f>6003.29</f>
        <v>6003.29</v>
      </c>
      <c r="I75" s="5">
        <f>5651.56</f>
        <v>5651.56</v>
      </c>
      <c r="J75" s="5">
        <f>4243.78</f>
        <v>4243.78</v>
      </c>
      <c r="K75" s="4"/>
      <c r="L75" s="4"/>
      <c r="M75" s="5">
        <f>19435.82</f>
        <v>19435.82</v>
      </c>
      <c r="N75" s="5">
        <f t="shared" ref="N75:N106" si="12">(((((((((((B75)+(C75))+(D75))+(E75))+(F75))+(G75))+(H75))+(I75))+(J75))+(K75))+(L75))+(M75)</f>
        <v>75543.829999999987</v>
      </c>
    </row>
    <row r="76" spans="1:14" x14ac:dyDescent="0.3">
      <c r="A76" s="3" t="s">
        <v>83</v>
      </c>
      <c r="B76" s="6">
        <f t="shared" ref="B76:M76" si="13">((((B71)+(B72))+(B73))+(B74))+(B75)</f>
        <v>15050.2</v>
      </c>
      <c r="C76" s="6">
        <f t="shared" si="13"/>
        <v>23160.55</v>
      </c>
      <c r="D76" s="6">
        <f t="shared" si="13"/>
        <v>23241.759999999998</v>
      </c>
      <c r="E76" s="6">
        <f t="shared" si="13"/>
        <v>23426.760000000002</v>
      </c>
      <c r="F76" s="6">
        <f t="shared" si="13"/>
        <v>22725.34</v>
      </c>
      <c r="G76" s="6">
        <f t="shared" si="13"/>
        <v>15800.240000000002</v>
      </c>
      <c r="H76" s="6">
        <f t="shared" si="13"/>
        <v>15701.400000000001</v>
      </c>
      <c r="I76" s="6">
        <f t="shared" si="13"/>
        <v>16123</v>
      </c>
      <c r="J76" s="6">
        <f t="shared" si="13"/>
        <v>18250.079999999998</v>
      </c>
      <c r="K76" s="6">
        <f t="shared" si="13"/>
        <v>9103.5</v>
      </c>
      <c r="L76" s="6">
        <f t="shared" si="13"/>
        <v>10129.040000000001</v>
      </c>
      <c r="M76" s="6">
        <f t="shared" si="13"/>
        <v>29327.96</v>
      </c>
      <c r="N76" s="6">
        <f t="shared" si="12"/>
        <v>222039.83</v>
      </c>
    </row>
    <row r="77" spans="1:14" x14ac:dyDescent="0.3">
      <c r="A77" s="3" t="s">
        <v>84</v>
      </c>
      <c r="B77" s="6">
        <f t="shared" ref="B77:M77" si="14">(((B68)+(B69))+(B70))+(B76)</f>
        <v>511148.8000000001</v>
      </c>
      <c r="C77" s="6">
        <f t="shared" si="14"/>
        <v>217928.27</v>
      </c>
      <c r="D77" s="6">
        <f t="shared" si="14"/>
        <v>285671.67</v>
      </c>
      <c r="E77" s="6">
        <f t="shared" si="14"/>
        <v>220478.84000000003</v>
      </c>
      <c r="F77" s="6">
        <f t="shared" si="14"/>
        <v>254392.39</v>
      </c>
      <c r="G77" s="6">
        <f t="shared" si="14"/>
        <v>245715.54999999996</v>
      </c>
      <c r="H77" s="6">
        <f t="shared" si="14"/>
        <v>428431.11000000004</v>
      </c>
      <c r="I77" s="6">
        <f t="shared" si="14"/>
        <v>477545.3</v>
      </c>
      <c r="J77" s="6">
        <f t="shared" si="14"/>
        <v>270426.50999999995</v>
      </c>
      <c r="K77" s="6">
        <f t="shared" si="14"/>
        <v>280825.77999999997</v>
      </c>
      <c r="L77" s="6">
        <f t="shared" si="14"/>
        <v>292747.38</v>
      </c>
      <c r="M77" s="6">
        <f t="shared" si="14"/>
        <v>267042.03999999998</v>
      </c>
      <c r="N77" s="6">
        <f t="shared" si="12"/>
        <v>3752353.6399999997</v>
      </c>
    </row>
    <row r="78" spans="1:14" x14ac:dyDescent="0.3">
      <c r="A78" s="3" t="s">
        <v>85</v>
      </c>
      <c r="B78" s="6">
        <f t="shared" ref="B78:M78" si="15">(B9)-(B77)</f>
        <v>-148244.15000000008</v>
      </c>
      <c r="C78" s="6">
        <f t="shared" si="15"/>
        <v>133562.88000000003</v>
      </c>
      <c r="D78" s="6">
        <f t="shared" si="15"/>
        <v>18589.940000000002</v>
      </c>
      <c r="E78" s="6">
        <f t="shared" si="15"/>
        <v>115498.62999999995</v>
      </c>
      <c r="F78" s="6">
        <f t="shared" si="15"/>
        <v>129808.62</v>
      </c>
      <c r="G78" s="6">
        <f t="shared" si="15"/>
        <v>61369.780000000057</v>
      </c>
      <c r="H78" s="6">
        <f t="shared" si="15"/>
        <v>-89771.370000000054</v>
      </c>
      <c r="I78" s="6">
        <f t="shared" si="15"/>
        <v>-75074.77999999997</v>
      </c>
      <c r="J78" s="6">
        <f t="shared" si="15"/>
        <v>31553.98000000004</v>
      </c>
      <c r="K78" s="6">
        <f t="shared" si="15"/>
        <v>98368.020000000019</v>
      </c>
      <c r="L78" s="6">
        <f t="shared" si="15"/>
        <v>135914.58000000002</v>
      </c>
      <c r="M78" s="6">
        <f t="shared" si="15"/>
        <v>73055.460000000021</v>
      </c>
      <c r="N78" s="6">
        <f t="shared" si="12"/>
        <v>484631.59</v>
      </c>
    </row>
    <row r="79" spans="1:14" x14ac:dyDescent="0.3">
      <c r="A79" s="3" t="s">
        <v>86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3">
      <c r="A80" s="3" t="s">
        <v>87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>
        <f>(((((((((((B80)+(C80))+(D80))+(E80))+(F80))+(G80))+(H80))+(I80))+(J80))+(K80))+(L80))+(M80)</f>
        <v>0</v>
      </c>
    </row>
    <row r="81" spans="1:14" x14ac:dyDescent="0.3">
      <c r="A81" s="3" t="s">
        <v>88</v>
      </c>
      <c r="B81" s="5">
        <f>15.33</f>
        <v>15.33</v>
      </c>
      <c r="C81" s="5">
        <f>12.45</f>
        <v>12.45</v>
      </c>
      <c r="D81" s="5">
        <f>10.03</f>
        <v>10.029999999999999</v>
      </c>
      <c r="E81" s="5">
        <f>24.08</f>
        <v>24.08</v>
      </c>
      <c r="F81" s="5">
        <f>60.37</f>
        <v>60.37</v>
      </c>
      <c r="G81" s="4"/>
      <c r="H81" s="5">
        <f>135.29</f>
        <v>135.29</v>
      </c>
      <c r="I81" s="5">
        <f>13.34</f>
        <v>13.34</v>
      </c>
      <c r="J81" s="4"/>
      <c r="K81" s="5">
        <f>8.48</f>
        <v>8.48</v>
      </c>
      <c r="L81" s="5">
        <f>11.75</f>
        <v>11.75</v>
      </c>
      <c r="M81" s="5">
        <f>50.93</f>
        <v>50.93</v>
      </c>
      <c r="N81" s="5">
        <f>(((((((((((B81)+(C81))+(D81))+(E81))+(F81))+(G81))+(H81))+(I81))+(J81))+(K81))+(L81))+(M81)</f>
        <v>342.04999999999995</v>
      </c>
    </row>
    <row r="82" spans="1:14" x14ac:dyDescent="0.3">
      <c r="A82" s="3" t="s">
        <v>89</v>
      </c>
      <c r="B82" s="5">
        <f>0.96</f>
        <v>0.96</v>
      </c>
      <c r="C82" s="5">
        <f>1.41</f>
        <v>1.41</v>
      </c>
      <c r="D82" s="5">
        <f>1.74</f>
        <v>1.74</v>
      </c>
      <c r="E82" s="5">
        <f>1.9</f>
        <v>1.9</v>
      </c>
      <c r="F82" s="5">
        <f>2.72</f>
        <v>2.72</v>
      </c>
      <c r="G82" s="5">
        <f>3.33</f>
        <v>3.33</v>
      </c>
      <c r="H82" s="5">
        <f>3.74</f>
        <v>3.74</v>
      </c>
      <c r="I82" s="5">
        <f>0.96</f>
        <v>0.96</v>
      </c>
      <c r="J82" s="5">
        <f>1.3</f>
        <v>1.3</v>
      </c>
      <c r="K82" s="5">
        <f>1.88</f>
        <v>1.88</v>
      </c>
      <c r="L82" s="5">
        <f>2.16</f>
        <v>2.16</v>
      </c>
      <c r="M82" s="5">
        <f>1.76</f>
        <v>1.76</v>
      </c>
      <c r="N82" s="5">
        <f>(((((((((((B82)+(C82))+(D82))+(E82))+(F82))+(G82))+(H82))+(I82))+(J82))+(K82))+(L82))+(M82)</f>
        <v>23.860000000000003</v>
      </c>
    </row>
    <row r="83" spans="1:14" x14ac:dyDescent="0.3">
      <c r="A83" s="3" t="s">
        <v>90</v>
      </c>
      <c r="B83" s="6">
        <f t="shared" ref="B83:M83" si="16">((B80)+(B81))+(B82)</f>
        <v>16.29</v>
      </c>
      <c r="C83" s="6">
        <f t="shared" si="16"/>
        <v>13.86</v>
      </c>
      <c r="D83" s="6">
        <f t="shared" si="16"/>
        <v>11.77</v>
      </c>
      <c r="E83" s="6">
        <f t="shared" si="16"/>
        <v>25.979999999999997</v>
      </c>
      <c r="F83" s="6">
        <f t="shared" si="16"/>
        <v>63.089999999999996</v>
      </c>
      <c r="G83" s="6">
        <f t="shared" si="16"/>
        <v>3.33</v>
      </c>
      <c r="H83" s="6">
        <f t="shared" si="16"/>
        <v>139.03</v>
      </c>
      <c r="I83" s="6">
        <f t="shared" si="16"/>
        <v>14.3</v>
      </c>
      <c r="J83" s="6">
        <f t="shared" si="16"/>
        <v>1.3</v>
      </c>
      <c r="K83" s="6">
        <f t="shared" si="16"/>
        <v>10.36</v>
      </c>
      <c r="L83" s="6">
        <f t="shared" si="16"/>
        <v>13.91</v>
      </c>
      <c r="M83" s="6">
        <f t="shared" si="16"/>
        <v>52.69</v>
      </c>
      <c r="N83" s="6">
        <f>(((((((((((B83)+(C83))+(D83))+(E83))+(F83))+(G83))+(H83))+(I83))+(J83))+(K83))+(L83))+(M83)</f>
        <v>365.91000000000008</v>
      </c>
    </row>
    <row r="84" spans="1:14" x14ac:dyDescent="0.3">
      <c r="A84" s="3" t="s">
        <v>91</v>
      </c>
      <c r="B84" s="6">
        <f t="shared" ref="B84:M84" si="17">B83</f>
        <v>16.29</v>
      </c>
      <c r="C84" s="6">
        <f t="shared" si="17"/>
        <v>13.86</v>
      </c>
      <c r="D84" s="6">
        <f t="shared" si="17"/>
        <v>11.77</v>
      </c>
      <c r="E84" s="6">
        <f t="shared" si="17"/>
        <v>25.979999999999997</v>
      </c>
      <c r="F84" s="6">
        <f t="shared" si="17"/>
        <v>63.089999999999996</v>
      </c>
      <c r="G84" s="6">
        <f t="shared" si="17"/>
        <v>3.33</v>
      </c>
      <c r="H84" s="6">
        <f t="shared" si="17"/>
        <v>139.03</v>
      </c>
      <c r="I84" s="6">
        <f t="shared" si="17"/>
        <v>14.3</v>
      </c>
      <c r="J84" s="6">
        <f t="shared" si="17"/>
        <v>1.3</v>
      </c>
      <c r="K84" s="6">
        <f t="shared" si="17"/>
        <v>10.36</v>
      </c>
      <c r="L84" s="6">
        <f t="shared" si="17"/>
        <v>13.91</v>
      </c>
      <c r="M84" s="6">
        <f t="shared" si="17"/>
        <v>52.69</v>
      </c>
      <c r="N84" s="6">
        <f>(((((((((((B84)+(C84))+(D84))+(E84))+(F84))+(G84))+(H84))+(I84))+(J84))+(K84))+(L84))+(M84)</f>
        <v>365.91000000000008</v>
      </c>
    </row>
    <row r="85" spans="1:14" x14ac:dyDescent="0.3">
      <c r="A85" s="3" t="s">
        <v>92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3">
      <c r="A86" s="3" t="s">
        <v>93</v>
      </c>
      <c r="B86" s="4"/>
      <c r="C86" s="4"/>
      <c r="D86" s="4"/>
      <c r="E86" s="4"/>
      <c r="F86" s="4"/>
      <c r="G86" s="4"/>
      <c r="H86" s="4"/>
      <c r="I86" s="5">
        <f>974.25</f>
        <v>974.25</v>
      </c>
      <c r="J86" s="5">
        <f>229.92</f>
        <v>229.92</v>
      </c>
      <c r="K86" s="5">
        <f>8178.65</f>
        <v>8178.65</v>
      </c>
      <c r="L86" s="5">
        <f>26133.83</f>
        <v>26133.83</v>
      </c>
      <c r="M86" s="5">
        <f>168679.07</f>
        <v>168679.07</v>
      </c>
      <c r="N86" s="5">
        <f>(((((((((((B86)+(C86))+(D86))+(E86))+(F86))+(G86))+(H86))+(I86))+(J86))+(K86))+(L86))+(M86)</f>
        <v>204195.72</v>
      </c>
    </row>
    <row r="87" spans="1:14" x14ac:dyDescent="0.3">
      <c r="A87" s="3" t="s">
        <v>94</v>
      </c>
      <c r="B87" s="4"/>
      <c r="C87" s="4"/>
      <c r="D87" s="4"/>
      <c r="E87" s="4"/>
      <c r="F87" s="4"/>
      <c r="G87" s="4"/>
      <c r="H87" s="5">
        <f>1229100</f>
        <v>1229100</v>
      </c>
      <c r="I87" s="4"/>
      <c r="J87" s="4"/>
      <c r="K87" s="4"/>
      <c r="L87" s="4"/>
      <c r="M87" s="4"/>
      <c r="N87" s="5">
        <f>(((((((((((B87)+(C87))+(D87))+(E87))+(F87))+(G87))+(H87))+(I87))+(J87))+(K87))+(L87))+(M87)</f>
        <v>1229100</v>
      </c>
    </row>
    <row r="88" spans="1:14" x14ac:dyDescent="0.3">
      <c r="A88" s="3" t="s">
        <v>95</v>
      </c>
      <c r="B88" s="6">
        <f t="shared" ref="B88:M88" si="18">(B86)+(B87)</f>
        <v>0</v>
      </c>
      <c r="C88" s="6">
        <f t="shared" si="18"/>
        <v>0</v>
      </c>
      <c r="D88" s="6">
        <f t="shared" si="18"/>
        <v>0</v>
      </c>
      <c r="E88" s="6">
        <f t="shared" si="18"/>
        <v>0</v>
      </c>
      <c r="F88" s="6">
        <f t="shared" si="18"/>
        <v>0</v>
      </c>
      <c r="G88" s="6">
        <f t="shared" si="18"/>
        <v>0</v>
      </c>
      <c r="H88" s="6">
        <f t="shared" si="18"/>
        <v>1229100</v>
      </c>
      <c r="I88" s="6">
        <f t="shared" si="18"/>
        <v>974.25</v>
      </c>
      <c r="J88" s="6">
        <f t="shared" si="18"/>
        <v>229.92</v>
      </c>
      <c r="K88" s="6">
        <f t="shared" si="18"/>
        <v>8178.65</v>
      </c>
      <c r="L88" s="6">
        <f t="shared" si="18"/>
        <v>26133.83</v>
      </c>
      <c r="M88" s="6">
        <f t="shared" si="18"/>
        <v>168679.07</v>
      </c>
      <c r="N88" s="6">
        <f>(((((((((((B88)+(C88))+(D88))+(E88))+(F88))+(G88))+(H88))+(I88))+(J88))+(K88))+(L88))+(M88)</f>
        <v>1433295.72</v>
      </c>
    </row>
    <row r="89" spans="1:14" x14ac:dyDescent="0.3">
      <c r="A89" s="3" t="s">
        <v>96</v>
      </c>
      <c r="B89" s="6">
        <f t="shared" ref="B89:M89" si="19">(B84)-(B88)</f>
        <v>16.29</v>
      </c>
      <c r="C89" s="6">
        <f t="shared" si="19"/>
        <v>13.86</v>
      </c>
      <c r="D89" s="6">
        <f t="shared" si="19"/>
        <v>11.77</v>
      </c>
      <c r="E89" s="6">
        <f t="shared" si="19"/>
        <v>25.979999999999997</v>
      </c>
      <c r="F89" s="6">
        <f t="shared" si="19"/>
        <v>63.089999999999996</v>
      </c>
      <c r="G89" s="6">
        <f t="shared" si="19"/>
        <v>3.33</v>
      </c>
      <c r="H89" s="6">
        <f t="shared" si="19"/>
        <v>-1228960.97</v>
      </c>
      <c r="I89" s="6">
        <f t="shared" si="19"/>
        <v>-959.95</v>
      </c>
      <c r="J89" s="6">
        <f t="shared" si="19"/>
        <v>-228.61999999999998</v>
      </c>
      <c r="K89" s="6">
        <f t="shared" si="19"/>
        <v>-8168.29</v>
      </c>
      <c r="L89" s="6">
        <f t="shared" si="19"/>
        <v>-26119.920000000002</v>
      </c>
      <c r="M89" s="6">
        <f t="shared" si="19"/>
        <v>-168626.38</v>
      </c>
      <c r="N89" s="6">
        <f>(((((((((((B89)+(C89))+(D89))+(E89))+(F89))+(G89))+(H89))+(I89))+(J89))+(K89))+(L89))+(M89)</f>
        <v>-1432929.81</v>
      </c>
    </row>
    <row r="90" spans="1:14" x14ac:dyDescent="0.3">
      <c r="A90" s="3" t="s">
        <v>97</v>
      </c>
      <c r="B90" s="7">
        <f t="shared" ref="B90:M90" si="20">(B78)+(B89)</f>
        <v>-148227.86000000007</v>
      </c>
      <c r="C90" s="7">
        <f t="shared" si="20"/>
        <v>133576.74000000002</v>
      </c>
      <c r="D90" s="7">
        <f t="shared" si="20"/>
        <v>18601.710000000003</v>
      </c>
      <c r="E90" s="7">
        <f t="shared" si="20"/>
        <v>115524.60999999994</v>
      </c>
      <c r="F90" s="7">
        <f t="shared" si="20"/>
        <v>129871.70999999999</v>
      </c>
      <c r="G90" s="7">
        <f t="shared" si="20"/>
        <v>61373.110000000059</v>
      </c>
      <c r="H90" s="7">
        <f t="shared" si="20"/>
        <v>-1318732.3400000001</v>
      </c>
      <c r="I90" s="7">
        <f t="shared" si="20"/>
        <v>-76034.729999999967</v>
      </c>
      <c r="J90" s="7">
        <f t="shared" si="20"/>
        <v>31325.360000000041</v>
      </c>
      <c r="K90" s="7">
        <f t="shared" si="20"/>
        <v>90199.730000000025</v>
      </c>
      <c r="L90" s="7">
        <f t="shared" si="20"/>
        <v>109794.66000000002</v>
      </c>
      <c r="M90" s="7">
        <f t="shared" si="20"/>
        <v>-95570.919999999984</v>
      </c>
      <c r="N90" s="7">
        <f>(((((((((((B90)+(C90))+(D90))+(E90))+(F90))+(G90))+(H90))+(I90))+(J90))+(K90))+(L90))+(M90)</f>
        <v>-948298.22</v>
      </c>
    </row>
    <row r="91" spans="1:14" x14ac:dyDescent="0.3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4" spans="1:14" x14ac:dyDescent="0.3">
      <c r="A94" s="8" t="s">
        <v>98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</sheetData>
  <mergeCells count="4">
    <mergeCell ref="A94:N94"/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 by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Patel, Andy</cp:lastModifiedBy>
  <dcterms:created xsi:type="dcterms:W3CDTF">2024-06-17T21:17:58Z</dcterms:created>
  <dcterms:modified xsi:type="dcterms:W3CDTF">2024-06-17T22:04:22Z</dcterms:modified>
</cp:coreProperties>
</file>