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STE 01\Desktop\"/>
    </mc:Choice>
  </mc:AlternateContent>
  <xr:revisionPtr revIDLastSave="0" documentId="8_{CE799E6D-187A-4999-9359-6A99C1DE317E}" xr6:coauthVersionLast="47" xr6:coauthVersionMax="47" xr10:uidLastSave="{00000000-0000-0000-0000-000000000000}"/>
  <bookViews>
    <workbookView xWindow="-110" yWindow="-110" windowWidth="19420" windowHeight="10420" xr2:uid="{4FEF46CF-02BE-4764-9F8B-A787724D840A}"/>
  </bookViews>
  <sheets>
    <sheet name="Data Model " sheetId="5" r:id="rId1"/>
    <sheet name="Data Dictionnary" sheetId="1" r:id="rId2"/>
    <sheet name="Lists" sheetId="3" r:id="rId3"/>
    <sheet name="MCD" sheetId="7" r:id="rId4"/>
    <sheet name="MCD_181018" sheetId="11" r:id="rId5"/>
    <sheet name="MCD_031121" sheetId="12" r:id="rId6"/>
    <sheet name="Dashboard" sheetId="9" r:id="rId7"/>
    <sheet name="D%$&amp;01_DevSheet" sheetId="6" state="very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6" l="1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CK2" i="6"/>
  <c r="CL2" i="6"/>
  <c r="CM2" i="6"/>
  <c r="CN2" i="6"/>
  <c r="CO2" i="6"/>
  <c r="CP2" i="6"/>
  <c r="CQ2" i="6"/>
  <c r="CR2" i="6"/>
  <c r="CS2" i="6"/>
  <c r="CT2" i="6"/>
  <c r="CU2" i="6"/>
  <c r="CV2" i="6"/>
  <c r="CW2" i="6"/>
  <c r="CX2" i="6"/>
  <c r="CY2" i="6"/>
  <c r="CZ2" i="6"/>
  <c r="DA2" i="6"/>
  <c r="DB2" i="6"/>
  <c r="DC2" i="6"/>
  <c r="DD2" i="6"/>
  <c r="DE2" i="6"/>
  <c r="DF2" i="6"/>
  <c r="DG2" i="6"/>
  <c r="DH2" i="6"/>
  <c r="DI2" i="6"/>
  <c r="DJ2" i="6"/>
  <c r="DK2" i="6"/>
  <c r="DL2" i="6"/>
  <c r="DM2" i="6"/>
  <c r="DN2" i="6"/>
  <c r="DO2" i="6"/>
  <c r="DP2" i="6"/>
  <c r="DQ2" i="6"/>
  <c r="DR2" i="6"/>
  <c r="DS2" i="6"/>
  <c r="DT2" i="6"/>
  <c r="DU2" i="6"/>
  <c r="DV2" i="6"/>
  <c r="DW2" i="6"/>
  <c r="DX2" i="6"/>
  <c r="DY2" i="6"/>
  <c r="DZ2" i="6"/>
  <c r="EA2" i="6"/>
  <c r="EB2" i="6"/>
  <c r="EC2" i="6"/>
  <c r="ED2" i="6"/>
  <c r="EE2" i="6"/>
  <c r="EF2" i="6"/>
  <c r="EG2" i="6"/>
  <c r="EH2" i="6"/>
  <c r="EI2" i="6"/>
  <c r="EJ2" i="6"/>
  <c r="EK2" i="6"/>
  <c r="EL2" i="6"/>
  <c r="EM2" i="6"/>
  <c r="EN2" i="6"/>
  <c r="EO2" i="6"/>
  <c r="EP2" i="6"/>
  <c r="EQ2" i="6"/>
  <c r="ER2" i="6"/>
  <c r="ES2" i="6"/>
  <c r="ET2" i="6"/>
  <c r="EU2" i="6"/>
  <c r="EV2" i="6"/>
  <c r="EW2" i="6"/>
  <c r="EX2" i="6"/>
  <c r="EY2" i="6"/>
  <c r="EZ2" i="6"/>
  <c r="FA2" i="6"/>
  <c r="FB2" i="6"/>
  <c r="FC2" i="6"/>
  <c r="FD2" i="6"/>
  <c r="FE2" i="6"/>
  <c r="FF2" i="6"/>
  <c r="FG2" i="6"/>
  <c r="FH2" i="6"/>
  <c r="FI2" i="6"/>
  <c r="FJ2" i="6"/>
  <c r="FK2" i="6"/>
  <c r="FL2" i="6"/>
  <c r="FM2" i="6"/>
  <c r="FN2" i="6"/>
  <c r="FO2" i="6"/>
  <c r="FP2" i="6"/>
  <c r="FQ2" i="6"/>
  <c r="FR2" i="6"/>
  <c r="FS2" i="6"/>
  <c r="FT2" i="6"/>
  <c r="FU2" i="6"/>
  <c r="FV2" i="6"/>
  <c r="FW2" i="6"/>
  <c r="FX2" i="6"/>
  <c r="FY2" i="6"/>
  <c r="FZ2" i="6"/>
  <c r="GA2" i="6"/>
  <c r="GB2" i="6"/>
  <c r="GC2" i="6"/>
  <c r="GD2" i="6"/>
  <c r="GE2" i="6"/>
  <c r="GF2" i="6"/>
  <c r="GG2" i="6"/>
  <c r="GH2" i="6"/>
  <c r="GI2" i="6"/>
  <c r="GJ2" i="6"/>
  <c r="GK2" i="6"/>
  <c r="GL2" i="6"/>
  <c r="GM2" i="6"/>
  <c r="GN2" i="6"/>
  <c r="GO2" i="6"/>
  <c r="GP2" i="6"/>
  <c r="GQ2" i="6"/>
  <c r="GR2" i="6"/>
  <c r="GS2" i="6"/>
  <c r="GT2" i="6"/>
  <c r="GU2" i="6"/>
  <c r="GV2" i="6"/>
  <c r="GW2" i="6"/>
  <c r="GX2" i="6"/>
  <c r="GY2" i="6"/>
  <c r="GZ2" i="6"/>
  <c r="HA2" i="6"/>
  <c r="HB2" i="6"/>
  <c r="HC2" i="6"/>
  <c r="HD2" i="6"/>
  <c r="HE2" i="6"/>
  <c r="HF2" i="6"/>
  <c r="HG2" i="6"/>
  <c r="HH2" i="6"/>
  <c r="HI2" i="6"/>
  <c r="HJ2" i="6"/>
  <c r="HK2" i="6"/>
  <c r="HL2" i="6"/>
  <c r="HM2" i="6"/>
  <c r="HN2" i="6"/>
  <c r="HO2" i="6"/>
  <c r="HP2" i="6"/>
  <c r="HQ2" i="6"/>
  <c r="HR2" i="6"/>
  <c r="HS2" i="6"/>
  <c r="HT2" i="6"/>
  <c r="HU2" i="6"/>
  <c r="HV2" i="6"/>
  <c r="HW2" i="6"/>
  <c r="HX2" i="6"/>
  <c r="HY2" i="6"/>
  <c r="HZ2" i="6"/>
  <c r="IA2" i="6"/>
  <c r="IB2" i="6"/>
  <c r="IC2" i="6"/>
  <c r="ID2" i="6"/>
  <c r="IE2" i="6"/>
  <c r="IF2" i="6"/>
  <c r="IG2" i="6"/>
  <c r="IH2" i="6"/>
  <c r="II2" i="6"/>
  <c r="IJ2" i="6"/>
  <c r="IK2" i="6"/>
  <c r="IL2" i="6"/>
  <c r="IM2" i="6"/>
  <c r="IN2" i="6"/>
  <c r="IO2" i="6"/>
  <c r="IP2" i="6"/>
  <c r="IQ2" i="6"/>
  <c r="IR2" i="6"/>
  <c r="IS2" i="6"/>
  <c r="IT2" i="6"/>
  <c r="IU2" i="6"/>
  <c r="IV2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CS3" i="6"/>
  <c r="CT3" i="6"/>
  <c r="CU3" i="6"/>
  <c r="CV3" i="6"/>
  <c r="CW3" i="6"/>
  <c r="CX3" i="6"/>
  <c r="CY3" i="6"/>
  <c r="CZ3" i="6"/>
  <c r="DA3" i="6"/>
  <c r="DB3" i="6"/>
  <c r="DC3" i="6"/>
  <c r="DD3" i="6"/>
  <c r="DE3" i="6"/>
  <c r="DF3" i="6"/>
  <c r="DG3" i="6"/>
  <c r="DH3" i="6"/>
  <c r="DI3" i="6"/>
  <c r="DJ3" i="6"/>
  <c r="DK3" i="6"/>
  <c r="DL3" i="6"/>
  <c r="DM3" i="6"/>
  <c r="DN3" i="6"/>
  <c r="DO3" i="6"/>
  <c r="DP3" i="6"/>
  <c r="DQ3" i="6"/>
  <c r="DR3" i="6"/>
  <c r="DS3" i="6"/>
  <c r="DT3" i="6"/>
  <c r="DU3" i="6"/>
  <c r="DV3" i="6"/>
  <c r="DW3" i="6"/>
  <c r="DX3" i="6"/>
  <c r="DY3" i="6"/>
  <c r="DZ3" i="6"/>
  <c r="EA3" i="6"/>
  <c r="EB3" i="6"/>
  <c r="EC3" i="6"/>
  <c r="ED3" i="6"/>
  <c r="EE3" i="6"/>
  <c r="EF3" i="6"/>
  <c r="EG3" i="6"/>
  <c r="EH3" i="6"/>
  <c r="EI3" i="6"/>
  <c r="EJ3" i="6"/>
  <c r="EK3" i="6"/>
  <c r="EL3" i="6"/>
  <c r="EM3" i="6"/>
  <c r="EN3" i="6"/>
  <c r="EO3" i="6"/>
  <c r="EP3" i="6"/>
  <c r="EQ3" i="6"/>
  <c r="ER3" i="6"/>
  <c r="ES3" i="6"/>
  <c r="ET3" i="6"/>
  <c r="EU3" i="6"/>
  <c r="EV3" i="6"/>
  <c r="EW3" i="6"/>
  <c r="EX3" i="6"/>
  <c r="EY3" i="6"/>
  <c r="EZ3" i="6"/>
  <c r="FA3" i="6"/>
  <c r="FB3" i="6"/>
  <c r="FC3" i="6"/>
  <c r="FD3" i="6"/>
  <c r="FE3" i="6"/>
  <c r="FF3" i="6"/>
  <c r="FG3" i="6"/>
  <c r="FH3" i="6"/>
  <c r="FI3" i="6"/>
  <c r="FJ3" i="6"/>
  <c r="FK3" i="6"/>
  <c r="FL3" i="6"/>
  <c r="FM3" i="6"/>
  <c r="FN3" i="6"/>
  <c r="FO3" i="6"/>
  <c r="FP3" i="6"/>
  <c r="FQ3" i="6"/>
  <c r="FR3" i="6"/>
  <c r="FS3" i="6"/>
  <c r="FT3" i="6"/>
  <c r="FU3" i="6"/>
  <c r="FV3" i="6"/>
  <c r="FW3" i="6"/>
  <c r="FX3" i="6"/>
  <c r="FY3" i="6"/>
  <c r="FZ3" i="6"/>
  <c r="GA3" i="6"/>
  <c r="GB3" i="6"/>
  <c r="GC3" i="6"/>
  <c r="GD3" i="6"/>
  <c r="GE3" i="6"/>
  <c r="GF3" i="6"/>
  <c r="GG3" i="6"/>
  <c r="GH3" i="6"/>
  <c r="GI3" i="6"/>
  <c r="GJ3" i="6"/>
  <c r="GK3" i="6"/>
  <c r="GL3" i="6"/>
  <c r="GM3" i="6"/>
  <c r="GN3" i="6"/>
  <c r="GO3" i="6"/>
  <c r="GP3" i="6"/>
  <c r="GQ3" i="6"/>
  <c r="GR3" i="6"/>
  <c r="GS3" i="6"/>
  <c r="GT3" i="6"/>
  <c r="GU3" i="6"/>
  <c r="GV3" i="6"/>
  <c r="GW3" i="6"/>
  <c r="GX3" i="6"/>
  <c r="GY3" i="6"/>
  <c r="GZ3" i="6"/>
  <c r="HA3" i="6"/>
  <c r="HB3" i="6"/>
  <c r="HC3" i="6"/>
  <c r="HD3" i="6"/>
  <c r="HE3" i="6"/>
  <c r="HF3" i="6"/>
  <c r="HG3" i="6"/>
  <c r="HH3" i="6"/>
  <c r="HI3" i="6"/>
  <c r="HJ3" i="6"/>
  <c r="HK3" i="6"/>
  <c r="HL3" i="6"/>
  <c r="HM3" i="6"/>
  <c r="HN3" i="6"/>
  <c r="HO3" i="6"/>
  <c r="HP3" i="6"/>
  <c r="HQ3" i="6"/>
  <c r="HR3" i="6"/>
  <c r="HS3" i="6"/>
  <c r="HT3" i="6"/>
  <c r="HU3" i="6"/>
  <c r="HV3" i="6"/>
  <c r="HW3" i="6"/>
  <c r="HX3" i="6"/>
  <c r="HY3" i="6"/>
  <c r="HZ3" i="6"/>
  <c r="IA3" i="6"/>
  <c r="IB3" i="6"/>
  <c r="IC3" i="6"/>
  <c r="ID3" i="6"/>
  <c r="IE3" i="6"/>
  <c r="IF3" i="6"/>
  <c r="IG3" i="6"/>
  <c r="IH3" i="6"/>
  <c r="II3" i="6"/>
  <c r="IJ3" i="6"/>
  <c r="IK3" i="6"/>
  <c r="IL3" i="6"/>
  <c r="IM3" i="6"/>
  <c r="IN3" i="6"/>
  <c r="IO3" i="6"/>
  <c r="IP3" i="6"/>
  <c r="IQ3" i="6"/>
  <c r="IR3" i="6"/>
  <c r="IS3" i="6"/>
  <c r="IT3" i="6"/>
  <c r="IU3" i="6"/>
  <c r="IV3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CO4" i="6"/>
  <c r="CP4" i="6"/>
  <c r="CQ4" i="6"/>
  <c r="CR4" i="6"/>
  <c r="CS4" i="6"/>
  <c r="CT4" i="6"/>
  <c r="CU4" i="6"/>
  <c r="CV4" i="6"/>
  <c r="CW4" i="6"/>
  <c r="CX4" i="6"/>
  <c r="CY4" i="6"/>
  <c r="CZ4" i="6"/>
  <c r="DA4" i="6"/>
  <c r="DB4" i="6"/>
  <c r="DC4" i="6"/>
  <c r="DD4" i="6"/>
  <c r="DE4" i="6"/>
  <c r="DF4" i="6"/>
  <c r="DG4" i="6"/>
  <c r="DH4" i="6"/>
  <c r="DI4" i="6"/>
  <c r="DJ4" i="6"/>
  <c r="DK4" i="6"/>
  <c r="DL4" i="6"/>
  <c r="DM4" i="6"/>
  <c r="DN4" i="6"/>
  <c r="DO4" i="6"/>
  <c r="DP4" i="6"/>
  <c r="DQ4" i="6"/>
  <c r="DR4" i="6"/>
  <c r="DS4" i="6"/>
  <c r="DT4" i="6"/>
  <c r="DU4" i="6"/>
  <c r="DV4" i="6"/>
  <c r="DW4" i="6"/>
  <c r="DX4" i="6"/>
  <c r="DY4" i="6"/>
  <c r="DZ4" i="6"/>
  <c r="EA4" i="6"/>
  <c r="EB4" i="6"/>
  <c r="EC4" i="6"/>
  <c r="ED4" i="6"/>
  <c r="EE4" i="6"/>
  <c r="EF4" i="6"/>
  <c r="EG4" i="6"/>
  <c r="EH4" i="6"/>
  <c r="EI4" i="6"/>
  <c r="EJ4" i="6"/>
  <c r="EK4" i="6"/>
  <c r="EL4" i="6"/>
  <c r="EM4" i="6"/>
  <c r="EN4" i="6"/>
  <c r="EO4" i="6"/>
  <c r="EP4" i="6"/>
  <c r="EQ4" i="6"/>
  <c r="ER4" i="6"/>
  <c r="ES4" i="6"/>
  <c r="ET4" i="6"/>
  <c r="EU4" i="6"/>
  <c r="EV4" i="6"/>
  <c r="EW4" i="6"/>
  <c r="EX4" i="6"/>
  <c r="EY4" i="6"/>
  <c r="EZ4" i="6"/>
  <c r="FA4" i="6"/>
  <c r="FB4" i="6"/>
  <c r="FC4" i="6"/>
  <c r="FD4" i="6"/>
  <c r="FE4" i="6"/>
  <c r="FF4" i="6"/>
  <c r="FG4" i="6"/>
  <c r="FH4" i="6"/>
  <c r="FI4" i="6"/>
  <c r="FJ4" i="6"/>
  <c r="FK4" i="6"/>
  <c r="FL4" i="6"/>
  <c r="FM4" i="6"/>
  <c r="FN4" i="6"/>
  <c r="FO4" i="6"/>
  <c r="FP4" i="6"/>
  <c r="FQ4" i="6"/>
  <c r="FR4" i="6"/>
  <c r="FS4" i="6"/>
  <c r="FT4" i="6"/>
  <c r="FU4" i="6"/>
  <c r="FV4" i="6"/>
  <c r="FW4" i="6"/>
  <c r="FX4" i="6"/>
  <c r="FY4" i="6"/>
  <c r="FZ4" i="6"/>
  <c r="GA4" i="6"/>
  <c r="GB4" i="6"/>
  <c r="GC4" i="6"/>
  <c r="GD4" i="6"/>
  <c r="GE4" i="6"/>
  <c r="GF4" i="6"/>
  <c r="GG4" i="6"/>
  <c r="GH4" i="6"/>
  <c r="GI4" i="6"/>
  <c r="GJ4" i="6"/>
  <c r="GK4" i="6"/>
  <c r="GL4" i="6"/>
  <c r="GM4" i="6"/>
  <c r="GN4" i="6"/>
  <c r="GO4" i="6"/>
  <c r="GP4" i="6"/>
  <c r="GQ4" i="6"/>
  <c r="GR4" i="6"/>
  <c r="GS4" i="6"/>
  <c r="GT4" i="6"/>
  <c r="GU4" i="6"/>
  <c r="GV4" i="6"/>
  <c r="GW4" i="6"/>
  <c r="GX4" i="6"/>
  <c r="GY4" i="6"/>
  <c r="GZ4" i="6"/>
  <c r="HA4" i="6"/>
  <c r="HB4" i="6"/>
  <c r="HC4" i="6"/>
  <c r="HD4" i="6"/>
  <c r="HE4" i="6"/>
  <c r="HF4" i="6"/>
  <c r="HG4" i="6"/>
  <c r="HH4" i="6"/>
  <c r="HI4" i="6"/>
  <c r="HJ4" i="6"/>
  <c r="HK4" i="6"/>
  <c r="HL4" i="6"/>
  <c r="HM4" i="6"/>
  <c r="HN4" i="6"/>
  <c r="HO4" i="6"/>
  <c r="HP4" i="6"/>
  <c r="HQ4" i="6"/>
  <c r="HR4" i="6"/>
  <c r="HS4" i="6"/>
  <c r="HT4" i="6"/>
  <c r="HU4" i="6"/>
  <c r="HV4" i="6"/>
  <c r="HW4" i="6"/>
  <c r="HX4" i="6"/>
  <c r="HY4" i="6"/>
  <c r="HZ4" i="6"/>
  <c r="IA4" i="6"/>
  <c r="IB4" i="6"/>
  <c r="IC4" i="6"/>
  <c r="ID4" i="6"/>
  <c r="IE4" i="6"/>
  <c r="IF4" i="6"/>
  <c r="IG4" i="6"/>
  <c r="IH4" i="6"/>
  <c r="II4" i="6"/>
  <c r="IJ4" i="6"/>
  <c r="IK4" i="6"/>
  <c r="IL4" i="6"/>
  <c r="IM4" i="6"/>
  <c r="IN4" i="6"/>
  <c r="IO4" i="6"/>
  <c r="IP4" i="6"/>
  <c r="IQ4" i="6"/>
  <c r="IR4" i="6"/>
  <c r="IS4" i="6"/>
  <c r="IT4" i="6"/>
  <c r="IU4" i="6"/>
  <c r="IV4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DA5" i="6"/>
  <c r="DB5" i="6"/>
  <c r="DC5" i="6"/>
  <c r="DD5" i="6"/>
  <c r="DE5" i="6"/>
  <c r="DF5" i="6"/>
  <c r="DG5" i="6"/>
  <c r="DH5" i="6"/>
  <c r="DI5" i="6"/>
  <c r="DJ5" i="6"/>
  <c r="DK5" i="6"/>
  <c r="DL5" i="6"/>
  <c r="DM5" i="6"/>
  <c r="DN5" i="6"/>
  <c r="DO5" i="6"/>
  <c r="DP5" i="6"/>
  <c r="DQ5" i="6"/>
  <c r="DR5" i="6"/>
  <c r="DS5" i="6"/>
  <c r="DT5" i="6"/>
  <c r="DU5" i="6"/>
  <c r="DV5" i="6"/>
  <c r="DW5" i="6"/>
  <c r="DX5" i="6"/>
  <c r="DY5" i="6"/>
  <c r="DZ5" i="6"/>
  <c r="EA5" i="6"/>
  <c r="EB5" i="6"/>
  <c r="EC5" i="6"/>
  <c r="ED5" i="6"/>
  <c r="EE5" i="6"/>
  <c r="EF5" i="6"/>
  <c r="EG5" i="6"/>
  <c r="EH5" i="6"/>
  <c r="EI5" i="6"/>
  <c r="EJ5" i="6"/>
  <c r="EK5" i="6"/>
  <c r="EL5" i="6"/>
  <c r="EM5" i="6"/>
  <c r="EN5" i="6"/>
  <c r="EO5" i="6"/>
  <c r="EP5" i="6"/>
  <c r="EQ5" i="6"/>
  <c r="ER5" i="6"/>
  <c r="ES5" i="6"/>
  <c r="ET5" i="6"/>
  <c r="EU5" i="6"/>
  <c r="EV5" i="6"/>
  <c r="EW5" i="6"/>
  <c r="EX5" i="6"/>
  <c r="EY5" i="6"/>
  <c r="EZ5" i="6"/>
  <c r="FA5" i="6"/>
  <c r="FB5" i="6"/>
  <c r="FC5" i="6"/>
  <c r="FD5" i="6"/>
  <c r="FE5" i="6"/>
  <c r="FF5" i="6"/>
  <c r="FG5" i="6"/>
  <c r="FH5" i="6"/>
  <c r="FI5" i="6"/>
  <c r="FJ5" i="6"/>
  <c r="FK5" i="6"/>
  <c r="FL5" i="6"/>
  <c r="FM5" i="6"/>
  <c r="FN5" i="6"/>
  <c r="FO5" i="6"/>
  <c r="FP5" i="6"/>
  <c r="FQ5" i="6"/>
  <c r="FR5" i="6"/>
  <c r="FS5" i="6"/>
  <c r="FT5" i="6"/>
  <c r="FU5" i="6"/>
  <c r="FV5" i="6"/>
  <c r="FW5" i="6"/>
  <c r="FX5" i="6"/>
  <c r="FY5" i="6"/>
  <c r="FZ5" i="6"/>
  <c r="GA5" i="6"/>
  <c r="GB5" i="6"/>
  <c r="GC5" i="6"/>
  <c r="GD5" i="6"/>
  <c r="GE5" i="6"/>
  <c r="GF5" i="6"/>
  <c r="GG5" i="6"/>
  <c r="GH5" i="6"/>
  <c r="GI5" i="6"/>
  <c r="GJ5" i="6"/>
  <c r="GK5" i="6"/>
  <c r="GL5" i="6"/>
  <c r="GM5" i="6"/>
  <c r="GN5" i="6"/>
  <c r="GO5" i="6"/>
  <c r="GP5" i="6"/>
  <c r="GQ5" i="6"/>
  <c r="GR5" i="6"/>
  <c r="GS5" i="6"/>
  <c r="GT5" i="6"/>
  <c r="GU5" i="6"/>
  <c r="GV5" i="6"/>
  <c r="GW5" i="6"/>
  <c r="GX5" i="6"/>
  <c r="GY5" i="6"/>
  <c r="GZ5" i="6"/>
  <c r="HA5" i="6"/>
  <c r="HB5" i="6"/>
  <c r="HC5" i="6"/>
  <c r="HD5" i="6"/>
  <c r="HE5" i="6"/>
  <c r="HF5" i="6"/>
  <c r="HG5" i="6"/>
  <c r="HH5" i="6"/>
  <c r="HI5" i="6"/>
  <c r="HJ5" i="6"/>
  <c r="HK5" i="6"/>
  <c r="HL5" i="6"/>
  <c r="HM5" i="6"/>
  <c r="HN5" i="6"/>
  <c r="HO5" i="6"/>
  <c r="HP5" i="6"/>
  <c r="HQ5" i="6"/>
  <c r="HR5" i="6"/>
  <c r="HS5" i="6"/>
  <c r="HT5" i="6"/>
  <c r="HU5" i="6"/>
  <c r="HV5" i="6"/>
  <c r="HW5" i="6"/>
  <c r="HX5" i="6"/>
  <c r="HY5" i="6"/>
  <c r="HZ5" i="6"/>
  <c r="IA5" i="6"/>
  <c r="IB5" i="6"/>
  <c r="IC5" i="6"/>
  <c r="ID5" i="6"/>
  <c r="IE5" i="6"/>
  <c r="IF5" i="6"/>
  <c r="IG5" i="6"/>
  <c r="IH5" i="6"/>
  <c r="II5" i="6"/>
  <c r="IJ5" i="6"/>
  <c r="IK5" i="6"/>
  <c r="IL5" i="6"/>
  <c r="IM5" i="6"/>
  <c r="IN5" i="6"/>
  <c r="IO5" i="6"/>
  <c r="IP5" i="6"/>
  <c r="IQ5" i="6"/>
  <c r="IR5" i="6"/>
  <c r="IS5" i="6"/>
  <c r="IT5" i="6"/>
  <c r="IU5" i="6"/>
  <c r="IV5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O6" i="6"/>
  <c r="CP6" i="6"/>
  <c r="CQ6" i="6"/>
  <c r="CR6" i="6"/>
  <c r="CS6" i="6"/>
  <c r="CT6" i="6"/>
  <c r="CU6" i="6"/>
  <c r="CV6" i="6"/>
  <c r="CW6" i="6"/>
  <c r="CX6" i="6"/>
  <c r="CY6" i="6"/>
  <c r="CZ6" i="6"/>
  <c r="DA6" i="6"/>
  <c r="DB6" i="6"/>
  <c r="DC6" i="6"/>
  <c r="DD6" i="6"/>
  <c r="DE6" i="6"/>
  <c r="DF6" i="6"/>
  <c r="DG6" i="6"/>
  <c r="DH6" i="6"/>
  <c r="DI6" i="6"/>
  <c r="DJ6" i="6"/>
  <c r="DK6" i="6"/>
  <c r="DL6" i="6"/>
  <c r="DM6" i="6"/>
  <c r="DN6" i="6"/>
  <c r="DO6" i="6"/>
  <c r="DP6" i="6"/>
  <c r="DQ6" i="6"/>
  <c r="DR6" i="6"/>
  <c r="DS6" i="6"/>
  <c r="DT6" i="6"/>
  <c r="DU6" i="6"/>
  <c r="DV6" i="6"/>
  <c r="DW6" i="6"/>
  <c r="DX6" i="6"/>
  <c r="DY6" i="6"/>
  <c r="DZ6" i="6"/>
  <c r="EA6" i="6"/>
  <c r="EB6" i="6"/>
  <c r="EC6" i="6"/>
  <c r="ED6" i="6"/>
  <c r="EE6" i="6"/>
  <c r="EF6" i="6"/>
  <c r="EG6" i="6"/>
  <c r="EH6" i="6"/>
  <c r="EI6" i="6"/>
  <c r="EJ6" i="6"/>
  <c r="EK6" i="6"/>
  <c r="EL6" i="6"/>
  <c r="EM6" i="6"/>
  <c r="EN6" i="6"/>
  <c r="EO6" i="6"/>
  <c r="EP6" i="6"/>
  <c r="EQ6" i="6"/>
  <c r="ER6" i="6"/>
  <c r="ES6" i="6"/>
  <c r="ET6" i="6"/>
  <c r="EU6" i="6"/>
  <c r="EV6" i="6"/>
  <c r="EW6" i="6"/>
  <c r="EX6" i="6"/>
  <c r="EY6" i="6"/>
  <c r="EZ6" i="6"/>
  <c r="FA6" i="6"/>
  <c r="FB6" i="6"/>
  <c r="FC6" i="6"/>
  <c r="FD6" i="6"/>
  <c r="FE6" i="6"/>
  <c r="FF6" i="6"/>
  <c r="FG6" i="6"/>
  <c r="FH6" i="6"/>
  <c r="FI6" i="6"/>
  <c r="FJ6" i="6"/>
  <c r="FK6" i="6"/>
  <c r="FL6" i="6"/>
  <c r="FM6" i="6"/>
  <c r="FN6" i="6"/>
  <c r="FO6" i="6"/>
  <c r="FP6" i="6"/>
  <c r="FQ6" i="6"/>
  <c r="FR6" i="6"/>
  <c r="FS6" i="6"/>
  <c r="FT6" i="6"/>
  <c r="FU6" i="6"/>
  <c r="FV6" i="6"/>
  <c r="FW6" i="6"/>
  <c r="FX6" i="6"/>
  <c r="FY6" i="6"/>
  <c r="FZ6" i="6"/>
  <c r="GA6" i="6"/>
  <c r="GB6" i="6"/>
  <c r="GC6" i="6"/>
  <c r="GD6" i="6"/>
  <c r="GE6" i="6"/>
  <c r="GF6" i="6"/>
  <c r="GG6" i="6"/>
  <c r="GH6" i="6"/>
  <c r="GI6" i="6"/>
  <c r="GJ6" i="6"/>
  <c r="GK6" i="6"/>
  <c r="GL6" i="6"/>
  <c r="GM6" i="6"/>
  <c r="GN6" i="6"/>
  <c r="GO6" i="6"/>
  <c r="GP6" i="6"/>
  <c r="GQ6" i="6"/>
  <c r="GR6" i="6"/>
  <c r="GS6" i="6"/>
  <c r="GT6" i="6"/>
  <c r="GU6" i="6"/>
  <c r="GV6" i="6"/>
  <c r="GW6" i="6"/>
  <c r="GX6" i="6"/>
  <c r="GY6" i="6"/>
  <c r="GZ6" i="6"/>
  <c r="HA6" i="6"/>
  <c r="HB6" i="6"/>
  <c r="HC6" i="6"/>
  <c r="HD6" i="6"/>
  <c r="HE6" i="6"/>
  <c r="HF6" i="6"/>
  <c r="HG6" i="6"/>
  <c r="HH6" i="6"/>
  <c r="HI6" i="6"/>
  <c r="HJ6" i="6"/>
  <c r="HK6" i="6"/>
  <c r="HL6" i="6"/>
  <c r="HM6" i="6"/>
  <c r="HN6" i="6"/>
  <c r="HO6" i="6"/>
  <c r="HP6" i="6"/>
  <c r="HQ6" i="6"/>
  <c r="HR6" i="6"/>
  <c r="HS6" i="6"/>
  <c r="HT6" i="6"/>
  <c r="HU6" i="6"/>
  <c r="HV6" i="6"/>
  <c r="HW6" i="6"/>
  <c r="HX6" i="6"/>
  <c r="HY6" i="6"/>
  <c r="HZ6" i="6"/>
  <c r="IA6" i="6"/>
  <c r="IB6" i="6"/>
  <c r="IC6" i="6"/>
  <c r="ID6" i="6"/>
  <c r="IE6" i="6"/>
  <c r="IF6" i="6"/>
  <c r="IG6" i="6"/>
  <c r="IH6" i="6"/>
  <c r="II6" i="6"/>
  <c r="IJ6" i="6"/>
  <c r="IK6" i="6"/>
  <c r="IL6" i="6"/>
  <c r="IM6" i="6"/>
  <c r="IN6" i="6"/>
  <c r="IO6" i="6"/>
  <c r="IP6" i="6"/>
  <c r="IQ6" i="6"/>
  <c r="IR6" i="6"/>
  <c r="IS6" i="6"/>
  <c r="IT6" i="6"/>
  <c r="IU6" i="6"/>
  <c r="IV6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CP7" i="6"/>
  <c r="CQ7" i="6"/>
  <c r="CR7" i="6"/>
  <c r="CS7" i="6"/>
  <c r="CT7" i="6"/>
  <c r="CU7" i="6"/>
  <c r="CV7" i="6"/>
  <c r="CW7" i="6"/>
  <c r="CX7" i="6"/>
  <c r="CY7" i="6"/>
  <c r="CZ7" i="6"/>
  <c r="DA7" i="6"/>
  <c r="DB7" i="6"/>
  <c r="DC7" i="6"/>
  <c r="DD7" i="6"/>
  <c r="DE7" i="6"/>
  <c r="DF7" i="6"/>
  <c r="DG7" i="6"/>
  <c r="DH7" i="6"/>
  <c r="DI7" i="6"/>
  <c r="DJ7" i="6"/>
  <c r="DK7" i="6"/>
  <c r="DL7" i="6"/>
  <c r="DM7" i="6"/>
  <c r="DN7" i="6"/>
  <c r="DO7" i="6"/>
  <c r="DP7" i="6"/>
  <c r="DQ7" i="6"/>
  <c r="DR7" i="6"/>
  <c r="DS7" i="6"/>
  <c r="DT7" i="6"/>
  <c r="DU7" i="6"/>
  <c r="DV7" i="6"/>
  <c r="DW7" i="6"/>
  <c r="DX7" i="6"/>
  <c r="DY7" i="6"/>
  <c r="DZ7" i="6"/>
  <c r="EA7" i="6"/>
  <c r="EB7" i="6"/>
  <c r="EC7" i="6"/>
  <c r="ED7" i="6"/>
  <c r="EE7" i="6"/>
  <c r="EF7" i="6"/>
  <c r="EG7" i="6"/>
  <c r="EH7" i="6"/>
  <c r="EI7" i="6"/>
  <c r="EJ7" i="6"/>
  <c r="EK7" i="6"/>
  <c r="EL7" i="6"/>
  <c r="EM7" i="6"/>
  <c r="EN7" i="6"/>
  <c r="EO7" i="6"/>
  <c r="EP7" i="6"/>
  <c r="EQ7" i="6"/>
  <c r="ER7" i="6"/>
  <c r="ES7" i="6"/>
  <c r="ET7" i="6"/>
  <c r="EU7" i="6"/>
  <c r="EV7" i="6"/>
  <c r="EW7" i="6"/>
  <c r="EX7" i="6"/>
  <c r="EY7" i="6"/>
  <c r="EZ7" i="6"/>
  <c r="FA7" i="6"/>
  <c r="FB7" i="6"/>
  <c r="FC7" i="6"/>
  <c r="FD7" i="6"/>
  <c r="FE7" i="6"/>
  <c r="FF7" i="6"/>
  <c r="FG7" i="6"/>
  <c r="FH7" i="6"/>
  <c r="FI7" i="6"/>
  <c r="FJ7" i="6"/>
  <c r="FK7" i="6"/>
  <c r="FL7" i="6"/>
  <c r="FM7" i="6"/>
  <c r="FN7" i="6"/>
  <c r="FO7" i="6"/>
  <c r="FP7" i="6"/>
  <c r="FQ7" i="6"/>
  <c r="FR7" i="6"/>
  <c r="FS7" i="6"/>
  <c r="FT7" i="6"/>
  <c r="FU7" i="6"/>
  <c r="FV7" i="6"/>
  <c r="FW7" i="6"/>
  <c r="FX7" i="6"/>
  <c r="FY7" i="6"/>
  <c r="FZ7" i="6"/>
  <c r="GA7" i="6"/>
  <c r="GB7" i="6"/>
  <c r="GC7" i="6"/>
  <c r="GD7" i="6"/>
  <c r="GE7" i="6"/>
  <c r="GF7" i="6"/>
  <c r="GG7" i="6"/>
  <c r="GH7" i="6"/>
  <c r="GI7" i="6"/>
  <c r="GJ7" i="6"/>
  <c r="GK7" i="6"/>
  <c r="GL7" i="6"/>
  <c r="GM7" i="6"/>
  <c r="GN7" i="6"/>
  <c r="GO7" i="6"/>
  <c r="GP7" i="6"/>
  <c r="GQ7" i="6"/>
  <c r="GR7" i="6"/>
  <c r="GS7" i="6"/>
  <c r="GT7" i="6"/>
  <c r="GU7" i="6"/>
  <c r="GV7" i="6"/>
  <c r="GW7" i="6"/>
  <c r="GX7" i="6"/>
  <c r="GY7" i="6"/>
  <c r="GZ7" i="6"/>
  <c r="HA7" i="6"/>
  <c r="HB7" i="6"/>
  <c r="HC7" i="6"/>
  <c r="HD7" i="6"/>
  <c r="HE7" i="6"/>
  <c r="HF7" i="6"/>
  <c r="HG7" i="6"/>
  <c r="HH7" i="6"/>
  <c r="HI7" i="6"/>
  <c r="HJ7" i="6"/>
  <c r="HK7" i="6"/>
  <c r="HL7" i="6"/>
  <c r="HM7" i="6"/>
  <c r="HN7" i="6"/>
  <c r="HO7" i="6"/>
  <c r="HP7" i="6"/>
  <c r="HQ7" i="6"/>
  <c r="HR7" i="6"/>
  <c r="HS7" i="6"/>
  <c r="HT7" i="6"/>
  <c r="HU7" i="6"/>
  <c r="HV7" i="6"/>
  <c r="HW7" i="6"/>
  <c r="HX7" i="6"/>
  <c r="HY7" i="6"/>
  <c r="HZ7" i="6"/>
  <c r="IA7" i="6"/>
  <c r="IB7" i="6"/>
  <c r="IC7" i="6"/>
  <c r="ID7" i="6"/>
  <c r="IE7" i="6"/>
  <c r="IF7" i="6"/>
  <c r="IG7" i="6"/>
  <c r="IH7" i="6"/>
  <c r="II7" i="6"/>
  <c r="IJ7" i="6"/>
  <c r="IK7" i="6"/>
  <c r="IL7" i="6"/>
  <c r="IM7" i="6"/>
  <c r="IN7" i="6"/>
  <c r="IO7" i="6"/>
  <c r="IP7" i="6"/>
  <c r="IQ7" i="6"/>
  <c r="IR7" i="6"/>
  <c r="IS7" i="6"/>
  <c r="IT7" i="6"/>
  <c r="IU7" i="6"/>
  <c r="IV7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CT8" i="6"/>
  <c r="CU8" i="6"/>
  <c r="CV8" i="6"/>
  <c r="CW8" i="6"/>
  <c r="CX8" i="6"/>
  <c r="CY8" i="6"/>
  <c r="CZ8" i="6"/>
  <c r="DA8" i="6"/>
  <c r="DB8" i="6"/>
  <c r="DC8" i="6"/>
  <c r="DD8" i="6"/>
  <c r="DE8" i="6"/>
  <c r="DF8" i="6"/>
  <c r="DG8" i="6"/>
  <c r="DH8" i="6"/>
  <c r="DI8" i="6"/>
  <c r="DJ8" i="6"/>
  <c r="DK8" i="6"/>
  <c r="DL8" i="6"/>
  <c r="DM8" i="6"/>
  <c r="DN8" i="6"/>
  <c r="DO8" i="6"/>
  <c r="DP8" i="6"/>
  <c r="DQ8" i="6"/>
  <c r="DR8" i="6"/>
  <c r="DS8" i="6"/>
  <c r="DT8" i="6"/>
  <c r="DU8" i="6"/>
  <c r="DV8" i="6"/>
  <c r="DW8" i="6"/>
  <c r="DX8" i="6"/>
  <c r="DY8" i="6"/>
  <c r="DZ8" i="6"/>
  <c r="EA8" i="6"/>
  <c r="EB8" i="6"/>
  <c r="EC8" i="6"/>
  <c r="ED8" i="6"/>
  <c r="EE8" i="6"/>
  <c r="EF8" i="6"/>
  <c r="EG8" i="6"/>
  <c r="EH8" i="6"/>
  <c r="EI8" i="6"/>
  <c r="EJ8" i="6"/>
  <c r="EK8" i="6"/>
  <c r="EL8" i="6"/>
  <c r="EM8" i="6"/>
  <c r="EN8" i="6"/>
  <c r="EO8" i="6"/>
  <c r="EP8" i="6"/>
  <c r="EQ8" i="6"/>
  <c r="ER8" i="6"/>
  <c r="ES8" i="6"/>
  <c r="ET8" i="6"/>
  <c r="EU8" i="6"/>
  <c r="EV8" i="6"/>
  <c r="EW8" i="6"/>
  <c r="EX8" i="6"/>
  <c r="EY8" i="6"/>
  <c r="EZ8" i="6"/>
  <c r="FA8" i="6"/>
  <c r="FB8" i="6"/>
  <c r="FC8" i="6"/>
  <c r="FD8" i="6"/>
  <c r="FE8" i="6"/>
  <c r="FF8" i="6"/>
  <c r="FG8" i="6"/>
  <c r="FH8" i="6"/>
  <c r="FI8" i="6"/>
  <c r="FJ8" i="6"/>
  <c r="FK8" i="6"/>
  <c r="FL8" i="6"/>
  <c r="FM8" i="6"/>
  <c r="FN8" i="6"/>
  <c r="FO8" i="6"/>
  <c r="FP8" i="6"/>
  <c r="FQ8" i="6"/>
  <c r="FR8" i="6"/>
  <c r="FS8" i="6"/>
  <c r="FT8" i="6"/>
  <c r="FU8" i="6"/>
  <c r="FV8" i="6"/>
  <c r="FW8" i="6"/>
  <c r="FX8" i="6"/>
  <c r="FY8" i="6"/>
  <c r="FZ8" i="6"/>
  <c r="GA8" i="6"/>
  <c r="GB8" i="6"/>
  <c r="GC8" i="6"/>
  <c r="GD8" i="6"/>
  <c r="GE8" i="6"/>
  <c r="GF8" i="6"/>
  <c r="GG8" i="6"/>
  <c r="GH8" i="6"/>
  <c r="GI8" i="6"/>
  <c r="GJ8" i="6"/>
  <c r="GK8" i="6"/>
  <c r="GL8" i="6"/>
  <c r="GM8" i="6"/>
  <c r="GN8" i="6"/>
  <c r="GO8" i="6"/>
  <c r="GP8" i="6"/>
  <c r="GQ8" i="6"/>
  <c r="GR8" i="6"/>
  <c r="GS8" i="6"/>
  <c r="GT8" i="6"/>
  <c r="GU8" i="6"/>
  <c r="GV8" i="6"/>
  <c r="GW8" i="6"/>
  <c r="GX8" i="6"/>
  <c r="GY8" i="6"/>
  <c r="GZ8" i="6"/>
  <c r="HA8" i="6"/>
  <c r="HB8" i="6"/>
  <c r="HC8" i="6"/>
  <c r="HD8" i="6"/>
  <c r="HE8" i="6"/>
  <c r="HF8" i="6"/>
  <c r="HG8" i="6"/>
  <c r="HH8" i="6"/>
  <c r="HI8" i="6"/>
  <c r="HJ8" i="6"/>
  <c r="HK8" i="6"/>
  <c r="HL8" i="6"/>
  <c r="HM8" i="6"/>
  <c r="HN8" i="6"/>
  <c r="HO8" i="6"/>
  <c r="HP8" i="6"/>
  <c r="HQ8" i="6"/>
  <c r="HR8" i="6"/>
  <c r="HS8" i="6"/>
  <c r="HT8" i="6"/>
  <c r="HU8" i="6"/>
  <c r="HV8" i="6"/>
  <c r="HW8" i="6"/>
  <c r="HX8" i="6"/>
  <c r="HY8" i="6"/>
  <c r="HZ8" i="6"/>
  <c r="IA8" i="6"/>
  <c r="IB8" i="6"/>
  <c r="IC8" i="6"/>
  <c r="ID8" i="6"/>
  <c r="IE8" i="6"/>
  <c r="IF8" i="6"/>
  <c r="IG8" i="6"/>
  <c r="IH8" i="6"/>
  <c r="II8" i="6"/>
  <c r="IJ8" i="6"/>
  <c r="IK8" i="6"/>
  <c r="IL8" i="6"/>
  <c r="IM8" i="6"/>
  <c r="IN8" i="6"/>
  <c r="IO8" i="6"/>
  <c r="IP8" i="6"/>
  <c r="IQ8" i="6"/>
  <c r="IR8" i="6"/>
  <c r="IS8" i="6"/>
  <c r="IT8" i="6"/>
  <c r="IU8" i="6"/>
  <c r="IV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O9" i="6"/>
  <c r="CP9" i="6"/>
  <c r="CQ9" i="6"/>
  <c r="CR9" i="6"/>
  <c r="CS9" i="6"/>
  <c r="CT9" i="6"/>
  <c r="CU9" i="6"/>
  <c r="CV9" i="6"/>
  <c r="CW9" i="6"/>
  <c r="CX9" i="6"/>
  <c r="CY9" i="6"/>
  <c r="CZ9" i="6"/>
  <c r="DA9" i="6"/>
  <c r="DB9" i="6"/>
  <c r="DC9" i="6"/>
  <c r="DD9" i="6"/>
  <c r="DE9" i="6"/>
  <c r="DF9" i="6"/>
  <c r="DG9" i="6"/>
  <c r="DH9" i="6"/>
  <c r="DI9" i="6"/>
  <c r="DJ9" i="6"/>
  <c r="DK9" i="6"/>
  <c r="DL9" i="6"/>
  <c r="DM9" i="6"/>
  <c r="DN9" i="6"/>
  <c r="DO9" i="6"/>
  <c r="DP9" i="6"/>
  <c r="DQ9" i="6"/>
  <c r="DR9" i="6"/>
  <c r="DS9" i="6"/>
  <c r="DT9" i="6"/>
  <c r="DU9" i="6"/>
  <c r="DV9" i="6"/>
  <c r="DW9" i="6"/>
  <c r="DX9" i="6"/>
  <c r="DY9" i="6"/>
  <c r="DZ9" i="6"/>
  <c r="EA9" i="6"/>
  <c r="EB9" i="6"/>
  <c r="EC9" i="6"/>
  <c r="ED9" i="6"/>
  <c r="EE9" i="6"/>
  <c r="EF9" i="6"/>
  <c r="EG9" i="6"/>
  <c r="EH9" i="6"/>
  <c r="EI9" i="6"/>
  <c r="EJ9" i="6"/>
  <c r="EK9" i="6"/>
  <c r="EL9" i="6"/>
  <c r="EM9" i="6"/>
  <c r="EN9" i="6"/>
  <c r="EO9" i="6"/>
  <c r="EP9" i="6"/>
  <c r="EQ9" i="6"/>
  <c r="ER9" i="6"/>
  <c r="ES9" i="6"/>
  <c r="ET9" i="6"/>
  <c r="EU9" i="6"/>
  <c r="EV9" i="6"/>
  <c r="EW9" i="6"/>
  <c r="EX9" i="6"/>
  <c r="EY9" i="6"/>
  <c r="EZ9" i="6"/>
  <c r="FA9" i="6"/>
  <c r="FB9" i="6"/>
  <c r="FC9" i="6"/>
  <c r="FD9" i="6"/>
  <c r="FE9" i="6"/>
  <c r="FF9" i="6"/>
  <c r="FG9" i="6"/>
  <c r="FH9" i="6"/>
  <c r="FI9" i="6"/>
  <c r="FJ9" i="6"/>
  <c r="FK9" i="6"/>
  <c r="FL9" i="6"/>
  <c r="FM9" i="6"/>
  <c r="FN9" i="6"/>
  <c r="FO9" i="6"/>
  <c r="FP9" i="6"/>
  <c r="FQ9" i="6"/>
  <c r="FR9" i="6"/>
  <c r="FS9" i="6"/>
  <c r="FT9" i="6"/>
  <c r="FU9" i="6"/>
  <c r="FV9" i="6"/>
  <c r="FW9" i="6"/>
  <c r="FX9" i="6"/>
  <c r="FY9" i="6"/>
  <c r="FZ9" i="6"/>
  <c r="GA9" i="6"/>
  <c r="GB9" i="6"/>
  <c r="GC9" i="6"/>
  <c r="GD9" i="6"/>
  <c r="GE9" i="6"/>
  <c r="GF9" i="6"/>
  <c r="GG9" i="6"/>
  <c r="GH9" i="6"/>
  <c r="GI9" i="6"/>
  <c r="GJ9" i="6"/>
  <c r="GK9" i="6"/>
  <c r="GL9" i="6"/>
  <c r="GM9" i="6"/>
  <c r="GN9" i="6"/>
  <c r="GO9" i="6"/>
  <c r="GP9" i="6"/>
  <c r="GQ9" i="6"/>
  <c r="GR9" i="6"/>
  <c r="GS9" i="6"/>
  <c r="GT9" i="6"/>
  <c r="GU9" i="6"/>
  <c r="GV9" i="6"/>
  <c r="GW9" i="6"/>
  <c r="GX9" i="6"/>
  <c r="GY9" i="6"/>
  <c r="GZ9" i="6"/>
  <c r="HA9" i="6"/>
  <c r="HB9" i="6"/>
  <c r="HC9" i="6"/>
  <c r="HD9" i="6"/>
  <c r="HE9" i="6"/>
  <c r="HF9" i="6"/>
  <c r="HG9" i="6"/>
  <c r="HH9" i="6"/>
  <c r="HI9" i="6"/>
  <c r="HJ9" i="6"/>
  <c r="HK9" i="6"/>
  <c r="HL9" i="6"/>
  <c r="HM9" i="6"/>
  <c r="HN9" i="6"/>
  <c r="HO9" i="6"/>
  <c r="HP9" i="6"/>
  <c r="HQ9" i="6"/>
  <c r="HR9" i="6"/>
  <c r="HS9" i="6"/>
  <c r="HT9" i="6"/>
  <c r="HU9" i="6"/>
  <c r="HV9" i="6"/>
  <c r="HW9" i="6"/>
  <c r="HX9" i="6"/>
  <c r="HY9" i="6"/>
  <c r="HZ9" i="6"/>
  <c r="IA9" i="6"/>
  <c r="IB9" i="6"/>
  <c r="IC9" i="6"/>
  <c r="ID9" i="6"/>
  <c r="IE9" i="6"/>
  <c r="IF9" i="6"/>
  <c r="IG9" i="6"/>
  <c r="IH9" i="6"/>
  <c r="II9" i="6"/>
  <c r="IJ9" i="6"/>
  <c r="IK9" i="6"/>
  <c r="IL9" i="6"/>
  <c r="IM9" i="6"/>
  <c r="IN9" i="6"/>
  <c r="IO9" i="6"/>
  <c r="IP9" i="6"/>
  <c r="IQ9" i="6"/>
  <c r="IR9" i="6"/>
  <c r="IS9" i="6"/>
  <c r="IT9" i="6"/>
  <c r="IU9" i="6"/>
  <c r="IV9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O10" i="6"/>
  <c r="CP10" i="6"/>
  <c r="CQ10" i="6"/>
  <c r="CR10" i="6"/>
  <c r="CS10" i="6"/>
  <c r="CT10" i="6"/>
  <c r="CU10" i="6"/>
  <c r="CV10" i="6"/>
  <c r="CW10" i="6"/>
  <c r="CX10" i="6"/>
  <c r="CY10" i="6"/>
  <c r="CZ10" i="6"/>
  <c r="DA10" i="6"/>
  <c r="DB10" i="6"/>
  <c r="DC10" i="6"/>
  <c r="DD10" i="6"/>
  <c r="DE10" i="6"/>
  <c r="DF10" i="6"/>
  <c r="DG10" i="6"/>
  <c r="DH10" i="6"/>
  <c r="DI10" i="6"/>
  <c r="DJ10" i="6"/>
  <c r="DK10" i="6"/>
  <c r="DL10" i="6"/>
  <c r="DM10" i="6"/>
  <c r="DN10" i="6"/>
  <c r="DO10" i="6"/>
  <c r="DP10" i="6"/>
  <c r="DQ10" i="6"/>
  <c r="DR10" i="6"/>
  <c r="DS10" i="6"/>
  <c r="DT10" i="6"/>
  <c r="DU10" i="6"/>
  <c r="DV10" i="6"/>
  <c r="DW10" i="6"/>
  <c r="DX10" i="6"/>
  <c r="DY10" i="6"/>
  <c r="DZ10" i="6"/>
  <c r="EA10" i="6"/>
  <c r="EB10" i="6"/>
  <c r="EC10" i="6"/>
  <c r="ED10" i="6"/>
  <c r="EE10" i="6"/>
  <c r="EF10" i="6"/>
  <c r="EG10" i="6"/>
  <c r="EH10" i="6"/>
  <c r="EI10" i="6"/>
  <c r="EJ10" i="6"/>
  <c r="EK10" i="6"/>
  <c r="EL10" i="6"/>
  <c r="EM10" i="6"/>
  <c r="EN10" i="6"/>
  <c r="EO10" i="6"/>
  <c r="EP10" i="6"/>
  <c r="EQ10" i="6"/>
  <c r="ER10" i="6"/>
  <c r="ES10" i="6"/>
  <c r="ET10" i="6"/>
  <c r="EU10" i="6"/>
  <c r="EV10" i="6"/>
  <c r="EW10" i="6"/>
  <c r="EX10" i="6"/>
  <c r="EY10" i="6"/>
  <c r="EZ10" i="6"/>
  <c r="FA10" i="6"/>
  <c r="FB10" i="6"/>
  <c r="FC10" i="6"/>
  <c r="FD10" i="6"/>
  <c r="FE10" i="6"/>
  <c r="FF10" i="6"/>
  <c r="FG10" i="6"/>
  <c r="FH10" i="6"/>
  <c r="FI10" i="6"/>
  <c r="FJ10" i="6"/>
  <c r="FK10" i="6"/>
  <c r="FL10" i="6"/>
  <c r="FM10" i="6"/>
  <c r="FN10" i="6"/>
  <c r="FO10" i="6"/>
  <c r="FP10" i="6"/>
  <c r="FQ10" i="6"/>
  <c r="FR10" i="6"/>
  <c r="FS10" i="6"/>
  <c r="FT10" i="6"/>
  <c r="FU10" i="6"/>
  <c r="FV10" i="6"/>
  <c r="FW10" i="6"/>
  <c r="FX10" i="6"/>
  <c r="FY10" i="6"/>
  <c r="FZ10" i="6"/>
  <c r="GA10" i="6"/>
  <c r="GB10" i="6"/>
  <c r="GC10" i="6"/>
  <c r="GD10" i="6"/>
  <c r="GE10" i="6"/>
  <c r="GF10" i="6"/>
  <c r="GG10" i="6"/>
  <c r="GH10" i="6"/>
  <c r="GI10" i="6"/>
  <c r="GJ10" i="6"/>
  <c r="GK10" i="6"/>
  <c r="GL10" i="6"/>
  <c r="GM10" i="6"/>
  <c r="GN10" i="6"/>
  <c r="GO10" i="6"/>
  <c r="GP10" i="6"/>
  <c r="GQ10" i="6"/>
  <c r="GR10" i="6"/>
  <c r="GS10" i="6"/>
  <c r="GT10" i="6"/>
  <c r="GU10" i="6"/>
  <c r="GV10" i="6"/>
  <c r="GW10" i="6"/>
  <c r="GX10" i="6"/>
  <c r="GY10" i="6"/>
  <c r="GZ10" i="6"/>
  <c r="HA10" i="6"/>
  <c r="HB10" i="6"/>
  <c r="HC10" i="6"/>
  <c r="HD10" i="6"/>
  <c r="HE10" i="6"/>
  <c r="HF10" i="6"/>
  <c r="HG10" i="6"/>
  <c r="HH10" i="6"/>
  <c r="HI10" i="6"/>
  <c r="HJ10" i="6"/>
  <c r="HK10" i="6"/>
  <c r="HL10" i="6"/>
  <c r="HM10" i="6"/>
  <c r="HN10" i="6"/>
  <c r="HO10" i="6"/>
  <c r="HP10" i="6"/>
  <c r="HQ10" i="6"/>
  <c r="HR10" i="6"/>
  <c r="HS10" i="6"/>
  <c r="HT10" i="6"/>
  <c r="HU10" i="6"/>
  <c r="HV10" i="6"/>
  <c r="HW10" i="6"/>
  <c r="HX10" i="6"/>
  <c r="HY10" i="6"/>
  <c r="HZ10" i="6"/>
  <c r="IA10" i="6"/>
  <c r="IB10" i="6"/>
  <c r="IC10" i="6"/>
  <c r="ID10" i="6"/>
  <c r="IE10" i="6"/>
  <c r="IF10" i="6"/>
  <c r="IG10" i="6"/>
  <c r="IH10" i="6"/>
  <c r="II10" i="6"/>
  <c r="IJ10" i="6"/>
  <c r="IK10" i="6"/>
  <c r="IL10" i="6"/>
  <c r="IM10" i="6"/>
  <c r="IN10" i="6"/>
  <c r="IO10" i="6"/>
  <c r="IP10" i="6"/>
  <c r="IQ10" i="6"/>
  <c r="IR10" i="6"/>
  <c r="IS10" i="6"/>
  <c r="IT10" i="6"/>
  <c r="IU10" i="6"/>
  <c r="IV10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O11" i="6"/>
  <c r="CP11" i="6"/>
  <c r="CQ11" i="6"/>
  <c r="CR11" i="6"/>
  <c r="CS11" i="6"/>
  <c r="CT11" i="6"/>
  <c r="CU11" i="6"/>
  <c r="CV11" i="6"/>
  <c r="CW11" i="6"/>
  <c r="CX11" i="6"/>
  <c r="CY11" i="6"/>
  <c r="CZ11" i="6"/>
  <c r="DA11" i="6"/>
  <c r="DB11" i="6"/>
  <c r="DC11" i="6"/>
  <c r="DD11" i="6"/>
  <c r="DE11" i="6"/>
  <c r="DF11" i="6"/>
  <c r="DG11" i="6"/>
  <c r="DH11" i="6"/>
  <c r="DI11" i="6"/>
  <c r="DJ11" i="6"/>
  <c r="DK11" i="6"/>
  <c r="DL11" i="6"/>
  <c r="DM11" i="6"/>
  <c r="DN11" i="6"/>
  <c r="DO11" i="6"/>
  <c r="DP11" i="6"/>
  <c r="DQ11" i="6"/>
  <c r="DR11" i="6"/>
  <c r="DS11" i="6"/>
  <c r="DT11" i="6"/>
  <c r="DU11" i="6"/>
  <c r="DV11" i="6"/>
  <c r="DW11" i="6"/>
  <c r="DX11" i="6"/>
  <c r="DY11" i="6"/>
  <c r="DZ11" i="6"/>
  <c r="EA11" i="6"/>
  <c r="EB11" i="6"/>
  <c r="EC11" i="6"/>
  <c r="ED11" i="6"/>
  <c r="EE11" i="6"/>
  <c r="EF11" i="6"/>
  <c r="EG11" i="6"/>
  <c r="EH11" i="6"/>
  <c r="EI11" i="6"/>
  <c r="EJ11" i="6"/>
  <c r="EK11" i="6"/>
  <c r="EL11" i="6"/>
  <c r="EM11" i="6"/>
  <c r="EN11" i="6"/>
  <c r="EO11" i="6"/>
  <c r="EP11" i="6"/>
  <c r="EQ11" i="6"/>
  <c r="ER11" i="6"/>
  <c r="ES11" i="6"/>
  <c r="ET11" i="6"/>
  <c r="EU11" i="6"/>
  <c r="EV11" i="6"/>
  <c r="EW11" i="6"/>
  <c r="EX11" i="6"/>
  <c r="EY11" i="6"/>
  <c r="EZ11" i="6"/>
  <c r="FA11" i="6"/>
  <c r="FB11" i="6"/>
  <c r="FC11" i="6"/>
  <c r="FD11" i="6"/>
  <c r="FE11" i="6"/>
  <c r="FF11" i="6"/>
  <c r="FG11" i="6"/>
  <c r="FH11" i="6"/>
  <c r="FI11" i="6"/>
  <c r="FJ11" i="6"/>
  <c r="FK11" i="6"/>
  <c r="FL11" i="6"/>
  <c r="FM11" i="6"/>
  <c r="FN11" i="6"/>
  <c r="FO11" i="6"/>
  <c r="FP11" i="6"/>
  <c r="FQ11" i="6"/>
  <c r="FR11" i="6"/>
  <c r="FS11" i="6"/>
  <c r="FT11" i="6"/>
  <c r="FU11" i="6"/>
  <c r="FV11" i="6"/>
  <c r="FW11" i="6"/>
  <c r="FX11" i="6"/>
  <c r="FY11" i="6"/>
  <c r="FZ11" i="6"/>
  <c r="GA11" i="6"/>
  <c r="GB11" i="6"/>
  <c r="GC11" i="6"/>
  <c r="GD11" i="6"/>
  <c r="GE11" i="6"/>
  <c r="GF11" i="6"/>
  <c r="GG11" i="6"/>
  <c r="GH11" i="6"/>
  <c r="GI11" i="6"/>
  <c r="GJ11" i="6"/>
  <c r="GK11" i="6"/>
  <c r="GL11" i="6"/>
  <c r="GM11" i="6"/>
  <c r="GN11" i="6"/>
  <c r="GO11" i="6"/>
  <c r="GP11" i="6"/>
  <c r="GQ11" i="6"/>
  <c r="GR11" i="6"/>
  <c r="GS11" i="6"/>
  <c r="GT11" i="6"/>
  <c r="GU11" i="6"/>
  <c r="GV11" i="6"/>
  <c r="GW11" i="6"/>
  <c r="GX11" i="6"/>
  <c r="GY11" i="6"/>
  <c r="GZ11" i="6"/>
  <c r="HA11" i="6"/>
  <c r="HB11" i="6"/>
  <c r="HC11" i="6"/>
  <c r="HD11" i="6"/>
  <c r="HE11" i="6"/>
  <c r="HF11" i="6"/>
  <c r="HG11" i="6"/>
  <c r="HH11" i="6"/>
  <c r="HI11" i="6"/>
  <c r="HJ11" i="6"/>
  <c r="HK11" i="6"/>
  <c r="HL11" i="6"/>
  <c r="HM11" i="6"/>
  <c r="HN11" i="6"/>
  <c r="HO11" i="6"/>
  <c r="HP11" i="6"/>
  <c r="HQ11" i="6"/>
  <c r="HR11" i="6"/>
  <c r="HS11" i="6"/>
  <c r="HT11" i="6"/>
  <c r="HU11" i="6"/>
  <c r="HV11" i="6"/>
  <c r="HW11" i="6"/>
  <c r="HX11" i="6"/>
  <c r="HY11" i="6"/>
  <c r="HZ11" i="6"/>
  <c r="IA11" i="6"/>
  <c r="IB11" i="6"/>
  <c r="IC11" i="6"/>
  <c r="ID11" i="6"/>
  <c r="IE11" i="6"/>
  <c r="IF11" i="6"/>
  <c r="IG11" i="6"/>
  <c r="IH11" i="6"/>
  <c r="II11" i="6"/>
  <c r="IJ11" i="6"/>
  <c r="IK11" i="6"/>
  <c r="IL11" i="6"/>
  <c r="IM11" i="6"/>
  <c r="IN11" i="6"/>
  <c r="IO11" i="6"/>
  <c r="IP11" i="6"/>
  <c r="IQ11" i="6"/>
  <c r="IR11" i="6"/>
  <c r="IS11" i="6"/>
  <c r="IT11" i="6"/>
  <c r="IU11" i="6"/>
  <c r="IV11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CR12" i="6"/>
  <c r="CS12" i="6"/>
  <c r="CT12" i="6"/>
  <c r="CU12" i="6"/>
  <c r="CV12" i="6"/>
  <c r="CW12" i="6"/>
  <c r="CX12" i="6"/>
  <c r="CY12" i="6"/>
  <c r="CZ12" i="6"/>
  <c r="DA12" i="6"/>
  <c r="DB12" i="6"/>
  <c r="DC12" i="6"/>
  <c r="DD12" i="6"/>
  <c r="DE12" i="6"/>
  <c r="DF12" i="6"/>
  <c r="DG12" i="6"/>
  <c r="DH12" i="6"/>
  <c r="DI12" i="6"/>
  <c r="DJ12" i="6"/>
  <c r="DK12" i="6"/>
  <c r="DL12" i="6"/>
  <c r="DM12" i="6"/>
  <c r="DN12" i="6"/>
  <c r="DO12" i="6"/>
  <c r="DP12" i="6"/>
  <c r="DQ12" i="6"/>
  <c r="DR12" i="6"/>
  <c r="DS12" i="6"/>
  <c r="DT12" i="6"/>
  <c r="DU12" i="6"/>
  <c r="DV12" i="6"/>
  <c r="DW12" i="6"/>
  <c r="DX12" i="6"/>
  <c r="DY12" i="6"/>
  <c r="DZ12" i="6"/>
  <c r="EA12" i="6"/>
  <c r="EB12" i="6"/>
  <c r="EC12" i="6"/>
  <c r="ED12" i="6"/>
  <c r="EE12" i="6"/>
  <c r="EF12" i="6"/>
  <c r="EG12" i="6"/>
  <c r="EH12" i="6"/>
  <c r="EI12" i="6"/>
  <c r="EJ12" i="6"/>
  <c r="EK12" i="6"/>
  <c r="EL12" i="6"/>
  <c r="EM12" i="6"/>
  <c r="EN12" i="6"/>
  <c r="EO12" i="6"/>
  <c r="EP12" i="6"/>
  <c r="EQ12" i="6"/>
  <c r="ER12" i="6"/>
  <c r="ES12" i="6"/>
  <c r="ET12" i="6"/>
  <c r="EU12" i="6"/>
  <c r="EV12" i="6"/>
  <c r="EW12" i="6"/>
  <c r="EX12" i="6"/>
  <c r="EY12" i="6"/>
  <c r="EZ12" i="6"/>
  <c r="FA12" i="6"/>
  <c r="FB12" i="6"/>
  <c r="FC12" i="6"/>
  <c r="FD12" i="6"/>
  <c r="FE12" i="6"/>
  <c r="FF12" i="6"/>
  <c r="FG12" i="6"/>
  <c r="FH12" i="6"/>
  <c r="FI12" i="6"/>
  <c r="FJ12" i="6"/>
  <c r="FK12" i="6"/>
  <c r="FL12" i="6"/>
  <c r="FM12" i="6"/>
  <c r="FN12" i="6"/>
  <c r="FO12" i="6"/>
  <c r="FP12" i="6"/>
  <c r="FQ12" i="6"/>
  <c r="FR12" i="6"/>
  <c r="FS12" i="6"/>
  <c r="FT12" i="6"/>
  <c r="FU12" i="6"/>
  <c r="FV12" i="6"/>
  <c r="FW12" i="6"/>
  <c r="FX12" i="6"/>
  <c r="FY12" i="6"/>
  <c r="FZ12" i="6"/>
  <c r="GA12" i="6"/>
  <c r="GB12" i="6"/>
  <c r="GC12" i="6"/>
  <c r="GD12" i="6"/>
  <c r="GE12" i="6"/>
  <c r="GF12" i="6"/>
  <c r="GG12" i="6"/>
  <c r="GH12" i="6"/>
  <c r="GI12" i="6"/>
  <c r="GJ12" i="6"/>
  <c r="GK12" i="6"/>
  <c r="GL12" i="6"/>
  <c r="GM12" i="6"/>
  <c r="GN12" i="6"/>
  <c r="GO12" i="6"/>
  <c r="GP12" i="6"/>
  <c r="GQ12" i="6"/>
  <c r="GR12" i="6"/>
  <c r="GS12" i="6"/>
  <c r="GT12" i="6"/>
  <c r="GU12" i="6"/>
  <c r="GV12" i="6"/>
  <c r="GW12" i="6"/>
  <c r="GX12" i="6"/>
  <c r="GY12" i="6"/>
  <c r="GZ12" i="6"/>
  <c r="HA12" i="6"/>
  <c r="HB12" i="6"/>
  <c r="HC12" i="6"/>
  <c r="HD12" i="6"/>
  <c r="HE12" i="6"/>
  <c r="HF12" i="6"/>
  <c r="HG12" i="6"/>
  <c r="HH12" i="6"/>
  <c r="HI12" i="6"/>
  <c r="HJ12" i="6"/>
  <c r="HK12" i="6"/>
  <c r="HL12" i="6"/>
  <c r="HM12" i="6"/>
  <c r="HN12" i="6"/>
  <c r="HO12" i="6"/>
  <c r="HP12" i="6"/>
  <c r="HQ12" i="6"/>
  <c r="HR12" i="6"/>
  <c r="HS12" i="6"/>
  <c r="HT12" i="6"/>
  <c r="HU12" i="6"/>
  <c r="HV12" i="6"/>
  <c r="HW12" i="6"/>
  <c r="HX12" i="6"/>
  <c r="HY12" i="6"/>
  <c r="HZ12" i="6"/>
  <c r="IA12" i="6"/>
  <c r="IB12" i="6"/>
  <c r="IC12" i="6"/>
  <c r="ID12" i="6"/>
  <c r="IE12" i="6"/>
  <c r="IF12" i="6"/>
  <c r="IG12" i="6"/>
  <c r="IH12" i="6"/>
  <c r="II12" i="6"/>
  <c r="IJ12" i="6"/>
  <c r="IK12" i="6"/>
  <c r="IL12" i="6"/>
  <c r="IM12" i="6"/>
  <c r="IN12" i="6"/>
  <c r="IO12" i="6"/>
  <c r="IP12" i="6"/>
  <c r="IQ12" i="6"/>
  <c r="IR12" i="6"/>
  <c r="IS12" i="6"/>
  <c r="IT12" i="6"/>
  <c r="IU12" i="6"/>
  <c r="IV12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CJ13" i="6"/>
  <c r="CK13" i="6"/>
  <c r="CL13" i="6"/>
  <c r="CM13" i="6"/>
  <c r="CN13" i="6"/>
  <c r="CO13" i="6"/>
  <c r="CP13" i="6"/>
  <c r="CQ13" i="6"/>
  <c r="CR13" i="6"/>
  <c r="CS13" i="6"/>
  <c r="CT13" i="6"/>
  <c r="CU13" i="6"/>
  <c r="CV13" i="6"/>
  <c r="CW13" i="6"/>
  <c r="CX13" i="6"/>
  <c r="CY13" i="6"/>
  <c r="CZ13" i="6"/>
  <c r="DA13" i="6"/>
  <c r="DB13" i="6"/>
  <c r="DC13" i="6"/>
  <c r="DD13" i="6"/>
  <c r="DE13" i="6"/>
  <c r="DF13" i="6"/>
  <c r="DG13" i="6"/>
  <c r="DH13" i="6"/>
  <c r="DI13" i="6"/>
  <c r="DJ13" i="6"/>
  <c r="DK13" i="6"/>
  <c r="DL13" i="6"/>
  <c r="DM13" i="6"/>
  <c r="DN13" i="6"/>
  <c r="DO13" i="6"/>
  <c r="DP13" i="6"/>
  <c r="DQ13" i="6"/>
  <c r="DR13" i="6"/>
  <c r="DS13" i="6"/>
  <c r="DT13" i="6"/>
  <c r="DU13" i="6"/>
  <c r="DV13" i="6"/>
  <c r="DW13" i="6"/>
  <c r="DX13" i="6"/>
  <c r="DY13" i="6"/>
  <c r="DZ13" i="6"/>
  <c r="EA13" i="6"/>
  <c r="EB13" i="6"/>
  <c r="EC13" i="6"/>
  <c r="ED13" i="6"/>
  <c r="EE13" i="6"/>
  <c r="EF13" i="6"/>
  <c r="EG13" i="6"/>
  <c r="EH13" i="6"/>
  <c r="EI13" i="6"/>
  <c r="EJ13" i="6"/>
  <c r="EK13" i="6"/>
  <c r="EL13" i="6"/>
  <c r="EM13" i="6"/>
  <c r="EN13" i="6"/>
  <c r="EO13" i="6"/>
  <c r="EP13" i="6"/>
  <c r="EQ13" i="6"/>
  <c r="ER13" i="6"/>
  <c r="ES13" i="6"/>
  <c r="ET13" i="6"/>
  <c r="EU13" i="6"/>
  <c r="EV13" i="6"/>
  <c r="EW13" i="6"/>
  <c r="EX13" i="6"/>
  <c r="EY13" i="6"/>
  <c r="EZ13" i="6"/>
  <c r="FA13" i="6"/>
  <c r="FB13" i="6"/>
  <c r="FC13" i="6"/>
  <c r="FD13" i="6"/>
  <c r="FE13" i="6"/>
  <c r="FF13" i="6"/>
  <c r="FG13" i="6"/>
  <c r="FH13" i="6"/>
  <c r="FI13" i="6"/>
  <c r="FJ13" i="6"/>
  <c r="FK13" i="6"/>
  <c r="FL13" i="6"/>
  <c r="FM13" i="6"/>
  <c r="FN13" i="6"/>
  <c r="FO13" i="6"/>
  <c r="FP13" i="6"/>
  <c r="FQ13" i="6"/>
  <c r="FR13" i="6"/>
  <c r="FS13" i="6"/>
  <c r="FT13" i="6"/>
  <c r="FU13" i="6"/>
  <c r="FV13" i="6"/>
  <c r="FW13" i="6"/>
  <c r="FX13" i="6"/>
  <c r="FY13" i="6"/>
  <c r="FZ13" i="6"/>
  <c r="GA13" i="6"/>
  <c r="GB13" i="6"/>
  <c r="GC13" i="6"/>
  <c r="GD13" i="6"/>
  <c r="GE13" i="6"/>
  <c r="GF13" i="6"/>
  <c r="GG13" i="6"/>
  <c r="GH13" i="6"/>
  <c r="GI13" i="6"/>
  <c r="GJ13" i="6"/>
  <c r="GK13" i="6"/>
  <c r="GL13" i="6"/>
  <c r="GM13" i="6"/>
  <c r="GN13" i="6"/>
  <c r="GO13" i="6"/>
  <c r="GP13" i="6"/>
  <c r="GQ13" i="6"/>
  <c r="GR13" i="6"/>
  <c r="GS13" i="6"/>
  <c r="GT13" i="6"/>
  <c r="GU13" i="6"/>
  <c r="GV13" i="6"/>
  <c r="GW13" i="6"/>
  <c r="GX13" i="6"/>
  <c r="GY13" i="6"/>
  <c r="GZ13" i="6"/>
  <c r="HA13" i="6"/>
  <c r="HB13" i="6"/>
  <c r="HC13" i="6"/>
  <c r="HD13" i="6"/>
  <c r="HE13" i="6"/>
  <c r="HF13" i="6"/>
  <c r="HG13" i="6"/>
  <c r="HH13" i="6"/>
  <c r="HI13" i="6"/>
  <c r="HJ13" i="6"/>
  <c r="HK13" i="6"/>
  <c r="HL13" i="6"/>
  <c r="HM13" i="6"/>
  <c r="HN13" i="6"/>
  <c r="HO13" i="6"/>
  <c r="HP13" i="6"/>
  <c r="HQ13" i="6"/>
  <c r="HR13" i="6"/>
  <c r="HS13" i="6"/>
  <c r="HT13" i="6"/>
  <c r="HU13" i="6"/>
  <c r="HV13" i="6"/>
  <c r="HW13" i="6"/>
  <c r="HX13" i="6"/>
  <c r="HY13" i="6"/>
  <c r="HZ13" i="6"/>
  <c r="IA13" i="6"/>
  <c r="IB13" i="6"/>
  <c r="IC13" i="6"/>
  <c r="ID13" i="6"/>
  <c r="IE13" i="6"/>
  <c r="IF13" i="6"/>
  <c r="IG13" i="6"/>
  <c r="IH13" i="6"/>
  <c r="II13" i="6"/>
  <c r="IJ13" i="6"/>
  <c r="IK13" i="6"/>
  <c r="IL13" i="6"/>
  <c r="IM13" i="6"/>
  <c r="IN13" i="6"/>
  <c r="IO13" i="6"/>
  <c r="IP13" i="6"/>
  <c r="IQ13" i="6"/>
  <c r="IR13" i="6"/>
  <c r="IS13" i="6"/>
  <c r="IT13" i="6"/>
  <c r="IU13" i="6"/>
  <c r="IV13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CP14" i="6"/>
  <c r="CQ14" i="6"/>
  <c r="CR14" i="6"/>
  <c r="CS14" i="6"/>
  <c r="CT14" i="6"/>
  <c r="CU14" i="6"/>
  <c r="CV14" i="6"/>
  <c r="CW14" i="6"/>
  <c r="CX14" i="6"/>
  <c r="CY14" i="6"/>
  <c r="CZ14" i="6"/>
  <c r="DA14" i="6"/>
  <c r="DB14" i="6"/>
  <c r="DC14" i="6"/>
  <c r="DD14" i="6"/>
  <c r="DE14" i="6"/>
  <c r="DF14" i="6"/>
  <c r="DG14" i="6"/>
  <c r="DH14" i="6"/>
  <c r="DI14" i="6"/>
  <c r="DJ14" i="6"/>
  <c r="DK14" i="6"/>
  <c r="DL14" i="6"/>
  <c r="DM14" i="6"/>
  <c r="DN14" i="6"/>
  <c r="DO14" i="6"/>
  <c r="DP14" i="6"/>
  <c r="DQ14" i="6"/>
  <c r="DR14" i="6"/>
  <c r="DS14" i="6"/>
  <c r="DT14" i="6"/>
  <c r="DU14" i="6"/>
  <c r="DV14" i="6"/>
  <c r="DW14" i="6"/>
  <c r="DX14" i="6"/>
  <c r="DY14" i="6"/>
  <c r="DZ14" i="6"/>
  <c r="EA14" i="6"/>
  <c r="EB14" i="6"/>
  <c r="EC14" i="6"/>
  <c r="ED14" i="6"/>
  <c r="EE14" i="6"/>
  <c r="EF14" i="6"/>
  <c r="EG14" i="6"/>
  <c r="EH14" i="6"/>
  <c r="EI14" i="6"/>
  <c r="EJ14" i="6"/>
  <c r="EK14" i="6"/>
  <c r="EL14" i="6"/>
  <c r="EM14" i="6"/>
  <c r="EN14" i="6"/>
  <c r="EO14" i="6"/>
  <c r="EP14" i="6"/>
  <c r="EQ14" i="6"/>
  <c r="ER14" i="6"/>
  <c r="ES14" i="6"/>
  <c r="ET14" i="6"/>
  <c r="EU14" i="6"/>
  <c r="EV14" i="6"/>
  <c r="EW14" i="6"/>
  <c r="EX14" i="6"/>
  <c r="EY14" i="6"/>
  <c r="EZ14" i="6"/>
  <c r="FA14" i="6"/>
  <c r="FB14" i="6"/>
  <c r="FC14" i="6"/>
  <c r="FD14" i="6"/>
  <c r="FE14" i="6"/>
  <c r="FF14" i="6"/>
  <c r="FG14" i="6"/>
  <c r="FH14" i="6"/>
  <c r="FI14" i="6"/>
  <c r="FJ14" i="6"/>
  <c r="FK14" i="6"/>
  <c r="FL14" i="6"/>
  <c r="FM14" i="6"/>
  <c r="FN14" i="6"/>
  <c r="FO14" i="6"/>
  <c r="FP14" i="6"/>
  <c r="FQ14" i="6"/>
  <c r="FR14" i="6"/>
  <c r="FS14" i="6"/>
  <c r="FT14" i="6"/>
  <c r="FU14" i="6"/>
  <c r="FV14" i="6"/>
  <c r="FW14" i="6"/>
  <c r="FX14" i="6"/>
  <c r="FY14" i="6"/>
  <c r="FZ14" i="6"/>
  <c r="GA14" i="6"/>
  <c r="GB14" i="6"/>
  <c r="GC14" i="6"/>
  <c r="GD14" i="6"/>
  <c r="GE14" i="6"/>
  <c r="GF14" i="6"/>
  <c r="GG14" i="6"/>
  <c r="GH14" i="6"/>
  <c r="GI14" i="6"/>
  <c r="GJ14" i="6"/>
  <c r="GK14" i="6"/>
  <c r="GL14" i="6"/>
  <c r="GM14" i="6"/>
  <c r="GN14" i="6"/>
  <c r="GO14" i="6"/>
  <c r="GP14" i="6"/>
  <c r="GQ14" i="6"/>
  <c r="GR14" i="6"/>
  <c r="GS14" i="6"/>
  <c r="GT14" i="6"/>
  <c r="GU14" i="6"/>
  <c r="GV14" i="6"/>
  <c r="GW14" i="6"/>
  <c r="GX14" i="6"/>
  <c r="GY14" i="6"/>
  <c r="GZ14" i="6"/>
  <c r="HA14" i="6"/>
  <c r="HB14" i="6"/>
  <c r="HC14" i="6"/>
  <c r="HD14" i="6"/>
  <c r="HE14" i="6"/>
  <c r="HF14" i="6"/>
  <c r="HG14" i="6"/>
  <c r="HH14" i="6"/>
  <c r="HI14" i="6"/>
  <c r="HJ14" i="6"/>
  <c r="HK14" i="6"/>
  <c r="HL14" i="6"/>
  <c r="HM14" i="6"/>
  <c r="HN14" i="6"/>
  <c r="HO14" i="6"/>
  <c r="HP14" i="6"/>
  <c r="HQ14" i="6"/>
  <c r="HR14" i="6"/>
  <c r="HS14" i="6"/>
  <c r="HT14" i="6"/>
  <c r="HU14" i="6"/>
  <c r="HV14" i="6"/>
  <c r="HW14" i="6"/>
  <c r="HX14" i="6"/>
  <c r="HY14" i="6"/>
  <c r="HZ14" i="6"/>
  <c r="IA14" i="6"/>
  <c r="IB14" i="6"/>
  <c r="IC14" i="6"/>
  <c r="ID14" i="6"/>
  <c r="IE14" i="6"/>
  <c r="IF14" i="6"/>
  <c r="IG14" i="6"/>
  <c r="IH14" i="6"/>
  <c r="II14" i="6"/>
  <c r="IJ14" i="6"/>
  <c r="IK14" i="6"/>
  <c r="IL14" i="6"/>
  <c r="IM14" i="6"/>
  <c r="IN14" i="6"/>
  <c r="IO14" i="6"/>
  <c r="IP14" i="6"/>
  <c r="IQ14" i="6"/>
  <c r="IR14" i="6"/>
  <c r="IS14" i="6"/>
  <c r="IT14" i="6"/>
  <c r="IU14" i="6"/>
  <c r="IV14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CO15" i="6"/>
  <c r="CP15" i="6"/>
  <c r="CQ15" i="6"/>
  <c r="CR15" i="6"/>
  <c r="CS15" i="6"/>
  <c r="CT15" i="6"/>
  <c r="CU15" i="6"/>
  <c r="CV15" i="6"/>
  <c r="CW15" i="6"/>
  <c r="CX15" i="6"/>
  <c r="CY15" i="6"/>
  <c r="CZ15" i="6"/>
  <c r="DA15" i="6"/>
  <c r="DB15" i="6"/>
  <c r="DC15" i="6"/>
  <c r="DD15" i="6"/>
  <c r="DE15" i="6"/>
  <c r="DF15" i="6"/>
  <c r="DG15" i="6"/>
  <c r="DH15" i="6"/>
  <c r="DI15" i="6"/>
  <c r="DJ15" i="6"/>
  <c r="DK15" i="6"/>
  <c r="DL15" i="6"/>
  <c r="DM15" i="6"/>
  <c r="DN15" i="6"/>
  <c r="DO15" i="6"/>
  <c r="DP15" i="6"/>
  <c r="DQ15" i="6"/>
  <c r="DR15" i="6"/>
  <c r="DS15" i="6"/>
  <c r="DT15" i="6"/>
  <c r="DU15" i="6"/>
  <c r="DV15" i="6"/>
  <c r="DW15" i="6"/>
  <c r="DX15" i="6"/>
  <c r="DY15" i="6"/>
  <c r="DZ15" i="6"/>
  <c r="EA15" i="6"/>
  <c r="EB15" i="6"/>
  <c r="EC15" i="6"/>
  <c r="ED15" i="6"/>
  <c r="EE15" i="6"/>
  <c r="EF15" i="6"/>
  <c r="EG15" i="6"/>
  <c r="EH15" i="6"/>
  <c r="EI15" i="6"/>
  <c r="EJ15" i="6"/>
  <c r="EK15" i="6"/>
  <c r="EL15" i="6"/>
  <c r="EM15" i="6"/>
  <c r="EN15" i="6"/>
  <c r="EO15" i="6"/>
  <c r="EP15" i="6"/>
  <c r="EQ15" i="6"/>
  <c r="ER15" i="6"/>
  <c r="ES15" i="6"/>
  <c r="ET15" i="6"/>
  <c r="EU15" i="6"/>
  <c r="EV15" i="6"/>
  <c r="EW15" i="6"/>
  <c r="EX15" i="6"/>
  <c r="EY15" i="6"/>
  <c r="EZ15" i="6"/>
  <c r="FA15" i="6"/>
  <c r="FB15" i="6"/>
  <c r="FC15" i="6"/>
  <c r="FD15" i="6"/>
  <c r="FE15" i="6"/>
  <c r="FF15" i="6"/>
  <c r="FG15" i="6"/>
  <c r="FH15" i="6"/>
  <c r="FI15" i="6"/>
  <c r="FJ15" i="6"/>
  <c r="FK15" i="6"/>
  <c r="FL15" i="6"/>
  <c r="FM15" i="6"/>
  <c r="FN15" i="6"/>
  <c r="FO15" i="6"/>
  <c r="FP15" i="6"/>
  <c r="FQ15" i="6"/>
  <c r="FR15" i="6"/>
  <c r="FS15" i="6"/>
  <c r="FT15" i="6"/>
  <c r="FU15" i="6"/>
  <c r="FV15" i="6"/>
  <c r="FW15" i="6"/>
  <c r="FX15" i="6"/>
  <c r="FY15" i="6"/>
  <c r="FZ15" i="6"/>
  <c r="GA15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AM1" i="6"/>
  <c r="AN1" i="6"/>
  <c r="AO1" i="6"/>
  <c r="AP1" i="6"/>
  <c r="AQ1" i="6"/>
  <c r="AR1" i="6"/>
  <c r="AS1" i="6"/>
  <c r="AT1" i="6"/>
  <c r="AU1" i="6"/>
  <c r="AV1" i="6"/>
  <c r="AW1" i="6"/>
  <c r="AX1" i="6"/>
  <c r="AY1" i="6"/>
  <c r="AZ1" i="6"/>
  <c r="BA1" i="6"/>
  <c r="BB1" i="6"/>
  <c r="BC1" i="6"/>
  <c r="BD1" i="6"/>
  <c r="BE1" i="6"/>
  <c r="BF1" i="6"/>
  <c r="BG1" i="6"/>
  <c r="BH1" i="6"/>
  <c r="BI1" i="6"/>
  <c r="BJ1" i="6"/>
  <c r="BK1" i="6"/>
  <c r="BL1" i="6"/>
  <c r="BM1" i="6"/>
  <c r="BN1" i="6"/>
  <c r="BO1" i="6"/>
  <c r="BP1" i="6"/>
  <c r="BQ1" i="6"/>
  <c r="BR1" i="6"/>
  <c r="BS1" i="6"/>
  <c r="BT1" i="6"/>
  <c r="BU1" i="6"/>
  <c r="BV1" i="6"/>
  <c r="BW1" i="6"/>
  <c r="BX1" i="6"/>
  <c r="BY1" i="6"/>
  <c r="BZ1" i="6"/>
  <c r="CA1" i="6"/>
  <c r="CB1" i="6"/>
  <c r="CC1" i="6"/>
  <c r="CD1" i="6"/>
  <c r="CE1" i="6"/>
  <c r="CF1" i="6"/>
  <c r="CG1" i="6"/>
  <c r="CH1" i="6"/>
  <c r="CI1" i="6"/>
  <c r="CJ1" i="6"/>
  <c r="CK1" i="6"/>
  <c r="CL1" i="6"/>
  <c r="CM1" i="6"/>
  <c r="CN1" i="6"/>
  <c r="CO1" i="6"/>
  <c r="CP1" i="6"/>
  <c r="CQ1" i="6"/>
  <c r="CR1" i="6"/>
  <c r="CS1" i="6"/>
  <c r="CT1" i="6"/>
  <c r="CU1" i="6"/>
  <c r="CV1" i="6"/>
  <c r="CW1" i="6"/>
  <c r="CX1" i="6"/>
  <c r="CY1" i="6"/>
  <c r="CZ1" i="6"/>
  <c r="DA1" i="6"/>
  <c r="DB1" i="6"/>
  <c r="DC1" i="6"/>
  <c r="DD1" i="6"/>
  <c r="DE1" i="6"/>
  <c r="DF1" i="6"/>
  <c r="DG1" i="6"/>
  <c r="DH1" i="6"/>
  <c r="DI1" i="6"/>
  <c r="DJ1" i="6"/>
  <c r="DK1" i="6"/>
  <c r="DL1" i="6"/>
  <c r="DM1" i="6"/>
  <c r="DN1" i="6"/>
  <c r="DO1" i="6"/>
  <c r="DP1" i="6"/>
  <c r="DQ1" i="6"/>
  <c r="DR1" i="6"/>
  <c r="DS1" i="6"/>
  <c r="DT1" i="6"/>
  <c r="DU1" i="6"/>
  <c r="DV1" i="6"/>
  <c r="DW1" i="6"/>
  <c r="DX1" i="6"/>
  <c r="DY1" i="6"/>
  <c r="DZ1" i="6"/>
  <c r="EA1" i="6"/>
  <c r="EB1" i="6"/>
  <c r="EC1" i="6"/>
  <c r="ED1" i="6"/>
  <c r="EE1" i="6"/>
  <c r="EF1" i="6"/>
  <c r="EG1" i="6"/>
  <c r="EH1" i="6"/>
  <c r="EI1" i="6"/>
  <c r="EJ1" i="6"/>
  <c r="EK1" i="6"/>
  <c r="EL1" i="6"/>
  <c r="EM1" i="6"/>
  <c r="EN1" i="6"/>
  <c r="EO1" i="6"/>
  <c r="EP1" i="6"/>
  <c r="EQ1" i="6"/>
  <c r="ER1" i="6"/>
  <c r="ES1" i="6"/>
  <c r="ET1" i="6"/>
  <c r="EU1" i="6"/>
  <c r="EV1" i="6"/>
  <c r="EW1" i="6"/>
  <c r="EX1" i="6"/>
  <c r="EY1" i="6"/>
  <c r="EZ1" i="6"/>
  <c r="FA1" i="6"/>
  <c r="FB1" i="6"/>
  <c r="FC1" i="6"/>
  <c r="FD1" i="6"/>
  <c r="FE1" i="6"/>
  <c r="FF1" i="6"/>
  <c r="FG1" i="6"/>
  <c r="FH1" i="6"/>
  <c r="FI1" i="6"/>
  <c r="FJ1" i="6"/>
  <c r="FK1" i="6"/>
  <c r="FL1" i="6"/>
  <c r="FM1" i="6"/>
  <c r="FN1" i="6"/>
  <c r="FO1" i="6"/>
  <c r="FP1" i="6"/>
  <c r="FQ1" i="6"/>
  <c r="FR1" i="6"/>
  <c r="FS1" i="6"/>
  <c r="FT1" i="6"/>
  <c r="FU1" i="6"/>
  <c r="FV1" i="6"/>
  <c r="FW1" i="6"/>
  <c r="FX1" i="6"/>
  <c r="FY1" i="6"/>
  <c r="FZ1" i="6"/>
  <c r="GA1" i="6"/>
  <c r="GB1" i="6"/>
  <c r="GC1" i="6"/>
  <c r="GD1" i="6"/>
  <c r="GE1" i="6"/>
  <c r="GF1" i="6"/>
  <c r="GG1" i="6"/>
  <c r="GH1" i="6"/>
  <c r="GI1" i="6"/>
  <c r="GJ1" i="6"/>
  <c r="GK1" i="6"/>
  <c r="GL1" i="6"/>
  <c r="GM1" i="6"/>
  <c r="GN1" i="6"/>
  <c r="GO1" i="6"/>
  <c r="GP1" i="6"/>
  <c r="GQ1" i="6"/>
  <c r="GR1" i="6"/>
  <c r="GS1" i="6"/>
  <c r="GT1" i="6"/>
  <c r="GU1" i="6"/>
  <c r="GV1" i="6"/>
  <c r="GW1" i="6"/>
  <c r="GX1" i="6"/>
  <c r="GY1" i="6"/>
  <c r="GZ1" i="6"/>
  <c r="HA1" i="6"/>
  <c r="HB1" i="6"/>
  <c r="HC1" i="6"/>
  <c r="HD1" i="6"/>
  <c r="HE1" i="6"/>
  <c r="HF1" i="6"/>
  <c r="HG1" i="6"/>
  <c r="HH1" i="6"/>
  <c r="HI1" i="6"/>
  <c r="HJ1" i="6"/>
  <c r="HK1" i="6"/>
  <c r="HL1" i="6"/>
  <c r="HM1" i="6"/>
  <c r="HN1" i="6"/>
  <c r="HO1" i="6"/>
  <c r="HP1" i="6"/>
  <c r="HQ1" i="6"/>
  <c r="HR1" i="6"/>
  <c r="HS1" i="6"/>
  <c r="HT1" i="6"/>
  <c r="HU1" i="6"/>
  <c r="HV1" i="6"/>
  <c r="HW1" i="6"/>
  <c r="HX1" i="6"/>
  <c r="HY1" i="6"/>
  <c r="HZ1" i="6"/>
  <c r="IA1" i="6"/>
  <c r="IB1" i="6"/>
  <c r="IC1" i="6"/>
  <c r="ID1" i="6"/>
  <c r="IE1" i="6"/>
  <c r="IF1" i="6"/>
  <c r="IG1" i="6"/>
  <c r="IH1" i="6"/>
  <c r="II1" i="6"/>
  <c r="IJ1" i="6"/>
  <c r="IK1" i="6"/>
  <c r="IL1" i="6"/>
  <c r="IM1" i="6"/>
  <c r="IN1" i="6"/>
  <c r="IO1" i="6"/>
  <c r="IP1" i="6"/>
  <c r="IQ1" i="6"/>
  <c r="IR1" i="6"/>
  <c r="IS1" i="6"/>
  <c r="IT1" i="6"/>
  <c r="IU1" i="6"/>
  <c r="IV1" i="6"/>
</calcChain>
</file>

<file path=xl/sharedStrings.xml><?xml version="1.0" encoding="utf-8"?>
<sst xmlns="http://schemas.openxmlformats.org/spreadsheetml/2006/main" count="540" uniqueCount="336">
  <si>
    <t>Data type</t>
  </si>
  <si>
    <t>Data field name</t>
  </si>
  <si>
    <t>Data definition</t>
  </si>
  <si>
    <t>data source</t>
  </si>
  <si>
    <t>CUSTOMER RELATIONSHIP DESCRIPTION</t>
  </si>
  <si>
    <t>Data management process</t>
  </si>
  <si>
    <t>Total local firm AUM = assets managed from a specific jurisdiction (eg. France, Luxembourg)</t>
  </si>
  <si>
    <t>Total Global firm AUM = AUM managed globally by the firm</t>
  </si>
  <si>
    <t xml:space="preserve">Client type </t>
  </si>
  <si>
    <t>Contents</t>
  </si>
  <si>
    <t>Coherence control with deal in pipeline client status to be done by user</t>
  </si>
  <si>
    <t>SGSS Services already provided</t>
  </si>
  <si>
    <t>Multi selector field, choice to be done out of the product family:
Custody and settlement
Debt issuer services
Equity issuer services
Execution and clearing services
Fund and portfolio administration
Fund and distribution services
Liquidity management
Middle office services
Trustee and ManCo services</t>
  </si>
  <si>
    <t>CUSTOMER NEED</t>
  </si>
  <si>
    <t>Date</t>
  </si>
  <si>
    <t>Date of last RFP as stated by GSF</t>
  </si>
  <si>
    <t xml:space="preserve">Account </t>
  </si>
  <si>
    <t>Account in SGSS scope</t>
  </si>
  <si>
    <t>Multi selector field defining the accounts to be included in the SGSS relationship</t>
  </si>
  <si>
    <t>Defining the accounts with wich SGSS sales will work (in order to reduce the scope of accounts proposed in the iC selector and avoid confusion and misselection of accounts)</t>
  </si>
  <si>
    <t>Other BL client</t>
  </si>
  <si>
    <t xml:space="preserve">Targeted services </t>
  </si>
  <si>
    <t xml:space="preserve">Customer priority </t>
  </si>
  <si>
    <t>Customer need description</t>
  </si>
  <si>
    <t>Text field similar to "Deal description" in Deal in Pipeline</t>
  </si>
  <si>
    <t>Content to be filled in in English, possibly normalized</t>
  </si>
  <si>
    <t>CUSTOMER ACTIVITY &amp; ORGANISATION DESCRIPTION</t>
  </si>
  <si>
    <t xml:space="preserve">Brief overview of customer activity </t>
  </si>
  <si>
    <t>Asset classes managed</t>
  </si>
  <si>
    <t>Total local firm AUM (k Eur)</t>
  </si>
  <si>
    <t>Total global firm AUM (k Eur)</t>
  </si>
  <si>
    <t>Competitors  - Current custodians, depositaries and fund administrators</t>
  </si>
  <si>
    <t>Key contacts &amp; decision makers at "c-level" for SGSS (Multiselection)</t>
  </si>
  <si>
    <t>BDR Maestro data base (API &amp; Account picker)</t>
  </si>
  <si>
    <t xml:space="preserve">SGM CONTACT data Base (API - Contact Picker) - </t>
  </si>
  <si>
    <t>Multi selector field, choice to be done out of iC contacts.</t>
  </si>
  <si>
    <t xml:space="preserve">Already available in iC =&gt;  "Job title" (free description field) in contact form in iC </t>
  </si>
  <si>
    <t>("Job title" specific for SGSS decision maker  to be defined by SGSS/CSM/GSF )</t>
  </si>
  <si>
    <t>Decision makers for purchases of SGSS services.</t>
  </si>
  <si>
    <t>Selector field defining the accounts</t>
  </si>
  <si>
    <t>Field to be confirmed during workshop</t>
  </si>
  <si>
    <t>Text field</t>
  </si>
  <si>
    <t xml:space="preserve">Customer status in client cycle </t>
  </si>
  <si>
    <t xml:space="preserve">SGSS Services already provided and invoiced by SGSS to the customer </t>
  </si>
  <si>
    <t>VISIBILITY</t>
  </si>
  <si>
    <t>Already available in iC =&gt; "Competitors" field in Deal In Pipeline module in iC (optional field)</t>
  </si>
  <si>
    <t>DATA DICTIONNARY</t>
  </si>
  <si>
    <t>May 2021</t>
  </si>
  <si>
    <t>"Cross introduction" tab in iC Porfolio : name of BL for wich the account is a client.</t>
  </si>
  <si>
    <t>name of SG Business Lines for wich the account is a client.</t>
  </si>
  <si>
    <t xml:space="preserve">Defined when the account is added by user in her/his portfolio. </t>
  </si>
  <si>
    <t>TBD</t>
  </si>
  <si>
    <t>Figures field</t>
  </si>
  <si>
    <t>An Help icon (?) has to come along with every fields below. The help contents = data definiion cell.</t>
  </si>
  <si>
    <t>Date last activity</t>
  </si>
  <si>
    <t>Date + link to "Last activity" widget</t>
  </si>
  <si>
    <t xml:space="preserve">Date of last contact with the account </t>
  </si>
  <si>
    <t>Entered by user</t>
  </si>
  <si>
    <t>Yes. Available in "Cross introduction" tab in iC Porfolio.</t>
  </si>
  <si>
    <t xml:space="preserve">Date </t>
  </si>
  <si>
    <t>4 parallel fields</t>
  </si>
  <si>
    <t xml:space="preserve">Local asset custodied amount by country </t>
  </si>
  <si>
    <t xml:space="preserve">Country </t>
  </si>
  <si>
    <t>Figures field X4</t>
  </si>
  <si>
    <t>Country ISO drop list X4</t>
  </si>
  <si>
    <t>Entered by user - Fields with the AUM custodied (different from managed from) in every jurisdiction can be retrieved also from source Monterrey for Luxembourg and Ireland</t>
  </si>
  <si>
    <t>Amount of Local Asset custodied</t>
  </si>
  <si>
    <t>When (quarter or month + year) the customer would like the service to be provided by SGSS.</t>
  </si>
  <si>
    <t>Account of business providers</t>
  </si>
  <si>
    <t>"Business providers" (consultant, audit firm, lawyer, etc.) - "Apporteurs d'affaires"  (consultant, cabinet d'audit, avocat…)</t>
  </si>
  <si>
    <t xml:space="preserve">Visibility </t>
  </si>
  <si>
    <t xml:space="preserve">Selector field defining the visibility of the prospect </t>
  </si>
  <si>
    <t xml:space="preserve">Localisation </t>
  </si>
  <si>
    <t>Departements (FO, MO, BO)</t>
  </si>
  <si>
    <t>IT system (PMS, OMS)</t>
  </si>
  <si>
    <t>Drop list field : Front Office; Middle Office; Back Office.</t>
  </si>
  <si>
    <t>Country ISO drop list</t>
  </si>
  <si>
    <t xml:space="preserve">Outsourced or not? </t>
  </si>
  <si>
    <t>Yes or No field</t>
  </si>
  <si>
    <t>Local asset custodied amount by country .</t>
  </si>
  <si>
    <t xml:space="preserve">Current custodians, depositaries and fund administrators.
Assets under custody with competitors </t>
  </si>
  <si>
    <t>Amount of Local Asset custodied by competitors</t>
  </si>
  <si>
    <t>This account is part of the prospection universe this year</t>
  </si>
  <si>
    <t>Number of funds</t>
  </si>
  <si>
    <t xml:space="preserve">Number of funds owned by the customer account </t>
  </si>
  <si>
    <t>5 Parrallel fields</t>
  </si>
  <si>
    <t>I-DEAL</t>
  </si>
  <si>
    <t>CROSSWISE</t>
  </si>
  <si>
    <t>LMA</t>
  </si>
  <si>
    <t>CUSTO/DEPO/FA</t>
  </si>
  <si>
    <t>REPORTING</t>
  </si>
  <si>
    <t>PERE</t>
  </si>
  <si>
    <t>PRIME</t>
  </si>
  <si>
    <t>ETF</t>
  </si>
  <si>
    <t>OTHER</t>
  </si>
  <si>
    <t xml:space="preserve">Drop list field </t>
  </si>
  <si>
    <t>Analytics</t>
  </si>
  <si>
    <t xml:space="preserve"> </t>
  </si>
  <si>
    <t>Addventa</t>
  </si>
  <si>
    <t>Agency Lending</t>
  </si>
  <si>
    <t>Auto-FX</t>
  </si>
  <si>
    <t>Bridge Financing</t>
  </si>
  <si>
    <t>Cash Investment</t>
  </si>
  <si>
    <t>CrossWise</t>
  </si>
  <si>
    <t>DIVA</t>
  </si>
  <si>
    <t>D-View</t>
  </si>
  <si>
    <t xml:space="preserve">ESG report </t>
  </si>
  <si>
    <t>FO+MO</t>
  </si>
  <si>
    <t>Fx- Share class hedging</t>
  </si>
  <si>
    <t>Fx-Portfolio hedging</t>
  </si>
  <si>
    <t>Intra day Liquidity</t>
  </si>
  <si>
    <t>Local representative agent</t>
  </si>
  <si>
    <t>Local transfer agent</t>
  </si>
  <si>
    <t>Mfex</t>
  </si>
  <si>
    <t>MO stand alone</t>
  </si>
  <si>
    <t>Orchestra</t>
  </si>
  <si>
    <t>PRIIPS</t>
  </si>
  <si>
    <t>Private Equity</t>
  </si>
  <si>
    <t>Real Estate</t>
  </si>
  <si>
    <t>Social Selling</t>
  </si>
  <si>
    <t>Tempo</t>
  </si>
  <si>
    <t>Trade Support</t>
  </si>
  <si>
    <t xml:space="preserve">Localisation of the customer banking dept </t>
  </si>
  <si>
    <t>Is the dpt (FO, MO, BO) in-house or outsourced?</t>
  </si>
  <si>
    <t>YES</t>
  </si>
  <si>
    <t>NO</t>
  </si>
  <si>
    <t>YES. Deal in pipeline module, field : "Client type" in "Account" category</t>
  </si>
  <si>
    <t>Date last RFP</t>
  </si>
  <si>
    <t>in iC - For Dashboard only</t>
  </si>
  <si>
    <t>DATA Availibility  - 
(YES) Already available in iC data bases OR (NO) To be added in service data base or customer table</t>
  </si>
  <si>
    <t>Account name : Yes - 
Business Providers : No - attribute to be added in account/client table</t>
  </si>
  <si>
    <t>Business provider</t>
  </si>
  <si>
    <t>N</t>
  </si>
  <si>
    <t>NEW ATTRIBUTES OF CLIENT TABLE AND NEW SERVICES TABLE</t>
  </si>
  <si>
    <t>SGSS SERVICES</t>
  </si>
  <si>
    <t xml:space="preserve">Prospection universe </t>
  </si>
  <si>
    <t>Customer Priority</t>
  </si>
  <si>
    <t>Customer need</t>
  </si>
  <si>
    <t>Bonds</t>
  </si>
  <si>
    <t>Commodities</t>
  </si>
  <si>
    <t>Convertible Bonds (CBs)</t>
  </si>
  <si>
    <t>Equities</t>
  </si>
  <si>
    <t>Equities (UCITS)</t>
  </si>
  <si>
    <t>Exchange Traded Derivatives  (ETDs)</t>
  </si>
  <si>
    <t>Futures</t>
  </si>
  <si>
    <t>Forex (FX)</t>
  </si>
  <si>
    <t>INF (?)</t>
  </si>
  <si>
    <t>Listed Foncieres</t>
  </si>
  <si>
    <t>Loans</t>
  </si>
  <si>
    <t>Monetary</t>
  </si>
  <si>
    <t>Organisme de Placement Collectif (OPC)</t>
  </si>
  <si>
    <t>Over-the-counter (OTC)</t>
  </si>
  <si>
    <t>PD (?)</t>
  </si>
  <si>
    <t>Private Equity (PE)</t>
  </si>
  <si>
    <t>PERE (Private Equity &amp; Real Estate)</t>
  </si>
  <si>
    <t>Real Estate (RE)</t>
  </si>
  <si>
    <t>ASSETS CLASSES LIST</t>
  </si>
  <si>
    <t xml:space="preserve">Debt </t>
  </si>
  <si>
    <t xml:space="preserve">Target prospect/ customer </t>
  </si>
  <si>
    <t>Custody and settlement</t>
  </si>
  <si>
    <t>Debt issuer services</t>
  </si>
  <si>
    <t>Equity issuer services</t>
  </si>
  <si>
    <t>Execution and clearing services</t>
  </si>
  <si>
    <t>Fund and portfolio administration</t>
  </si>
  <si>
    <t>Fund and distribution services</t>
  </si>
  <si>
    <t>Liquidity management</t>
  </si>
  <si>
    <t>Middle office services</t>
  </si>
  <si>
    <t>Trustee and ManCo services</t>
  </si>
  <si>
    <t>CONTACT</t>
  </si>
  <si>
    <t>Contact Event target (for MKT team)</t>
  </si>
  <si>
    <t>Service name compliant with Tariff grid</t>
  </si>
  <si>
    <t xml:space="preserve">NO. Invoice project is developing a Service referential. This referential will be implemented by the end of this year and added to presales solution. Beforehand the product family available in DealInPipeline will be used. </t>
  </si>
  <si>
    <t>Asset classes list : see Lists tab of this XL file.</t>
  </si>
  <si>
    <t xml:space="preserve">In SGSS Prospection Universe </t>
  </si>
  <si>
    <r>
      <t xml:space="preserve">Drop list to be selected freely by user : </t>
    </r>
    <r>
      <rPr>
        <b/>
        <sz val="9"/>
        <color rgb="FFFF0000"/>
        <rFont val="Calibri"/>
        <family val="2"/>
        <scheme val="minor"/>
      </rPr>
      <t>list of asset classes</t>
    </r>
    <r>
      <rPr>
        <b/>
        <sz val="9"/>
        <color theme="1"/>
        <rFont val="Calibri"/>
        <family val="2"/>
        <scheme val="minor"/>
      </rPr>
      <t>.</t>
    </r>
  </si>
  <si>
    <r>
      <t xml:space="preserve"> - </t>
    </r>
    <r>
      <rPr>
        <b/>
        <sz val="9"/>
        <color theme="1"/>
        <rFont val="Calibri"/>
        <family val="2"/>
        <scheme val="minor"/>
      </rPr>
      <t xml:space="preserve">See Lists tab : select SGSS SERVIVCES LIST 2
Other choices : </t>
    </r>
    <r>
      <rPr>
        <sz val="9"/>
        <color theme="1"/>
        <rFont val="Calibri"/>
        <family val="2"/>
        <scheme val="minor"/>
      </rPr>
      <t xml:space="preserve">  
-</t>
    </r>
    <r>
      <rPr>
        <b/>
        <sz val="9"/>
        <color theme="1"/>
        <rFont val="Calibri"/>
        <family val="2"/>
        <scheme val="minor"/>
      </rPr>
      <t xml:space="preserve"> Underlying (Product family) available in Deal inPipe Line</t>
    </r>
    <r>
      <rPr>
        <sz val="9"/>
        <color theme="1"/>
        <rFont val="Calibri"/>
        <family val="2"/>
        <scheme val="minor"/>
      </rPr>
      <t xml:space="preserve"> : Custody and settlement, Debt issuer services, Equity issuer services, Execution and clearing services, Fund and portfolio administration, Fund and distribution services, Liquidity management, Middle office services, Trustee and ManCo services.
 - Use Tarification Grid services (M.L Lacouture owner) - Available in SGSS Library</t>
    </r>
  </si>
  <si>
    <t>Free text field OR List of main tools to be set up.</t>
  </si>
  <si>
    <t>Date available in RFP tool</t>
  </si>
  <si>
    <t>See data availability</t>
  </si>
  <si>
    <t>Managed &amp; provided by SGSS/CMS/COV/GSF</t>
  </si>
  <si>
    <t>Free Text field OR Multi selector</t>
  </si>
  <si>
    <t>CUSTOMER PRIORITY</t>
  </si>
  <si>
    <t>How can I improve my funds’ Total Expense Ratio?</t>
  </si>
  <si>
    <t>How do I get access to the best people and the latest technology</t>
  </si>
  <si>
    <t>How can I focus on my core business?</t>
  </si>
  <si>
    <t>Is my operating model future-proof?</t>
  </si>
  <si>
    <t>How do I turn fixed costs into variable costs?</t>
  </si>
  <si>
    <t xml:space="preserve">How can I ensure regulation is no longer a burden? </t>
  </si>
  <si>
    <t>How do I control my providers?</t>
  </si>
  <si>
    <t xml:space="preserve">Should I be scared of a large migration? </t>
  </si>
  <si>
    <t>How can I remain flexible?</t>
  </si>
  <si>
    <t xml:space="preserve">Entered by user OR see lists tab (CUSTOMER PRIORITY)
</t>
  </si>
  <si>
    <t>YES - Deal description in Deal in PipeLine</t>
  </si>
  <si>
    <t>Management priority of customer.</t>
  </si>
  <si>
    <t xml:space="preserve">NO. </t>
  </si>
  <si>
    <t>NO.</t>
  </si>
  <si>
    <t xml:space="preserve">NO. 
However defined by sales in custom "Notes" in iC Anywhere. </t>
  </si>
  <si>
    <t>See data availability column</t>
  </si>
  <si>
    <t>Provided by meetings done by sales</t>
  </si>
  <si>
    <t>Service name (SGSS SERVIVCES LIST 2  - See Lists tab of this XL file)</t>
  </si>
  <si>
    <t>Total global firm AUM (k Eur);</t>
  </si>
  <si>
    <t>ASSET MANAGED &amp; CUSTODIED</t>
  </si>
  <si>
    <t>Competitors-Current custodians, depositaries and fund administrators</t>
  </si>
  <si>
    <t>Amount of Local Asset custodied by competitors.</t>
  </si>
  <si>
    <t xml:space="preserve">Customer Activity Overview     </t>
  </si>
  <si>
    <t>Key contacts &amp; decision makers at "c-level" for SGSS</t>
  </si>
  <si>
    <t>Country where Asset is managed/custodied</t>
  </si>
  <si>
    <t>Competitors</t>
  </si>
  <si>
    <t>See also ISA?</t>
  </si>
  <si>
    <t>Category of asset managed by customer</t>
  </si>
  <si>
    <t>Brief description of customer activity</t>
  </si>
  <si>
    <t>Banking</t>
  </si>
  <si>
    <r>
      <t xml:space="preserve">CLIENT (ACCOUNT </t>
    </r>
    <r>
      <rPr>
        <sz val="9"/>
        <color theme="1"/>
        <rFont val="Calibri"/>
        <family val="2"/>
        <scheme val="minor"/>
      </rPr>
      <t>in BDR)</t>
    </r>
  </si>
  <si>
    <r>
      <t xml:space="preserve">Customer Organisation attributs : </t>
    </r>
    <r>
      <rPr>
        <sz val="9"/>
        <color theme="1"/>
        <rFont val="Calibri"/>
        <family val="2"/>
        <scheme val="minor"/>
      </rPr>
      <t>Departements (FO, MO, BO); Localisation of departements; FO/MO/BO function outsourced or not? ; IT system (PMS, OMS) name;</t>
    </r>
  </si>
  <si>
    <t xml:space="preserve">Client / Account </t>
  </si>
  <si>
    <t>Definition du client (Account in SGSS scope)</t>
  </si>
  <si>
    <t>Date of customer needs</t>
  </si>
  <si>
    <t>Country of local Asset custodied</t>
  </si>
  <si>
    <t>Banking Departements (FO, MO, BO)</t>
  </si>
  <si>
    <t>Localisation of banking departement</t>
  </si>
  <si>
    <t xml:space="preserve">Banking department : Outsourced or not? </t>
  </si>
  <si>
    <t>Customer IT system (PMS, OMS)</t>
  </si>
  <si>
    <t>SGSS Services fitting customer organisation</t>
  </si>
  <si>
    <t>D%$&amp;01_47035f0e498c495299e46981eb304ac4</t>
  </si>
  <si>
    <t>CLAUDE MOIGNO_12527__Windows (32-bit) NT 10.00_FR07174049L_A140404$$$15062021</t>
  </si>
  <si>
    <t>"$$8p!3693"</t>
  </si>
  <si>
    <r>
      <t xml:space="preserve">SGSS SERVICES LIST 2 </t>
    </r>
    <r>
      <rPr>
        <b/>
        <sz val="11"/>
        <color rgb="FFFF0000"/>
        <rFont val="Calibri"/>
        <family val="2"/>
        <scheme val="minor"/>
      </rPr>
      <t>A METTRE A JOUR FIN JUIN AVEC LA LISTE A FOURNIR PAR SEYDINA KANE (SGSS/CMS/GSF)</t>
    </r>
  </si>
  <si>
    <t>POUR INFORMATION : 
SGSS SERVIVCES LIST 1 = PRODUCT FAMILY</t>
  </si>
  <si>
    <t>POUR INFORMATION :
Deal in Pipe Line list 
(under review by S. Kane)</t>
  </si>
  <si>
    <t>Questions TTD/CLI</t>
  </si>
  <si>
    <t>Ce champ est-il à garder finalement ?</t>
  </si>
  <si>
    <t>Est-ce que l'on peut avoir des exemples parce que l'on ne comprends pas cette/ces données</t>
  </si>
  <si>
    <t>Drop list to be selected freely by user: lead;prospect;client</t>
  </si>
  <si>
    <t>où trouver cette information dans iC (quels critères dans la Activities List)</t>
  </si>
  <si>
    <t>Information à rentrer manuellement ? Ou a récupérer qq part ?</t>
  </si>
  <si>
    <t>Où trouver l'information dans iC (copie d'écran svp)</t>
  </si>
  <si>
    <t>Customer priority List</t>
  </si>
  <si>
    <t>Targeted services List</t>
  </si>
  <si>
    <t>On commence avec liste définie dans un 1er temps</t>
  </si>
  <si>
    <t>Asset classes managed List</t>
  </si>
  <si>
    <t>un exemple svp</t>
  </si>
  <si>
    <t>un exemple svp: quels jobs list à récupérer</t>
  </si>
  <si>
    <t>Commentaires TTD/CLI</t>
  </si>
  <si>
    <t>ne pas persister</t>
  </si>
  <si>
    <t>?</t>
  </si>
  <si>
    <r>
      <t xml:space="preserve">un exemple svp: on doit dupliquer ces 4 champs pour chaque pays ?
Ne correspond pas à la feuille </t>
    </r>
    <r>
      <rPr>
        <i/>
        <sz val="9"/>
        <color theme="1"/>
        <rFont val="Calibri"/>
        <family val="2"/>
        <scheme val="minor"/>
      </rPr>
      <t>Data Model</t>
    </r>
  </si>
  <si>
    <t>on doit dupliquer ces 5 champs pour chaque pays/service ?</t>
  </si>
  <si>
    <t>ID_BDR</t>
  </si>
  <si>
    <t>Account_SGSS</t>
  </si>
  <si>
    <t>Account_Business_Providers</t>
  </si>
  <si>
    <t>Client_type</t>
  </si>
  <si>
    <t>Date_last_RFP</t>
  </si>
  <si>
    <t>Date_last_Activity</t>
  </si>
  <si>
    <t>SGSS_Services_already_provided</t>
  </si>
  <si>
    <t>SGSS_Prospection_Universe</t>
  </si>
  <si>
    <t>Other_BL_Client</t>
  </si>
  <si>
    <t>récupére dans IC</t>
  </si>
  <si>
    <t xml:space="preserve">Targeted_services </t>
  </si>
  <si>
    <t>Date_Targeted_services</t>
  </si>
  <si>
    <t>Customer_Priority</t>
  </si>
  <si>
    <t>Customer_need_description</t>
  </si>
  <si>
    <t>user</t>
  </si>
  <si>
    <t>user or list</t>
  </si>
  <si>
    <t xml:space="preserve">Overview_customer_activity </t>
  </si>
  <si>
    <t>Asset_classes_managed</t>
  </si>
  <si>
    <t>Total_local_firm_AUM_k Eur</t>
  </si>
  <si>
    <t>Total_global_firm_AUM_k Eur</t>
  </si>
  <si>
    <t>Number_of_funds</t>
  </si>
  <si>
    <t>Amount_Local_Asset_custodied_by_country</t>
  </si>
  <si>
    <t>Competitors_Current custodians_Depositaries_fund administrators</t>
  </si>
  <si>
    <t xml:space="preserve">IC - BDR Maestro data base </t>
  </si>
  <si>
    <t>Amount_Local_Asset_custodied_by_competitors</t>
  </si>
  <si>
    <t>SGM CONTACT data Base (API - Contact Picker)</t>
  </si>
  <si>
    <t>SGSS_Services_fitting_customer_organisation</t>
  </si>
  <si>
    <t>Departements_Banking</t>
  </si>
  <si>
    <t>Localisation_Banking_Departements</t>
  </si>
  <si>
    <t>Departements_Outsourced_or_Not</t>
  </si>
  <si>
    <t>IT_System</t>
  </si>
  <si>
    <t>How can I be  more cost-effective?</t>
  </si>
  <si>
    <t>Data</t>
  </si>
  <si>
    <t xml:space="preserve"> lead/prospect/client</t>
  </si>
  <si>
    <t>Analytics/Addventa/Agency Lending/Auto-FX/Bridge Financing/Cash Investment/CrossWise/DIVA/D-View/ESG report/FO+MO/Fx- Share class hedging/Fx-Portfolio hedging/I-DEAL/Intra day Liquidity/Local representative agent/Local transfer agent/Mfex/MO stand alone/Orchestra/PRIIPS/Private Equity/Real Estate/Social Selling/Tempo/Trade Support</t>
  </si>
  <si>
    <t>Analytics/Addventa/Agency Lending/Auto-FX/Bridge Financing/Cash Investment/CrossWise/DIVA/D-View/ESG report/FO+MO/Fx- Share class hedging/Fx-Portfolio hedging/I-DEAL/Intra day Liquidity/Local representative agent/Local transfer agent/Mfex/MO stand alone/Orchestra/PRIIPS/Private Equity/Real Estate/Social Selling/Tempo/Trade Support /Custody and settlement/Debt issuer services/Equity issuer services/Execution and clearing services/Fund and portfolio administration/Fund and distribution services/Liquidity management/Middle office services/Trustee and ManCo services</t>
  </si>
  <si>
    <t>How can I improve my funds’ Total Expense Ratio?/How do I get access to the best people and the latest technology/How can I focus on my core business?/Is my operating model future-proof?/How can I be  more cost-effective?/How do I turn fixed costs into variable costs?/How can I ensure regulation is no longer a burden? /How do I control my providers?/Should I be scared of a large migration? /How can I remain flexible?</t>
  </si>
  <si>
    <t>list in the file Excel</t>
  </si>
  <si>
    <t>list 2 + list in the file Excel</t>
  </si>
  <si>
    <t xml:space="preserve"> Bonds/Commodities/Convertible Bonds (CBs)/Debt/Equities/Equities (UCITS)/Exchange Traded Derivatives  (ETDs)/Futures/Forex (FX)/INF (?)/Listed Foncieres/Loans/Monetary/Organisme de Placement Collectif (OPC)/Over-the-counter (OTC)/PD (?)/Private Equity (PE)/PERE (Private Equity &amp; Real Estate)/Real Estate (RE)</t>
  </si>
  <si>
    <t>Recuperation</t>
  </si>
  <si>
    <t>CLIENT</t>
  </si>
  <si>
    <t>ID_BDR_CLIENT</t>
  </si>
  <si>
    <t>Contact_Event_target_MKTteam)</t>
  </si>
  <si>
    <t>Key_contacts&amp;decision_makers_SGSS</t>
  </si>
  <si>
    <t>list 2</t>
  </si>
  <si>
    <t>Name_Services_SGSS</t>
  </si>
  <si>
    <t>Country_managed_custodied</t>
  </si>
  <si>
    <r>
      <rPr>
        <b/>
        <sz val="8"/>
        <color theme="1"/>
        <rFont val="Calibri"/>
        <family val="2"/>
        <scheme val="minor"/>
      </rPr>
      <t>list 2</t>
    </r>
    <r>
      <rPr>
        <sz val="8"/>
        <color theme="1"/>
        <rFont val="Calibri"/>
        <family val="2"/>
        <scheme val="minor"/>
      </rPr>
      <t xml:space="preserve"> </t>
    </r>
  </si>
  <si>
    <t>Front Office/Middle Office/Back Office</t>
  </si>
  <si>
    <t>SGSS_SERVICES</t>
  </si>
  <si>
    <t>ASSET_MANAGED_&amp;_CUSTODIED</t>
  </si>
  <si>
    <t>Format</t>
  </si>
  <si>
    <t>INTEGER</t>
  </si>
  <si>
    <t xml:space="preserve">CHAR </t>
  </si>
  <si>
    <t>DATE</t>
  </si>
  <si>
    <t>CHAR</t>
  </si>
  <si>
    <t>INTEGER OR DOUBLE</t>
  </si>
  <si>
    <t xml:space="preserve">INTEGER     </t>
  </si>
  <si>
    <t>n'est pas présent dans la BD car elle est récupéré dans une api tout les jours</t>
  </si>
  <si>
    <t>BOOLEAN</t>
  </si>
  <si>
    <t>Yes or No</t>
  </si>
  <si>
    <t>Client</t>
  </si>
  <si>
    <t>Client_Type</t>
  </si>
  <si>
    <t>Date_Last_RFP</t>
  </si>
  <si>
    <t>SGSS_Services</t>
  </si>
  <si>
    <t>Detenir</t>
  </si>
  <si>
    <t>Asset_Classes_Managed</t>
  </si>
  <si>
    <t>Targeted_services</t>
  </si>
  <si>
    <t>ID_Country (Code ISO3)</t>
  </si>
  <si>
    <t>Outsourced</t>
  </si>
  <si>
    <t>ID_Asset_Class</t>
  </si>
  <si>
    <t>Name_Class</t>
  </si>
  <si>
    <t>ID_Priority</t>
  </si>
  <si>
    <t>Name_of_Priority</t>
  </si>
  <si>
    <t>ID_Service</t>
  </si>
  <si>
    <t>Name_Service</t>
  </si>
  <si>
    <t>Contact</t>
  </si>
  <si>
    <t>Avoir</t>
  </si>
  <si>
    <t>ID_Contact</t>
  </si>
  <si>
    <t>Name_Contact</t>
  </si>
  <si>
    <t>Departement_Banking</t>
  </si>
  <si>
    <t>Local_Asset_Managed_Custodied</t>
  </si>
  <si>
    <t>Donnée de IC</t>
  </si>
  <si>
    <t>DetenirPays</t>
  </si>
  <si>
    <t>ID_Country</t>
  </si>
  <si>
    <r>
      <rPr>
        <b/>
        <i/>
        <u/>
        <sz val="9"/>
        <color rgb="FF0070C0"/>
        <rFont val="Calibri"/>
        <family val="2"/>
        <scheme val="minor"/>
      </rPr>
      <t>ID_Country</t>
    </r>
    <r>
      <rPr>
        <u/>
        <sz val="9"/>
        <color rgb="FF0070C0"/>
        <rFont val="Calibri"/>
        <family val="2"/>
        <scheme val="minor"/>
      </rPr>
      <t xml:space="preserve"> (code ISO3)</t>
    </r>
  </si>
  <si>
    <t>Type (Global, Local)</t>
  </si>
  <si>
    <r>
      <rPr>
        <b/>
        <sz val="8"/>
        <color theme="5" tint="-0.249977111117893"/>
        <rFont val="Calibri"/>
        <family val="2"/>
        <scheme val="minor"/>
      </rPr>
      <t>Type</t>
    </r>
    <r>
      <rPr>
        <sz val="8"/>
        <color theme="1"/>
        <rFont val="Calibri"/>
        <family val="2"/>
        <scheme val="minor"/>
      </rPr>
      <t xml:space="preserve"> </t>
    </r>
    <r>
      <rPr>
        <b/>
        <sz val="8"/>
        <color theme="5" tint="-0.249977111117893"/>
        <rFont val="Calibri"/>
        <family val="2"/>
        <scheme val="minor"/>
      </rPr>
      <t>(Already, Provided, Targeted, Fitting)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</si>
</sst>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10101"/>
      <name val="Source Sans Pro"/>
      <family val="2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i/>
      <sz val="8"/>
      <color rgb="FF002060"/>
      <name val="Calibri"/>
      <family val="2"/>
      <scheme val="minor"/>
    </font>
    <font>
      <b/>
      <sz val="9"/>
      <color rgb="FF0070C0"/>
      <name val="Calibri"/>
      <family val="2"/>
      <scheme val="minor"/>
    </font>
    <font>
      <sz val="9"/>
      <name val="Calibri"/>
      <family val="2"/>
      <scheme val="minor"/>
    </font>
    <font>
      <b/>
      <sz val="8"/>
      <name val="Calibri"/>
      <family val="2"/>
      <scheme val="minor"/>
    </font>
    <font>
      <b/>
      <u/>
      <sz val="9"/>
      <color rgb="FF3399FF"/>
      <name val="Calibri"/>
      <family val="2"/>
      <scheme val="minor"/>
    </font>
    <font>
      <b/>
      <u/>
      <sz val="9"/>
      <color rgb="FF7030A0"/>
      <name val="Calibri"/>
      <family val="2"/>
      <scheme val="minor"/>
    </font>
    <font>
      <u/>
      <sz val="9"/>
      <color theme="1"/>
      <name val="Calibri"/>
      <family val="2"/>
      <scheme val="minor"/>
    </font>
    <font>
      <b/>
      <u/>
      <sz val="9"/>
      <color rgb="FF0070C0"/>
      <name val="Calibri"/>
      <family val="2"/>
      <scheme val="minor"/>
    </font>
    <font>
      <u/>
      <sz val="9"/>
      <color rgb="FF0070C0"/>
      <name val="Calibri"/>
      <family val="2"/>
      <scheme val="minor"/>
    </font>
    <font>
      <b/>
      <i/>
      <u/>
      <sz val="9"/>
      <color rgb="FF0070C0"/>
      <name val="Calibri"/>
      <family val="2"/>
      <scheme val="minor"/>
    </font>
    <font>
      <b/>
      <u/>
      <sz val="8"/>
      <color rgb="FF7030A0"/>
      <name val="Calibri"/>
      <family val="2"/>
      <scheme val="minor"/>
    </font>
    <font>
      <b/>
      <u/>
      <sz val="8"/>
      <color rgb="FF0070C0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u/>
      <sz val="8"/>
      <color rgb="FF3399FF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CC00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dotted">
        <color auto="1"/>
      </right>
      <top style="thin">
        <color auto="1"/>
      </top>
      <bottom/>
      <diagonal/>
    </border>
    <border>
      <left style="thin">
        <color auto="1"/>
      </left>
      <right style="dotted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dotted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dashDotDot">
        <color auto="1"/>
      </right>
      <top style="thin">
        <color auto="1"/>
      </top>
      <bottom style="thin">
        <color auto="1"/>
      </bottom>
      <diagonal/>
    </border>
    <border>
      <left style="dashDotDot">
        <color auto="1"/>
      </left>
      <right style="dashDotDot">
        <color auto="1"/>
      </right>
      <top style="thin">
        <color auto="1"/>
      </top>
      <bottom style="thin">
        <color auto="1"/>
      </bottom>
      <diagonal/>
    </border>
    <border>
      <left style="dashDotDot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199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5" borderId="6" xfId="0" applyFont="1" applyFill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4" borderId="6" xfId="0" applyFont="1" applyFill="1" applyBorder="1" applyAlignment="1">
      <alignment vertical="top" wrapText="1"/>
    </xf>
    <xf numFmtId="0" fontId="3" fillId="4" borderId="7" xfId="0" applyFont="1" applyFill="1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6" borderId="0" xfId="0" applyFill="1" applyAlignment="1">
      <alignment vertical="top" wrapText="1"/>
    </xf>
    <xf numFmtId="0" fontId="1" fillId="6" borderId="10" xfId="0" applyFont="1" applyFill="1" applyBorder="1" applyAlignment="1">
      <alignment horizontal="center" vertical="top" wrapText="1"/>
    </xf>
    <xf numFmtId="0" fontId="1" fillId="6" borderId="13" xfId="0" applyFont="1" applyFill="1" applyBorder="1" applyAlignment="1">
      <alignment horizontal="center" vertical="top" wrapText="1"/>
    </xf>
    <xf numFmtId="0" fontId="1" fillId="3" borderId="11" xfId="0" applyFont="1" applyFill="1" applyBorder="1" applyAlignment="1">
      <alignment horizontal="center" vertical="top" wrapText="1"/>
    </xf>
    <xf numFmtId="0" fontId="2" fillId="0" borderId="14" xfId="0" applyFont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2" borderId="6" xfId="0" applyFill="1" applyBorder="1" applyAlignment="1">
      <alignment vertical="top" wrapText="1"/>
    </xf>
    <xf numFmtId="0" fontId="2" fillId="2" borderId="6" xfId="0" applyFont="1" applyFill="1" applyBorder="1" applyAlignment="1">
      <alignment vertical="top" wrapText="1"/>
    </xf>
    <xf numFmtId="0" fontId="2" fillId="2" borderId="15" xfId="0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2" fillId="8" borderId="6" xfId="0" applyFont="1" applyFill="1" applyBorder="1" applyAlignment="1">
      <alignment vertical="top" wrapText="1"/>
    </xf>
    <xf numFmtId="0" fontId="2" fillId="0" borderId="16" xfId="0" applyFont="1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2" fillId="2" borderId="19" xfId="0" applyFont="1" applyFill="1" applyBorder="1" applyAlignment="1">
      <alignment vertical="top" wrapText="1"/>
    </xf>
    <xf numFmtId="0" fontId="2" fillId="2" borderId="20" xfId="0" applyFont="1" applyFill="1" applyBorder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9" fillId="0" borderId="0" xfId="0" applyFont="1" applyAlignment="1">
      <alignment horizontal="left" vertical="center" readingOrder="1"/>
    </xf>
    <xf numFmtId="0" fontId="0" fillId="7" borderId="6" xfId="0" applyFill="1" applyBorder="1" applyAlignment="1">
      <alignment vertical="top" wrapText="1"/>
    </xf>
    <xf numFmtId="0" fontId="2" fillId="7" borderId="6" xfId="0" applyFont="1" applyFill="1" applyBorder="1" applyAlignment="1">
      <alignment vertical="top" wrapText="1"/>
    </xf>
    <xf numFmtId="0" fontId="2" fillId="7" borderId="7" xfId="0" applyFont="1" applyFill="1" applyBorder="1" applyAlignment="1">
      <alignment vertical="top" wrapText="1"/>
    </xf>
    <xf numFmtId="0" fontId="0" fillId="7" borderId="8" xfId="0" applyFill="1" applyBorder="1" applyAlignment="1">
      <alignment vertical="top" wrapText="1"/>
    </xf>
    <xf numFmtId="0" fontId="2" fillId="7" borderId="8" xfId="0" applyFont="1" applyFill="1" applyBorder="1" applyAlignment="1">
      <alignment vertical="top" wrapText="1"/>
    </xf>
    <xf numFmtId="0" fontId="2" fillId="7" borderId="9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10" fillId="0" borderId="22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2" fillId="0" borderId="23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24" xfId="0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5" fillId="0" borderId="24" xfId="0" applyFont="1" applyBorder="1" applyAlignment="1">
      <alignment vertical="top" wrapText="1"/>
    </xf>
    <xf numFmtId="0" fontId="2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2" fillId="0" borderId="28" xfId="0" applyFont="1" applyBorder="1" applyAlignment="1">
      <alignment vertical="top" wrapText="1"/>
    </xf>
    <xf numFmtId="0" fontId="2" fillId="0" borderId="29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29" xfId="0" applyFont="1" applyBorder="1"/>
    <xf numFmtId="0" fontId="5" fillId="0" borderId="0" xfId="0" applyFont="1"/>
    <xf numFmtId="0" fontId="12" fillId="8" borderId="0" xfId="0" applyFont="1" applyFill="1" applyAlignment="1">
      <alignment horizontal="center" wrapText="1"/>
    </xf>
    <xf numFmtId="0" fontId="1" fillId="9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vertical="top" wrapText="1"/>
    </xf>
    <xf numFmtId="0" fontId="2" fillId="0" borderId="0" xfId="0" applyFont="1" applyAlignment="1">
      <alignment vertical="top"/>
    </xf>
    <xf numFmtId="0" fontId="0" fillId="13" borderId="1" xfId="0" applyFill="1" applyBorder="1" applyAlignment="1">
      <alignment vertical="top" wrapText="1"/>
    </xf>
    <xf numFmtId="0" fontId="13" fillId="0" borderId="0" xfId="0" applyFont="1"/>
    <xf numFmtId="0" fontId="14" fillId="15" borderId="0" xfId="0" applyFont="1" applyFill="1" applyAlignment="1">
      <alignment horizontal="center"/>
    </xf>
    <xf numFmtId="0" fontId="14" fillId="12" borderId="21" xfId="0" applyFont="1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4" fillId="14" borderId="21" xfId="0" applyFont="1" applyFill="1" applyBorder="1" applyAlignment="1">
      <alignment horizontal="center"/>
    </xf>
    <xf numFmtId="0" fontId="13" fillId="0" borderId="22" xfId="0" applyFont="1" applyBorder="1"/>
    <xf numFmtId="0" fontId="13" fillId="0" borderId="0" xfId="0" applyFont="1" applyBorder="1"/>
    <xf numFmtId="0" fontId="13" fillId="0" borderId="40" xfId="0" applyFont="1" applyBorder="1"/>
    <xf numFmtId="0" fontId="13" fillId="0" borderId="0" xfId="0" applyFont="1" applyFill="1" applyBorder="1" applyAlignment="1">
      <alignment wrapText="1"/>
    </xf>
    <xf numFmtId="0" fontId="13" fillId="0" borderId="0" xfId="0" applyFont="1" applyAlignment="1">
      <alignment wrapText="1"/>
    </xf>
    <xf numFmtId="0" fontId="13" fillId="0" borderId="42" xfId="0" applyFont="1" applyBorder="1"/>
    <xf numFmtId="0" fontId="13" fillId="0" borderId="0" xfId="0" applyFont="1" applyFill="1" applyBorder="1"/>
    <xf numFmtId="0" fontId="16" fillId="0" borderId="0" xfId="0" applyFont="1" applyFill="1" applyBorder="1" applyAlignment="1">
      <alignment wrapText="1"/>
    </xf>
    <xf numFmtId="0" fontId="14" fillId="16" borderId="21" xfId="0" applyFont="1" applyFill="1" applyBorder="1" applyAlignment="1">
      <alignment horizontal="center"/>
    </xf>
    <xf numFmtId="0" fontId="16" fillId="0" borderId="0" xfId="0" applyFont="1"/>
    <xf numFmtId="0" fontId="13" fillId="0" borderId="41" xfId="0" applyFont="1" applyBorder="1"/>
    <xf numFmtId="0" fontId="13" fillId="0" borderId="0" xfId="0" applyFont="1" applyFill="1" applyBorder="1" applyAlignment="1"/>
    <xf numFmtId="0" fontId="14" fillId="17" borderId="21" xfId="0" applyFont="1" applyFill="1" applyBorder="1" applyAlignment="1">
      <alignment horizontal="center"/>
    </xf>
    <xf numFmtId="0" fontId="17" fillId="0" borderId="40" xfId="0" applyFont="1" applyBorder="1"/>
    <xf numFmtId="0" fontId="0" fillId="0" borderId="12" xfId="0" applyBorder="1"/>
    <xf numFmtId="0" fontId="0" fillId="0" borderId="43" xfId="0" applyBorder="1"/>
    <xf numFmtId="0" fontId="17" fillId="0" borderId="13" xfId="0" applyFont="1" applyBorder="1"/>
    <xf numFmtId="0" fontId="18" fillId="14" borderId="37" xfId="0" applyFont="1" applyFill="1" applyBorder="1" applyAlignment="1">
      <alignment horizontal="center" vertical="top" wrapText="1"/>
    </xf>
    <xf numFmtId="0" fontId="19" fillId="14" borderId="38" xfId="0" applyFont="1" applyFill="1" applyBorder="1" applyAlignment="1">
      <alignment horizontal="center" vertical="top" wrapText="1"/>
    </xf>
    <xf numFmtId="0" fontId="18" fillId="14" borderId="38" xfId="0" applyFont="1" applyFill="1" applyBorder="1" applyAlignment="1">
      <alignment horizontal="center" vertical="top" wrapText="1"/>
    </xf>
    <xf numFmtId="0" fontId="18" fillId="14" borderId="39" xfId="0" applyFont="1" applyFill="1" applyBorder="1" applyAlignment="1">
      <alignment horizontal="center" vertical="top" wrapText="1"/>
    </xf>
    <xf numFmtId="0" fontId="13" fillId="18" borderId="40" xfId="0" applyFont="1" applyFill="1" applyBorder="1"/>
    <xf numFmtId="0" fontId="13" fillId="19" borderId="40" xfId="0" applyFont="1" applyFill="1" applyBorder="1"/>
    <xf numFmtId="0" fontId="13" fillId="19" borderId="0" xfId="0" applyFont="1" applyFill="1" applyBorder="1" applyAlignment="1">
      <alignment wrapText="1"/>
    </xf>
    <xf numFmtId="0" fontId="13" fillId="19" borderId="0" xfId="0" applyFont="1" applyFill="1"/>
    <xf numFmtId="0" fontId="0" fillId="20" borderId="4" xfId="0" applyFill="1" applyBorder="1" applyAlignment="1">
      <alignment vertical="top" wrapText="1"/>
    </xf>
    <xf numFmtId="0" fontId="0" fillId="20" borderId="6" xfId="0" applyFill="1" applyBorder="1" applyAlignment="1">
      <alignment vertical="top" wrapText="1"/>
    </xf>
    <xf numFmtId="0" fontId="0" fillId="20" borderId="16" xfId="0" applyFill="1" applyBorder="1" applyAlignment="1">
      <alignment vertical="top" wrapText="1"/>
    </xf>
    <xf numFmtId="0" fontId="0" fillId="20" borderId="14" xfId="0" applyFill="1" applyBorder="1" applyAlignment="1">
      <alignment vertical="top" wrapText="1"/>
    </xf>
    <xf numFmtId="0" fontId="0" fillId="20" borderId="8" xfId="0" applyFill="1" applyBorder="1" applyAlignment="1">
      <alignment vertical="top" wrapText="1"/>
    </xf>
    <xf numFmtId="0" fontId="22" fillId="17" borderId="40" xfId="0" applyFont="1" applyFill="1" applyBorder="1"/>
    <xf numFmtId="0" fontId="22" fillId="17" borderId="0" xfId="0" applyFont="1" applyFill="1" applyBorder="1"/>
    <xf numFmtId="0" fontId="22" fillId="17" borderId="0" xfId="0" applyFont="1" applyFill="1"/>
    <xf numFmtId="0" fontId="13" fillId="17" borderId="40" xfId="0" applyFont="1" applyFill="1" applyBorder="1"/>
    <xf numFmtId="0" fontId="16" fillId="17" borderId="0" xfId="0" applyFont="1" applyFill="1" applyBorder="1" applyAlignment="1"/>
    <xf numFmtId="0" fontId="13" fillId="17" borderId="0" xfId="0" applyFont="1" applyFill="1" applyAlignment="1">
      <alignment wrapText="1"/>
    </xf>
    <xf numFmtId="0" fontId="13" fillId="17" borderId="0" xfId="0" applyFont="1" applyFill="1"/>
    <xf numFmtId="0" fontId="16" fillId="17" borderId="0" xfId="0" applyFont="1" applyFill="1" applyBorder="1" applyAlignment="1">
      <alignment wrapText="1"/>
    </xf>
    <xf numFmtId="0" fontId="13" fillId="17" borderId="0" xfId="0" applyFont="1" applyFill="1" applyBorder="1" applyAlignment="1">
      <alignment wrapText="1"/>
    </xf>
    <xf numFmtId="0" fontId="2" fillId="0" borderId="45" xfId="0" applyFont="1" applyBorder="1"/>
    <xf numFmtId="0" fontId="2" fillId="0" borderId="42" xfId="0" applyFont="1" applyBorder="1"/>
    <xf numFmtId="0" fontId="2" fillId="0" borderId="28" xfId="0" applyFont="1" applyBorder="1"/>
    <xf numFmtId="0" fontId="2" fillId="0" borderId="46" xfId="0" applyFont="1" applyBorder="1"/>
    <xf numFmtId="0" fontId="2" fillId="0" borderId="0" xfId="0" applyFont="1" applyBorder="1"/>
    <xf numFmtId="0" fontId="2" fillId="0" borderId="47" xfId="0" applyFont="1" applyBorder="1"/>
    <xf numFmtId="0" fontId="2" fillId="0" borderId="27" xfId="0" applyFont="1" applyBorder="1"/>
    <xf numFmtId="0" fontId="2" fillId="0" borderId="48" xfId="0" applyFont="1" applyBorder="1"/>
    <xf numFmtId="0" fontId="12" fillId="0" borderId="29" xfId="0" applyFont="1" applyBorder="1"/>
    <xf numFmtId="0" fontId="12" fillId="0" borderId="45" xfId="0" applyFont="1" applyFill="1" applyBorder="1" applyAlignment="1">
      <alignment horizontal="center"/>
    </xf>
    <xf numFmtId="0" fontId="12" fillId="0" borderId="42" xfId="0" applyFont="1" applyFill="1" applyBorder="1" applyAlignment="1">
      <alignment horizontal="center"/>
    </xf>
    <xf numFmtId="0" fontId="21" fillId="0" borderId="0" xfId="0" applyFont="1" applyFill="1" applyBorder="1"/>
    <xf numFmtId="0" fontId="3" fillId="0" borderId="0" xfId="0" applyFont="1" applyFill="1" applyBorder="1" applyAlignment="1"/>
    <xf numFmtId="0" fontId="2" fillId="0" borderId="40" xfId="0" applyFont="1" applyBorder="1"/>
    <xf numFmtId="0" fontId="12" fillId="0" borderId="0" xfId="0" applyFont="1" applyFill="1" applyBorder="1" applyAlignment="1">
      <alignment horizontal="center"/>
    </xf>
    <xf numFmtId="0" fontId="1" fillId="11" borderId="1" xfId="0" applyFont="1" applyFill="1" applyBorder="1" applyAlignment="1">
      <alignment vertical="top" wrapText="1"/>
    </xf>
    <xf numFmtId="0" fontId="1" fillId="2" borderId="6" xfId="0" applyFont="1" applyFill="1" applyBorder="1" applyAlignment="1">
      <alignment vertical="top" wrapText="1"/>
    </xf>
    <xf numFmtId="0" fontId="0" fillId="12" borderId="1" xfId="0" applyFont="1" applyFill="1" applyBorder="1" applyAlignment="1">
      <alignment vertical="top" wrapText="1"/>
    </xf>
    <xf numFmtId="0" fontId="1" fillId="20" borderId="4" xfId="0" applyFont="1" applyFill="1" applyBorder="1" applyAlignment="1">
      <alignment vertical="top" wrapText="1"/>
    </xf>
    <xf numFmtId="0" fontId="24" fillId="0" borderId="46" xfId="0" applyFont="1" applyBorder="1"/>
    <xf numFmtId="0" fontId="2" fillId="0" borderId="49" xfId="0" applyFont="1" applyBorder="1"/>
    <xf numFmtId="0" fontId="23" fillId="0" borderId="46" xfId="0" applyFont="1" applyBorder="1"/>
    <xf numFmtId="0" fontId="23" fillId="0" borderId="0" xfId="0" applyFont="1" applyBorder="1"/>
    <xf numFmtId="0" fontId="23" fillId="0" borderId="29" xfId="0" applyFont="1" applyBorder="1"/>
    <xf numFmtId="0" fontId="25" fillId="0" borderId="45" xfId="0" applyFont="1" applyBorder="1"/>
    <xf numFmtId="0" fontId="7" fillId="0" borderId="0" xfId="0" applyFont="1"/>
    <xf numFmtId="0" fontId="20" fillId="0" borderId="46" xfId="0" applyFont="1" applyBorder="1"/>
    <xf numFmtId="0" fontId="26" fillId="0" borderId="46" xfId="0" applyFont="1" applyBorder="1"/>
    <xf numFmtId="0" fontId="27" fillId="0" borderId="46" xfId="0" applyFont="1" applyBorder="1"/>
    <xf numFmtId="0" fontId="0" fillId="0" borderId="47" xfId="0" applyBorder="1"/>
    <xf numFmtId="0" fontId="0" fillId="0" borderId="48" xfId="0" applyBorder="1"/>
    <xf numFmtId="0" fontId="29" fillId="0" borderId="46" xfId="0" applyFont="1" applyBorder="1"/>
    <xf numFmtId="0" fontId="13" fillId="0" borderId="46" xfId="0" applyFont="1" applyBorder="1"/>
    <xf numFmtId="0" fontId="2" fillId="0" borderId="22" xfId="0" applyFont="1" applyBorder="1"/>
    <xf numFmtId="0" fontId="12" fillId="21" borderId="21" xfId="0" applyFont="1" applyFill="1" applyBorder="1" applyAlignment="1">
      <alignment horizontal="center"/>
    </xf>
    <xf numFmtId="0" fontId="29" fillId="0" borderId="40" xfId="0" applyFont="1" applyBorder="1"/>
    <xf numFmtId="0" fontId="30" fillId="0" borderId="40" xfId="0" applyFont="1" applyBorder="1"/>
    <xf numFmtId="0" fontId="13" fillId="0" borderId="29" xfId="0" applyFont="1" applyBorder="1"/>
    <xf numFmtId="0" fontId="30" fillId="0" borderId="46" xfId="0" applyFont="1" applyBorder="1"/>
    <xf numFmtId="0" fontId="13" fillId="0" borderId="47" xfId="0" applyFont="1" applyBorder="1"/>
    <xf numFmtId="0" fontId="32" fillId="0" borderId="46" xfId="0" applyFont="1" applyBorder="1"/>
    <xf numFmtId="0" fontId="12" fillId="0" borderId="28" xfId="0" applyFont="1" applyFill="1" applyBorder="1" applyAlignment="1">
      <alignment horizontal="center"/>
    </xf>
    <xf numFmtId="0" fontId="31" fillId="0" borderId="46" xfId="0" applyFont="1" applyBorder="1"/>
    <xf numFmtId="0" fontId="2" fillId="0" borderId="34" xfId="0" applyFont="1" applyBorder="1" applyAlignment="1">
      <alignment horizontal="left"/>
    </xf>
    <xf numFmtId="0" fontId="2" fillId="0" borderId="35" xfId="0" applyFont="1" applyBorder="1" applyAlignment="1">
      <alignment horizontal="left"/>
    </xf>
    <xf numFmtId="0" fontId="2" fillId="0" borderId="36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left"/>
    </xf>
    <xf numFmtId="0" fontId="2" fillId="0" borderId="33" xfId="0" applyFont="1" applyBorder="1" applyAlignment="1">
      <alignment horizontal="left"/>
    </xf>
    <xf numFmtId="0" fontId="1" fillId="6" borderId="0" xfId="0" applyFont="1" applyFill="1" applyAlignment="1">
      <alignment horizontal="center" vertical="top" wrapText="1"/>
    </xf>
    <xf numFmtId="0" fontId="12" fillId="24" borderId="30" xfId="0" applyFont="1" applyFill="1" applyBorder="1" applyAlignment="1">
      <alignment horizontal="center"/>
    </xf>
    <xf numFmtId="0" fontId="12" fillId="24" borderId="44" xfId="0" applyFont="1" applyFill="1" applyBorder="1" applyAlignment="1">
      <alignment horizontal="center"/>
    </xf>
    <xf numFmtId="0" fontId="12" fillId="24" borderId="31" xfId="0" applyFont="1" applyFill="1" applyBorder="1" applyAlignment="1">
      <alignment horizontal="center"/>
    </xf>
    <xf numFmtId="0" fontId="12" fillId="22" borderId="30" xfId="0" applyFont="1" applyFill="1" applyBorder="1" applyAlignment="1">
      <alignment horizontal="center"/>
    </xf>
    <xf numFmtId="0" fontId="12" fillId="22" borderId="31" xfId="0" applyFont="1" applyFill="1" applyBorder="1" applyAlignment="1">
      <alignment horizontal="center"/>
    </xf>
    <xf numFmtId="0" fontId="12" fillId="23" borderId="30" xfId="0" applyFont="1" applyFill="1" applyBorder="1" applyAlignment="1">
      <alignment horizontal="center"/>
    </xf>
    <xf numFmtId="0" fontId="12" fillId="23" borderId="44" xfId="0" applyFont="1" applyFill="1" applyBorder="1" applyAlignment="1">
      <alignment horizontal="center"/>
    </xf>
    <xf numFmtId="0" fontId="12" fillId="23" borderId="31" xfId="0" applyFont="1" applyFill="1" applyBorder="1" applyAlignment="1">
      <alignment horizontal="center"/>
    </xf>
    <xf numFmtId="0" fontId="12" fillId="21" borderId="30" xfId="0" applyFont="1" applyFill="1" applyBorder="1" applyAlignment="1">
      <alignment horizontal="center"/>
    </xf>
    <xf numFmtId="0" fontId="12" fillId="21" borderId="31" xfId="0" applyFont="1" applyFill="1" applyBorder="1" applyAlignment="1">
      <alignment horizontal="center"/>
    </xf>
    <xf numFmtId="0" fontId="12" fillId="25" borderId="30" xfId="0" applyFont="1" applyFill="1" applyBorder="1" applyAlignment="1">
      <alignment horizontal="center"/>
    </xf>
    <xf numFmtId="0" fontId="12" fillId="25" borderId="44" xfId="0" applyFont="1" applyFill="1" applyBorder="1" applyAlignment="1">
      <alignment horizontal="center"/>
    </xf>
    <xf numFmtId="0" fontId="12" fillId="25" borderId="31" xfId="0" applyFont="1" applyFill="1" applyBorder="1" applyAlignment="1">
      <alignment horizontal="center"/>
    </xf>
    <xf numFmtId="0" fontId="12" fillId="20" borderId="30" xfId="0" applyFont="1" applyFill="1" applyBorder="1" applyAlignment="1">
      <alignment horizontal="center"/>
    </xf>
    <xf numFmtId="0" fontId="12" fillId="20" borderId="44" xfId="0" applyFont="1" applyFill="1" applyBorder="1" applyAlignment="1">
      <alignment horizontal="center"/>
    </xf>
    <xf numFmtId="0" fontId="12" fillId="26" borderId="30" xfId="0" applyFont="1" applyFill="1" applyBorder="1" applyAlignment="1">
      <alignment horizontal="center"/>
    </xf>
    <xf numFmtId="0" fontId="12" fillId="26" borderId="44" xfId="0" applyFont="1" applyFill="1" applyBorder="1" applyAlignment="1">
      <alignment horizontal="center"/>
    </xf>
    <xf numFmtId="0" fontId="12" fillId="26" borderId="31" xfId="0" applyFont="1" applyFill="1" applyBorder="1" applyAlignment="1">
      <alignment horizontal="center"/>
    </xf>
    <xf numFmtId="0" fontId="12" fillId="17" borderId="30" xfId="0" applyFont="1" applyFill="1" applyBorder="1" applyAlignment="1">
      <alignment horizontal="center" vertical="center"/>
    </xf>
    <xf numFmtId="0" fontId="12" fillId="17" borderId="44" xfId="0" applyFont="1" applyFill="1" applyBorder="1" applyAlignment="1">
      <alignment horizontal="center" vertical="center"/>
    </xf>
    <xf numFmtId="0" fontId="12" fillId="17" borderId="31" xfId="0" applyFont="1" applyFill="1" applyBorder="1" applyAlignment="1">
      <alignment horizontal="center" vertical="center"/>
    </xf>
    <xf numFmtId="0" fontId="12" fillId="20" borderId="31" xfId="0" applyFont="1" applyFill="1" applyBorder="1" applyAlignment="1">
      <alignment horizontal="center"/>
    </xf>
    <xf numFmtId="0" fontId="12" fillId="5" borderId="30" xfId="0" applyFont="1" applyFill="1" applyBorder="1" applyAlignment="1">
      <alignment horizontal="center"/>
    </xf>
    <xf numFmtId="0" fontId="12" fillId="5" borderId="44" xfId="0" applyFont="1" applyFill="1" applyBorder="1" applyAlignment="1">
      <alignment horizontal="center"/>
    </xf>
    <xf numFmtId="0" fontId="12" fillId="5" borderId="31" xfId="0" applyFont="1" applyFill="1" applyBorder="1" applyAlignment="1">
      <alignment horizontal="center"/>
    </xf>
    <xf numFmtId="0" fontId="12" fillId="20" borderId="45" xfId="0" applyFont="1" applyFill="1" applyBorder="1" applyAlignment="1">
      <alignment horizontal="center"/>
    </xf>
    <xf numFmtId="0" fontId="12" fillId="20" borderId="28" xfId="0" applyFont="1" applyFill="1" applyBorder="1" applyAlignment="1">
      <alignment horizontal="center"/>
    </xf>
    <xf numFmtId="0" fontId="10" fillId="10" borderId="30" xfId="0" applyFont="1" applyFill="1" applyBorder="1" applyAlignment="1">
      <alignment horizontal="center"/>
    </xf>
    <xf numFmtId="0" fontId="10" fillId="10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00"/>
      <color rgb="FF660066"/>
      <color rgb="FF3399FF"/>
      <color rgb="FFFF3399"/>
      <color rgb="FF336600"/>
      <color rgb="FFFF6699"/>
      <color rgb="FF66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960782</xdr:colOff>
      <xdr:row>6</xdr:row>
      <xdr:rowOff>24848</xdr:rowOff>
    </xdr:from>
    <xdr:to>
      <xdr:col>7</xdr:col>
      <xdr:colOff>1962978</xdr:colOff>
      <xdr:row>11</xdr:row>
      <xdr:rowOff>91110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A9E04CCF-B6DC-460D-802B-6953B1EE3C84}"/>
            </a:ext>
          </a:extLst>
        </xdr:cNvPr>
        <xdr:cNvSpPr/>
      </xdr:nvSpPr>
      <xdr:spPr>
        <a:xfrm>
          <a:off x="7421217" y="571500"/>
          <a:ext cx="1002196" cy="7702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r>
            <a:rPr lang="en-US" sz="1100"/>
            <a:t>  </a:t>
          </a:r>
          <a:r>
            <a:rPr lang="en-US" sz="1000"/>
            <a:t>AVOIR</a:t>
          </a:r>
          <a:r>
            <a:rPr lang="en-US" sz="1100"/>
            <a:t>  </a:t>
          </a:r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3</xdr:col>
      <xdr:colOff>2319</xdr:colOff>
      <xdr:row>5</xdr:row>
      <xdr:rowOff>91108</xdr:rowOff>
    </xdr:from>
    <xdr:to>
      <xdr:col>7</xdr:col>
      <xdr:colOff>960782</xdr:colOff>
      <xdr:row>9</xdr:row>
      <xdr:rowOff>12425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93671F3-92E0-410A-9361-2C1EB6537934}"/>
            </a:ext>
          </a:extLst>
        </xdr:cNvPr>
        <xdr:cNvCxnSpPr>
          <a:endCxn id="2" idx="2"/>
        </xdr:cNvCxnSpPr>
      </xdr:nvCxnSpPr>
      <xdr:spPr>
        <a:xfrm>
          <a:off x="3414754" y="496956"/>
          <a:ext cx="4006463" cy="4596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1962978</xdr:colOff>
      <xdr:row>5</xdr:row>
      <xdr:rowOff>107676</xdr:rowOff>
    </xdr:from>
    <xdr:to>
      <xdr:col>10</xdr:col>
      <xdr:colOff>0</xdr:colOff>
      <xdr:row>9</xdr:row>
      <xdr:rowOff>12425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7E475DC-613A-4EBF-BA10-F2DBC6C0BCFB}"/>
            </a:ext>
          </a:extLst>
        </xdr:cNvPr>
        <xdr:cNvCxnSpPr>
          <a:stCxn id="2" idx="6"/>
        </xdr:cNvCxnSpPr>
      </xdr:nvCxnSpPr>
      <xdr:spPr>
        <a:xfrm flipV="1">
          <a:off x="8423413" y="513524"/>
          <a:ext cx="2990022" cy="4431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488674</xdr:colOff>
      <xdr:row>36</xdr:row>
      <xdr:rowOff>66262</xdr:rowOff>
    </xdr:from>
    <xdr:to>
      <xdr:col>4</xdr:col>
      <xdr:colOff>240196</xdr:colOff>
      <xdr:row>41</xdr:row>
      <xdr:rowOff>115956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10309F5D-5F33-4138-A2DB-80CFA73CD9B5}"/>
            </a:ext>
          </a:extLst>
        </xdr:cNvPr>
        <xdr:cNvSpPr/>
      </xdr:nvSpPr>
      <xdr:spPr>
        <a:xfrm>
          <a:off x="3901109" y="6170545"/>
          <a:ext cx="1027044" cy="81169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r>
            <a:rPr lang="en-US" sz="1000"/>
            <a:t>DETIENT</a:t>
          </a:r>
        </a:p>
        <a:p>
          <a:pPr algn="l"/>
          <a:endParaRPr lang="en-US" sz="1100"/>
        </a:p>
      </xdr:txBody>
    </xdr:sp>
    <xdr:clientData/>
  </xdr:twoCellAnchor>
  <xdr:twoCellAnchor>
    <xdr:from>
      <xdr:col>2</xdr:col>
      <xdr:colOff>1283804</xdr:colOff>
      <xdr:row>26</xdr:row>
      <xdr:rowOff>8283</xdr:rowOff>
    </xdr:from>
    <xdr:to>
      <xdr:col>3</xdr:col>
      <xdr:colOff>488674</xdr:colOff>
      <xdr:row>38</xdr:row>
      <xdr:rowOff>132522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26E4B8B4-4799-4346-82D8-14F53C3DCD12}"/>
            </a:ext>
          </a:extLst>
        </xdr:cNvPr>
        <xdr:cNvCxnSpPr>
          <a:endCxn id="20" idx="2"/>
        </xdr:cNvCxnSpPr>
      </xdr:nvCxnSpPr>
      <xdr:spPr>
        <a:xfrm>
          <a:off x="2509630" y="4099892"/>
          <a:ext cx="1391479" cy="2476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240196</xdr:colOff>
      <xdr:row>37</xdr:row>
      <xdr:rowOff>16566</xdr:rowOff>
    </xdr:from>
    <xdr:to>
      <xdr:col>7</xdr:col>
      <xdr:colOff>8283</xdr:colOff>
      <xdr:row>38</xdr:row>
      <xdr:rowOff>132522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706254AB-72F8-4FBC-AEB2-F2331F696064}"/>
            </a:ext>
          </a:extLst>
        </xdr:cNvPr>
        <xdr:cNvCxnSpPr>
          <a:stCxn id="20" idx="6"/>
        </xdr:cNvCxnSpPr>
      </xdr:nvCxnSpPr>
      <xdr:spPr>
        <a:xfrm flipV="1">
          <a:off x="4928153" y="6327914"/>
          <a:ext cx="1540565" cy="2484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935935</xdr:colOff>
      <xdr:row>25</xdr:row>
      <xdr:rowOff>140804</xdr:rowOff>
    </xdr:from>
    <xdr:to>
      <xdr:col>7</xdr:col>
      <xdr:colOff>2194892</xdr:colOff>
      <xdr:row>30</xdr:row>
      <xdr:rowOff>91109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7A67765F-B203-4878-939C-188EAB79CD61}"/>
            </a:ext>
          </a:extLst>
        </xdr:cNvPr>
        <xdr:cNvSpPr/>
      </xdr:nvSpPr>
      <xdr:spPr>
        <a:xfrm>
          <a:off x="7396370" y="4033630"/>
          <a:ext cx="1258957" cy="91937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r>
            <a:rPr lang="en-US" sz="1000"/>
            <a:t>SOUSCRIRE</a:t>
          </a:r>
        </a:p>
        <a:p>
          <a:pPr algn="l"/>
          <a:endParaRPr lang="en-US" sz="1100"/>
        </a:p>
      </xdr:txBody>
    </xdr:sp>
    <xdr:clientData/>
  </xdr:twoCellAnchor>
  <xdr:twoCellAnchor>
    <xdr:from>
      <xdr:col>2</xdr:col>
      <xdr:colOff>2095500</xdr:colOff>
      <xdr:row>26</xdr:row>
      <xdr:rowOff>24849</xdr:rowOff>
    </xdr:from>
    <xdr:to>
      <xdr:col>7</xdr:col>
      <xdr:colOff>935935</xdr:colOff>
      <xdr:row>28</xdr:row>
      <xdr:rowOff>78686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1EC241E-7425-4D19-82D4-AD4B0EF0E786}"/>
            </a:ext>
          </a:extLst>
        </xdr:cNvPr>
        <xdr:cNvCxnSpPr/>
      </xdr:nvCxnSpPr>
      <xdr:spPr>
        <a:xfrm>
          <a:off x="3321326" y="4224132"/>
          <a:ext cx="4903305" cy="4017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2194892</xdr:colOff>
      <xdr:row>21</xdr:row>
      <xdr:rowOff>149087</xdr:rowOff>
    </xdr:from>
    <xdr:to>
      <xdr:col>9</xdr:col>
      <xdr:colOff>695740</xdr:colOff>
      <xdr:row>28</xdr:row>
      <xdr:rowOff>53837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F5D17D42-0492-460C-92EA-6A4701C4A2AF}"/>
            </a:ext>
          </a:extLst>
        </xdr:cNvPr>
        <xdr:cNvCxnSpPr>
          <a:stCxn id="28" idx="6"/>
        </xdr:cNvCxnSpPr>
      </xdr:nvCxnSpPr>
      <xdr:spPr>
        <a:xfrm flipV="1">
          <a:off x="8655327" y="3246783"/>
          <a:ext cx="2551043" cy="12465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405848</xdr:colOff>
      <xdr:row>4</xdr:row>
      <xdr:rowOff>16564</xdr:rowOff>
    </xdr:from>
    <xdr:to>
      <xdr:col>7</xdr:col>
      <xdr:colOff>629478</xdr:colOff>
      <xdr:row>7</xdr:row>
      <xdr:rowOff>49695</xdr:rowOff>
    </xdr:to>
    <xdr:sp macro="" textlink="">
      <xdr:nvSpPr>
        <xdr:cNvPr id="58" name="Speech Bubble: Rectangle with Corners Rounded 57">
          <a:extLst>
            <a:ext uri="{FF2B5EF4-FFF2-40B4-BE49-F238E27FC236}">
              <a16:creationId xmlns:a16="http://schemas.microsoft.com/office/drawing/2014/main" id="{35363A40-C540-47D3-8F0C-738F88728129}"/>
            </a:ext>
          </a:extLst>
        </xdr:cNvPr>
        <xdr:cNvSpPr/>
      </xdr:nvSpPr>
      <xdr:spPr>
        <a:xfrm>
          <a:off x="6253370" y="546651"/>
          <a:ext cx="836543" cy="447261"/>
        </a:xfrm>
        <a:prstGeom prst="wedgeRoundRectCallout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/>
            <a:t>Un client</a:t>
          </a:r>
          <a:r>
            <a:rPr lang="en-US" sz="800" baseline="0"/>
            <a:t> a 1 ou N contact</a:t>
          </a:r>
        </a:p>
        <a:p>
          <a:pPr algn="l"/>
          <a:endParaRPr lang="en-US" sz="1100"/>
        </a:p>
      </xdr:txBody>
    </xdr:sp>
    <xdr:clientData/>
  </xdr:twoCellAnchor>
  <xdr:twoCellAnchor>
    <xdr:from>
      <xdr:col>8</xdr:col>
      <xdr:colOff>16566</xdr:colOff>
      <xdr:row>3</xdr:row>
      <xdr:rowOff>107675</xdr:rowOff>
    </xdr:from>
    <xdr:to>
      <xdr:col>8</xdr:col>
      <xdr:colOff>861392</xdr:colOff>
      <xdr:row>6</xdr:row>
      <xdr:rowOff>99392</xdr:rowOff>
    </xdr:to>
    <xdr:sp macro="" textlink="">
      <xdr:nvSpPr>
        <xdr:cNvPr id="59" name="Speech Bubble: Rectangle with Corners Rounded 58">
          <a:extLst>
            <a:ext uri="{FF2B5EF4-FFF2-40B4-BE49-F238E27FC236}">
              <a16:creationId xmlns:a16="http://schemas.microsoft.com/office/drawing/2014/main" id="{1F395014-44B7-4541-A73D-B3CD154700A7}"/>
            </a:ext>
          </a:extLst>
        </xdr:cNvPr>
        <xdr:cNvSpPr/>
      </xdr:nvSpPr>
      <xdr:spPr>
        <a:xfrm>
          <a:off x="9574696" y="505240"/>
          <a:ext cx="844826" cy="405848"/>
        </a:xfrm>
        <a:prstGeom prst="wedgeRoundRectCallout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/>
            <a:t>un contact a</a:t>
          </a:r>
          <a:r>
            <a:rPr lang="en-US" sz="800" baseline="0"/>
            <a:t> 1 ou N client</a:t>
          </a:r>
        </a:p>
        <a:p>
          <a:pPr algn="l"/>
          <a:endParaRPr lang="en-US" sz="1100"/>
        </a:p>
      </xdr:txBody>
    </xdr:sp>
    <xdr:clientData/>
  </xdr:twoCellAnchor>
  <xdr:twoCellAnchor>
    <xdr:from>
      <xdr:col>6</xdr:col>
      <xdr:colOff>430696</xdr:colOff>
      <xdr:row>23</xdr:row>
      <xdr:rowOff>157370</xdr:rowOff>
    </xdr:from>
    <xdr:to>
      <xdr:col>7</xdr:col>
      <xdr:colOff>732183</xdr:colOff>
      <xdr:row>27</xdr:row>
      <xdr:rowOff>0</xdr:rowOff>
    </xdr:to>
    <xdr:sp macro="" textlink="">
      <xdr:nvSpPr>
        <xdr:cNvPr id="64" name="Speech Bubble: Rectangle with Corners Rounded 63">
          <a:extLst>
            <a:ext uri="{FF2B5EF4-FFF2-40B4-BE49-F238E27FC236}">
              <a16:creationId xmlns:a16="http://schemas.microsoft.com/office/drawing/2014/main" id="{D45769C2-ACD6-46F4-BD1D-E75A0A5BD394}"/>
            </a:ext>
          </a:extLst>
        </xdr:cNvPr>
        <xdr:cNvSpPr/>
      </xdr:nvSpPr>
      <xdr:spPr>
        <a:xfrm>
          <a:off x="6278218" y="3652631"/>
          <a:ext cx="914400" cy="571499"/>
        </a:xfrm>
        <a:prstGeom prst="wedgeRoundRectCallout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/>
            <a:t>un client soucrit à 1 ou N services</a:t>
          </a:r>
        </a:p>
        <a:p>
          <a:pPr algn="l"/>
          <a:endParaRPr lang="en-US" sz="1100"/>
        </a:p>
      </xdr:txBody>
    </xdr:sp>
    <xdr:clientData/>
  </xdr:twoCellAnchor>
  <xdr:twoCellAnchor>
    <xdr:from>
      <xdr:col>8</xdr:col>
      <xdr:colOff>8283</xdr:colOff>
      <xdr:row>21</xdr:row>
      <xdr:rowOff>8284</xdr:rowOff>
    </xdr:from>
    <xdr:to>
      <xdr:col>8</xdr:col>
      <xdr:colOff>922683</xdr:colOff>
      <xdr:row>23</xdr:row>
      <xdr:rowOff>190501</xdr:rowOff>
    </xdr:to>
    <xdr:sp macro="" textlink="">
      <xdr:nvSpPr>
        <xdr:cNvPr id="65" name="Speech Bubble: Rectangle with Corners Rounded 64">
          <a:extLst>
            <a:ext uri="{FF2B5EF4-FFF2-40B4-BE49-F238E27FC236}">
              <a16:creationId xmlns:a16="http://schemas.microsoft.com/office/drawing/2014/main" id="{714CDFCA-25F8-40FA-A1EC-8D9DD0F96234}"/>
            </a:ext>
          </a:extLst>
        </xdr:cNvPr>
        <xdr:cNvSpPr/>
      </xdr:nvSpPr>
      <xdr:spPr>
        <a:xfrm>
          <a:off x="9566413" y="3105980"/>
          <a:ext cx="914400" cy="579782"/>
        </a:xfrm>
        <a:prstGeom prst="wedgeRoundRectCallout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/>
            <a:t>un service est souscrit par 1 ou</a:t>
          </a:r>
          <a:r>
            <a:rPr lang="en-US" sz="800" baseline="0"/>
            <a:t> N client</a:t>
          </a:r>
        </a:p>
        <a:p>
          <a:pPr algn="l"/>
          <a:endParaRPr lang="en-US" sz="1100"/>
        </a:p>
      </xdr:txBody>
    </xdr:sp>
    <xdr:clientData/>
  </xdr:twoCellAnchor>
  <xdr:twoCellAnchor>
    <xdr:from>
      <xdr:col>2</xdr:col>
      <xdr:colOff>2045804</xdr:colOff>
      <xdr:row>31</xdr:row>
      <xdr:rowOff>16565</xdr:rowOff>
    </xdr:from>
    <xdr:to>
      <xdr:col>3</xdr:col>
      <xdr:colOff>773595</xdr:colOff>
      <xdr:row>33</xdr:row>
      <xdr:rowOff>41413</xdr:rowOff>
    </xdr:to>
    <xdr:sp macro="" textlink="">
      <xdr:nvSpPr>
        <xdr:cNvPr id="68" name="Speech Bubble: Rectangle with Corners Rounded 67">
          <a:extLst>
            <a:ext uri="{FF2B5EF4-FFF2-40B4-BE49-F238E27FC236}">
              <a16:creationId xmlns:a16="http://schemas.microsoft.com/office/drawing/2014/main" id="{6543C0A3-255E-46F2-AAB4-80A2BCFCEF90}"/>
            </a:ext>
          </a:extLst>
        </xdr:cNvPr>
        <xdr:cNvSpPr/>
      </xdr:nvSpPr>
      <xdr:spPr>
        <a:xfrm>
          <a:off x="3271630" y="5085522"/>
          <a:ext cx="914400" cy="438978"/>
        </a:xfrm>
        <a:prstGeom prst="wedgeRoundRectCallout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/>
            <a:t>un client detient 1 ou N Asset</a:t>
          </a:r>
        </a:p>
      </xdr:txBody>
    </xdr:sp>
    <xdr:clientData/>
  </xdr:twoCellAnchor>
  <xdr:twoCellAnchor>
    <xdr:from>
      <xdr:col>4</xdr:col>
      <xdr:colOff>646042</xdr:colOff>
      <xdr:row>34</xdr:row>
      <xdr:rowOff>24848</xdr:rowOff>
    </xdr:from>
    <xdr:to>
      <xdr:col>6</xdr:col>
      <xdr:colOff>400877</xdr:colOff>
      <xdr:row>36</xdr:row>
      <xdr:rowOff>165652</xdr:rowOff>
    </xdr:to>
    <xdr:sp macro="" textlink="">
      <xdr:nvSpPr>
        <xdr:cNvPr id="69" name="Speech Bubble: Rectangle with Corners Rounded 68">
          <a:extLst>
            <a:ext uri="{FF2B5EF4-FFF2-40B4-BE49-F238E27FC236}">
              <a16:creationId xmlns:a16="http://schemas.microsoft.com/office/drawing/2014/main" id="{B22DB66F-0A8A-4543-8191-D1DC651950D5}"/>
            </a:ext>
          </a:extLst>
        </xdr:cNvPr>
        <xdr:cNvSpPr/>
      </xdr:nvSpPr>
      <xdr:spPr>
        <a:xfrm>
          <a:off x="5333999" y="5715000"/>
          <a:ext cx="914400" cy="554935"/>
        </a:xfrm>
        <a:prstGeom prst="wedgeRoundRectCallout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/>
            <a:t>un Asset est detenu par 1 et 1 seul</a:t>
          </a:r>
          <a:r>
            <a:rPr lang="en-US" sz="800" baseline="0"/>
            <a:t> </a:t>
          </a:r>
          <a:r>
            <a:rPr lang="en-US" sz="800"/>
            <a:t>client</a:t>
          </a:r>
        </a:p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17</xdr:row>
      <xdr:rowOff>15240</xdr:rowOff>
    </xdr:from>
    <xdr:to>
      <xdr:col>7</xdr:col>
      <xdr:colOff>205740</xdr:colOff>
      <xdr:row>32</xdr:row>
      <xdr:rowOff>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47256FD-D4B1-4C9D-BD95-F849AD5E453C}"/>
            </a:ext>
          </a:extLst>
        </xdr:cNvPr>
        <xdr:cNvCxnSpPr/>
      </xdr:nvCxnSpPr>
      <xdr:spPr>
        <a:xfrm>
          <a:off x="4472940" y="2255520"/>
          <a:ext cx="0" cy="18973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213360</xdr:colOff>
      <xdr:row>38</xdr:row>
      <xdr:rowOff>7620</xdr:rowOff>
    </xdr:from>
    <xdr:to>
      <xdr:col>7</xdr:col>
      <xdr:colOff>342900</xdr:colOff>
      <xdr:row>48</xdr:row>
      <xdr:rowOff>15240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FADBEBD-6672-4155-A6B9-97B8C91951F7}"/>
            </a:ext>
          </a:extLst>
        </xdr:cNvPr>
        <xdr:cNvCxnSpPr/>
      </xdr:nvCxnSpPr>
      <xdr:spPr>
        <a:xfrm>
          <a:off x="1432560" y="3992880"/>
          <a:ext cx="129540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</xdr:colOff>
      <xdr:row>9</xdr:row>
      <xdr:rowOff>0</xdr:rowOff>
    </xdr:from>
    <xdr:to>
      <xdr:col>16</xdr:col>
      <xdr:colOff>612588</xdr:colOff>
      <xdr:row>9</xdr:row>
      <xdr:rowOff>52294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57C0346E-C099-454D-9907-EA416D191D11}"/>
            </a:ext>
          </a:extLst>
        </xdr:cNvPr>
        <xdr:cNvCxnSpPr/>
      </xdr:nvCxnSpPr>
      <xdr:spPr>
        <a:xfrm>
          <a:off x="9129208" y="1397000"/>
          <a:ext cx="1845086" cy="522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9</xdr:row>
      <xdr:rowOff>30480</xdr:rowOff>
    </xdr:from>
    <xdr:to>
      <xdr:col>12</xdr:col>
      <xdr:colOff>0</xdr:colOff>
      <xdr:row>9</xdr:row>
      <xdr:rowOff>52294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C33CBA26-13CB-4620-AA20-1FD50BD40B95}"/>
            </a:ext>
          </a:extLst>
        </xdr:cNvPr>
        <xdr:cNvCxnSpPr/>
      </xdr:nvCxnSpPr>
      <xdr:spPr>
        <a:xfrm>
          <a:off x="5580529" y="1427480"/>
          <a:ext cx="1860177" cy="218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612588</xdr:colOff>
      <xdr:row>12</xdr:row>
      <xdr:rowOff>22412</xdr:rowOff>
    </xdr:from>
    <xdr:to>
      <xdr:col>11</xdr:col>
      <xdr:colOff>612588</xdr:colOff>
      <xdr:row>25</xdr:row>
      <xdr:rowOff>67235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92DFDE77-843C-4234-8875-0BACA8CA6ECE}"/>
            </a:ext>
          </a:extLst>
        </xdr:cNvPr>
        <xdr:cNvCxnSpPr/>
      </xdr:nvCxnSpPr>
      <xdr:spPr>
        <a:xfrm>
          <a:off x="5573059" y="1912471"/>
          <a:ext cx="1860176" cy="17331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</xdr:colOff>
      <xdr:row>16</xdr:row>
      <xdr:rowOff>0</xdr:rowOff>
    </xdr:from>
    <xdr:to>
      <xdr:col>2</xdr:col>
      <xdr:colOff>160020</xdr:colOff>
      <xdr:row>32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6F1A2F0-FCC4-44EA-8BEB-2AEF12BBA673}"/>
            </a:ext>
          </a:extLst>
        </xdr:cNvPr>
        <xdr:cNvCxnSpPr/>
      </xdr:nvCxnSpPr>
      <xdr:spPr>
        <a:xfrm flipH="1">
          <a:off x="1264920" y="2080260"/>
          <a:ext cx="114300" cy="2065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594360</xdr:colOff>
      <xdr:row>13</xdr:row>
      <xdr:rowOff>22860</xdr:rowOff>
    </xdr:from>
    <xdr:to>
      <xdr:col>5</xdr:col>
      <xdr:colOff>594360</xdr:colOff>
      <xdr:row>32</xdr:row>
      <xdr:rowOff>15240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917596BE-D99A-4C76-A597-61EBF922A3D4}"/>
            </a:ext>
          </a:extLst>
        </xdr:cNvPr>
        <xdr:cNvCxnSpPr/>
      </xdr:nvCxnSpPr>
      <xdr:spPr>
        <a:xfrm flipV="1">
          <a:off x="1813560" y="1173480"/>
          <a:ext cx="1828800" cy="1943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228600</xdr:colOff>
      <xdr:row>22</xdr:row>
      <xdr:rowOff>53340</xdr:rowOff>
    </xdr:from>
    <xdr:to>
      <xdr:col>2</xdr:col>
      <xdr:colOff>30480</xdr:colOff>
      <xdr:row>27</xdr:row>
      <xdr:rowOff>137160</xdr:rowOff>
    </xdr:to>
    <xdr:sp macro="" textlink="">
      <xdr:nvSpPr>
        <xdr:cNvPr id="10" name="Speech Bubble: Oval 9">
          <a:extLst>
            <a:ext uri="{FF2B5EF4-FFF2-40B4-BE49-F238E27FC236}">
              <a16:creationId xmlns:a16="http://schemas.microsoft.com/office/drawing/2014/main" id="{52F655C2-564C-45F0-B211-0D7F92A5516A}"/>
            </a:ext>
          </a:extLst>
        </xdr:cNvPr>
        <xdr:cNvSpPr/>
      </xdr:nvSpPr>
      <xdr:spPr>
        <a:xfrm>
          <a:off x="228600" y="2903220"/>
          <a:ext cx="1021080" cy="853440"/>
        </a:xfrm>
        <a:prstGeom prst="wedgeEllipseCallout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un contact a</a:t>
          </a:r>
          <a:r>
            <a:rPr lang="en-US" sz="900" baseline="0"/>
            <a:t> 1 ou N client</a:t>
          </a:r>
        </a:p>
        <a:p>
          <a:pPr algn="l"/>
          <a:endParaRPr lang="en-US" sz="1100"/>
        </a:p>
      </xdr:txBody>
    </xdr:sp>
    <xdr:clientData/>
  </xdr:twoCellAnchor>
  <xdr:twoCellAnchor>
    <xdr:from>
      <xdr:col>4</xdr:col>
      <xdr:colOff>218739</xdr:colOff>
      <xdr:row>2</xdr:row>
      <xdr:rowOff>136114</xdr:rowOff>
    </xdr:from>
    <xdr:to>
      <xdr:col>5</xdr:col>
      <xdr:colOff>515919</xdr:colOff>
      <xdr:row>8</xdr:row>
      <xdr:rowOff>30779</xdr:rowOff>
    </xdr:to>
    <xdr:sp macro="" textlink="">
      <xdr:nvSpPr>
        <xdr:cNvPr id="18" name="Speech Bubble: Oval 17">
          <a:extLst>
            <a:ext uri="{FF2B5EF4-FFF2-40B4-BE49-F238E27FC236}">
              <a16:creationId xmlns:a16="http://schemas.microsoft.com/office/drawing/2014/main" id="{ED7488F4-7DD7-4FD6-B9F6-3D128BBAA3F1}"/>
            </a:ext>
          </a:extLst>
        </xdr:cNvPr>
        <xdr:cNvSpPr/>
      </xdr:nvSpPr>
      <xdr:spPr>
        <a:xfrm>
          <a:off x="2698974" y="434938"/>
          <a:ext cx="917239" cy="798606"/>
        </a:xfrm>
        <a:prstGeom prst="wedgeEllipseCallout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un client</a:t>
          </a:r>
          <a:r>
            <a:rPr lang="en-US" sz="900" baseline="0"/>
            <a:t> a 1 ou N contact</a:t>
          </a:r>
        </a:p>
        <a:p>
          <a:pPr algn="l"/>
          <a:endParaRPr lang="en-US" sz="1100"/>
        </a:p>
      </xdr:txBody>
    </xdr:sp>
    <xdr:clientData/>
  </xdr:twoCellAnchor>
  <xdr:twoCellAnchor>
    <xdr:from>
      <xdr:col>7</xdr:col>
      <xdr:colOff>266700</xdr:colOff>
      <xdr:row>25</xdr:row>
      <xdr:rowOff>15240</xdr:rowOff>
    </xdr:from>
    <xdr:to>
      <xdr:col>9</xdr:col>
      <xdr:colOff>175260</xdr:colOff>
      <xdr:row>29</xdr:row>
      <xdr:rowOff>121920</xdr:rowOff>
    </xdr:to>
    <xdr:sp macro="" textlink="">
      <xdr:nvSpPr>
        <xdr:cNvPr id="20" name="Speech Bubble: Oval 19">
          <a:extLst>
            <a:ext uri="{FF2B5EF4-FFF2-40B4-BE49-F238E27FC236}">
              <a16:creationId xmlns:a16="http://schemas.microsoft.com/office/drawing/2014/main" id="{381ABD91-810A-4AC6-8DCB-1D218A623760}"/>
            </a:ext>
          </a:extLst>
        </xdr:cNvPr>
        <xdr:cNvSpPr/>
      </xdr:nvSpPr>
      <xdr:spPr>
        <a:xfrm>
          <a:off x="4533900" y="3322320"/>
          <a:ext cx="1127760" cy="762000"/>
        </a:xfrm>
        <a:prstGeom prst="wedgeEllipseCallout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un client detient</a:t>
          </a:r>
          <a:r>
            <a:rPr lang="en-US" sz="900" baseline="0"/>
            <a:t> 1 ou N Asset</a:t>
          </a:r>
        </a:p>
        <a:p>
          <a:pPr algn="l"/>
          <a:endParaRPr lang="en-US" sz="1100"/>
        </a:p>
      </xdr:txBody>
    </xdr:sp>
    <xdr:clientData/>
  </xdr:twoCellAnchor>
  <xdr:twoCellAnchor>
    <xdr:from>
      <xdr:col>5</xdr:col>
      <xdr:colOff>174364</xdr:colOff>
      <xdr:row>40</xdr:row>
      <xdr:rowOff>105784</xdr:rowOff>
    </xdr:from>
    <xdr:to>
      <xdr:col>7</xdr:col>
      <xdr:colOff>258184</xdr:colOff>
      <xdr:row>45</xdr:row>
      <xdr:rowOff>98313</xdr:rowOff>
    </xdr:to>
    <xdr:sp macro="" textlink="">
      <xdr:nvSpPr>
        <xdr:cNvPr id="21" name="Speech Bubble: Oval 20">
          <a:extLst>
            <a:ext uri="{FF2B5EF4-FFF2-40B4-BE49-F238E27FC236}">
              <a16:creationId xmlns:a16="http://schemas.microsoft.com/office/drawing/2014/main" id="{A9653463-CDEE-4B75-97A0-83A0AFEF1CFB}"/>
            </a:ext>
          </a:extLst>
        </xdr:cNvPr>
        <xdr:cNvSpPr/>
      </xdr:nvSpPr>
      <xdr:spPr>
        <a:xfrm>
          <a:off x="3274658" y="6560372"/>
          <a:ext cx="1323938" cy="776941"/>
        </a:xfrm>
        <a:prstGeom prst="wedgeEllipseCallout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un Asset est detenu par 1 et 1 seul client</a:t>
          </a:r>
        </a:p>
        <a:p>
          <a:pPr algn="l"/>
          <a:endParaRPr lang="en-US" sz="1100"/>
        </a:p>
      </xdr:txBody>
    </xdr:sp>
    <xdr:clientData/>
  </xdr:twoCellAnchor>
  <xdr:twoCellAnchor>
    <xdr:from>
      <xdr:col>2</xdr:col>
      <xdr:colOff>8069</xdr:colOff>
      <xdr:row>40</xdr:row>
      <xdr:rowOff>1495</xdr:rowOff>
    </xdr:from>
    <xdr:to>
      <xdr:col>3</xdr:col>
      <xdr:colOff>434789</xdr:colOff>
      <xdr:row>44</xdr:row>
      <xdr:rowOff>105186</xdr:rowOff>
    </xdr:to>
    <xdr:sp macro="" textlink="">
      <xdr:nvSpPr>
        <xdr:cNvPr id="22" name="Speech Bubble: Oval 21">
          <a:extLst>
            <a:ext uri="{FF2B5EF4-FFF2-40B4-BE49-F238E27FC236}">
              <a16:creationId xmlns:a16="http://schemas.microsoft.com/office/drawing/2014/main" id="{007CDBBF-FA7C-4BCB-8BC9-0FF067AD31E7}"/>
            </a:ext>
          </a:extLst>
        </xdr:cNvPr>
        <xdr:cNvSpPr/>
      </xdr:nvSpPr>
      <xdr:spPr>
        <a:xfrm>
          <a:off x="1248187" y="6456083"/>
          <a:ext cx="1046778" cy="731221"/>
        </a:xfrm>
        <a:prstGeom prst="wedgeEllipseCallout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Un client</a:t>
          </a:r>
          <a:r>
            <a:rPr lang="en-US" sz="900" baseline="0"/>
            <a:t> a 1 ou N priorite</a:t>
          </a:r>
        </a:p>
        <a:p>
          <a:pPr algn="l"/>
          <a:endParaRPr lang="en-US" sz="1100"/>
        </a:p>
      </xdr:txBody>
    </xdr:sp>
    <xdr:clientData/>
  </xdr:twoCellAnchor>
  <xdr:twoCellAnchor>
    <xdr:from>
      <xdr:col>9</xdr:col>
      <xdr:colOff>42134</xdr:colOff>
      <xdr:row>2</xdr:row>
      <xdr:rowOff>125506</xdr:rowOff>
    </xdr:from>
    <xdr:to>
      <xdr:col>12</xdr:col>
      <xdr:colOff>114300</xdr:colOff>
      <xdr:row>7</xdr:row>
      <xdr:rowOff>133126</xdr:rowOff>
    </xdr:to>
    <xdr:sp macro="" textlink="">
      <xdr:nvSpPr>
        <xdr:cNvPr id="30" name="Speech Bubble: Oval 29">
          <a:extLst>
            <a:ext uri="{FF2B5EF4-FFF2-40B4-BE49-F238E27FC236}">
              <a16:creationId xmlns:a16="http://schemas.microsoft.com/office/drawing/2014/main" id="{30E4B257-694A-4E44-A53E-C1B0F8685759}"/>
            </a:ext>
          </a:extLst>
        </xdr:cNvPr>
        <xdr:cNvSpPr/>
      </xdr:nvSpPr>
      <xdr:spPr>
        <a:xfrm>
          <a:off x="5528534" y="430306"/>
          <a:ext cx="1291366" cy="769620"/>
        </a:xfrm>
        <a:prstGeom prst="wedgeEllipseCallou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un</a:t>
          </a:r>
          <a:r>
            <a:rPr lang="en-US" sz="900" baseline="0"/>
            <a:t> client a deja souscrit a 1 ou N service</a:t>
          </a:r>
        </a:p>
        <a:p>
          <a:pPr algn="l"/>
          <a:endParaRPr lang="en-US" sz="1100"/>
        </a:p>
      </xdr:txBody>
    </xdr:sp>
    <xdr:clientData/>
  </xdr:twoCellAnchor>
  <xdr:twoCellAnchor>
    <xdr:from>
      <xdr:col>10</xdr:col>
      <xdr:colOff>353059</xdr:colOff>
      <xdr:row>16</xdr:row>
      <xdr:rowOff>16585</xdr:rowOff>
    </xdr:from>
    <xdr:to>
      <xdr:col>12</xdr:col>
      <xdr:colOff>403410</xdr:colOff>
      <xdr:row>20</xdr:row>
      <xdr:rowOff>141941</xdr:rowOff>
    </xdr:to>
    <xdr:sp macro="" textlink="">
      <xdr:nvSpPr>
        <xdr:cNvPr id="33" name="Speech Bubble: Oval 32">
          <a:extLst>
            <a:ext uri="{FF2B5EF4-FFF2-40B4-BE49-F238E27FC236}">
              <a16:creationId xmlns:a16="http://schemas.microsoft.com/office/drawing/2014/main" id="{158406C8-099A-4EA1-9BF0-C0432C6FE317}"/>
            </a:ext>
          </a:extLst>
        </xdr:cNvPr>
        <xdr:cNvSpPr/>
      </xdr:nvSpPr>
      <xdr:spPr>
        <a:xfrm>
          <a:off x="6553647" y="2519232"/>
          <a:ext cx="1290469" cy="730474"/>
        </a:xfrm>
        <a:prstGeom prst="wedgeEllipseCallou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un</a:t>
          </a:r>
          <a:r>
            <a:rPr lang="en-US" sz="900" baseline="0"/>
            <a:t> client veux souscrire a 1 ou N services</a:t>
          </a:r>
          <a:endParaRPr lang="en-US" sz="900"/>
        </a:p>
        <a:p>
          <a:pPr algn="l"/>
          <a:endParaRPr lang="en-US" sz="1100"/>
        </a:p>
      </xdr:txBody>
    </xdr:sp>
    <xdr:clientData/>
  </xdr:twoCellAnchor>
  <xdr:twoCellAnchor>
    <xdr:from>
      <xdr:col>17</xdr:col>
      <xdr:colOff>484394</xdr:colOff>
      <xdr:row>15</xdr:row>
      <xdr:rowOff>104140</xdr:rowOff>
    </xdr:from>
    <xdr:to>
      <xdr:col>19</xdr:col>
      <xdr:colOff>108325</xdr:colOff>
      <xdr:row>21</xdr:row>
      <xdr:rowOff>89648</xdr:rowOff>
    </xdr:to>
    <xdr:sp macro="" textlink="">
      <xdr:nvSpPr>
        <xdr:cNvPr id="34" name="Speech Bubble: Oval 33">
          <a:extLst>
            <a:ext uri="{FF2B5EF4-FFF2-40B4-BE49-F238E27FC236}">
              <a16:creationId xmlns:a16="http://schemas.microsoft.com/office/drawing/2014/main" id="{A707A53D-FCA4-44C7-903E-3E7EAF864692}"/>
            </a:ext>
          </a:extLst>
        </xdr:cNvPr>
        <xdr:cNvSpPr/>
      </xdr:nvSpPr>
      <xdr:spPr>
        <a:xfrm>
          <a:off x="11466159" y="2449905"/>
          <a:ext cx="1252519" cy="896919"/>
        </a:xfrm>
        <a:prstGeom prst="wedgeEllipseCallou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un</a:t>
          </a:r>
          <a:r>
            <a:rPr lang="en-US" sz="900" baseline="0"/>
            <a:t> client peux sousscrire à 1  ou N service</a:t>
          </a:r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228600</xdr:colOff>
      <xdr:row>3</xdr:row>
      <xdr:rowOff>60960</xdr:rowOff>
    </xdr:from>
    <xdr:to>
      <xdr:col>16</xdr:col>
      <xdr:colOff>266700</xdr:colOff>
      <xdr:row>8</xdr:row>
      <xdr:rowOff>83820</xdr:rowOff>
    </xdr:to>
    <xdr:sp macro="" textlink="">
      <xdr:nvSpPr>
        <xdr:cNvPr id="35" name="Speech Bubble: Oval 34">
          <a:extLst>
            <a:ext uri="{FF2B5EF4-FFF2-40B4-BE49-F238E27FC236}">
              <a16:creationId xmlns:a16="http://schemas.microsoft.com/office/drawing/2014/main" id="{E9FC1E77-CD97-4093-9756-8BE2B9A28645}"/>
            </a:ext>
          </a:extLst>
        </xdr:cNvPr>
        <xdr:cNvSpPr/>
      </xdr:nvSpPr>
      <xdr:spPr>
        <a:xfrm>
          <a:off x="8587740" y="518160"/>
          <a:ext cx="1257300" cy="792480"/>
        </a:xfrm>
        <a:prstGeom prst="wedgeEllipse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un service est souscrit par 1 ou N client</a:t>
          </a:r>
        </a:p>
        <a:p>
          <a:pPr algn="l"/>
          <a:endParaRPr lang="en-US" sz="1100"/>
        </a:p>
      </xdr:txBody>
    </xdr:sp>
    <xdr:clientData/>
  </xdr:twoCellAnchor>
  <xdr:twoCellAnchor>
    <xdr:from>
      <xdr:col>1</xdr:col>
      <xdr:colOff>571500</xdr:colOff>
      <xdr:row>37</xdr:row>
      <xdr:rowOff>182880</xdr:rowOff>
    </xdr:from>
    <xdr:to>
      <xdr:col>1</xdr:col>
      <xdr:colOff>579120</xdr:colOff>
      <xdr:row>46</xdr:row>
      <xdr:rowOff>144780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3CC094F5-EC1A-4D29-8D50-E2253FF0C793}"/>
            </a:ext>
          </a:extLst>
        </xdr:cNvPr>
        <xdr:cNvCxnSpPr/>
      </xdr:nvCxnSpPr>
      <xdr:spPr>
        <a:xfrm>
          <a:off x="1181100" y="5577840"/>
          <a:ext cx="7620" cy="14249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320488</xdr:colOff>
      <xdr:row>39</xdr:row>
      <xdr:rowOff>130586</xdr:rowOff>
    </xdr:from>
    <xdr:to>
      <xdr:col>13</xdr:col>
      <xdr:colOff>325269</xdr:colOff>
      <xdr:row>44</xdr:row>
      <xdr:rowOff>77247</xdr:rowOff>
    </xdr:to>
    <xdr:sp macro="" textlink="">
      <xdr:nvSpPr>
        <xdr:cNvPr id="41" name="Speech Bubble: Oval 40">
          <a:extLst>
            <a:ext uri="{FF2B5EF4-FFF2-40B4-BE49-F238E27FC236}">
              <a16:creationId xmlns:a16="http://schemas.microsoft.com/office/drawing/2014/main" id="{33A44680-6A9C-48D8-8E25-4B89066AA219}"/>
            </a:ext>
          </a:extLst>
        </xdr:cNvPr>
        <xdr:cNvSpPr/>
      </xdr:nvSpPr>
      <xdr:spPr>
        <a:xfrm>
          <a:off x="7141135" y="6428292"/>
          <a:ext cx="1244899" cy="731073"/>
        </a:xfrm>
        <a:prstGeom prst="wedgeEllipseCallout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un client detient 1 ou N Asset</a:t>
          </a:r>
          <a:r>
            <a:rPr lang="en-US" sz="900" baseline="0"/>
            <a:t> par pays</a:t>
          </a:r>
        </a:p>
        <a:p>
          <a:pPr algn="l"/>
          <a:endParaRPr lang="en-US" sz="900" baseline="0"/>
        </a:p>
        <a:p>
          <a:pPr algn="l"/>
          <a:endParaRPr lang="en-US" sz="900"/>
        </a:p>
        <a:p>
          <a:pPr algn="l"/>
          <a:endParaRPr lang="en-US" sz="1100"/>
        </a:p>
      </xdr:txBody>
    </xdr:sp>
    <xdr:clientData/>
  </xdr:twoCellAnchor>
  <xdr:twoCellAnchor>
    <xdr:from>
      <xdr:col>10</xdr:col>
      <xdr:colOff>412376</xdr:colOff>
      <xdr:row>40</xdr:row>
      <xdr:rowOff>0</xdr:rowOff>
    </xdr:from>
    <xdr:to>
      <xdr:col>12</xdr:col>
      <xdr:colOff>313765</xdr:colOff>
      <xdr:row>47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3B12090-1216-4464-8542-2B3D062744B5}"/>
            </a:ext>
          </a:extLst>
        </xdr:cNvPr>
        <xdr:cNvCxnSpPr/>
      </xdr:nvCxnSpPr>
      <xdr:spPr>
        <a:xfrm>
          <a:off x="6508376" y="5916706"/>
          <a:ext cx="510989" cy="1120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612588</xdr:colOff>
      <xdr:row>16</xdr:row>
      <xdr:rowOff>149412</xdr:rowOff>
    </xdr:from>
    <xdr:to>
      <xdr:col>10</xdr:col>
      <xdr:colOff>49306</xdr:colOff>
      <xdr:row>34</xdr:row>
      <xdr:rowOff>1495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BA555E09-2235-4D5E-8512-8CD5461D9FE6}"/>
            </a:ext>
          </a:extLst>
        </xdr:cNvPr>
        <xdr:cNvCxnSpPr/>
      </xdr:nvCxnSpPr>
      <xdr:spPr>
        <a:xfrm>
          <a:off x="5573059" y="2652059"/>
          <a:ext cx="676835" cy="25414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1013012</xdr:colOff>
      <xdr:row>12</xdr:row>
      <xdr:rowOff>71718</xdr:rowOff>
    </xdr:from>
    <xdr:to>
      <xdr:col>16</xdr:col>
      <xdr:colOff>591670</xdr:colOff>
      <xdr:row>24</xdr:row>
      <xdr:rowOff>17930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CB4A7DE9-63BB-420E-A7CE-2003BCB32B2C}"/>
            </a:ext>
          </a:extLst>
        </xdr:cNvPr>
        <xdr:cNvCxnSpPr/>
      </xdr:nvCxnSpPr>
      <xdr:spPr>
        <a:xfrm flipV="1">
          <a:off x="8328212" y="1981200"/>
          <a:ext cx="1837764" cy="12012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8965</xdr:colOff>
      <xdr:row>10</xdr:row>
      <xdr:rowOff>80682</xdr:rowOff>
    </xdr:from>
    <xdr:to>
      <xdr:col>15</xdr:col>
      <xdr:colOff>600635</xdr:colOff>
      <xdr:row>23</xdr:row>
      <xdr:rowOff>44824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F85D06D2-4E24-4B44-9169-89398DAEC21A}"/>
            </a:ext>
          </a:extLst>
        </xdr:cNvPr>
        <xdr:cNvCxnSpPr/>
      </xdr:nvCxnSpPr>
      <xdr:spPr>
        <a:xfrm>
          <a:off x="5495365" y="1649506"/>
          <a:ext cx="4069976" cy="14074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277906</xdr:colOff>
      <xdr:row>14</xdr:row>
      <xdr:rowOff>134471</xdr:rowOff>
    </xdr:from>
    <xdr:to>
      <xdr:col>17</xdr:col>
      <xdr:colOff>475129</xdr:colOff>
      <xdr:row>23</xdr:row>
      <xdr:rowOff>8965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19EE7AD2-99D3-4280-ABCC-BB0E5E713F4A}"/>
            </a:ext>
          </a:extLst>
        </xdr:cNvPr>
        <xdr:cNvCxnSpPr/>
      </xdr:nvCxnSpPr>
      <xdr:spPr>
        <a:xfrm flipV="1">
          <a:off x="10461812" y="2348753"/>
          <a:ext cx="197223" cy="6723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612589</xdr:colOff>
      <xdr:row>8</xdr:row>
      <xdr:rowOff>149411</xdr:rowOff>
    </xdr:from>
    <xdr:to>
      <xdr:col>6</xdr:col>
      <xdr:colOff>7471</xdr:colOff>
      <xdr:row>8</xdr:row>
      <xdr:rowOff>164353</xdr:rowOff>
    </xdr:to>
    <xdr:cxnSp macro="">
      <xdr:nvCxnSpPr>
        <xdr:cNvPr id="15" name="Connecteur droit avec flèche 14">
          <a:extLst>
            <a:ext uri="{FF2B5EF4-FFF2-40B4-BE49-F238E27FC236}">
              <a16:creationId xmlns:a16="http://schemas.microsoft.com/office/drawing/2014/main" id="{7FF4951C-75AF-4D40-A91C-ED6D909EA9F9}"/>
            </a:ext>
          </a:extLst>
        </xdr:cNvPr>
        <xdr:cNvCxnSpPr/>
      </xdr:nvCxnSpPr>
      <xdr:spPr>
        <a:xfrm>
          <a:off x="2472765" y="1352176"/>
          <a:ext cx="1255059" cy="149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133350</xdr:rowOff>
    </xdr:from>
    <xdr:to>
      <xdr:col>5</xdr:col>
      <xdr:colOff>755650</xdr:colOff>
      <xdr:row>6</xdr:row>
      <xdr:rowOff>146050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9547D771-D433-43D0-964D-CFA734BDE597}"/>
            </a:ext>
          </a:extLst>
        </xdr:cNvPr>
        <xdr:cNvCxnSpPr/>
      </xdr:nvCxnSpPr>
      <xdr:spPr>
        <a:xfrm flipV="1">
          <a:off x="2286000" y="1250950"/>
          <a:ext cx="227965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</xdr:row>
      <xdr:rowOff>95250</xdr:rowOff>
    </xdr:from>
    <xdr:to>
      <xdr:col>9</xdr:col>
      <xdr:colOff>755650</xdr:colOff>
      <xdr:row>6</xdr:row>
      <xdr:rowOff>139700</xdr:rowOff>
    </xdr:to>
    <xdr:cxnSp macro="">
      <xdr:nvCxnSpPr>
        <xdr:cNvPr id="5" name="Connecteur droit avec flèche 4">
          <a:extLst>
            <a:ext uri="{FF2B5EF4-FFF2-40B4-BE49-F238E27FC236}">
              <a16:creationId xmlns:a16="http://schemas.microsoft.com/office/drawing/2014/main" id="{2CB795E2-D7AB-4994-8D2D-CF0A124D8A54}"/>
            </a:ext>
          </a:extLst>
        </xdr:cNvPr>
        <xdr:cNvCxnSpPr/>
      </xdr:nvCxnSpPr>
      <xdr:spPr>
        <a:xfrm flipV="1">
          <a:off x="6540500" y="1212850"/>
          <a:ext cx="2279650" cy="44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355600</xdr:colOff>
      <xdr:row>14</xdr:row>
      <xdr:rowOff>6350</xdr:rowOff>
    </xdr:from>
    <xdr:to>
      <xdr:col>3</xdr:col>
      <xdr:colOff>285750</xdr:colOff>
      <xdr:row>19</xdr:row>
      <xdr:rowOff>184150</xdr:rowOff>
    </xdr:to>
    <xdr:cxnSp macro="">
      <xdr:nvCxnSpPr>
        <xdr:cNvPr id="7" name="Connecteur droit avec flèche 6">
          <a:extLst>
            <a:ext uri="{FF2B5EF4-FFF2-40B4-BE49-F238E27FC236}">
              <a16:creationId xmlns:a16="http://schemas.microsoft.com/office/drawing/2014/main" id="{89CE2B49-F54E-4528-A3B9-FE19C849D641}"/>
            </a:ext>
          </a:extLst>
        </xdr:cNvPr>
        <xdr:cNvCxnSpPr/>
      </xdr:nvCxnSpPr>
      <xdr:spPr>
        <a:xfrm>
          <a:off x="1879600" y="2609850"/>
          <a:ext cx="692150" cy="1098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577850</xdr:colOff>
      <xdr:row>10</xdr:row>
      <xdr:rowOff>6350</xdr:rowOff>
    </xdr:from>
    <xdr:to>
      <xdr:col>10</xdr:col>
      <xdr:colOff>146050</xdr:colOff>
      <xdr:row>20</xdr:row>
      <xdr:rowOff>6350</xdr:rowOff>
    </xdr:to>
    <xdr:cxnSp macro="">
      <xdr:nvCxnSpPr>
        <xdr:cNvPr id="9" name="Connecteur droit avec flèche 8">
          <a:extLst>
            <a:ext uri="{FF2B5EF4-FFF2-40B4-BE49-F238E27FC236}">
              <a16:creationId xmlns:a16="http://schemas.microsoft.com/office/drawing/2014/main" id="{B2F9AE3A-5786-4BF6-A04F-FC634E80CDD2}"/>
            </a:ext>
          </a:extLst>
        </xdr:cNvPr>
        <xdr:cNvCxnSpPr/>
      </xdr:nvCxnSpPr>
      <xdr:spPr>
        <a:xfrm flipH="1">
          <a:off x="7880350" y="1866900"/>
          <a:ext cx="1092200" cy="1854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69850</xdr:colOff>
      <xdr:row>26</xdr:row>
      <xdr:rowOff>6350</xdr:rowOff>
    </xdr:from>
    <xdr:to>
      <xdr:col>3</xdr:col>
      <xdr:colOff>711200</xdr:colOff>
      <xdr:row>32</xdr:row>
      <xdr:rowOff>0</xdr:rowOff>
    </xdr:to>
    <xdr:cxnSp macro="">
      <xdr:nvCxnSpPr>
        <xdr:cNvPr id="12" name="Connecteur droit avec flèche 11">
          <a:extLst>
            <a:ext uri="{FF2B5EF4-FFF2-40B4-BE49-F238E27FC236}">
              <a16:creationId xmlns:a16="http://schemas.microsoft.com/office/drawing/2014/main" id="{665A6B8C-8C5E-4F50-9A33-DB0F08196AE8}"/>
            </a:ext>
          </a:extLst>
        </xdr:cNvPr>
        <xdr:cNvCxnSpPr/>
      </xdr:nvCxnSpPr>
      <xdr:spPr>
        <a:xfrm flipH="1">
          <a:off x="2355850" y="4838700"/>
          <a:ext cx="641350" cy="1104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1879600</xdr:colOff>
      <xdr:row>26</xdr:row>
      <xdr:rowOff>6350</xdr:rowOff>
    </xdr:from>
    <xdr:to>
      <xdr:col>7</xdr:col>
      <xdr:colOff>501650</xdr:colOff>
      <xdr:row>31</xdr:row>
      <xdr:rowOff>177800</xdr:rowOff>
    </xdr:to>
    <xdr:cxnSp macro="">
      <xdr:nvCxnSpPr>
        <xdr:cNvPr id="14" name="Connecteur droit avec flèche 13">
          <a:extLst>
            <a:ext uri="{FF2B5EF4-FFF2-40B4-BE49-F238E27FC236}">
              <a16:creationId xmlns:a16="http://schemas.microsoft.com/office/drawing/2014/main" id="{1FE9E5A8-ED2C-4650-A816-ADDB6BD8B919}"/>
            </a:ext>
          </a:extLst>
        </xdr:cNvPr>
        <xdr:cNvCxnSpPr/>
      </xdr:nvCxnSpPr>
      <xdr:spPr>
        <a:xfrm flipH="1">
          <a:off x="6451600" y="4838700"/>
          <a:ext cx="590550" cy="1092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615950</xdr:colOff>
      <xdr:row>2</xdr:row>
      <xdr:rowOff>31750</xdr:rowOff>
    </xdr:from>
    <xdr:to>
      <xdr:col>5</xdr:col>
      <xdr:colOff>146050</xdr:colOff>
      <xdr:row>6</xdr:row>
      <xdr:rowOff>19050</xdr:rowOff>
    </xdr:to>
    <xdr:sp macro="" textlink="">
      <xdr:nvSpPr>
        <xdr:cNvPr id="15" name="Bulle narrative : ronde 14">
          <a:extLst>
            <a:ext uri="{FF2B5EF4-FFF2-40B4-BE49-F238E27FC236}">
              <a16:creationId xmlns:a16="http://schemas.microsoft.com/office/drawing/2014/main" id="{E96F018D-1CD9-462F-91EA-D672A479DB77}"/>
            </a:ext>
          </a:extLst>
        </xdr:cNvPr>
        <xdr:cNvSpPr/>
      </xdr:nvSpPr>
      <xdr:spPr>
        <a:xfrm>
          <a:off x="2901950" y="400050"/>
          <a:ext cx="1054100" cy="736600"/>
        </a:xfrm>
        <a:prstGeom prst="wedgeEllipse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800"/>
            <a:t>un client souscrit à 1 ou N services</a:t>
          </a:r>
        </a:p>
        <a:p>
          <a:pPr algn="l"/>
          <a:endParaRPr lang="fr-FR" sz="1100"/>
        </a:p>
      </xdr:txBody>
    </xdr:sp>
    <xdr:clientData/>
  </xdr:twoCellAnchor>
  <xdr:twoCellAnchor>
    <xdr:from>
      <xdr:col>7</xdr:col>
      <xdr:colOff>730250</xdr:colOff>
      <xdr:row>1</xdr:row>
      <xdr:rowOff>158750</xdr:rowOff>
    </xdr:from>
    <xdr:to>
      <xdr:col>9</xdr:col>
      <xdr:colOff>374650</xdr:colOff>
      <xdr:row>5</xdr:row>
      <xdr:rowOff>158750</xdr:rowOff>
    </xdr:to>
    <xdr:sp macro="" textlink="">
      <xdr:nvSpPr>
        <xdr:cNvPr id="16" name="Bulle narrative : ronde 15">
          <a:extLst>
            <a:ext uri="{FF2B5EF4-FFF2-40B4-BE49-F238E27FC236}">
              <a16:creationId xmlns:a16="http://schemas.microsoft.com/office/drawing/2014/main" id="{DA57931F-BA24-46B7-9ED5-F7B1C6E42CE0}"/>
            </a:ext>
          </a:extLst>
        </xdr:cNvPr>
        <xdr:cNvSpPr/>
      </xdr:nvSpPr>
      <xdr:spPr>
        <a:xfrm>
          <a:off x="7270750" y="342900"/>
          <a:ext cx="1168400" cy="749300"/>
        </a:xfrm>
        <a:prstGeom prst="wedgeEllipse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800"/>
            <a:t>un service est souscrit par 1 ou N client</a:t>
          </a:r>
        </a:p>
        <a:p>
          <a:pPr algn="l"/>
          <a:endParaRPr lang="fr-FR" sz="1100"/>
        </a:p>
      </xdr:txBody>
    </xdr:sp>
    <xdr:clientData/>
  </xdr:twoCellAnchor>
  <xdr:twoCellAnchor>
    <xdr:from>
      <xdr:col>3</xdr:col>
      <xdr:colOff>107950</xdr:colOff>
      <xdr:row>15</xdr:row>
      <xdr:rowOff>19050</xdr:rowOff>
    </xdr:from>
    <xdr:to>
      <xdr:col>4</xdr:col>
      <xdr:colOff>342900</xdr:colOff>
      <xdr:row>18</xdr:row>
      <xdr:rowOff>127000</xdr:rowOff>
    </xdr:to>
    <xdr:sp macro="" textlink="">
      <xdr:nvSpPr>
        <xdr:cNvPr id="17" name="Bulle narrative : ronde 16">
          <a:extLst>
            <a:ext uri="{FF2B5EF4-FFF2-40B4-BE49-F238E27FC236}">
              <a16:creationId xmlns:a16="http://schemas.microsoft.com/office/drawing/2014/main" id="{E39384D2-3673-4A48-805C-4A8AA2313956}"/>
            </a:ext>
          </a:extLst>
        </xdr:cNvPr>
        <xdr:cNvSpPr/>
      </xdr:nvSpPr>
      <xdr:spPr>
        <a:xfrm>
          <a:off x="2393950" y="2806700"/>
          <a:ext cx="996950" cy="660400"/>
        </a:xfrm>
        <a:prstGeom prst="wedgeEllipseCallout">
          <a:avLst/>
        </a:prstGeom>
        <a:solidFill>
          <a:srgbClr val="CCCC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800"/>
            <a:t>un client a 1 ou N priorite</a:t>
          </a:r>
        </a:p>
        <a:p>
          <a:pPr algn="l"/>
          <a:endParaRPr lang="fr-FR" sz="1100"/>
        </a:p>
        <a:p>
          <a:pPr algn="l"/>
          <a:endParaRPr lang="fr-FR" sz="1100"/>
        </a:p>
      </xdr:txBody>
    </xdr:sp>
    <xdr:clientData/>
  </xdr:twoCellAnchor>
  <xdr:twoCellAnchor>
    <xdr:from>
      <xdr:col>7</xdr:col>
      <xdr:colOff>596900</xdr:colOff>
      <xdr:row>13</xdr:row>
      <xdr:rowOff>69850</xdr:rowOff>
    </xdr:from>
    <xdr:to>
      <xdr:col>9</xdr:col>
      <xdr:colOff>196850</xdr:colOff>
      <xdr:row>17</xdr:row>
      <xdr:rowOff>50800</xdr:rowOff>
    </xdr:to>
    <xdr:sp macro="" textlink="">
      <xdr:nvSpPr>
        <xdr:cNvPr id="18" name="Bulle narrative : ronde 17">
          <a:extLst>
            <a:ext uri="{FF2B5EF4-FFF2-40B4-BE49-F238E27FC236}">
              <a16:creationId xmlns:a16="http://schemas.microsoft.com/office/drawing/2014/main" id="{864E04DC-D273-44D5-BF2B-101077C3A794}"/>
            </a:ext>
          </a:extLst>
        </xdr:cNvPr>
        <xdr:cNvSpPr/>
      </xdr:nvSpPr>
      <xdr:spPr>
        <a:xfrm>
          <a:off x="7137400" y="2482850"/>
          <a:ext cx="1123950" cy="723900"/>
        </a:xfrm>
        <a:prstGeom prst="wedgeEllipseCallou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800"/>
            <a:t>un client detient 1 a N asset</a:t>
          </a:r>
        </a:p>
        <a:p>
          <a:pPr algn="l"/>
          <a:endParaRPr lang="fr-FR" sz="1100"/>
        </a:p>
      </xdr:txBody>
    </xdr:sp>
    <xdr:clientData/>
  </xdr:twoCellAnchor>
  <xdr:twoCellAnchor>
    <xdr:from>
      <xdr:col>6</xdr:col>
      <xdr:colOff>984250</xdr:colOff>
      <xdr:row>26</xdr:row>
      <xdr:rowOff>120650</xdr:rowOff>
    </xdr:from>
    <xdr:to>
      <xdr:col>7</xdr:col>
      <xdr:colOff>139700</xdr:colOff>
      <xdr:row>30</xdr:row>
      <xdr:rowOff>107950</xdr:rowOff>
    </xdr:to>
    <xdr:sp macro="" textlink="">
      <xdr:nvSpPr>
        <xdr:cNvPr id="19" name="Bulle narrative : ronde 18">
          <a:extLst>
            <a:ext uri="{FF2B5EF4-FFF2-40B4-BE49-F238E27FC236}">
              <a16:creationId xmlns:a16="http://schemas.microsoft.com/office/drawing/2014/main" id="{5ABC45E4-DD8C-4ECB-87CA-135B3567651E}"/>
            </a:ext>
          </a:extLst>
        </xdr:cNvPr>
        <xdr:cNvSpPr/>
      </xdr:nvSpPr>
      <xdr:spPr>
        <a:xfrm>
          <a:off x="5556250" y="4953000"/>
          <a:ext cx="1123950" cy="723900"/>
        </a:xfrm>
        <a:prstGeom prst="wedgeEllipseCallou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800"/>
            <a:t>un asset</a:t>
          </a:r>
          <a:r>
            <a:rPr lang="fr-FR" sz="800" baseline="0"/>
            <a:t> est</a:t>
          </a:r>
          <a:r>
            <a:rPr lang="fr-FR" sz="800"/>
            <a:t> detenu</a:t>
          </a:r>
          <a:r>
            <a:rPr lang="fr-FR" sz="800" baseline="0"/>
            <a:t> par</a:t>
          </a:r>
          <a:r>
            <a:rPr lang="fr-FR" sz="800"/>
            <a:t> 1 a N client</a:t>
          </a:r>
        </a:p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FD28-B922-4990-BB0F-D184DB280F90}">
  <dimension ref="A1:J26"/>
  <sheetViews>
    <sheetView tabSelected="1" workbookViewId="0">
      <selection activeCell="G22" sqref="G22:H22"/>
    </sheetView>
  </sheetViews>
  <sheetFormatPr baseColWidth="10" defaultColWidth="11.54296875" defaultRowHeight="14.5" x14ac:dyDescent="0.35"/>
  <cols>
    <col min="1" max="1" width="26.08984375" customWidth="1"/>
    <col min="2" max="2" width="5.90625" customWidth="1"/>
    <col min="3" max="3" width="4.90625" customWidth="1"/>
    <col min="4" max="4" width="5.90625" customWidth="1"/>
    <col min="5" max="5" width="31" customWidth="1"/>
    <col min="6" max="6" width="3" customWidth="1"/>
    <col min="7" max="8" width="15.90625" customWidth="1"/>
    <col min="9" max="9" width="7.54296875" customWidth="1"/>
    <col min="10" max="10" width="31.36328125" customWidth="1"/>
  </cols>
  <sheetData>
    <row r="1" spans="1:10" x14ac:dyDescent="0.35">
      <c r="A1" s="2" t="s">
        <v>133</v>
      </c>
      <c r="B1" s="2"/>
      <c r="C1" s="2"/>
      <c r="D1" s="2"/>
      <c r="E1" s="2"/>
      <c r="F1" s="2"/>
      <c r="G1" s="2"/>
      <c r="H1" s="2"/>
      <c r="I1" s="2"/>
      <c r="J1" s="2"/>
    </row>
    <row r="2" spans="1:10" ht="15" thickBot="1" x14ac:dyDescent="0.4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15" thickBot="1" x14ac:dyDescent="0.4">
      <c r="A3" s="52" t="s">
        <v>168</v>
      </c>
      <c r="B3" s="53"/>
      <c r="C3" s="53"/>
      <c r="D3" s="2"/>
      <c r="E3" s="54" t="s">
        <v>212</v>
      </c>
      <c r="F3" s="2"/>
      <c r="G3" s="2"/>
      <c r="H3" s="2"/>
      <c r="I3" s="2"/>
      <c r="J3" s="54" t="s">
        <v>134</v>
      </c>
    </row>
    <row r="4" spans="1:10" ht="30" customHeight="1" x14ac:dyDescent="0.35">
      <c r="A4" s="55" t="s">
        <v>169</v>
      </c>
      <c r="B4" s="56"/>
      <c r="C4" s="56"/>
      <c r="D4" s="4"/>
      <c r="E4" s="55" t="s">
        <v>131</v>
      </c>
      <c r="F4" s="4"/>
      <c r="G4" s="4"/>
      <c r="H4" s="4"/>
      <c r="I4" s="4"/>
      <c r="J4" s="57" t="s">
        <v>199</v>
      </c>
    </row>
    <row r="5" spans="1:10" ht="27.75" customHeight="1" x14ac:dyDescent="0.35">
      <c r="A5" s="55" t="s">
        <v>205</v>
      </c>
      <c r="B5" s="58"/>
      <c r="C5" s="58"/>
      <c r="D5" s="4"/>
      <c r="E5" s="57" t="s">
        <v>135</v>
      </c>
      <c r="F5" s="4"/>
      <c r="G5" s="4"/>
      <c r="H5" s="4"/>
      <c r="I5" s="4"/>
      <c r="J5" s="57" t="s">
        <v>170</v>
      </c>
    </row>
    <row r="6" spans="1:10" x14ac:dyDescent="0.35">
      <c r="A6" s="57"/>
      <c r="B6" s="56"/>
      <c r="C6" s="56"/>
      <c r="D6" s="4"/>
      <c r="E6" s="57" t="s">
        <v>136</v>
      </c>
      <c r="F6" s="4"/>
      <c r="G6" s="4"/>
      <c r="H6" s="4"/>
      <c r="I6" s="4"/>
      <c r="J6" s="57" t="s">
        <v>127</v>
      </c>
    </row>
    <row r="7" spans="1:10" x14ac:dyDescent="0.35">
      <c r="A7" s="57"/>
      <c r="B7" s="56"/>
      <c r="C7" s="56"/>
      <c r="D7" s="4"/>
      <c r="E7" s="57" t="s">
        <v>137</v>
      </c>
      <c r="F7" s="4"/>
      <c r="G7" s="4"/>
      <c r="H7" s="4"/>
      <c r="I7" s="4"/>
      <c r="J7" s="57"/>
    </row>
    <row r="8" spans="1:10" ht="19.5" customHeight="1" x14ac:dyDescent="0.35">
      <c r="A8" s="57"/>
      <c r="B8" s="56"/>
      <c r="C8" s="56"/>
      <c r="D8" s="4"/>
      <c r="E8" s="59" t="s">
        <v>204</v>
      </c>
      <c r="F8" s="4"/>
      <c r="G8" s="4"/>
      <c r="H8" s="4"/>
      <c r="I8" s="4"/>
      <c r="J8" s="57"/>
    </row>
    <row r="9" spans="1:10" ht="60.5" thickBot="1" x14ac:dyDescent="0.4">
      <c r="A9" s="57"/>
      <c r="B9" s="60" t="s">
        <v>132</v>
      </c>
      <c r="C9" s="61"/>
      <c r="D9" s="61" t="s">
        <v>132</v>
      </c>
      <c r="E9" s="59" t="s">
        <v>213</v>
      </c>
      <c r="F9" s="60" t="s">
        <v>132</v>
      </c>
      <c r="G9" s="61"/>
      <c r="H9" s="61"/>
      <c r="I9" s="61" t="s">
        <v>132</v>
      </c>
      <c r="J9" s="57"/>
    </row>
    <row r="10" spans="1:10" x14ac:dyDescent="0.35">
      <c r="A10" s="57"/>
      <c r="B10" s="56"/>
      <c r="C10" s="56"/>
      <c r="D10" s="4"/>
      <c r="E10" s="57" t="s">
        <v>207</v>
      </c>
      <c r="F10" s="4"/>
      <c r="G10" s="62"/>
      <c r="H10" s="4"/>
      <c r="I10" s="4"/>
      <c r="J10" s="57"/>
    </row>
    <row r="11" spans="1:10" x14ac:dyDescent="0.35">
      <c r="A11" s="64"/>
      <c r="B11" s="56"/>
      <c r="C11" s="56"/>
      <c r="D11" s="4"/>
      <c r="E11" s="64"/>
      <c r="F11" s="4"/>
      <c r="G11" s="63"/>
      <c r="H11" s="4"/>
      <c r="I11" s="4"/>
      <c r="J11" s="64"/>
    </row>
    <row r="12" spans="1:10" x14ac:dyDescent="0.35">
      <c r="A12" s="4"/>
      <c r="B12" s="4"/>
      <c r="C12" s="4"/>
      <c r="D12" s="4"/>
      <c r="E12" s="4"/>
      <c r="F12" s="4"/>
      <c r="G12" s="63"/>
      <c r="H12" s="4"/>
      <c r="I12" s="4"/>
      <c r="J12" s="4"/>
    </row>
    <row r="13" spans="1:10" ht="15" thickBot="1" x14ac:dyDescent="0.4">
      <c r="A13" s="2"/>
      <c r="B13" s="2"/>
      <c r="C13" s="2"/>
      <c r="D13" s="2"/>
      <c r="E13" s="2"/>
      <c r="F13" s="2"/>
      <c r="G13" s="65"/>
      <c r="H13" s="2"/>
      <c r="I13" s="2"/>
      <c r="J13" s="2"/>
    </row>
    <row r="14" spans="1:10" ht="15" thickBot="1" x14ac:dyDescent="0.4">
      <c r="A14" s="2"/>
      <c r="B14" s="2"/>
      <c r="C14" s="2"/>
      <c r="D14" s="2"/>
      <c r="E14" s="2"/>
      <c r="F14" s="2"/>
      <c r="G14" s="165" t="s">
        <v>201</v>
      </c>
      <c r="H14" s="166"/>
      <c r="I14" s="2"/>
      <c r="J14" s="2"/>
    </row>
    <row r="15" spans="1:10" x14ac:dyDescent="0.35">
      <c r="A15" s="2"/>
      <c r="B15" s="2"/>
      <c r="C15" s="2"/>
      <c r="D15" s="2"/>
      <c r="E15" s="2"/>
      <c r="F15" s="2"/>
      <c r="G15" s="167" t="s">
        <v>28</v>
      </c>
      <c r="H15" s="168"/>
      <c r="I15" s="2"/>
      <c r="J15" s="2"/>
    </row>
    <row r="16" spans="1:10" x14ac:dyDescent="0.35">
      <c r="A16" s="2"/>
      <c r="B16" s="2"/>
      <c r="C16" s="2"/>
      <c r="D16" s="2"/>
      <c r="E16" s="2"/>
      <c r="F16" s="2"/>
      <c r="G16" s="161" t="s">
        <v>29</v>
      </c>
      <c r="H16" s="162"/>
      <c r="I16" s="2"/>
      <c r="J16" s="2"/>
    </row>
    <row r="17" spans="1:10" x14ac:dyDescent="0.35">
      <c r="A17" s="2"/>
      <c r="B17" s="2"/>
      <c r="C17" s="2"/>
      <c r="D17" s="2"/>
      <c r="E17" s="2"/>
      <c r="F17" s="2"/>
      <c r="G17" s="161" t="s">
        <v>200</v>
      </c>
      <c r="H17" s="162"/>
      <c r="I17" s="2"/>
      <c r="J17" s="2"/>
    </row>
    <row r="18" spans="1:10" x14ac:dyDescent="0.35">
      <c r="A18" s="2"/>
      <c r="B18" s="2"/>
      <c r="C18" s="2"/>
      <c r="D18" s="2"/>
      <c r="E18" s="2"/>
      <c r="F18" s="2"/>
      <c r="G18" s="161" t="s">
        <v>83</v>
      </c>
      <c r="H18" s="162"/>
      <c r="I18" s="2"/>
      <c r="J18" s="2"/>
    </row>
    <row r="19" spans="1:10" x14ac:dyDescent="0.35">
      <c r="A19" s="2"/>
      <c r="B19" s="2"/>
      <c r="C19" s="2"/>
      <c r="D19" s="2"/>
      <c r="E19" s="2"/>
      <c r="F19" s="2"/>
      <c r="G19" s="161" t="s">
        <v>66</v>
      </c>
      <c r="H19" s="162"/>
      <c r="I19" s="2"/>
      <c r="J19" s="2"/>
    </row>
    <row r="20" spans="1:10" x14ac:dyDescent="0.35">
      <c r="A20" s="2"/>
      <c r="B20" s="2"/>
      <c r="C20" s="2"/>
      <c r="D20" s="2"/>
      <c r="E20" s="2"/>
      <c r="F20" s="2"/>
      <c r="G20" s="161" t="s">
        <v>206</v>
      </c>
      <c r="H20" s="162"/>
      <c r="I20" s="2"/>
      <c r="J20" s="2"/>
    </row>
    <row r="21" spans="1:10" x14ac:dyDescent="0.35">
      <c r="A21" s="2"/>
      <c r="B21" s="2"/>
      <c r="C21" s="2"/>
      <c r="D21" s="2"/>
      <c r="E21" s="2"/>
      <c r="F21" s="2"/>
      <c r="G21" s="161" t="s">
        <v>202</v>
      </c>
      <c r="H21" s="162"/>
      <c r="I21" s="2"/>
      <c r="J21" s="2"/>
    </row>
    <row r="22" spans="1:10" x14ac:dyDescent="0.35">
      <c r="A22" s="2"/>
      <c r="B22" s="2"/>
      <c r="C22" s="2"/>
      <c r="D22" s="2"/>
      <c r="E22" s="2"/>
      <c r="F22" s="2"/>
      <c r="G22" s="163" t="s">
        <v>203</v>
      </c>
      <c r="H22" s="164"/>
      <c r="I22" s="2"/>
      <c r="J22" s="2"/>
    </row>
    <row r="23" spans="1:10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</row>
  </sheetData>
  <mergeCells count="9">
    <mergeCell ref="G19:H19"/>
    <mergeCell ref="G20:H20"/>
    <mergeCell ref="G21:H21"/>
    <mergeCell ref="G22:H22"/>
    <mergeCell ref="G14:H14"/>
    <mergeCell ref="G15:H15"/>
    <mergeCell ref="G16:H16"/>
    <mergeCell ref="G17:H17"/>
    <mergeCell ref="G18:H18"/>
  </mergeCells>
  <pageMargins left="0.7" right="0.7" top="0.75" bottom="0.75" header="0.3" footer="0.3"/>
  <pageSetup paperSize="9" orientation="portrait" r:id="rId1"/>
  <customProperties>
    <customPr name="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AA9EE-C8A6-4C4E-831B-1154FF8309F4}">
  <dimension ref="A1:L147"/>
  <sheetViews>
    <sheetView topLeftCell="A20" zoomScale="102" zoomScaleNormal="102" workbookViewId="0">
      <selection activeCell="B26" sqref="B26"/>
    </sheetView>
  </sheetViews>
  <sheetFormatPr baseColWidth="10" defaultColWidth="11.54296875" defaultRowHeight="14.5" x14ac:dyDescent="0.35"/>
  <cols>
    <col min="1" max="1" width="21.36328125" style="3" customWidth="1"/>
    <col min="2" max="2" width="18.6328125" style="3" customWidth="1"/>
    <col min="3" max="3" width="24" style="3" customWidth="1"/>
    <col min="4" max="4" width="35.90625" style="3" customWidth="1"/>
    <col min="5" max="5" width="24.54296875" style="3" customWidth="1"/>
    <col min="6" max="6" width="17.6328125" style="3" customWidth="1"/>
    <col min="7" max="7" width="37" style="3" customWidth="1"/>
    <col min="8" max="8" width="11.453125" style="3"/>
    <col min="9" max="9" width="33.54296875" style="3" bestFit="1" customWidth="1"/>
    <col min="10" max="10" width="20.453125" bestFit="1" customWidth="1"/>
  </cols>
  <sheetData>
    <row r="1" spans="1:12" ht="19.5" customHeight="1" x14ac:dyDescent="0.35">
      <c r="A1" s="50" t="s">
        <v>46</v>
      </c>
      <c r="C1" s="169" t="s">
        <v>53</v>
      </c>
      <c r="D1" s="169"/>
      <c r="E1" s="169"/>
      <c r="H1" s="24" t="s">
        <v>47</v>
      </c>
      <c r="I1" s="3" t="s">
        <v>229</v>
      </c>
      <c r="J1" t="s">
        <v>242</v>
      </c>
    </row>
    <row r="2" spans="1:12" ht="19.5" customHeight="1" x14ac:dyDescent="0.35"/>
    <row r="3" spans="1:12" ht="34.5" customHeight="1" x14ac:dyDescent="0.35">
      <c r="A3" s="25" t="s">
        <v>0</v>
      </c>
      <c r="B3" s="26" t="s">
        <v>1</v>
      </c>
      <c r="C3" s="26" t="s">
        <v>9</v>
      </c>
      <c r="D3" s="26" t="s">
        <v>2</v>
      </c>
      <c r="E3" s="26" t="s">
        <v>3</v>
      </c>
      <c r="F3" s="26" t="s">
        <v>5</v>
      </c>
      <c r="G3" s="27" t="s">
        <v>129</v>
      </c>
    </row>
    <row r="4" spans="1:12" ht="43.5" x14ac:dyDescent="0.35">
      <c r="A4" s="133" t="s">
        <v>4</v>
      </c>
      <c r="B4" s="104" t="s">
        <v>16</v>
      </c>
      <c r="C4" s="8" t="s">
        <v>39</v>
      </c>
      <c r="D4" s="8" t="s">
        <v>158</v>
      </c>
      <c r="E4" s="8" t="s">
        <v>33</v>
      </c>
      <c r="F4" s="8"/>
      <c r="G4" s="9" t="s">
        <v>124</v>
      </c>
      <c r="H4" s="4" t="s">
        <v>247</v>
      </c>
      <c r="I4" s="71"/>
      <c r="J4" s="2"/>
      <c r="K4" s="2"/>
      <c r="L4" s="2"/>
    </row>
    <row r="5" spans="1:12" ht="48" x14ac:dyDescent="0.35">
      <c r="A5" s="5"/>
      <c r="B5" s="10" t="s">
        <v>17</v>
      </c>
      <c r="C5" s="11" t="s">
        <v>18</v>
      </c>
      <c r="D5" s="11" t="s">
        <v>19</v>
      </c>
      <c r="E5" s="11" t="s">
        <v>33</v>
      </c>
      <c r="F5" s="12" t="s">
        <v>40</v>
      </c>
      <c r="G5" s="13" t="s">
        <v>124</v>
      </c>
      <c r="H5" s="4"/>
      <c r="I5" s="4" t="s">
        <v>230</v>
      </c>
      <c r="J5" s="2"/>
      <c r="K5" s="2"/>
      <c r="L5" s="2"/>
    </row>
    <row r="6" spans="1:12" ht="36" x14ac:dyDescent="0.35">
      <c r="A6" s="5"/>
      <c r="B6" s="33" t="s">
        <v>68</v>
      </c>
      <c r="C6" s="15"/>
      <c r="D6" s="34" t="s">
        <v>69</v>
      </c>
      <c r="E6" s="15" t="s">
        <v>33</v>
      </c>
      <c r="F6" s="15"/>
      <c r="G6" s="16" t="s">
        <v>130</v>
      </c>
      <c r="H6" s="4"/>
      <c r="I6" s="4" t="s">
        <v>231</v>
      </c>
      <c r="J6" s="2"/>
      <c r="K6" s="2"/>
      <c r="L6" s="2"/>
    </row>
    <row r="7" spans="1:12" ht="36" x14ac:dyDescent="0.35">
      <c r="A7" s="5"/>
      <c r="B7" s="105" t="s">
        <v>8</v>
      </c>
      <c r="C7" s="15" t="s">
        <v>232</v>
      </c>
      <c r="D7" s="15" t="s">
        <v>42</v>
      </c>
      <c r="E7" s="15" t="s">
        <v>57</v>
      </c>
      <c r="F7" s="15" t="s">
        <v>10</v>
      </c>
      <c r="G7" s="16" t="s">
        <v>126</v>
      </c>
      <c r="H7" s="4"/>
      <c r="I7" s="71"/>
      <c r="J7" s="2"/>
      <c r="K7" s="2"/>
      <c r="L7" s="2"/>
    </row>
    <row r="8" spans="1:12" ht="33" customHeight="1" x14ac:dyDescent="0.35">
      <c r="A8" s="5"/>
      <c r="B8" s="105" t="s">
        <v>127</v>
      </c>
      <c r="C8" s="15" t="s">
        <v>14</v>
      </c>
      <c r="D8" s="15" t="s">
        <v>15</v>
      </c>
      <c r="E8" s="15" t="s">
        <v>57</v>
      </c>
      <c r="F8" s="15" t="s">
        <v>177</v>
      </c>
      <c r="G8" s="16" t="s">
        <v>125</v>
      </c>
      <c r="H8" s="4"/>
      <c r="I8" s="71"/>
      <c r="J8" s="2"/>
      <c r="K8" s="2"/>
      <c r="L8" s="2"/>
    </row>
    <row r="9" spans="1:12" ht="33" customHeight="1" x14ac:dyDescent="0.35">
      <c r="A9" s="5"/>
      <c r="B9" s="44" t="s">
        <v>54</v>
      </c>
      <c r="C9" s="45" t="s">
        <v>55</v>
      </c>
      <c r="D9" s="45" t="s">
        <v>56</v>
      </c>
      <c r="E9" s="45" t="s">
        <v>128</v>
      </c>
      <c r="F9" s="45"/>
      <c r="G9" s="46" t="s">
        <v>124</v>
      </c>
      <c r="H9" s="4"/>
      <c r="I9" s="4" t="s">
        <v>233</v>
      </c>
      <c r="J9" s="72" t="s">
        <v>243</v>
      </c>
      <c r="K9" s="2"/>
      <c r="L9" s="2"/>
    </row>
    <row r="10" spans="1:12" ht="204" x14ac:dyDescent="0.35">
      <c r="A10" s="5"/>
      <c r="B10" s="14" t="s">
        <v>11</v>
      </c>
      <c r="C10" s="15" t="s">
        <v>12</v>
      </c>
      <c r="D10" s="15" t="s">
        <v>43</v>
      </c>
      <c r="E10" s="17" t="s">
        <v>175</v>
      </c>
      <c r="F10" s="15" t="s">
        <v>178</v>
      </c>
      <c r="G10" s="18" t="s">
        <v>171</v>
      </c>
      <c r="H10" s="4"/>
      <c r="I10" s="4" t="s">
        <v>234</v>
      </c>
      <c r="J10" s="2" t="s">
        <v>244</v>
      </c>
      <c r="K10" s="2"/>
      <c r="L10" s="2"/>
    </row>
    <row r="11" spans="1:12" ht="33" customHeight="1" x14ac:dyDescent="0.35">
      <c r="A11" s="5"/>
      <c r="B11" s="106" t="s">
        <v>173</v>
      </c>
      <c r="C11" s="35" t="s">
        <v>78</v>
      </c>
      <c r="D11" s="35" t="s">
        <v>82</v>
      </c>
      <c r="E11" s="15" t="s">
        <v>57</v>
      </c>
      <c r="F11" s="15" t="s">
        <v>179</v>
      </c>
      <c r="G11" s="15" t="s">
        <v>125</v>
      </c>
      <c r="H11" s="4"/>
      <c r="I11" s="71"/>
      <c r="J11" s="2"/>
      <c r="K11" s="2"/>
      <c r="L11" s="2"/>
    </row>
    <row r="12" spans="1:12" ht="36" x14ac:dyDescent="0.35">
      <c r="A12" s="6"/>
      <c r="B12" s="47" t="s">
        <v>20</v>
      </c>
      <c r="C12" s="48" t="s">
        <v>51</v>
      </c>
      <c r="D12" s="48" t="s">
        <v>49</v>
      </c>
      <c r="E12" s="48" t="s">
        <v>48</v>
      </c>
      <c r="F12" s="48" t="s">
        <v>50</v>
      </c>
      <c r="G12" s="49" t="s">
        <v>58</v>
      </c>
      <c r="H12" s="4"/>
      <c r="I12" s="4" t="s">
        <v>235</v>
      </c>
      <c r="J12" s="2" t="s">
        <v>244</v>
      </c>
      <c r="K12" s="2"/>
      <c r="L12" s="2"/>
    </row>
    <row r="13" spans="1:12" ht="204" x14ac:dyDescent="0.35">
      <c r="A13" s="135" t="s">
        <v>13</v>
      </c>
      <c r="B13" s="136" t="s">
        <v>237</v>
      </c>
      <c r="C13" s="8" t="s">
        <v>12</v>
      </c>
      <c r="D13" s="8"/>
      <c r="E13" s="17" t="s">
        <v>175</v>
      </c>
      <c r="F13" s="15" t="s">
        <v>197</v>
      </c>
      <c r="G13" s="18" t="s">
        <v>171</v>
      </c>
      <c r="H13" s="4"/>
      <c r="I13" s="71"/>
      <c r="J13" s="2"/>
      <c r="K13" s="2"/>
      <c r="L13" s="2"/>
    </row>
    <row r="14" spans="1:12" ht="33" customHeight="1" x14ac:dyDescent="0.35">
      <c r="A14" s="5"/>
      <c r="B14" s="107" t="s">
        <v>59</v>
      </c>
      <c r="C14" s="28" t="s">
        <v>14</v>
      </c>
      <c r="D14" s="28" t="s">
        <v>67</v>
      </c>
      <c r="E14" s="15" t="s">
        <v>57</v>
      </c>
      <c r="F14" s="28"/>
      <c r="G14" s="16" t="s">
        <v>195</v>
      </c>
      <c r="H14" s="4"/>
      <c r="I14" s="71"/>
      <c r="J14" s="2"/>
      <c r="K14" s="2"/>
      <c r="L14" s="2"/>
    </row>
    <row r="15" spans="1:12" ht="33" customHeight="1" x14ac:dyDescent="0.35">
      <c r="A15" s="5"/>
      <c r="B15" s="105" t="s">
        <v>236</v>
      </c>
      <c r="C15" s="15" t="s">
        <v>180</v>
      </c>
      <c r="D15" s="15" t="s">
        <v>193</v>
      </c>
      <c r="E15" s="15" t="s">
        <v>191</v>
      </c>
      <c r="F15" s="15"/>
      <c r="G15" s="16" t="s">
        <v>194</v>
      </c>
      <c r="H15" s="4"/>
      <c r="I15" s="71" t="s">
        <v>238</v>
      </c>
      <c r="J15" s="2"/>
      <c r="K15" s="2"/>
      <c r="L15" s="2"/>
    </row>
    <row r="16" spans="1:12" ht="33" customHeight="1" x14ac:dyDescent="0.35">
      <c r="A16" s="6"/>
      <c r="B16" s="108" t="s">
        <v>23</v>
      </c>
      <c r="C16" s="21" t="s">
        <v>24</v>
      </c>
      <c r="D16" s="21"/>
      <c r="E16" s="15" t="s">
        <v>57</v>
      </c>
      <c r="F16" s="21" t="s">
        <v>25</v>
      </c>
      <c r="G16" s="22" t="s">
        <v>192</v>
      </c>
      <c r="H16" s="4"/>
      <c r="I16" s="71"/>
      <c r="J16" s="2"/>
      <c r="K16" s="2"/>
      <c r="L16" s="2"/>
    </row>
    <row r="17" spans="1:12" ht="43.5" x14ac:dyDescent="0.35">
      <c r="A17" s="73" t="s">
        <v>26</v>
      </c>
      <c r="B17" s="7" t="s">
        <v>27</v>
      </c>
      <c r="C17" s="8" t="s">
        <v>41</v>
      </c>
      <c r="D17" s="8" t="s">
        <v>210</v>
      </c>
      <c r="E17" s="8" t="s">
        <v>57</v>
      </c>
      <c r="F17" s="8" t="s">
        <v>198</v>
      </c>
      <c r="G17" s="9" t="s">
        <v>196</v>
      </c>
      <c r="H17" s="4"/>
      <c r="I17" s="71"/>
      <c r="J17" s="2"/>
      <c r="K17" s="2"/>
      <c r="L17" s="2"/>
    </row>
    <row r="18" spans="1:12" ht="33" customHeight="1" x14ac:dyDescent="0.35">
      <c r="A18" s="5"/>
      <c r="B18" s="14" t="s">
        <v>239</v>
      </c>
      <c r="C18" s="15" t="s">
        <v>174</v>
      </c>
      <c r="D18" s="15" t="s">
        <v>209</v>
      </c>
      <c r="E18" s="51" t="s">
        <v>172</v>
      </c>
      <c r="F18" s="15"/>
      <c r="G18" s="16" t="s">
        <v>195</v>
      </c>
      <c r="H18" s="4"/>
      <c r="I18" s="71"/>
      <c r="J18" s="2"/>
      <c r="K18" s="2"/>
      <c r="L18" s="2"/>
    </row>
    <row r="19" spans="1:12" ht="33" customHeight="1" x14ac:dyDescent="0.35">
      <c r="A19" s="5"/>
      <c r="B19" s="14" t="s">
        <v>29</v>
      </c>
      <c r="C19" s="15" t="s">
        <v>52</v>
      </c>
      <c r="D19" s="21" t="s">
        <v>6</v>
      </c>
      <c r="E19" s="15" t="s">
        <v>57</v>
      </c>
      <c r="F19" s="14" t="s">
        <v>208</v>
      </c>
      <c r="G19" s="16" t="s">
        <v>195</v>
      </c>
      <c r="H19" s="4"/>
      <c r="I19" s="71"/>
      <c r="J19" s="2"/>
      <c r="K19" s="2"/>
      <c r="L19" s="2"/>
    </row>
    <row r="20" spans="1:12" ht="33" customHeight="1" x14ac:dyDescent="0.35">
      <c r="A20" s="5"/>
      <c r="B20" s="14" t="s">
        <v>30</v>
      </c>
      <c r="C20" s="15" t="s">
        <v>52</v>
      </c>
      <c r="D20" s="15" t="s">
        <v>7</v>
      </c>
      <c r="E20" s="15" t="s">
        <v>57</v>
      </c>
      <c r="F20" s="14"/>
      <c r="G20" s="16" t="s">
        <v>195</v>
      </c>
      <c r="H20" s="4"/>
      <c r="I20" s="71"/>
      <c r="J20" s="2"/>
      <c r="K20" s="2"/>
      <c r="L20" s="2"/>
    </row>
    <row r="21" spans="1:12" ht="33" customHeight="1" x14ac:dyDescent="0.35">
      <c r="A21" s="5"/>
      <c r="B21" s="3" t="s">
        <v>83</v>
      </c>
      <c r="C21" s="15" t="s">
        <v>52</v>
      </c>
      <c r="D21" s="15" t="s">
        <v>84</v>
      </c>
      <c r="E21" s="15" t="s">
        <v>57</v>
      </c>
      <c r="F21" s="15"/>
      <c r="G21" s="16" t="s">
        <v>195</v>
      </c>
      <c r="H21" s="4"/>
      <c r="I21" s="71"/>
      <c r="J21" s="2"/>
      <c r="K21" s="2"/>
      <c r="L21" s="2"/>
    </row>
    <row r="22" spans="1:12" ht="72" x14ac:dyDescent="0.35">
      <c r="A22" s="29" t="s">
        <v>60</v>
      </c>
      <c r="B22" s="30" t="s">
        <v>66</v>
      </c>
      <c r="C22" s="31" t="s">
        <v>63</v>
      </c>
      <c r="D22" s="31" t="s">
        <v>79</v>
      </c>
      <c r="E22" s="31" t="s">
        <v>65</v>
      </c>
      <c r="F22" s="31"/>
      <c r="G22" s="32" t="s">
        <v>195</v>
      </c>
      <c r="H22" s="4"/>
      <c r="I22" s="4" t="s">
        <v>245</v>
      </c>
      <c r="J22" s="2" t="s">
        <v>244</v>
      </c>
      <c r="K22" s="2"/>
      <c r="L22" s="2"/>
    </row>
    <row r="23" spans="1:12" ht="33" customHeight="1" x14ac:dyDescent="0.35">
      <c r="A23" s="29"/>
      <c r="B23" s="30" t="s">
        <v>62</v>
      </c>
      <c r="C23" s="31" t="s">
        <v>64</v>
      </c>
      <c r="D23" s="31" t="s">
        <v>61</v>
      </c>
      <c r="E23" s="31" t="s">
        <v>57</v>
      </c>
      <c r="F23" s="31"/>
      <c r="G23" s="32" t="s">
        <v>195</v>
      </c>
      <c r="H23" s="4"/>
      <c r="I23" s="4" t="s">
        <v>240</v>
      </c>
      <c r="J23" s="2" t="s">
        <v>244</v>
      </c>
      <c r="K23" s="2"/>
      <c r="L23" s="2"/>
    </row>
    <row r="24" spans="1:12" ht="58" x14ac:dyDescent="0.35">
      <c r="A24" s="29"/>
      <c r="B24" s="30" t="s">
        <v>31</v>
      </c>
      <c r="C24" s="31" t="s">
        <v>39</v>
      </c>
      <c r="D24" s="31" t="s">
        <v>80</v>
      </c>
      <c r="E24" s="31" t="s">
        <v>33</v>
      </c>
      <c r="F24" s="31"/>
      <c r="G24" s="40" t="s">
        <v>45</v>
      </c>
      <c r="H24" s="4"/>
      <c r="I24" s="4" t="s">
        <v>240</v>
      </c>
      <c r="J24" s="2" t="s">
        <v>244</v>
      </c>
      <c r="K24" s="2"/>
      <c r="L24" s="2"/>
    </row>
    <row r="25" spans="1:12" ht="43.5" x14ac:dyDescent="0.35">
      <c r="A25" s="29"/>
      <c r="B25" s="30" t="s">
        <v>81</v>
      </c>
      <c r="C25" s="31" t="s">
        <v>63</v>
      </c>
      <c r="D25" s="31"/>
      <c r="E25" s="31" t="s">
        <v>57</v>
      </c>
      <c r="F25" s="31"/>
      <c r="G25" s="41" t="s">
        <v>195</v>
      </c>
      <c r="H25" s="4"/>
      <c r="I25" s="4" t="s">
        <v>240</v>
      </c>
      <c r="J25" s="2" t="s">
        <v>244</v>
      </c>
      <c r="K25" s="2"/>
      <c r="L25" s="2"/>
    </row>
    <row r="26" spans="1:12" ht="58" x14ac:dyDescent="0.35">
      <c r="A26" s="5"/>
      <c r="B26" s="14" t="s">
        <v>32</v>
      </c>
      <c r="C26" s="15" t="s">
        <v>35</v>
      </c>
      <c r="D26" s="15" t="s">
        <v>38</v>
      </c>
      <c r="E26" s="15" t="s">
        <v>34</v>
      </c>
      <c r="F26" s="15" t="s">
        <v>37</v>
      </c>
      <c r="G26" s="16" t="s">
        <v>36</v>
      </c>
      <c r="H26" s="4"/>
      <c r="I26" s="4" t="s">
        <v>241</v>
      </c>
      <c r="J26" s="2" t="s">
        <v>243</v>
      </c>
      <c r="K26" s="2"/>
      <c r="L26" s="2"/>
    </row>
    <row r="27" spans="1:12" ht="132" x14ac:dyDescent="0.35">
      <c r="A27" s="29" t="s">
        <v>85</v>
      </c>
      <c r="B27" s="134" t="s">
        <v>222</v>
      </c>
      <c r="C27" s="31" t="s">
        <v>95</v>
      </c>
      <c r="D27" s="17" t="s">
        <v>175</v>
      </c>
      <c r="E27" s="31" t="s">
        <v>57</v>
      </c>
      <c r="F27" s="31"/>
      <c r="G27" s="18" t="s">
        <v>171</v>
      </c>
      <c r="H27" s="4"/>
      <c r="I27" s="4" t="s">
        <v>246</v>
      </c>
      <c r="J27" s="2" t="s">
        <v>244</v>
      </c>
      <c r="K27" s="2"/>
      <c r="L27" s="2"/>
    </row>
    <row r="28" spans="1:12" ht="33" customHeight="1" x14ac:dyDescent="0.35">
      <c r="A28" s="29"/>
      <c r="B28" s="30" t="s">
        <v>73</v>
      </c>
      <c r="C28" s="31" t="s">
        <v>75</v>
      </c>
      <c r="D28" s="31" t="s">
        <v>211</v>
      </c>
      <c r="E28" s="31" t="s">
        <v>57</v>
      </c>
      <c r="F28" s="31" t="s">
        <v>198</v>
      </c>
      <c r="G28" s="42" t="s">
        <v>195</v>
      </c>
      <c r="H28" s="4"/>
      <c r="I28" s="4"/>
      <c r="J28" s="2" t="s">
        <v>244</v>
      </c>
      <c r="K28" s="2"/>
      <c r="L28" s="2"/>
    </row>
    <row r="29" spans="1:12" ht="33" customHeight="1" x14ac:dyDescent="0.35">
      <c r="A29" s="29"/>
      <c r="B29" s="30" t="s">
        <v>72</v>
      </c>
      <c r="C29" s="31" t="s">
        <v>76</v>
      </c>
      <c r="D29" s="31" t="s">
        <v>122</v>
      </c>
      <c r="E29" s="31" t="s">
        <v>57</v>
      </c>
      <c r="F29" s="31" t="s">
        <v>198</v>
      </c>
      <c r="G29" s="42" t="s">
        <v>195</v>
      </c>
      <c r="H29" s="4"/>
      <c r="I29" s="4"/>
      <c r="J29" s="2" t="s">
        <v>244</v>
      </c>
      <c r="K29" s="2"/>
      <c r="L29" s="2"/>
    </row>
    <row r="30" spans="1:12" ht="33" customHeight="1" x14ac:dyDescent="0.35">
      <c r="A30" s="29"/>
      <c r="B30" s="30" t="s">
        <v>77</v>
      </c>
      <c r="C30" s="31" t="s">
        <v>78</v>
      </c>
      <c r="D30" s="31" t="s">
        <v>123</v>
      </c>
      <c r="E30" s="31" t="s">
        <v>57</v>
      </c>
      <c r="F30" s="31" t="s">
        <v>198</v>
      </c>
      <c r="G30" s="42" t="s">
        <v>195</v>
      </c>
      <c r="H30" s="4"/>
      <c r="I30" s="4"/>
      <c r="J30" s="2" t="s">
        <v>244</v>
      </c>
      <c r="K30" s="2"/>
      <c r="L30" s="2"/>
    </row>
    <row r="31" spans="1:12" ht="33" customHeight="1" x14ac:dyDescent="0.35">
      <c r="A31" s="29"/>
      <c r="B31" s="30" t="s">
        <v>74</v>
      </c>
      <c r="C31" s="17" t="s">
        <v>176</v>
      </c>
      <c r="D31" s="30"/>
      <c r="E31" s="31" t="s">
        <v>57</v>
      </c>
      <c r="F31" s="31" t="s">
        <v>198</v>
      </c>
      <c r="G31" s="42" t="s">
        <v>195</v>
      </c>
      <c r="H31" s="4"/>
      <c r="I31" s="4"/>
      <c r="J31" s="2" t="s">
        <v>244</v>
      </c>
      <c r="K31" s="2"/>
      <c r="L31" s="2"/>
    </row>
    <row r="32" spans="1:12" ht="14.25" customHeight="1" x14ac:dyDescent="0.35">
      <c r="A32" s="5"/>
      <c r="B32" s="14"/>
      <c r="C32" s="14"/>
      <c r="D32" s="14"/>
      <c r="E32" s="14"/>
      <c r="F32" s="14"/>
      <c r="G32" s="19"/>
      <c r="H32" s="4"/>
      <c r="I32" s="4"/>
      <c r="J32" s="2"/>
      <c r="K32" s="2"/>
      <c r="L32" s="2"/>
    </row>
    <row r="33" spans="1:12" ht="12.75" customHeight="1" x14ac:dyDescent="0.35">
      <c r="A33" s="6"/>
      <c r="B33" s="20"/>
      <c r="C33" s="20"/>
      <c r="D33" s="20"/>
      <c r="E33" s="20"/>
      <c r="F33" s="20"/>
      <c r="G33" s="39"/>
      <c r="H33" s="4"/>
      <c r="I33" s="4"/>
      <c r="J33" s="2"/>
      <c r="K33" s="2"/>
      <c r="L33" s="2"/>
    </row>
    <row r="34" spans="1:12" ht="33" customHeight="1" x14ac:dyDescent="0.35">
      <c r="A34" s="23" t="s">
        <v>44</v>
      </c>
      <c r="B34" s="36" t="s">
        <v>70</v>
      </c>
      <c r="C34" s="37" t="s">
        <v>71</v>
      </c>
      <c r="D34" s="37"/>
      <c r="E34" s="37"/>
      <c r="F34" s="37"/>
      <c r="G34" s="38"/>
      <c r="H34" s="4"/>
      <c r="I34" s="4"/>
      <c r="J34" s="2"/>
      <c r="K34" s="2"/>
      <c r="L34" s="2"/>
    </row>
    <row r="35" spans="1:12" ht="33" customHeight="1" x14ac:dyDescent="0.35">
      <c r="C35" s="4"/>
      <c r="D35" s="4"/>
      <c r="E35" s="4"/>
      <c r="F35" s="4"/>
      <c r="G35" s="4"/>
      <c r="H35" s="4"/>
      <c r="I35" s="4"/>
      <c r="J35" s="2"/>
      <c r="K35" s="2"/>
      <c r="L35" s="2"/>
    </row>
    <row r="36" spans="1:12" ht="33" customHeight="1" x14ac:dyDescent="0.35">
      <c r="C36" s="4"/>
      <c r="D36" s="4"/>
      <c r="E36" s="4"/>
      <c r="F36" s="4"/>
      <c r="G36" s="4"/>
      <c r="H36" s="4"/>
      <c r="I36" s="4"/>
      <c r="J36" s="2"/>
      <c r="K36" s="2"/>
      <c r="L36" s="2"/>
    </row>
    <row r="37" spans="1:12" ht="33" customHeight="1" x14ac:dyDescent="0.35">
      <c r="C37" s="4"/>
      <c r="D37" s="4"/>
      <c r="E37" s="4"/>
      <c r="F37" s="4"/>
      <c r="G37" s="4"/>
      <c r="H37" s="4"/>
      <c r="I37" s="4"/>
      <c r="J37" s="2"/>
      <c r="K37" s="2"/>
      <c r="L37" s="2"/>
    </row>
    <row r="38" spans="1:12" ht="33" customHeight="1" x14ac:dyDescent="0.35">
      <c r="C38" s="4"/>
      <c r="D38" s="4"/>
      <c r="E38" s="4"/>
      <c r="F38" s="4"/>
      <c r="G38" s="4"/>
      <c r="H38" s="4"/>
      <c r="I38" s="4"/>
      <c r="J38" s="2"/>
      <c r="K38" s="2"/>
      <c r="L38" s="2"/>
    </row>
    <row r="39" spans="1:12" ht="33" customHeight="1" x14ac:dyDescent="0.35">
      <c r="C39" s="4"/>
      <c r="D39" s="4"/>
      <c r="E39" s="4"/>
      <c r="F39" s="4"/>
      <c r="G39" s="4"/>
      <c r="H39" s="4"/>
      <c r="I39" s="4"/>
      <c r="J39" s="2"/>
      <c r="K39" s="2"/>
      <c r="L39" s="2"/>
    </row>
    <row r="40" spans="1:12" ht="33" customHeight="1" x14ac:dyDescent="0.35">
      <c r="C40" s="4"/>
      <c r="D40" s="4"/>
      <c r="E40" s="4"/>
      <c r="F40" s="4"/>
      <c r="G40" s="4"/>
      <c r="H40" s="4"/>
      <c r="I40" s="4"/>
      <c r="J40" s="2"/>
      <c r="K40" s="2"/>
      <c r="L40" s="2"/>
    </row>
    <row r="41" spans="1:12" ht="33" customHeight="1" x14ac:dyDescent="0.35">
      <c r="C41" s="4"/>
      <c r="D41" s="4"/>
      <c r="E41" s="4"/>
      <c r="F41" s="4"/>
      <c r="G41" s="4"/>
      <c r="H41" s="4"/>
      <c r="I41" s="4"/>
      <c r="J41" s="2"/>
      <c r="K41" s="2"/>
      <c r="L41" s="2"/>
    </row>
    <row r="42" spans="1:12" ht="33" customHeight="1" x14ac:dyDescent="0.35">
      <c r="C42" s="4"/>
      <c r="D42" s="4"/>
      <c r="E42" s="4"/>
      <c r="F42" s="4"/>
      <c r="G42" s="4"/>
      <c r="H42" s="4"/>
      <c r="I42" s="4"/>
      <c r="J42" s="2"/>
      <c r="K42" s="2"/>
      <c r="L42" s="2"/>
    </row>
    <row r="43" spans="1:12" ht="33" customHeight="1" x14ac:dyDescent="0.35">
      <c r="C43" s="4"/>
      <c r="D43" s="4"/>
      <c r="E43" s="4"/>
      <c r="F43" s="4"/>
      <c r="G43" s="4"/>
      <c r="H43" s="4"/>
      <c r="I43" s="4"/>
      <c r="J43" s="2"/>
      <c r="K43" s="2"/>
      <c r="L43" s="2"/>
    </row>
    <row r="44" spans="1:12" ht="33" customHeight="1" x14ac:dyDescent="0.35">
      <c r="C44" s="4"/>
      <c r="D44" s="4"/>
      <c r="E44" s="4"/>
      <c r="F44" s="4"/>
      <c r="G44" s="4"/>
      <c r="H44" s="4"/>
      <c r="I44" s="4"/>
      <c r="J44" s="2"/>
      <c r="K44" s="2"/>
      <c r="L44" s="2"/>
    </row>
    <row r="45" spans="1:12" ht="33" customHeight="1" x14ac:dyDescent="0.35">
      <c r="C45" s="4"/>
      <c r="D45" s="4"/>
      <c r="E45" s="4"/>
      <c r="F45" s="4"/>
      <c r="G45" s="4"/>
      <c r="H45" s="4"/>
      <c r="I45" s="4"/>
      <c r="J45" s="2"/>
      <c r="K45" s="2"/>
      <c r="L45" s="2"/>
    </row>
    <row r="46" spans="1:12" ht="33" customHeight="1" x14ac:dyDescent="0.35">
      <c r="C46" s="4"/>
      <c r="D46" s="4"/>
      <c r="E46" s="4"/>
      <c r="F46" s="4"/>
      <c r="G46" s="4"/>
      <c r="H46" s="4"/>
      <c r="I46" s="4"/>
      <c r="J46" s="2"/>
      <c r="K46" s="2"/>
      <c r="L46" s="2"/>
    </row>
    <row r="47" spans="1:12" x14ac:dyDescent="0.35">
      <c r="C47" s="4"/>
      <c r="D47" s="4"/>
      <c r="E47" s="4"/>
      <c r="F47" s="4"/>
      <c r="G47" s="4"/>
      <c r="H47" s="4"/>
      <c r="I47" s="4"/>
      <c r="J47" s="2"/>
      <c r="K47" s="2"/>
      <c r="L47" s="2"/>
    </row>
    <row r="48" spans="1:12" x14ac:dyDescent="0.35">
      <c r="C48" s="4"/>
      <c r="D48" s="4"/>
      <c r="E48" s="4"/>
      <c r="F48" s="4"/>
      <c r="G48" s="4"/>
      <c r="H48" s="4"/>
      <c r="I48" s="4"/>
      <c r="J48" s="2"/>
      <c r="K48" s="2"/>
      <c r="L48" s="2"/>
    </row>
    <row r="49" spans="3:12" x14ac:dyDescent="0.35">
      <c r="C49" s="4"/>
      <c r="D49" s="4"/>
      <c r="E49" s="4"/>
      <c r="F49" s="4"/>
      <c r="G49" s="4"/>
      <c r="H49" s="4"/>
      <c r="I49" s="4"/>
      <c r="J49" s="2"/>
      <c r="K49" s="2"/>
      <c r="L49" s="2"/>
    </row>
    <row r="50" spans="3:12" x14ac:dyDescent="0.35">
      <c r="C50" s="4"/>
      <c r="D50" s="4"/>
      <c r="E50" s="4"/>
      <c r="F50" s="4"/>
      <c r="G50" s="4"/>
      <c r="H50" s="4"/>
      <c r="I50" s="4"/>
      <c r="J50" s="2"/>
      <c r="K50" s="2"/>
      <c r="L50" s="2"/>
    </row>
    <row r="51" spans="3:12" x14ac:dyDescent="0.35">
      <c r="C51" s="4"/>
      <c r="D51" s="4"/>
      <c r="E51" s="4"/>
      <c r="F51" s="4"/>
      <c r="G51" s="4"/>
      <c r="H51" s="4"/>
      <c r="I51" s="4"/>
      <c r="J51" s="2"/>
      <c r="K51" s="2"/>
      <c r="L51" s="2"/>
    </row>
    <row r="52" spans="3:12" x14ac:dyDescent="0.35">
      <c r="C52" s="4"/>
      <c r="D52" s="4"/>
      <c r="E52" s="4"/>
      <c r="F52" s="4"/>
      <c r="G52" s="4"/>
      <c r="H52" s="4"/>
      <c r="I52" s="4"/>
      <c r="J52" s="2"/>
      <c r="K52" s="2"/>
      <c r="L52" s="2"/>
    </row>
    <row r="53" spans="3:12" x14ac:dyDescent="0.35">
      <c r="C53" s="4"/>
      <c r="D53" s="4"/>
      <c r="E53" s="4"/>
      <c r="F53" s="4"/>
      <c r="G53" s="4"/>
      <c r="H53" s="4"/>
      <c r="I53" s="4"/>
      <c r="J53" s="2"/>
      <c r="K53" s="2"/>
      <c r="L53" s="2"/>
    </row>
    <row r="54" spans="3:12" x14ac:dyDescent="0.35">
      <c r="C54" s="4"/>
      <c r="D54" s="4"/>
      <c r="E54" s="4"/>
      <c r="F54" s="4"/>
      <c r="G54" s="4"/>
      <c r="H54" s="4"/>
      <c r="I54" s="4"/>
      <c r="J54" s="2"/>
      <c r="K54" s="2"/>
      <c r="L54" s="2"/>
    </row>
    <row r="55" spans="3:12" x14ac:dyDescent="0.35">
      <c r="C55" s="4"/>
      <c r="D55" s="4"/>
      <c r="E55" s="4"/>
      <c r="F55" s="4"/>
      <c r="G55" s="4"/>
      <c r="H55" s="4"/>
      <c r="I55" s="4"/>
      <c r="J55" s="2"/>
      <c r="K55" s="2"/>
      <c r="L55" s="2"/>
    </row>
    <row r="56" spans="3:12" x14ac:dyDescent="0.35">
      <c r="C56" s="4"/>
      <c r="D56" s="4"/>
      <c r="E56" s="4"/>
      <c r="F56" s="4"/>
      <c r="G56" s="4"/>
      <c r="H56" s="4"/>
      <c r="I56" s="4"/>
      <c r="J56" s="2"/>
      <c r="K56" s="2"/>
      <c r="L56" s="2"/>
    </row>
    <row r="57" spans="3:12" x14ac:dyDescent="0.35">
      <c r="C57" s="4"/>
      <c r="D57" s="4"/>
      <c r="E57" s="4"/>
      <c r="F57" s="4"/>
      <c r="G57" s="4"/>
      <c r="H57" s="4"/>
      <c r="I57" s="4"/>
      <c r="J57" s="2"/>
      <c r="K57" s="2"/>
      <c r="L57" s="2"/>
    </row>
    <row r="58" spans="3:12" x14ac:dyDescent="0.35">
      <c r="C58" s="4"/>
      <c r="D58" s="4"/>
      <c r="E58" s="4"/>
      <c r="F58" s="4"/>
      <c r="G58" s="4"/>
      <c r="H58" s="4"/>
      <c r="I58" s="4"/>
      <c r="J58" s="2"/>
      <c r="K58" s="2"/>
      <c r="L58" s="2"/>
    </row>
    <row r="59" spans="3:12" x14ac:dyDescent="0.35">
      <c r="C59" s="4"/>
      <c r="D59" s="4"/>
      <c r="E59" s="4"/>
      <c r="F59" s="4"/>
      <c r="G59" s="4"/>
      <c r="H59" s="4"/>
      <c r="I59" s="4"/>
      <c r="J59" s="2"/>
      <c r="K59" s="2"/>
      <c r="L59" s="2"/>
    </row>
    <row r="60" spans="3:12" x14ac:dyDescent="0.35">
      <c r="C60" s="4"/>
      <c r="D60" s="4"/>
      <c r="E60" s="4"/>
      <c r="F60" s="4"/>
      <c r="G60" s="4"/>
      <c r="H60" s="4"/>
      <c r="I60" s="4"/>
      <c r="J60" s="2"/>
      <c r="K60" s="2"/>
      <c r="L60" s="2"/>
    </row>
    <row r="61" spans="3:12" x14ac:dyDescent="0.35">
      <c r="C61" s="4"/>
      <c r="D61" s="4"/>
      <c r="E61" s="4"/>
      <c r="F61" s="4"/>
      <c r="G61" s="4"/>
      <c r="H61" s="4"/>
      <c r="I61" s="4"/>
      <c r="J61" s="2"/>
      <c r="K61" s="2"/>
      <c r="L61" s="2"/>
    </row>
    <row r="62" spans="3:12" x14ac:dyDescent="0.35">
      <c r="C62" s="4"/>
      <c r="D62" s="4"/>
      <c r="E62" s="4"/>
      <c r="F62" s="4"/>
      <c r="G62" s="4"/>
      <c r="H62" s="4"/>
      <c r="I62" s="4"/>
      <c r="J62" s="2"/>
      <c r="K62" s="2"/>
      <c r="L62" s="2"/>
    </row>
    <row r="63" spans="3:12" x14ac:dyDescent="0.35">
      <c r="C63" s="4"/>
      <c r="D63" s="4"/>
      <c r="E63" s="4"/>
      <c r="F63" s="4"/>
      <c r="G63" s="4"/>
      <c r="H63" s="4"/>
      <c r="I63" s="4"/>
      <c r="J63" s="2"/>
      <c r="K63" s="2"/>
      <c r="L63" s="2"/>
    </row>
    <row r="64" spans="3:12" x14ac:dyDescent="0.35">
      <c r="C64" s="4"/>
      <c r="D64" s="4"/>
      <c r="E64" s="4"/>
      <c r="F64" s="4"/>
      <c r="G64" s="4"/>
      <c r="H64" s="4"/>
      <c r="I64" s="4"/>
      <c r="J64" s="2"/>
      <c r="K64" s="2"/>
      <c r="L64" s="2"/>
    </row>
    <row r="65" spans="3:12" x14ac:dyDescent="0.35">
      <c r="C65" s="4"/>
      <c r="D65" s="4"/>
      <c r="E65" s="4"/>
      <c r="F65" s="4"/>
      <c r="G65" s="4"/>
      <c r="H65" s="4"/>
      <c r="I65" s="4"/>
      <c r="J65" s="2"/>
      <c r="K65" s="2"/>
      <c r="L65" s="2"/>
    </row>
    <row r="66" spans="3:12" x14ac:dyDescent="0.35">
      <c r="C66" s="4"/>
      <c r="D66" s="4"/>
      <c r="E66" s="4"/>
      <c r="F66" s="4"/>
      <c r="G66" s="4"/>
      <c r="H66" s="4"/>
      <c r="I66" s="4"/>
      <c r="J66" s="2"/>
      <c r="K66" s="2"/>
      <c r="L66" s="2"/>
    </row>
    <row r="67" spans="3:12" x14ac:dyDescent="0.35">
      <c r="C67" s="4"/>
      <c r="D67" s="4"/>
      <c r="E67" s="4"/>
      <c r="F67" s="4"/>
      <c r="G67" s="4"/>
      <c r="H67" s="4"/>
      <c r="I67" s="4"/>
      <c r="J67" s="2"/>
      <c r="K67" s="2"/>
      <c r="L67" s="2"/>
    </row>
    <row r="68" spans="3:12" x14ac:dyDescent="0.35">
      <c r="C68" s="4"/>
      <c r="D68" s="4"/>
      <c r="E68" s="4"/>
      <c r="F68" s="4"/>
      <c r="G68" s="4"/>
      <c r="H68" s="4"/>
      <c r="I68" s="4"/>
      <c r="J68" s="2"/>
      <c r="K68" s="2"/>
      <c r="L68" s="2"/>
    </row>
    <row r="69" spans="3:12" x14ac:dyDescent="0.35">
      <c r="C69" s="4"/>
      <c r="D69" s="4"/>
      <c r="E69" s="4"/>
      <c r="F69" s="4"/>
      <c r="G69" s="4"/>
      <c r="H69" s="4"/>
      <c r="I69" s="4"/>
      <c r="J69" s="2"/>
      <c r="K69" s="2"/>
      <c r="L69" s="2"/>
    </row>
    <row r="70" spans="3:12" x14ac:dyDescent="0.35">
      <c r="C70" s="4"/>
      <c r="D70" s="4"/>
      <c r="E70" s="4"/>
      <c r="F70" s="4"/>
      <c r="G70" s="4"/>
      <c r="H70" s="4"/>
      <c r="I70" s="4"/>
      <c r="J70" s="2"/>
      <c r="K70" s="2"/>
      <c r="L70" s="2"/>
    </row>
    <row r="71" spans="3:12" x14ac:dyDescent="0.35">
      <c r="C71" s="4"/>
      <c r="D71" s="4"/>
      <c r="E71" s="4"/>
      <c r="F71" s="4"/>
      <c r="G71" s="4"/>
      <c r="H71" s="4"/>
      <c r="I71" s="4"/>
      <c r="J71" s="2"/>
      <c r="K71" s="2"/>
      <c r="L71" s="2"/>
    </row>
    <row r="72" spans="3:12" x14ac:dyDescent="0.35">
      <c r="C72" s="4"/>
      <c r="D72" s="4"/>
      <c r="E72" s="4"/>
      <c r="F72" s="4"/>
      <c r="G72" s="4"/>
      <c r="H72" s="4"/>
      <c r="I72" s="4"/>
      <c r="J72" s="2"/>
      <c r="K72" s="2"/>
      <c r="L72" s="2"/>
    </row>
    <row r="73" spans="3:12" x14ac:dyDescent="0.35">
      <c r="C73" s="4"/>
      <c r="D73" s="4"/>
      <c r="E73" s="4"/>
      <c r="F73" s="4"/>
      <c r="G73" s="4"/>
      <c r="H73" s="4"/>
      <c r="I73" s="4"/>
      <c r="J73" s="2"/>
      <c r="K73" s="2"/>
      <c r="L73" s="2"/>
    </row>
    <row r="74" spans="3:12" x14ac:dyDescent="0.35">
      <c r="C74" s="4"/>
      <c r="D74" s="4"/>
      <c r="E74" s="4"/>
      <c r="F74" s="4"/>
      <c r="G74" s="4"/>
      <c r="H74" s="4"/>
      <c r="I74" s="4"/>
      <c r="J74" s="2"/>
      <c r="K74" s="2"/>
      <c r="L74" s="2"/>
    </row>
    <row r="75" spans="3:12" x14ac:dyDescent="0.35">
      <c r="C75" s="4"/>
      <c r="D75" s="4"/>
      <c r="E75" s="4"/>
      <c r="F75" s="4"/>
      <c r="G75" s="4"/>
      <c r="H75" s="4"/>
      <c r="I75" s="4"/>
      <c r="J75" s="2"/>
      <c r="K75" s="2"/>
      <c r="L75" s="2"/>
    </row>
    <row r="76" spans="3:12" x14ac:dyDescent="0.35">
      <c r="C76" s="4"/>
      <c r="D76" s="4"/>
      <c r="E76" s="4"/>
      <c r="F76" s="4"/>
      <c r="G76" s="4"/>
      <c r="H76" s="4"/>
      <c r="I76" s="4"/>
      <c r="J76" s="2"/>
      <c r="K76" s="2"/>
      <c r="L76" s="2"/>
    </row>
    <row r="77" spans="3:12" x14ac:dyDescent="0.35">
      <c r="C77" s="4"/>
      <c r="D77" s="4"/>
      <c r="E77" s="4"/>
      <c r="F77" s="4"/>
      <c r="G77" s="4"/>
      <c r="H77" s="4"/>
      <c r="I77" s="4"/>
      <c r="J77" s="2"/>
      <c r="K77" s="2"/>
      <c r="L77" s="2"/>
    </row>
    <row r="78" spans="3:12" x14ac:dyDescent="0.35">
      <c r="C78" s="4"/>
      <c r="D78" s="4"/>
      <c r="E78" s="4"/>
      <c r="F78" s="4"/>
      <c r="G78" s="4"/>
      <c r="H78" s="4"/>
      <c r="I78" s="4"/>
      <c r="J78" s="2"/>
      <c r="K78" s="2"/>
      <c r="L78" s="2"/>
    </row>
    <row r="79" spans="3:12" x14ac:dyDescent="0.35">
      <c r="C79" s="4"/>
      <c r="D79" s="4"/>
      <c r="E79" s="4"/>
      <c r="F79" s="4"/>
      <c r="G79" s="4"/>
      <c r="H79" s="4"/>
      <c r="I79" s="4"/>
      <c r="J79" s="2"/>
      <c r="K79" s="2"/>
      <c r="L79" s="2"/>
    </row>
    <row r="80" spans="3:12" x14ac:dyDescent="0.35">
      <c r="C80" s="4"/>
      <c r="D80" s="4"/>
      <c r="E80" s="4"/>
      <c r="F80" s="4"/>
      <c r="G80" s="4"/>
      <c r="H80" s="4"/>
      <c r="I80" s="4"/>
      <c r="J80" s="2"/>
      <c r="K80" s="2"/>
      <c r="L80" s="2"/>
    </row>
    <row r="81" spans="3:12" x14ac:dyDescent="0.35">
      <c r="C81" s="4"/>
      <c r="D81" s="4"/>
      <c r="E81" s="4"/>
      <c r="F81" s="4"/>
      <c r="G81" s="4"/>
      <c r="H81" s="4"/>
      <c r="I81" s="4"/>
      <c r="J81" s="2"/>
      <c r="K81" s="2"/>
      <c r="L81" s="2"/>
    </row>
    <row r="82" spans="3:12" x14ac:dyDescent="0.35">
      <c r="C82" s="4"/>
      <c r="D82" s="4"/>
      <c r="E82" s="4"/>
      <c r="F82" s="4"/>
      <c r="G82" s="4"/>
      <c r="H82" s="4"/>
      <c r="I82" s="4"/>
      <c r="J82" s="2"/>
      <c r="K82" s="2"/>
      <c r="L82" s="2"/>
    </row>
    <row r="83" spans="3:12" x14ac:dyDescent="0.35">
      <c r="C83" s="4"/>
      <c r="D83" s="4"/>
      <c r="E83" s="4"/>
      <c r="F83" s="4"/>
      <c r="G83" s="4"/>
      <c r="H83" s="4"/>
      <c r="I83" s="4"/>
      <c r="J83" s="2"/>
      <c r="K83" s="2"/>
      <c r="L83" s="2"/>
    </row>
    <row r="84" spans="3:12" x14ac:dyDescent="0.35">
      <c r="C84" s="4"/>
      <c r="D84" s="4"/>
      <c r="E84" s="4"/>
      <c r="F84" s="4"/>
      <c r="G84" s="4"/>
      <c r="H84" s="4"/>
      <c r="I84" s="4"/>
      <c r="J84" s="2"/>
      <c r="K84" s="2"/>
      <c r="L84" s="2"/>
    </row>
    <row r="85" spans="3:12" x14ac:dyDescent="0.35">
      <c r="C85" s="4"/>
      <c r="D85" s="4"/>
      <c r="E85" s="4"/>
      <c r="F85" s="4"/>
      <c r="G85" s="4"/>
      <c r="H85" s="4"/>
      <c r="I85" s="4"/>
      <c r="J85" s="2"/>
      <c r="K85" s="2"/>
      <c r="L85" s="2"/>
    </row>
    <row r="86" spans="3:12" x14ac:dyDescent="0.35">
      <c r="C86" s="4"/>
      <c r="D86" s="4"/>
      <c r="E86" s="4"/>
      <c r="F86" s="4"/>
      <c r="G86" s="4"/>
      <c r="H86" s="4"/>
      <c r="I86" s="4"/>
      <c r="J86" s="2"/>
      <c r="K86" s="2"/>
      <c r="L86" s="2"/>
    </row>
    <row r="87" spans="3:12" x14ac:dyDescent="0.35">
      <c r="C87" s="4"/>
      <c r="D87" s="4"/>
      <c r="E87" s="4"/>
      <c r="F87" s="4"/>
      <c r="G87" s="4"/>
      <c r="H87" s="4"/>
      <c r="I87" s="4"/>
      <c r="J87" s="2"/>
      <c r="K87" s="2"/>
      <c r="L87" s="2"/>
    </row>
    <row r="88" spans="3:12" x14ac:dyDescent="0.35">
      <c r="C88" s="4"/>
      <c r="D88" s="4"/>
      <c r="E88" s="4"/>
      <c r="F88" s="4"/>
      <c r="G88" s="4"/>
      <c r="H88" s="4"/>
      <c r="I88" s="4"/>
      <c r="J88" s="2"/>
      <c r="K88" s="2"/>
      <c r="L88" s="2"/>
    </row>
    <row r="89" spans="3:12" x14ac:dyDescent="0.35">
      <c r="C89" s="4"/>
      <c r="D89" s="4"/>
      <c r="E89" s="4"/>
      <c r="F89" s="4"/>
      <c r="G89" s="4"/>
      <c r="H89" s="4"/>
      <c r="I89" s="4"/>
      <c r="J89" s="2"/>
      <c r="K89" s="2"/>
      <c r="L89" s="2"/>
    </row>
    <row r="90" spans="3:12" x14ac:dyDescent="0.35">
      <c r="C90" s="4"/>
      <c r="D90" s="4"/>
      <c r="E90" s="4"/>
      <c r="F90" s="4"/>
      <c r="G90" s="4"/>
      <c r="H90" s="4"/>
      <c r="I90" s="4"/>
      <c r="J90" s="2"/>
      <c r="K90" s="2"/>
      <c r="L90" s="2"/>
    </row>
    <row r="91" spans="3:12" x14ac:dyDescent="0.35">
      <c r="C91" s="4"/>
      <c r="D91" s="4"/>
      <c r="E91" s="4"/>
      <c r="F91" s="4"/>
      <c r="G91" s="4"/>
      <c r="H91" s="4"/>
      <c r="I91" s="4"/>
      <c r="J91" s="2"/>
      <c r="K91" s="2"/>
      <c r="L91" s="2"/>
    </row>
    <row r="92" spans="3:12" x14ac:dyDescent="0.35">
      <c r="C92" s="4"/>
      <c r="D92" s="4"/>
      <c r="E92" s="4"/>
      <c r="F92" s="4"/>
      <c r="G92" s="4"/>
      <c r="H92" s="4"/>
      <c r="I92" s="4"/>
      <c r="J92" s="2"/>
      <c r="K92" s="2"/>
      <c r="L92" s="2"/>
    </row>
    <row r="93" spans="3:12" x14ac:dyDescent="0.35">
      <c r="C93" s="4"/>
      <c r="D93" s="4"/>
      <c r="E93" s="4"/>
      <c r="F93" s="4"/>
      <c r="G93" s="4"/>
      <c r="H93" s="4"/>
      <c r="I93" s="4"/>
      <c r="J93" s="2"/>
      <c r="K93" s="2"/>
      <c r="L93" s="2"/>
    </row>
    <row r="94" spans="3:12" x14ac:dyDescent="0.35">
      <c r="C94" s="4"/>
      <c r="D94" s="4"/>
      <c r="E94" s="4"/>
      <c r="F94" s="4"/>
      <c r="G94" s="4"/>
      <c r="H94" s="4"/>
      <c r="I94" s="4"/>
      <c r="J94" s="2"/>
      <c r="K94" s="2"/>
      <c r="L94" s="2"/>
    </row>
    <row r="95" spans="3:12" x14ac:dyDescent="0.35">
      <c r="C95" s="4"/>
      <c r="D95" s="4"/>
      <c r="E95" s="4"/>
      <c r="F95" s="4"/>
      <c r="G95" s="4"/>
      <c r="H95" s="4"/>
      <c r="I95" s="4"/>
      <c r="J95" s="2"/>
      <c r="K95" s="2"/>
      <c r="L95" s="2"/>
    </row>
    <row r="96" spans="3:12" x14ac:dyDescent="0.35">
      <c r="C96" s="4"/>
      <c r="D96" s="4"/>
      <c r="E96" s="4"/>
      <c r="F96" s="4"/>
      <c r="G96" s="4"/>
      <c r="H96" s="4"/>
      <c r="I96" s="4"/>
      <c r="J96" s="2"/>
      <c r="K96" s="2"/>
      <c r="L96" s="2"/>
    </row>
    <row r="97" spans="3:12" x14ac:dyDescent="0.35">
      <c r="C97" s="4"/>
      <c r="D97" s="4"/>
      <c r="E97" s="4"/>
      <c r="F97" s="4"/>
      <c r="G97" s="4"/>
      <c r="H97" s="4"/>
      <c r="I97" s="4"/>
      <c r="J97" s="2"/>
      <c r="K97" s="2"/>
      <c r="L97" s="2"/>
    </row>
    <row r="98" spans="3:12" x14ac:dyDescent="0.35">
      <c r="C98" s="4"/>
      <c r="D98" s="4"/>
      <c r="E98" s="4"/>
      <c r="F98" s="4"/>
      <c r="G98" s="4"/>
      <c r="H98" s="4"/>
      <c r="I98" s="4"/>
      <c r="J98" s="2"/>
      <c r="K98" s="2"/>
      <c r="L98" s="2"/>
    </row>
    <row r="99" spans="3:12" x14ac:dyDescent="0.35">
      <c r="C99" s="4"/>
      <c r="D99" s="4"/>
      <c r="E99" s="4"/>
      <c r="F99" s="4"/>
      <c r="G99" s="4"/>
      <c r="H99" s="4"/>
      <c r="I99" s="4"/>
      <c r="J99" s="2"/>
      <c r="K99" s="2"/>
      <c r="L99" s="2"/>
    </row>
    <row r="100" spans="3:12" x14ac:dyDescent="0.35">
      <c r="C100" s="4"/>
      <c r="D100" s="4"/>
      <c r="E100" s="4"/>
      <c r="F100" s="4"/>
      <c r="G100" s="4"/>
      <c r="H100" s="4"/>
      <c r="I100" s="4"/>
      <c r="J100" s="2"/>
      <c r="K100" s="2"/>
      <c r="L100" s="2"/>
    </row>
    <row r="101" spans="3:12" x14ac:dyDescent="0.35">
      <c r="C101" s="4"/>
      <c r="D101" s="4"/>
      <c r="E101" s="4"/>
      <c r="F101" s="4"/>
      <c r="G101" s="4"/>
      <c r="H101" s="4"/>
      <c r="I101" s="4"/>
      <c r="J101" s="2"/>
      <c r="K101" s="2"/>
      <c r="L101" s="2"/>
    </row>
    <row r="102" spans="3:12" x14ac:dyDescent="0.35">
      <c r="C102" s="4"/>
      <c r="D102" s="4"/>
      <c r="E102" s="4"/>
      <c r="F102" s="4"/>
      <c r="G102" s="4"/>
      <c r="H102" s="4"/>
      <c r="I102" s="4"/>
      <c r="J102" s="2"/>
      <c r="K102" s="2"/>
      <c r="L102" s="2"/>
    </row>
    <row r="103" spans="3:12" x14ac:dyDescent="0.35">
      <c r="C103" s="4"/>
      <c r="D103" s="4"/>
      <c r="E103" s="4"/>
      <c r="F103" s="4"/>
      <c r="G103" s="4"/>
      <c r="H103" s="4"/>
      <c r="I103" s="4"/>
      <c r="J103" s="2"/>
      <c r="K103" s="2"/>
      <c r="L103" s="2"/>
    </row>
    <row r="104" spans="3:12" x14ac:dyDescent="0.35">
      <c r="C104" s="4"/>
      <c r="D104" s="4"/>
      <c r="E104" s="4"/>
      <c r="F104" s="4"/>
      <c r="G104" s="4"/>
      <c r="H104" s="4"/>
      <c r="I104" s="4"/>
      <c r="J104" s="2"/>
      <c r="K104" s="2"/>
      <c r="L104" s="2"/>
    </row>
    <row r="105" spans="3:12" x14ac:dyDescent="0.35">
      <c r="C105" s="4"/>
      <c r="D105" s="4"/>
      <c r="E105" s="4"/>
      <c r="F105" s="4"/>
      <c r="G105" s="4"/>
      <c r="H105" s="4"/>
      <c r="I105" s="4"/>
      <c r="J105" s="2"/>
      <c r="K105" s="2"/>
      <c r="L105" s="2"/>
    </row>
    <row r="106" spans="3:12" x14ac:dyDescent="0.35">
      <c r="C106" s="4"/>
      <c r="D106" s="4"/>
      <c r="E106" s="4"/>
      <c r="F106" s="4"/>
      <c r="G106" s="4"/>
      <c r="H106" s="4"/>
      <c r="I106" s="4"/>
      <c r="J106" s="2"/>
      <c r="K106" s="2"/>
      <c r="L106" s="2"/>
    </row>
    <row r="107" spans="3:12" x14ac:dyDescent="0.35">
      <c r="C107" s="4"/>
      <c r="D107" s="4"/>
      <c r="E107" s="4"/>
      <c r="F107" s="4"/>
      <c r="G107" s="4"/>
      <c r="H107" s="4"/>
      <c r="I107" s="4"/>
      <c r="J107" s="2"/>
      <c r="K107" s="2"/>
      <c r="L107" s="2"/>
    </row>
    <row r="108" spans="3:12" x14ac:dyDescent="0.35">
      <c r="C108" s="4"/>
      <c r="D108" s="4"/>
      <c r="E108" s="4"/>
      <c r="F108" s="4"/>
      <c r="G108" s="4"/>
      <c r="H108" s="4"/>
      <c r="I108" s="4"/>
      <c r="J108" s="2"/>
      <c r="K108" s="2"/>
      <c r="L108" s="2"/>
    </row>
    <row r="109" spans="3:12" x14ac:dyDescent="0.35">
      <c r="C109" s="4"/>
      <c r="D109" s="4"/>
      <c r="E109" s="4"/>
      <c r="F109" s="4"/>
      <c r="G109" s="4"/>
      <c r="H109" s="4"/>
      <c r="I109" s="4"/>
      <c r="J109" s="2"/>
      <c r="K109" s="2"/>
      <c r="L109" s="2"/>
    </row>
    <row r="110" spans="3:12" x14ac:dyDescent="0.35">
      <c r="C110" s="4"/>
      <c r="D110" s="4"/>
      <c r="E110" s="4"/>
      <c r="F110" s="4"/>
      <c r="G110" s="4"/>
      <c r="H110" s="4"/>
      <c r="I110" s="4"/>
      <c r="J110" s="2"/>
      <c r="K110" s="2"/>
      <c r="L110" s="2"/>
    </row>
    <row r="111" spans="3:12" x14ac:dyDescent="0.35">
      <c r="C111" s="4"/>
      <c r="D111" s="4"/>
      <c r="E111" s="4"/>
      <c r="F111" s="4"/>
      <c r="G111" s="4"/>
      <c r="H111" s="4"/>
      <c r="I111" s="4"/>
      <c r="J111" s="2"/>
      <c r="K111" s="2"/>
      <c r="L111" s="2"/>
    </row>
    <row r="112" spans="3:12" x14ac:dyDescent="0.35">
      <c r="C112" s="4"/>
      <c r="D112" s="4"/>
      <c r="E112" s="4"/>
      <c r="F112" s="4"/>
      <c r="G112" s="4"/>
      <c r="H112" s="4"/>
      <c r="I112" s="4"/>
      <c r="J112" s="2"/>
      <c r="K112" s="2"/>
      <c r="L112" s="2"/>
    </row>
    <row r="113" spans="3:12" x14ac:dyDescent="0.35">
      <c r="C113" s="4"/>
      <c r="D113" s="4"/>
      <c r="E113" s="4"/>
      <c r="F113" s="4"/>
      <c r="G113" s="4"/>
      <c r="H113" s="4"/>
      <c r="I113" s="4"/>
      <c r="J113" s="2"/>
      <c r="K113" s="2"/>
      <c r="L113" s="2"/>
    </row>
    <row r="114" spans="3:12" x14ac:dyDescent="0.35">
      <c r="C114" s="4"/>
      <c r="D114" s="4"/>
      <c r="E114" s="4"/>
      <c r="F114" s="4"/>
      <c r="G114" s="4"/>
      <c r="H114" s="4"/>
      <c r="I114" s="4"/>
      <c r="J114" s="2"/>
      <c r="K114" s="2"/>
      <c r="L114" s="2"/>
    </row>
    <row r="115" spans="3:12" x14ac:dyDescent="0.35">
      <c r="C115" s="4"/>
      <c r="D115" s="4"/>
      <c r="E115" s="4"/>
      <c r="F115" s="4"/>
      <c r="G115" s="4"/>
      <c r="H115" s="4"/>
      <c r="I115" s="4"/>
      <c r="J115" s="2"/>
      <c r="K115" s="2"/>
      <c r="L115" s="2"/>
    </row>
    <row r="116" spans="3:12" x14ac:dyDescent="0.35">
      <c r="C116" s="4"/>
      <c r="D116" s="4"/>
      <c r="E116" s="4"/>
      <c r="F116" s="4"/>
      <c r="G116" s="4"/>
      <c r="H116" s="4"/>
      <c r="I116" s="4"/>
      <c r="J116" s="2"/>
      <c r="K116" s="2"/>
      <c r="L116" s="2"/>
    </row>
    <row r="117" spans="3:12" x14ac:dyDescent="0.35">
      <c r="C117" s="4"/>
      <c r="D117" s="4"/>
      <c r="E117" s="4"/>
      <c r="F117" s="4"/>
      <c r="G117" s="4"/>
      <c r="H117" s="4"/>
      <c r="I117" s="4"/>
      <c r="J117" s="2"/>
      <c r="K117" s="2"/>
      <c r="L117" s="2"/>
    </row>
    <row r="118" spans="3:12" x14ac:dyDescent="0.35">
      <c r="C118" s="4"/>
      <c r="D118" s="4"/>
      <c r="E118" s="4"/>
      <c r="F118" s="4"/>
      <c r="G118" s="4"/>
      <c r="H118" s="4"/>
      <c r="I118" s="4"/>
      <c r="J118" s="2"/>
      <c r="K118" s="2"/>
      <c r="L118" s="2"/>
    </row>
    <row r="119" spans="3:12" x14ac:dyDescent="0.35">
      <c r="C119" s="4"/>
      <c r="D119" s="4"/>
      <c r="E119" s="4"/>
      <c r="F119" s="4"/>
      <c r="G119" s="4"/>
      <c r="H119" s="4"/>
      <c r="I119" s="4"/>
      <c r="J119" s="2"/>
      <c r="K119" s="2"/>
      <c r="L119" s="2"/>
    </row>
    <row r="120" spans="3:12" x14ac:dyDescent="0.35">
      <c r="C120" s="4"/>
      <c r="D120" s="4"/>
      <c r="E120" s="4"/>
      <c r="F120" s="4"/>
      <c r="G120" s="4"/>
      <c r="H120" s="4"/>
      <c r="I120" s="4"/>
      <c r="J120" s="2"/>
      <c r="K120" s="2"/>
      <c r="L120" s="2"/>
    </row>
    <row r="121" spans="3:12" x14ac:dyDescent="0.35">
      <c r="C121" s="4"/>
      <c r="D121" s="4"/>
      <c r="E121" s="4"/>
      <c r="F121" s="4"/>
      <c r="G121" s="4"/>
      <c r="H121" s="4"/>
      <c r="I121" s="4"/>
      <c r="J121" s="2"/>
      <c r="K121" s="2"/>
      <c r="L121" s="2"/>
    </row>
    <row r="122" spans="3:12" x14ac:dyDescent="0.35">
      <c r="C122" s="4"/>
      <c r="D122" s="4"/>
      <c r="E122" s="4"/>
      <c r="F122" s="4"/>
      <c r="G122" s="4"/>
      <c r="H122" s="4"/>
      <c r="I122" s="4"/>
      <c r="J122" s="2"/>
      <c r="K122" s="2"/>
      <c r="L122" s="2"/>
    </row>
    <row r="123" spans="3:12" x14ac:dyDescent="0.35">
      <c r="C123" s="4"/>
      <c r="D123" s="4"/>
      <c r="E123" s="4"/>
      <c r="F123" s="4"/>
      <c r="G123" s="4"/>
      <c r="H123" s="4"/>
      <c r="I123" s="4"/>
      <c r="J123" s="2"/>
      <c r="K123" s="2"/>
      <c r="L123" s="2"/>
    </row>
    <row r="124" spans="3:12" x14ac:dyDescent="0.35">
      <c r="C124" s="4"/>
      <c r="D124" s="4"/>
      <c r="E124" s="4"/>
      <c r="F124" s="4"/>
      <c r="G124" s="4"/>
      <c r="H124" s="4"/>
      <c r="I124" s="4"/>
      <c r="J124" s="2"/>
      <c r="K124" s="2"/>
      <c r="L124" s="2"/>
    </row>
    <row r="125" spans="3:12" x14ac:dyDescent="0.35">
      <c r="C125" s="4"/>
      <c r="D125" s="4"/>
      <c r="E125" s="4"/>
      <c r="F125" s="4"/>
      <c r="G125" s="4"/>
      <c r="H125" s="4"/>
      <c r="I125" s="4"/>
      <c r="J125" s="2"/>
      <c r="K125" s="2"/>
      <c r="L125" s="2"/>
    </row>
    <row r="126" spans="3:12" x14ac:dyDescent="0.35">
      <c r="C126" s="4"/>
      <c r="D126" s="4"/>
      <c r="E126" s="4"/>
      <c r="F126" s="4"/>
      <c r="G126" s="4"/>
      <c r="H126" s="4"/>
      <c r="I126" s="4"/>
      <c r="J126" s="2"/>
      <c r="K126" s="2"/>
      <c r="L126" s="2"/>
    </row>
    <row r="127" spans="3:12" x14ac:dyDescent="0.35">
      <c r="C127" s="4"/>
      <c r="D127" s="4"/>
      <c r="E127" s="4"/>
      <c r="F127" s="4"/>
      <c r="G127" s="4"/>
      <c r="H127" s="4"/>
      <c r="I127" s="4"/>
      <c r="J127" s="2"/>
      <c r="K127" s="2"/>
      <c r="L127" s="2"/>
    </row>
    <row r="128" spans="3:12" x14ac:dyDescent="0.35">
      <c r="C128" s="4"/>
      <c r="D128" s="4"/>
      <c r="E128" s="4"/>
      <c r="F128" s="4"/>
      <c r="G128" s="4"/>
      <c r="H128" s="4"/>
      <c r="I128" s="4"/>
      <c r="J128" s="2"/>
      <c r="K128" s="2"/>
      <c r="L128" s="2"/>
    </row>
    <row r="129" spans="3:12" x14ac:dyDescent="0.35">
      <c r="C129" s="4"/>
      <c r="D129" s="4"/>
      <c r="E129" s="4"/>
      <c r="F129" s="4"/>
      <c r="G129" s="4"/>
      <c r="H129" s="4"/>
      <c r="I129" s="4"/>
      <c r="J129" s="2"/>
      <c r="K129" s="2"/>
      <c r="L129" s="2"/>
    </row>
    <row r="130" spans="3:12" x14ac:dyDescent="0.35">
      <c r="C130" s="4"/>
      <c r="D130" s="4"/>
      <c r="E130" s="4"/>
      <c r="F130" s="4"/>
      <c r="G130" s="4"/>
      <c r="H130" s="4"/>
      <c r="I130" s="4"/>
      <c r="J130" s="2"/>
      <c r="K130" s="2"/>
      <c r="L130" s="2"/>
    </row>
    <row r="131" spans="3:12" x14ac:dyDescent="0.35">
      <c r="C131" s="4"/>
      <c r="D131" s="4"/>
      <c r="E131" s="4"/>
      <c r="F131" s="4"/>
      <c r="G131" s="4"/>
      <c r="H131" s="4"/>
      <c r="I131" s="4"/>
      <c r="J131" s="2"/>
      <c r="K131" s="2"/>
      <c r="L131" s="2"/>
    </row>
    <row r="132" spans="3:12" x14ac:dyDescent="0.35">
      <c r="C132" s="4"/>
      <c r="D132" s="4"/>
      <c r="E132" s="4"/>
      <c r="F132" s="4"/>
      <c r="G132" s="4"/>
      <c r="H132" s="4"/>
      <c r="I132" s="4"/>
      <c r="J132" s="2"/>
      <c r="K132" s="2"/>
      <c r="L132" s="2"/>
    </row>
    <row r="133" spans="3:12" x14ac:dyDescent="0.35">
      <c r="C133" s="4"/>
      <c r="D133" s="4"/>
      <c r="E133" s="4"/>
      <c r="F133" s="4"/>
      <c r="G133" s="4"/>
      <c r="H133" s="4"/>
      <c r="I133" s="4"/>
      <c r="J133" s="2"/>
      <c r="K133" s="2"/>
      <c r="L133" s="2"/>
    </row>
    <row r="134" spans="3:12" x14ac:dyDescent="0.35">
      <c r="C134" s="4"/>
      <c r="D134" s="4"/>
      <c r="E134" s="4"/>
      <c r="F134" s="4"/>
      <c r="G134" s="4"/>
      <c r="H134" s="4"/>
      <c r="I134" s="4"/>
      <c r="J134" s="2"/>
      <c r="K134" s="2"/>
      <c r="L134" s="2"/>
    </row>
    <row r="135" spans="3:12" x14ac:dyDescent="0.35">
      <c r="C135" s="4"/>
      <c r="D135" s="4"/>
      <c r="E135" s="4"/>
      <c r="F135" s="4"/>
      <c r="G135" s="4"/>
      <c r="H135" s="4"/>
      <c r="I135" s="4"/>
      <c r="J135" s="2"/>
      <c r="K135" s="2"/>
      <c r="L135" s="2"/>
    </row>
    <row r="136" spans="3:12" x14ac:dyDescent="0.35">
      <c r="C136" s="4"/>
      <c r="D136" s="4"/>
      <c r="E136" s="4"/>
      <c r="F136" s="4"/>
      <c r="G136" s="4"/>
      <c r="H136" s="4"/>
      <c r="I136" s="4"/>
      <c r="J136" s="2"/>
      <c r="K136" s="2"/>
      <c r="L136" s="2"/>
    </row>
    <row r="137" spans="3:12" x14ac:dyDescent="0.35">
      <c r="C137" s="4"/>
      <c r="D137" s="4"/>
      <c r="E137" s="4"/>
      <c r="F137" s="4"/>
      <c r="G137" s="4"/>
      <c r="H137" s="4"/>
      <c r="I137" s="4"/>
      <c r="J137" s="2"/>
      <c r="K137" s="2"/>
      <c r="L137" s="2"/>
    </row>
    <row r="138" spans="3:12" x14ac:dyDescent="0.35">
      <c r="C138" s="4"/>
      <c r="D138" s="4"/>
      <c r="E138" s="4"/>
      <c r="F138" s="4"/>
      <c r="G138" s="4"/>
      <c r="H138" s="4"/>
      <c r="I138" s="4"/>
      <c r="J138" s="2"/>
      <c r="K138" s="2"/>
      <c r="L138" s="2"/>
    </row>
    <row r="139" spans="3:12" x14ac:dyDescent="0.35">
      <c r="C139" s="4"/>
      <c r="D139" s="4"/>
      <c r="E139" s="4"/>
      <c r="F139" s="4"/>
      <c r="G139" s="4"/>
      <c r="H139" s="4"/>
      <c r="I139" s="4"/>
      <c r="J139" s="2"/>
      <c r="K139" s="2"/>
      <c r="L139" s="2"/>
    </row>
    <row r="140" spans="3:12" x14ac:dyDescent="0.35">
      <c r="C140" s="4"/>
      <c r="D140" s="4"/>
      <c r="E140" s="4"/>
      <c r="F140" s="4"/>
      <c r="G140" s="4"/>
      <c r="H140" s="4"/>
      <c r="I140" s="4"/>
      <c r="J140" s="2"/>
      <c r="K140" s="2"/>
      <c r="L140" s="2"/>
    </row>
    <row r="141" spans="3:12" x14ac:dyDescent="0.35">
      <c r="C141" s="4"/>
      <c r="D141" s="4"/>
      <c r="E141" s="4"/>
      <c r="F141" s="4"/>
      <c r="G141" s="4"/>
      <c r="H141" s="4"/>
      <c r="I141" s="4"/>
      <c r="J141" s="2"/>
      <c r="K141" s="2"/>
      <c r="L141" s="2"/>
    </row>
    <row r="142" spans="3:12" x14ac:dyDescent="0.35">
      <c r="E142" s="4"/>
      <c r="F142" s="4"/>
      <c r="G142" s="4"/>
      <c r="H142" s="4"/>
      <c r="I142" s="4"/>
      <c r="J142" s="2"/>
      <c r="K142" s="2"/>
      <c r="L142" s="2"/>
    </row>
    <row r="143" spans="3:12" x14ac:dyDescent="0.35">
      <c r="E143" s="4"/>
      <c r="F143" s="4"/>
      <c r="G143" s="4"/>
      <c r="H143" s="4"/>
      <c r="I143" s="4"/>
      <c r="J143" s="2"/>
      <c r="K143" s="2"/>
      <c r="L143" s="2"/>
    </row>
    <row r="144" spans="3:12" x14ac:dyDescent="0.35">
      <c r="E144" s="4"/>
      <c r="F144" s="4"/>
      <c r="G144" s="4"/>
      <c r="H144" s="4"/>
      <c r="I144" s="4"/>
      <c r="J144" s="2"/>
      <c r="K144" s="2"/>
      <c r="L144" s="2"/>
    </row>
    <row r="145" spans="5:12" x14ac:dyDescent="0.35">
      <c r="E145" s="4"/>
      <c r="F145" s="4"/>
      <c r="G145" s="4"/>
      <c r="H145" s="4"/>
      <c r="I145" s="4"/>
      <c r="J145" s="2"/>
      <c r="K145" s="2"/>
      <c r="L145" s="2"/>
    </row>
    <row r="146" spans="5:12" x14ac:dyDescent="0.35">
      <c r="E146" s="4"/>
      <c r="F146" s="4"/>
      <c r="G146" s="4"/>
      <c r="H146" s="4"/>
      <c r="I146" s="4"/>
      <c r="J146" s="2"/>
      <c r="K146" s="2"/>
      <c r="L146" s="2"/>
    </row>
    <row r="147" spans="5:12" x14ac:dyDescent="0.35">
      <c r="E147" s="4"/>
      <c r="F147" s="4"/>
      <c r="G147" s="4"/>
      <c r="H147" s="4"/>
      <c r="I147" s="4"/>
      <c r="J147" s="2"/>
      <c r="K147" s="2"/>
      <c r="L147" s="2"/>
    </row>
  </sheetData>
  <mergeCells count="1">
    <mergeCell ref="C1:E1"/>
  </mergeCells>
  <pageMargins left="0.7" right="0.7" top="0.75" bottom="0.75" header="0.3" footer="0.3"/>
  <pageSetup paperSize="9" orientation="portrait" r:id="rId1"/>
  <customProperties>
    <customPr name="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013C2-4769-403D-91AC-B6032ECD30F2}">
  <dimension ref="A1:AB27"/>
  <sheetViews>
    <sheetView workbookViewId="0">
      <selection activeCell="E15" sqref="E15"/>
    </sheetView>
  </sheetViews>
  <sheetFormatPr baseColWidth="10" defaultColWidth="11.54296875" defaultRowHeight="14.5" x14ac:dyDescent="0.35"/>
  <cols>
    <col min="1" max="1" width="29.54296875" customWidth="1"/>
    <col min="2" max="2" width="1.08984375" customWidth="1"/>
    <col min="3" max="3" width="34" bestFit="1" customWidth="1"/>
    <col min="4" max="4" width="3.453125" customWidth="1"/>
    <col min="5" max="5" width="57.6328125" bestFit="1" customWidth="1"/>
    <col min="7" max="11" width="5.36328125" customWidth="1"/>
    <col min="12" max="13" width="16.36328125" customWidth="1"/>
  </cols>
  <sheetData>
    <row r="1" spans="1:28" ht="60.5" x14ac:dyDescent="0.35">
      <c r="A1" s="68" t="s">
        <v>226</v>
      </c>
      <c r="B1" s="69"/>
      <c r="C1" s="70" t="s">
        <v>156</v>
      </c>
      <c r="D1" s="69"/>
      <c r="E1" s="70" t="s">
        <v>181</v>
      </c>
      <c r="L1" s="67" t="s">
        <v>228</v>
      </c>
      <c r="M1" s="67" t="s">
        <v>227</v>
      </c>
    </row>
    <row r="2" spans="1:28" x14ac:dyDescent="0.35">
      <c r="A2" s="43" t="s">
        <v>96</v>
      </c>
      <c r="C2" t="s">
        <v>138</v>
      </c>
      <c r="E2" t="s">
        <v>182</v>
      </c>
      <c r="L2" s="66" t="s">
        <v>159</v>
      </c>
      <c r="M2" s="66" t="s">
        <v>87</v>
      </c>
    </row>
    <row r="3" spans="1:28" x14ac:dyDescent="0.35">
      <c r="A3" t="s">
        <v>98</v>
      </c>
      <c r="C3" t="s">
        <v>139</v>
      </c>
      <c r="E3" t="s">
        <v>183</v>
      </c>
      <c r="L3" s="66" t="s">
        <v>160</v>
      </c>
      <c r="M3" s="66" t="s">
        <v>89</v>
      </c>
      <c r="AB3" t="s">
        <v>97</v>
      </c>
    </row>
    <row r="4" spans="1:28" x14ac:dyDescent="0.35">
      <c r="A4" t="s">
        <v>99</v>
      </c>
      <c r="C4" t="s">
        <v>140</v>
      </c>
      <c r="E4" t="s">
        <v>184</v>
      </c>
      <c r="L4" s="66" t="s">
        <v>161</v>
      </c>
      <c r="M4" s="66" t="s">
        <v>93</v>
      </c>
    </row>
    <row r="5" spans="1:28" x14ac:dyDescent="0.35">
      <c r="A5" t="s">
        <v>100</v>
      </c>
      <c r="C5" t="s">
        <v>157</v>
      </c>
      <c r="E5" t="s">
        <v>185</v>
      </c>
      <c r="L5" s="66" t="s">
        <v>162</v>
      </c>
      <c r="M5" s="66" t="s">
        <v>86</v>
      </c>
    </row>
    <row r="6" spans="1:28" ht="13.5" customHeight="1" x14ac:dyDescent="0.35">
      <c r="A6" t="s">
        <v>101</v>
      </c>
      <c r="C6" t="s">
        <v>141</v>
      </c>
      <c r="E6" s="1" t="s">
        <v>278</v>
      </c>
      <c r="L6" s="66" t="s">
        <v>163</v>
      </c>
      <c r="M6" s="66" t="s">
        <v>88</v>
      </c>
    </row>
    <row r="7" spans="1:28" x14ac:dyDescent="0.35">
      <c r="A7" t="s">
        <v>102</v>
      </c>
      <c r="C7" s="43" t="s">
        <v>142</v>
      </c>
      <c r="E7" t="s">
        <v>186</v>
      </c>
      <c r="L7" s="66" t="s">
        <v>164</v>
      </c>
      <c r="M7" s="66" t="s">
        <v>94</v>
      </c>
    </row>
    <row r="8" spans="1:28" x14ac:dyDescent="0.35">
      <c r="A8" t="s">
        <v>103</v>
      </c>
      <c r="C8" t="s">
        <v>143</v>
      </c>
      <c r="E8" t="s">
        <v>187</v>
      </c>
      <c r="L8" s="66" t="s">
        <v>165</v>
      </c>
      <c r="M8" s="66" t="s">
        <v>91</v>
      </c>
    </row>
    <row r="9" spans="1:28" x14ac:dyDescent="0.35">
      <c r="A9" t="s">
        <v>104</v>
      </c>
      <c r="C9" t="s">
        <v>144</v>
      </c>
      <c r="E9" t="s">
        <v>188</v>
      </c>
      <c r="L9" s="66" t="s">
        <v>166</v>
      </c>
      <c r="M9" s="66" t="s">
        <v>92</v>
      </c>
    </row>
    <row r="10" spans="1:28" x14ac:dyDescent="0.35">
      <c r="A10" t="s">
        <v>105</v>
      </c>
      <c r="C10" t="s">
        <v>145</v>
      </c>
      <c r="E10" t="s">
        <v>189</v>
      </c>
      <c r="L10" s="66" t="s">
        <v>167</v>
      </c>
      <c r="M10" s="66" t="s">
        <v>90</v>
      </c>
    </row>
    <row r="11" spans="1:28" x14ac:dyDescent="0.35">
      <c r="A11" t="s">
        <v>106</v>
      </c>
      <c r="C11" t="s">
        <v>146</v>
      </c>
      <c r="E11" t="s">
        <v>190</v>
      </c>
    </row>
    <row r="12" spans="1:28" x14ac:dyDescent="0.35">
      <c r="A12" t="s">
        <v>107</v>
      </c>
      <c r="C12" t="s">
        <v>147</v>
      </c>
    </row>
    <row r="13" spans="1:28" x14ac:dyDescent="0.35">
      <c r="A13" t="s">
        <v>108</v>
      </c>
      <c r="C13" t="s">
        <v>148</v>
      </c>
    </row>
    <row r="14" spans="1:28" x14ac:dyDescent="0.35">
      <c r="A14" t="s">
        <v>109</v>
      </c>
      <c r="C14" t="s">
        <v>149</v>
      </c>
    </row>
    <row r="15" spans="1:28" x14ac:dyDescent="0.35">
      <c r="A15" t="s">
        <v>86</v>
      </c>
      <c r="C15" t="s">
        <v>150</v>
      </c>
    </row>
    <row r="16" spans="1:28" x14ac:dyDescent="0.35">
      <c r="A16" t="s">
        <v>110</v>
      </c>
      <c r="C16" t="s">
        <v>151</v>
      </c>
    </row>
    <row r="17" spans="1:3" x14ac:dyDescent="0.35">
      <c r="A17" t="s">
        <v>111</v>
      </c>
      <c r="C17" t="s">
        <v>152</v>
      </c>
    </row>
    <row r="18" spans="1:3" x14ac:dyDescent="0.35">
      <c r="A18" t="s">
        <v>112</v>
      </c>
      <c r="C18" t="s">
        <v>153</v>
      </c>
    </row>
    <row r="19" spans="1:3" x14ac:dyDescent="0.35">
      <c r="A19" t="s">
        <v>113</v>
      </c>
      <c r="C19" t="s">
        <v>154</v>
      </c>
    </row>
    <row r="20" spans="1:3" x14ac:dyDescent="0.35">
      <c r="A20" t="s">
        <v>114</v>
      </c>
      <c r="C20" t="s">
        <v>155</v>
      </c>
    </row>
    <row r="21" spans="1:3" x14ac:dyDescent="0.35">
      <c r="A21" t="s">
        <v>115</v>
      </c>
    </row>
    <row r="22" spans="1:3" x14ac:dyDescent="0.35">
      <c r="A22" t="s">
        <v>116</v>
      </c>
    </row>
    <row r="23" spans="1:3" x14ac:dyDescent="0.35">
      <c r="A23" t="s">
        <v>117</v>
      </c>
    </row>
    <row r="24" spans="1:3" x14ac:dyDescent="0.35">
      <c r="A24" t="s">
        <v>118</v>
      </c>
    </row>
    <row r="25" spans="1:3" x14ac:dyDescent="0.35">
      <c r="A25" t="s">
        <v>119</v>
      </c>
    </row>
    <row r="26" spans="1:3" x14ac:dyDescent="0.35">
      <c r="A26" t="s">
        <v>120</v>
      </c>
    </row>
    <row r="27" spans="1:3" x14ac:dyDescent="0.35">
      <c r="A27" t="s">
        <v>121</v>
      </c>
    </row>
  </sheetData>
  <sortState xmlns:xlrd2="http://schemas.microsoft.com/office/spreadsheetml/2017/richdata2" ref="A2:A27">
    <sortCondition ref="A1"/>
  </sortState>
  <pageMargins left="0.7" right="0.7" top="0.75" bottom="0.75" header="0.3" footer="0.3"/>
  <pageSetup paperSize="9" orientation="portrait" r:id="rId1"/>
  <customProperties>
    <customPr name="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D19CF-AD70-45A3-8894-D82DC572B58A}">
  <dimension ref="C5:N48"/>
  <sheetViews>
    <sheetView topLeftCell="C1" zoomScale="92" zoomScaleNormal="92" workbookViewId="0">
      <selection activeCell="E23" sqref="E23"/>
    </sheetView>
  </sheetViews>
  <sheetFormatPr baseColWidth="10" defaultColWidth="8.90625" defaultRowHeight="10.5" x14ac:dyDescent="0.25"/>
  <cols>
    <col min="1" max="2" width="8.90625" style="74"/>
    <col min="3" max="3" width="31.90625" style="74" customWidth="1"/>
    <col min="4" max="4" width="16.6328125" style="74" customWidth="1"/>
    <col min="5" max="5" width="16.90625" style="74" customWidth="1"/>
    <col min="6" max="6" width="11.08984375" style="74" customWidth="1"/>
    <col min="7" max="7" width="11.81640625" style="74" customWidth="1"/>
    <col min="8" max="8" width="45.1796875" style="74" customWidth="1"/>
    <col min="9" max="9" width="13.90625" style="74" bestFit="1" customWidth="1"/>
    <col min="10" max="10" width="11.90625" style="74" customWidth="1"/>
    <col min="11" max="11" width="30.453125" style="74" customWidth="1"/>
    <col min="12" max="12" width="14.36328125" style="74" customWidth="1"/>
    <col min="13" max="13" width="11.6328125" style="74" customWidth="1"/>
    <col min="14" max="16384" width="8.90625" style="74"/>
  </cols>
  <sheetData>
    <row r="5" spans="3:14" ht="11" thickBot="1" x14ac:dyDescent="0.3">
      <c r="D5" s="75" t="s">
        <v>287</v>
      </c>
      <c r="E5" s="75" t="s">
        <v>279</v>
      </c>
      <c r="F5" s="75" t="s">
        <v>299</v>
      </c>
      <c r="L5" s="75" t="s">
        <v>287</v>
      </c>
      <c r="M5" s="75" t="s">
        <v>279</v>
      </c>
      <c r="N5" s="75" t="s">
        <v>299</v>
      </c>
    </row>
    <row r="6" spans="3:14" ht="11" thickBot="1" x14ac:dyDescent="0.3">
      <c r="C6" s="76" t="s">
        <v>288</v>
      </c>
      <c r="D6" s="77"/>
      <c r="K6" s="78" t="s">
        <v>168</v>
      </c>
    </row>
    <row r="7" spans="3:14" x14ac:dyDescent="0.25">
      <c r="C7" s="79"/>
      <c r="D7" s="80"/>
      <c r="K7" s="79"/>
    </row>
    <row r="8" spans="3:14" x14ac:dyDescent="0.25">
      <c r="C8" s="92" t="s">
        <v>247</v>
      </c>
      <c r="D8" s="80"/>
      <c r="F8" s="74" t="s">
        <v>300</v>
      </c>
      <c r="K8" s="92" t="s">
        <v>289</v>
      </c>
      <c r="N8" s="74" t="s">
        <v>300</v>
      </c>
    </row>
    <row r="9" spans="3:14" x14ac:dyDescent="0.25">
      <c r="C9" s="100" t="s">
        <v>248</v>
      </c>
      <c r="D9" s="80"/>
      <c r="K9" s="81" t="s">
        <v>290</v>
      </c>
      <c r="N9" s="74" t="s">
        <v>303</v>
      </c>
    </row>
    <row r="10" spans="3:14" ht="11.4" customHeight="1" x14ac:dyDescent="0.25">
      <c r="C10" s="81" t="s">
        <v>249</v>
      </c>
      <c r="D10" s="80"/>
      <c r="K10" s="81" t="s">
        <v>291</v>
      </c>
      <c r="L10" s="82" t="s">
        <v>272</v>
      </c>
    </row>
    <row r="11" spans="3:14" x14ac:dyDescent="0.25">
      <c r="C11" s="109" t="s">
        <v>250</v>
      </c>
      <c r="D11" s="110" t="s">
        <v>284</v>
      </c>
      <c r="E11" s="111" t="s">
        <v>280</v>
      </c>
      <c r="F11" s="115" t="s">
        <v>301</v>
      </c>
      <c r="K11" s="81"/>
    </row>
    <row r="12" spans="3:14" x14ac:dyDescent="0.25">
      <c r="C12" s="81" t="s">
        <v>251</v>
      </c>
      <c r="D12" s="80"/>
      <c r="F12" s="74" t="s">
        <v>302</v>
      </c>
      <c r="K12" s="81"/>
    </row>
    <row r="13" spans="3:14" ht="19.75" customHeight="1" thickBot="1" x14ac:dyDescent="0.3">
      <c r="C13" s="101" t="s">
        <v>252</v>
      </c>
      <c r="D13" s="102" t="s">
        <v>306</v>
      </c>
      <c r="E13" s="103"/>
      <c r="F13" s="103" t="s">
        <v>302</v>
      </c>
      <c r="K13" s="81"/>
    </row>
    <row r="14" spans="3:14" ht="15.65" customHeight="1" x14ac:dyDescent="0.25">
      <c r="C14" s="112" t="s">
        <v>253</v>
      </c>
      <c r="D14" s="113" t="s">
        <v>285</v>
      </c>
      <c r="E14" s="114" t="s">
        <v>282</v>
      </c>
      <c r="F14" s="114" t="s">
        <v>301</v>
      </c>
      <c r="K14" s="84"/>
    </row>
    <row r="15" spans="3:14" ht="11.4" customHeight="1" x14ac:dyDescent="0.25">
      <c r="C15" s="81" t="s">
        <v>254</v>
      </c>
      <c r="D15" s="80"/>
      <c r="E15" s="74" t="s">
        <v>308</v>
      </c>
      <c r="F15" s="74" t="s">
        <v>307</v>
      </c>
      <c r="K15" s="80"/>
    </row>
    <row r="16" spans="3:14" x14ac:dyDescent="0.25">
      <c r="C16" s="81" t="s">
        <v>255</v>
      </c>
      <c r="D16" s="80" t="s">
        <v>256</v>
      </c>
      <c r="F16" s="74" t="s">
        <v>301</v>
      </c>
      <c r="K16" s="80"/>
    </row>
    <row r="17" spans="3:14" ht="15.65" customHeight="1" x14ac:dyDescent="0.25">
      <c r="C17" s="112" t="s">
        <v>257</v>
      </c>
      <c r="D17" s="113" t="s">
        <v>285</v>
      </c>
      <c r="E17" s="114" t="s">
        <v>282</v>
      </c>
      <c r="F17" s="114" t="s">
        <v>301</v>
      </c>
      <c r="K17" s="80"/>
    </row>
    <row r="18" spans="3:14" ht="11" thickBot="1" x14ac:dyDescent="0.3">
      <c r="C18" s="81" t="s">
        <v>258</v>
      </c>
      <c r="D18" s="85" t="s">
        <v>262</v>
      </c>
      <c r="F18" s="74" t="s">
        <v>302</v>
      </c>
      <c r="K18" s="80"/>
    </row>
    <row r="19" spans="3:14" ht="17.399999999999999" customHeight="1" thickBot="1" x14ac:dyDescent="0.3">
      <c r="C19" s="112" t="s">
        <v>259</v>
      </c>
      <c r="D19" s="116" t="s">
        <v>284</v>
      </c>
      <c r="E19" s="114" t="s">
        <v>283</v>
      </c>
      <c r="F19" s="114" t="s">
        <v>301</v>
      </c>
      <c r="K19" s="87" t="s">
        <v>297</v>
      </c>
    </row>
    <row r="20" spans="3:14" x14ac:dyDescent="0.25">
      <c r="C20" s="81" t="s">
        <v>260</v>
      </c>
      <c r="D20" s="85" t="s">
        <v>261</v>
      </c>
      <c r="F20" s="74" t="s">
        <v>301</v>
      </c>
      <c r="K20" s="79"/>
    </row>
    <row r="21" spans="3:14" ht="14" customHeight="1" x14ac:dyDescent="0.25">
      <c r="C21" s="81" t="s">
        <v>263</v>
      </c>
      <c r="D21" s="85" t="s">
        <v>261</v>
      </c>
      <c r="F21" s="74" t="s">
        <v>301</v>
      </c>
      <c r="K21" s="81" t="s">
        <v>293</v>
      </c>
      <c r="L21" s="88" t="s">
        <v>292</v>
      </c>
      <c r="M21" s="83" t="s">
        <v>281</v>
      </c>
      <c r="N21" s="74" t="s">
        <v>303</v>
      </c>
    </row>
    <row r="22" spans="3:14" ht="15.65" customHeight="1" x14ac:dyDescent="0.25">
      <c r="C22" s="112" t="s">
        <v>273</v>
      </c>
      <c r="D22" s="117" t="s">
        <v>295</v>
      </c>
      <c r="E22" s="114" t="s">
        <v>281</v>
      </c>
      <c r="F22" s="114" t="s">
        <v>301</v>
      </c>
      <c r="K22" s="81" t="s">
        <v>170</v>
      </c>
      <c r="N22" s="74" t="s">
        <v>303</v>
      </c>
    </row>
    <row r="23" spans="3:14" ht="15.65" customHeight="1" x14ac:dyDescent="0.25">
      <c r="C23" s="112" t="s">
        <v>274</v>
      </c>
      <c r="D23" s="116" t="s">
        <v>284</v>
      </c>
      <c r="E23" s="114" t="s">
        <v>296</v>
      </c>
      <c r="F23" s="114" t="s">
        <v>301</v>
      </c>
      <c r="K23" s="81" t="s">
        <v>251</v>
      </c>
      <c r="N23" s="74" t="s">
        <v>302</v>
      </c>
    </row>
    <row r="24" spans="3:14" ht="15.65" customHeight="1" x14ac:dyDescent="0.25">
      <c r="C24" s="81" t="s">
        <v>275</v>
      </c>
      <c r="D24" s="82" t="s">
        <v>261</v>
      </c>
      <c r="F24" s="74" t="s">
        <v>301</v>
      </c>
      <c r="K24" s="81"/>
    </row>
    <row r="25" spans="3:14" ht="15.65" customHeight="1" x14ac:dyDescent="0.25">
      <c r="C25" s="81" t="s">
        <v>276</v>
      </c>
      <c r="D25" s="82" t="s">
        <v>261</v>
      </c>
      <c r="F25" s="74" t="s">
        <v>301</v>
      </c>
      <c r="K25" s="81"/>
    </row>
    <row r="26" spans="3:14" ht="15.65" customHeight="1" thickBot="1" x14ac:dyDescent="0.3">
      <c r="C26" s="81" t="s">
        <v>277</v>
      </c>
      <c r="D26" s="82" t="s">
        <v>261</v>
      </c>
      <c r="K26" s="89"/>
    </row>
    <row r="27" spans="3:14" x14ac:dyDescent="0.25">
      <c r="C27" s="84"/>
      <c r="K27" s="80"/>
    </row>
    <row r="28" spans="3:14" ht="16.75" customHeight="1" x14ac:dyDescent="0.25">
      <c r="C28" s="80"/>
      <c r="D28" s="90"/>
      <c r="K28" s="80"/>
    </row>
    <row r="29" spans="3:14" ht="16.75" customHeight="1" x14ac:dyDescent="0.25">
      <c r="C29" s="80"/>
      <c r="D29" s="82"/>
      <c r="K29" s="80"/>
    </row>
    <row r="30" spans="3:14" ht="16.25" customHeight="1" x14ac:dyDescent="0.25">
      <c r="C30" s="80"/>
      <c r="K30" s="80"/>
    </row>
    <row r="31" spans="3:14" ht="16.25" customHeight="1" x14ac:dyDescent="0.25">
      <c r="C31" s="80"/>
      <c r="K31" s="80"/>
    </row>
    <row r="32" spans="3:14" ht="16.25" customHeight="1" x14ac:dyDescent="0.25">
      <c r="C32" s="80"/>
      <c r="K32" s="80"/>
    </row>
    <row r="33" spans="3:11" ht="16.25" customHeight="1" x14ac:dyDescent="0.25">
      <c r="C33" s="80"/>
      <c r="K33" s="80"/>
    </row>
    <row r="34" spans="3:11" ht="16.25" customHeight="1" x14ac:dyDescent="0.25">
      <c r="C34" s="80"/>
      <c r="K34" s="80"/>
    </row>
    <row r="35" spans="3:11" ht="16.25" customHeight="1" x14ac:dyDescent="0.25">
      <c r="C35" s="80"/>
      <c r="K35" s="80"/>
    </row>
    <row r="36" spans="3:11" ht="16.25" customHeight="1" thickBot="1" x14ac:dyDescent="0.3">
      <c r="C36" s="80"/>
      <c r="I36" s="75" t="s">
        <v>287</v>
      </c>
      <c r="J36" s="75" t="s">
        <v>279</v>
      </c>
      <c r="K36" s="75" t="s">
        <v>299</v>
      </c>
    </row>
    <row r="37" spans="3:11" ht="16.25" customHeight="1" thickBot="1" x14ac:dyDescent="0.3">
      <c r="C37" s="80"/>
      <c r="H37" s="91" t="s">
        <v>298</v>
      </c>
      <c r="K37" s="80"/>
    </row>
    <row r="38" spans="3:11" x14ac:dyDescent="0.25">
      <c r="C38" s="80"/>
      <c r="D38" s="80"/>
      <c r="H38" s="79"/>
      <c r="K38" s="80"/>
    </row>
    <row r="39" spans="3:11" ht="12.65" customHeight="1" x14ac:dyDescent="0.25">
      <c r="H39" s="81" t="s">
        <v>264</v>
      </c>
      <c r="I39" s="86" t="s">
        <v>284</v>
      </c>
      <c r="J39" s="83" t="s">
        <v>286</v>
      </c>
      <c r="K39" s="74" t="s">
        <v>303</v>
      </c>
    </row>
    <row r="40" spans="3:11" x14ac:dyDescent="0.25">
      <c r="H40" s="81" t="s">
        <v>265</v>
      </c>
      <c r="I40" s="82" t="s">
        <v>261</v>
      </c>
      <c r="K40" s="74" t="s">
        <v>304</v>
      </c>
    </row>
    <row r="41" spans="3:11" x14ac:dyDescent="0.25">
      <c r="H41" s="81" t="s">
        <v>266</v>
      </c>
      <c r="I41" s="82" t="s">
        <v>261</v>
      </c>
      <c r="K41" s="74" t="s">
        <v>304</v>
      </c>
    </row>
    <row r="42" spans="3:11" x14ac:dyDescent="0.25">
      <c r="H42" s="81" t="s">
        <v>267</v>
      </c>
      <c r="I42" s="82" t="s">
        <v>261</v>
      </c>
      <c r="K42" s="74" t="s">
        <v>305</v>
      </c>
    </row>
    <row r="43" spans="3:11" x14ac:dyDescent="0.25">
      <c r="H43" s="81" t="s">
        <v>268</v>
      </c>
      <c r="I43" s="82" t="s">
        <v>261</v>
      </c>
      <c r="K43" s="74" t="s">
        <v>304</v>
      </c>
    </row>
    <row r="44" spans="3:11" x14ac:dyDescent="0.25">
      <c r="H44" s="81" t="s">
        <v>294</v>
      </c>
      <c r="I44" s="82" t="s">
        <v>261</v>
      </c>
      <c r="K44" s="74" t="s">
        <v>303</v>
      </c>
    </row>
    <row r="45" spans="3:11" x14ac:dyDescent="0.25">
      <c r="H45" s="81" t="s">
        <v>269</v>
      </c>
      <c r="I45" s="90" t="s">
        <v>270</v>
      </c>
      <c r="K45" s="74" t="s">
        <v>303</v>
      </c>
    </row>
    <row r="46" spans="3:11" x14ac:dyDescent="0.25">
      <c r="H46" s="81" t="s">
        <v>271</v>
      </c>
      <c r="I46" s="82" t="s">
        <v>261</v>
      </c>
      <c r="K46" s="74" t="s">
        <v>304</v>
      </c>
    </row>
    <row r="47" spans="3:11" x14ac:dyDescent="0.25">
      <c r="H47" s="81"/>
      <c r="I47" s="90"/>
    </row>
    <row r="48" spans="3:11" ht="11" thickBot="1" x14ac:dyDescent="0.3">
      <c r="H48" s="89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AC774-85C5-4150-90FB-658801CD0CC6}">
  <dimension ref="B7:U58"/>
  <sheetViews>
    <sheetView topLeftCell="A34" zoomScale="85" zoomScaleNormal="85" workbookViewId="0">
      <selection activeCell="K63" sqref="K63"/>
    </sheetView>
  </sheetViews>
  <sheetFormatPr baseColWidth="10" defaultColWidth="8.90625" defaultRowHeight="12" x14ac:dyDescent="0.3"/>
  <cols>
    <col min="1" max="13" width="8.90625" style="2"/>
    <col min="14" max="14" width="15.1796875" style="2" customWidth="1"/>
    <col min="15" max="18" width="8.90625" style="2"/>
    <col min="19" max="19" width="14.453125" style="2" customWidth="1"/>
    <col min="20" max="20" width="8.90625" style="2"/>
    <col min="21" max="21" width="22" style="2" customWidth="1"/>
    <col min="22" max="22" width="11.1796875" style="2" customWidth="1"/>
    <col min="23" max="23" width="8.90625" style="2"/>
    <col min="24" max="24" width="12.90625" style="2" customWidth="1"/>
    <col min="25" max="27" width="8.90625" style="2"/>
    <col min="28" max="28" width="22.453125" style="2" customWidth="1"/>
    <col min="29" max="16384" width="8.90625" style="2"/>
  </cols>
  <sheetData>
    <row r="7" spans="2:21" x14ac:dyDescent="0.3">
      <c r="C7" s="143" t="s">
        <v>330</v>
      </c>
    </row>
    <row r="8" spans="2:21" ht="12.5" thickBot="1" x14ac:dyDescent="0.35"/>
    <row r="9" spans="2:21" ht="15" customHeight="1" thickBot="1" x14ac:dyDescent="0.35">
      <c r="B9" s="192" t="s">
        <v>324</v>
      </c>
      <c r="C9" s="193"/>
      <c r="D9" s="194"/>
      <c r="G9" s="188" t="s">
        <v>309</v>
      </c>
      <c r="H9" s="189"/>
      <c r="I9" s="190"/>
      <c r="M9" s="178" t="s">
        <v>253</v>
      </c>
      <c r="N9" s="179"/>
      <c r="R9" s="197" t="s">
        <v>312</v>
      </c>
      <c r="S9" s="198"/>
      <c r="T9" s="130"/>
      <c r="U9" s="130"/>
    </row>
    <row r="10" spans="2:21" x14ac:dyDescent="0.3">
      <c r="B10" s="118"/>
      <c r="C10" s="119"/>
      <c r="D10" s="65"/>
      <c r="G10" s="118"/>
      <c r="H10" s="119"/>
      <c r="I10" s="120"/>
      <c r="M10" s="118"/>
      <c r="N10" s="120"/>
      <c r="R10" s="118"/>
      <c r="S10" s="120"/>
      <c r="T10" s="129"/>
      <c r="U10" s="129"/>
    </row>
    <row r="11" spans="2:21" x14ac:dyDescent="0.3">
      <c r="B11" s="137" t="s">
        <v>326</v>
      </c>
      <c r="C11" s="122"/>
      <c r="D11" s="65"/>
      <c r="G11" s="137" t="s">
        <v>247</v>
      </c>
      <c r="H11" s="122"/>
      <c r="I11" s="65"/>
      <c r="M11" s="137" t="s">
        <v>247</v>
      </c>
      <c r="N11" s="65"/>
      <c r="R11" s="137" t="s">
        <v>322</v>
      </c>
      <c r="S11" s="65"/>
      <c r="T11" s="129"/>
      <c r="U11" s="129"/>
    </row>
    <row r="12" spans="2:21" ht="15" customHeight="1" x14ac:dyDescent="0.3">
      <c r="B12" s="144" t="s">
        <v>247</v>
      </c>
      <c r="C12" s="122"/>
      <c r="D12" s="65"/>
      <c r="G12" s="121" t="s">
        <v>310</v>
      </c>
      <c r="H12" s="122"/>
      <c r="I12" s="65"/>
      <c r="M12" s="145" t="s">
        <v>322</v>
      </c>
      <c r="N12" s="65"/>
      <c r="R12" s="121" t="s">
        <v>323</v>
      </c>
      <c r="S12" s="65"/>
      <c r="T12" s="129"/>
    </row>
    <row r="13" spans="2:21" x14ac:dyDescent="0.3">
      <c r="B13" s="121" t="s">
        <v>327</v>
      </c>
      <c r="D13" s="65"/>
      <c r="G13" s="121" t="s">
        <v>311</v>
      </c>
      <c r="H13" s="122"/>
      <c r="I13" s="65"/>
      <c r="M13" s="121"/>
      <c r="N13" s="65"/>
      <c r="R13" s="121"/>
      <c r="S13" s="65"/>
      <c r="T13" s="129"/>
    </row>
    <row r="14" spans="2:21" x14ac:dyDescent="0.3">
      <c r="B14" s="131" t="s">
        <v>290</v>
      </c>
      <c r="C14" s="122"/>
      <c r="D14" s="65"/>
      <c r="G14" s="121" t="s">
        <v>254</v>
      </c>
      <c r="H14" s="122"/>
      <c r="I14" s="65"/>
      <c r="M14" s="121"/>
      <c r="N14" s="65"/>
      <c r="R14" s="121"/>
      <c r="S14" s="65"/>
      <c r="T14" s="129"/>
    </row>
    <row r="15" spans="2:21" ht="12.5" thickBot="1" x14ac:dyDescent="0.35">
      <c r="B15" s="131" t="s">
        <v>291</v>
      </c>
      <c r="C15" s="122"/>
      <c r="D15" s="65"/>
      <c r="G15" s="121" t="s">
        <v>263</v>
      </c>
      <c r="H15" s="122"/>
      <c r="I15" s="65"/>
      <c r="M15" s="121"/>
      <c r="N15" s="65"/>
      <c r="R15" s="123"/>
      <c r="S15" s="125"/>
      <c r="T15" s="129"/>
    </row>
    <row r="16" spans="2:21" ht="12.5" thickBot="1" x14ac:dyDescent="0.35">
      <c r="B16" s="121"/>
      <c r="C16" s="122"/>
      <c r="D16" s="65"/>
      <c r="G16" s="121" t="s">
        <v>266</v>
      </c>
      <c r="H16" s="122"/>
      <c r="I16" s="65"/>
      <c r="M16" s="123"/>
      <c r="N16" s="125"/>
    </row>
    <row r="17" spans="2:19" ht="12.5" thickBot="1" x14ac:dyDescent="0.35">
      <c r="B17" s="119"/>
      <c r="C17" s="119"/>
      <c r="D17" s="119"/>
      <c r="G17" s="121" t="s">
        <v>267</v>
      </c>
      <c r="H17" s="122"/>
      <c r="I17" s="65"/>
      <c r="M17" s="122"/>
      <c r="N17" s="122"/>
    </row>
    <row r="18" spans="2:19" x14ac:dyDescent="0.3">
      <c r="B18" s="122"/>
      <c r="C18" s="122"/>
      <c r="D18" s="122"/>
      <c r="G18" s="119"/>
      <c r="H18" s="119"/>
      <c r="I18" s="119"/>
      <c r="M18" s="122"/>
      <c r="N18" s="122"/>
    </row>
    <row r="19" spans="2:19" x14ac:dyDescent="0.3">
      <c r="B19" s="122"/>
      <c r="C19" s="122"/>
      <c r="D19" s="122"/>
      <c r="G19" s="122"/>
      <c r="H19" s="122"/>
      <c r="I19" s="122"/>
      <c r="M19" s="122"/>
      <c r="N19" s="122"/>
    </row>
    <row r="20" spans="2:19" x14ac:dyDescent="0.3">
      <c r="B20" s="122"/>
      <c r="C20" s="122"/>
      <c r="D20" s="122"/>
      <c r="G20" s="122"/>
      <c r="H20" s="122"/>
      <c r="I20" s="122"/>
      <c r="M20" s="122"/>
      <c r="N20" s="122"/>
    </row>
    <row r="21" spans="2:19" x14ac:dyDescent="0.3">
      <c r="B21" s="122"/>
      <c r="C21" s="122"/>
      <c r="D21" s="122"/>
      <c r="G21" s="122"/>
      <c r="H21" s="122"/>
      <c r="I21" s="122"/>
      <c r="M21" s="122"/>
      <c r="N21" s="122"/>
    </row>
    <row r="22" spans="2:19" x14ac:dyDescent="0.3">
      <c r="B22" s="122"/>
      <c r="C22" s="122"/>
      <c r="D22" s="122"/>
      <c r="G22" s="122"/>
      <c r="H22" s="122"/>
      <c r="I22" s="122"/>
      <c r="M22" s="122"/>
      <c r="N22" s="122"/>
    </row>
    <row r="23" spans="2:19" ht="12.5" thickBot="1" x14ac:dyDescent="0.35">
      <c r="B23" s="122"/>
      <c r="C23" s="122"/>
      <c r="D23" s="122"/>
      <c r="G23" s="122"/>
      <c r="H23" s="122"/>
      <c r="I23" s="122"/>
    </row>
    <row r="24" spans="2:19" ht="12.5" thickBot="1" x14ac:dyDescent="0.35">
      <c r="B24" s="122"/>
      <c r="C24" s="122"/>
      <c r="D24" s="122"/>
      <c r="G24" s="122"/>
      <c r="H24" s="122"/>
      <c r="I24" s="122"/>
      <c r="Q24" s="185" t="s">
        <v>273</v>
      </c>
      <c r="R24" s="186"/>
      <c r="S24" s="187"/>
    </row>
    <row r="25" spans="2:19" ht="12.5" thickBot="1" x14ac:dyDescent="0.35">
      <c r="B25" s="122"/>
      <c r="C25" s="122"/>
      <c r="D25" s="122"/>
      <c r="G25" s="122"/>
      <c r="H25" s="122"/>
      <c r="I25" s="122"/>
      <c r="M25" s="173" t="s">
        <v>315</v>
      </c>
      <c r="N25" s="174"/>
      <c r="Q25" s="142" t="s">
        <v>247</v>
      </c>
      <c r="R25" s="119"/>
      <c r="S25" s="120"/>
    </row>
    <row r="26" spans="2:19" x14ac:dyDescent="0.3">
      <c r="B26" s="122"/>
      <c r="C26" s="122"/>
      <c r="D26" s="122"/>
      <c r="G26" s="122"/>
      <c r="H26" s="122"/>
      <c r="I26" s="122"/>
      <c r="M26" s="118"/>
      <c r="N26" s="120"/>
      <c r="Q26" s="145" t="s">
        <v>322</v>
      </c>
      <c r="R26" s="122"/>
      <c r="S26" s="65"/>
    </row>
    <row r="27" spans="2:19" x14ac:dyDescent="0.3">
      <c r="G27" s="122"/>
      <c r="H27" s="122"/>
      <c r="I27" s="122"/>
      <c r="M27" s="137" t="s">
        <v>247</v>
      </c>
      <c r="N27" s="65"/>
      <c r="Q27" s="146" t="s">
        <v>333</v>
      </c>
      <c r="R27" s="122"/>
      <c r="S27" s="65"/>
    </row>
    <row r="28" spans="2:19" ht="15" customHeight="1" x14ac:dyDescent="0.3">
      <c r="M28" s="145" t="s">
        <v>322</v>
      </c>
      <c r="N28" s="65"/>
      <c r="Q28" s="121" t="s">
        <v>328</v>
      </c>
      <c r="R28" s="122"/>
      <c r="S28" s="65"/>
    </row>
    <row r="29" spans="2:19" x14ac:dyDescent="0.3">
      <c r="M29" s="121" t="s">
        <v>14</v>
      </c>
      <c r="N29" s="65"/>
      <c r="Q29" s="121" t="s">
        <v>317</v>
      </c>
      <c r="R29" s="122"/>
      <c r="S29" s="65"/>
    </row>
    <row r="30" spans="2:19" x14ac:dyDescent="0.3">
      <c r="M30" s="121"/>
      <c r="N30" s="65"/>
      <c r="Q30" s="121" t="s">
        <v>277</v>
      </c>
      <c r="R30" s="122"/>
      <c r="S30" s="65"/>
    </row>
    <row r="31" spans="2:19" ht="15" customHeight="1" thickBot="1" x14ac:dyDescent="0.35">
      <c r="M31" s="123"/>
      <c r="N31" s="125"/>
      <c r="Q31" s="123"/>
      <c r="R31" s="124"/>
      <c r="S31" s="125"/>
    </row>
    <row r="32" spans="2:19" ht="12.5" thickBot="1" x14ac:dyDescent="0.35">
      <c r="M32" s="122"/>
      <c r="N32" s="122"/>
      <c r="Q32" s="119"/>
      <c r="R32" s="119"/>
      <c r="S32" s="119"/>
    </row>
    <row r="33" spans="2:17" ht="12.5" thickBot="1" x14ac:dyDescent="0.35">
      <c r="B33" s="195" t="s">
        <v>325</v>
      </c>
      <c r="C33" s="196"/>
      <c r="G33" s="183" t="s">
        <v>313</v>
      </c>
      <c r="H33" s="184"/>
      <c r="I33" s="121"/>
      <c r="M33" s="122"/>
      <c r="N33" s="122"/>
    </row>
    <row r="34" spans="2:17" ht="12.5" thickBot="1" x14ac:dyDescent="0.35">
      <c r="B34" s="118"/>
      <c r="C34" s="120"/>
      <c r="G34" s="118"/>
      <c r="H34" s="119"/>
      <c r="I34" s="121"/>
      <c r="M34" s="122"/>
      <c r="N34" s="122"/>
    </row>
    <row r="35" spans="2:17" ht="12.5" thickBot="1" x14ac:dyDescent="0.35">
      <c r="B35" s="145" t="s">
        <v>247</v>
      </c>
      <c r="C35" s="65"/>
      <c r="G35" s="145" t="s">
        <v>247</v>
      </c>
      <c r="H35" s="122"/>
      <c r="I35" s="121"/>
      <c r="J35" s="183" t="s">
        <v>331</v>
      </c>
      <c r="K35" s="191"/>
    </row>
    <row r="36" spans="2:17" x14ac:dyDescent="0.3">
      <c r="B36" s="145" t="s">
        <v>326</v>
      </c>
      <c r="C36" s="126"/>
      <c r="G36" s="145" t="s">
        <v>318</v>
      </c>
      <c r="H36" s="126"/>
      <c r="J36" s="118"/>
      <c r="K36" s="120"/>
    </row>
    <row r="37" spans="2:17" x14ac:dyDescent="0.3">
      <c r="B37" s="145" t="s">
        <v>320</v>
      </c>
      <c r="C37" s="65"/>
      <c r="G37" s="139"/>
      <c r="H37" s="141"/>
      <c r="J37" s="145" t="s">
        <v>247</v>
      </c>
      <c r="K37" s="65"/>
    </row>
    <row r="38" spans="2:17" ht="15" customHeight="1" thickBot="1" x14ac:dyDescent="0.35">
      <c r="B38" s="123"/>
      <c r="C38" s="125"/>
      <c r="G38" s="123"/>
      <c r="H38" s="125"/>
      <c r="J38" s="139" t="s">
        <v>316</v>
      </c>
      <c r="K38" s="141"/>
    </row>
    <row r="39" spans="2:17" ht="12.65" customHeight="1" x14ac:dyDescent="0.3">
      <c r="J39" s="121"/>
      <c r="K39" s="65"/>
      <c r="L39" s="122"/>
    </row>
    <row r="40" spans="2:17" ht="12.65" customHeight="1" thickBot="1" x14ac:dyDescent="0.35">
      <c r="J40" s="123"/>
      <c r="K40" s="125"/>
      <c r="L40" s="122"/>
    </row>
    <row r="41" spans="2:17" ht="12.65" customHeight="1" x14ac:dyDescent="0.3"/>
    <row r="42" spans="2:17" ht="12.65" customHeight="1" x14ac:dyDescent="0.3">
      <c r="P42" s="122"/>
    </row>
    <row r="43" spans="2:17" ht="12.65" customHeight="1" x14ac:dyDescent="0.3">
      <c r="P43" s="122"/>
    </row>
    <row r="44" spans="2:17" ht="12.65" customHeight="1" x14ac:dyDescent="0.3">
      <c r="P44" s="122"/>
    </row>
    <row r="45" spans="2:17" ht="12.65" customHeight="1" x14ac:dyDescent="0.3"/>
    <row r="47" spans="2:17" ht="12.5" thickBot="1" x14ac:dyDescent="0.35"/>
    <row r="48" spans="2:17" ht="15" customHeight="1" thickBot="1" x14ac:dyDescent="0.35">
      <c r="B48" s="180" t="s">
        <v>259</v>
      </c>
      <c r="C48" s="181"/>
      <c r="D48" s="182"/>
      <c r="M48" s="170" t="s">
        <v>329</v>
      </c>
      <c r="N48" s="171"/>
      <c r="O48" s="171"/>
      <c r="P48" s="171"/>
      <c r="Q48" s="172"/>
    </row>
    <row r="49" spans="2:18" ht="12.5" thickBot="1" x14ac:dyDescent="0.35">
      <c r="B49" s="118"/>
      <c r="C49" s="119"/>
      <c r="D49" s="120"/>
      <c r="G49" s="175" t="s">
        <v>314</v>
      </c>
      <c r="H49" s="176"/>
      <c r="I49" s="177"/>
      <c r="M49" s="127"/>
      <c r="N49" s="128"/>
      <c r="O49" s="128"/>
      <c r="P49" s="132"/>
      <c r="Q49" s="65"/>
    </row>
    <row r="50" spans="2:18" x14ac:dyDescent="0.3">
      <c r="B50" s="137" t="s">
        <v>320</v>
      </c>
      <c r="C50" s="122"/>
      <c r="D50" s="65"/>
      <c r="G50" s="118"/>
      <c r="H50" s="119"/>
      <c r="I50" s="120"/>
      <c r="M50" s="137"/>
      <c r="N50" s="122"/>
      <c r="O50" s="122"/>
      <c r="P50" s="122"/>
      <c r="Q50" s="65"/>
    </row>
    <row r="51" spans="2:18" x14ac:dyDescent="0.3">
      <c r="B51" s="121" t="s">
        <v>321</v>
      </c>
      <c r="C51" s="122"/>
      <c r="D51" s="65"/>
      <c r="G51" s="137" t="s">
        <v>318</v>
      </c>
      <c r="H51" s="122"/>
      <c r="I51" s="65"/>
      <c r="M51" s="137" t="s">
        <v>247</v>
      </c>
      <c r="N51" s="122"/>
      <c r="O51" s="122"/>
      <c r="P51" s="122"/>
      <c r="Q51" s="65"/>
    </row>
    <row r="52" spans="2:18" x14ac:dyDescent="0.3">
      <c r="B52" s="121" t="s">
        <v>260</v>
      </c>
      <c r="C52" s="122"/>
      <c r="D52" s="65"/>
      <c r="G52" s="121" t="s">
        <v>319</v>
      </c>
      <c r="H52" s="122"/>
      <c r="I52" s="65"/>
      <c r="M52" s="139" t="s">
        <v>316</v>
      </c>
      <c r="N52" s="140"/>
      <c r="O52" s="122"/>
      <c r="P52" s="122"/>
      <c r="Q52" s="65"/>
    </row>
    <row r="53" spans="2:18" x14ac:dyDescent="0.3">
      <c r="B53" s="121"/>
      <c r="D53" s="65"/>
      <c r="G53" s="121"/>
      <c r="H53" s="122"/>
      <c r="I53" s="65"/>
      <c r="M53" s="121" t="s">
        <v>265</v>
      </c>
      <c r="N53" s="122"/>
      <c r="O53" s="122"/>
      <c r="P53" s="122"/>
      <c r="Q53" s="65"/>
    </row>
    <row r="54" spans="2:18" ht="12.5" thickBot="1" x14ac:dyDescent="0.35">
      <c r="B54" s="123"/>
      <c r="C54" s="124"/>
      <c r="D54" s="125"/>
      <c r="G54" s="138"/>
      <c r="I54" s="65"/>
      <c r="M54" s="121" t="s">
        <v>268</v>
      </c>
      <c r="N54" s="122"/>
      <c r="O54" s="122"/>
      <c r="P54" s="122"/>
      <c r="Q54" s="65"/>
    </row>
    <row r="55" spans="2:18" x14ac:dyDescent="0.3">
      <c r="G55" s="121"/>
      <c r="H55" s="122"/>
      <c r="I55" s="65"/>
      <c r="M55" s="121" t="s">
        <v>269</v>
      </c>
      <c r="N55" s="122"/>
      <c r="O55" s="122"/>
      <c r="P55" s="122"/>
      <c r="Q55" s="65"/>
    </row>
    <row r="56" spans="2:18" ht="12.5" thickBot="1" x14ac:dyDescent="0.35">
      <c r="G56" s="123"/>
      <c r="H56" s="124"/>
      <c r="I56" s="125"/>
      <c r="M56" s="121" t="s">
        <v>271</v>
      </c>
      <c r="N56" s="122"/>
      <c r="O56" s="122"/>
      <c r="P56" s="122"/>
      <c r="Q56" s="65"/>
      <c r="R56" s="122"/>
    </row>
    <row r="57" spans="2:18" x14ac:dyDescent="0.3">
      <c r="M57" s="121"/>
      <c r="N57" s="122"/>
      <c r="O57" s="122"/>
      <c r="P57" s="122"/>
      <c r="Q57" s="65"/>
      <c r="R57" s="122"/>
    </row>
    <row r="58" spans="2:18" ht="12.5" thickBot="1" x14ac:dyDescent="0.35">
      <c r="M58" s="123"/>
      <c r="N58" s="124"/>
      <c r="O58" s="124"/>
      <c r="P58" s="124"/>
      <c r="Q58" s="125"/>
      <c r="R58" s="122"/>
    </row>
  </sheetData>
  <mergeCells count="12">
    <mergeCell ref="M48:Q48"/>
    <mergeCell ref="M25:N25"/>
    <mergeCell ref="G49:I49"/>
    <mergeCell ref="M9:N9"/>
    <mergeCell ref="B48:D48"/>
    <mergeCell ref="G33:H33"/>
    <mergeCell ref="Q24:S24"/>
    <mergeCell ref="G9:I9"/>
    <mergeCell ref="J35:K35"/>
    <mergeCell ref="B9:D9"/>
    <mergeCell ref="B33:C33"/>
    <mergeCell ref="R9:S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AED35-C30E-470B-8161-92471508B3FC}">
  <dimension ref="B4:L46"/>
  <sheetViews>
    <sheetView workbookViewId="0">
      <selection activeCell="K14" sqref="K14"/>
    </sheetView>
  </sheetViews>
  <sheetFormatPr baseColWidth="10" defaultRowHeight="14.5" x14ac:dyDescent="0.35"/>
  <cols>
    <col min="7" max="7" width="28.1796875" customWidth="1"/>
  </cols>
  <sheetData>
    <row r="4" spans="2:12" ht="15" thickBot="1" x14ac:dyDescent="0.4"/>
    <row r="5" spans="2:12" ht="15" thickBot="1" x14ac:dyDescent="0.4">
      <c r="B5" s="188" t="s">
        <v>309</v>
      </c>
      <c r="C5" s="190"/>
      <c r="G5" s="152" t="s">
        <v>253</v>
      </c>
      <c r="K5" s="197" t="s">
        <v>312</v>
      </c>
      <c r="L5" s="198"/>
    </row>
    <row r="6" spans="2:12" x14ac:dyDescent="0.35">
      <c r="B6" s="118"/>
      <c r="C6" s="120"/>
      <c r="G6" s="151"/>
      <c r="K6" s="118"/>
      <c r="L6" s="120"/>
    </row>
    <row r="7" spans="2:12" x14ac:dyDescent="0.35">
      <c r="B7" s="149" t="s">
        <v>247</v>
      </c>
      <c r="C7" s="155"/>
      <c r="G7" s="153" t="s">
        <v>247</v>
      </c>
      <c r="K7" s="149" t="s">
        <v>322</v>
      </c>
      <c r="L7" s="65"/>
    </row>
    <row r="8" spans="2:12" x14ac:dyDescent="0.35">
      <c r="B8" s="150" t="s">
        <v>310</v>
      </c>
      <c r="C8" s="155"/>
      <c r="G8" s="154" t="s">
        <v>322</v>
      </c>
      <c r="K8" s="150" t="s">
        <v>323</v>
      </c>
      <c r="L8" s="65"/>
    </row>
    <row r="9" spans="2:12" x14ac:dyDescent="0.35">
      <c r="B9" s="150" t="s">
        <v>311</v>
      </c>
      <c r="C9" s="155"/>
      <c r="G9" s="81" t="s">
        <v>335</v>
      </c>
      <c r="K9" s="150"/>
      <c r="L9" s="65"/>
    </row>
    <row r="10" spans="2:12" ht="15" thickBot="1" x14ac:dyDescent="0.4">
      <c r="B10" s="150" t="s">
        <v>254</v>
      </c>
      <c r="C10" s="155"/>
      <c r="G10" s="81" t="s">
        <v>332</v>
      </c>
      <c r="K10" s="123"/>
      <c r="L10" s="125"/>
    </row>
    <row r="11" spans="2:12" x14ac:dyDescent="0.35">
      <c r="B11" s="150" t="s">
        <v>263</v>
      </c>
      <c r="C11" s="155"/>
      <c r="G11" s="81" t="s">
        <v>328</v>
      </c>
    </row>
    <row r="12" spans="2:12" x14ac:dyDescent="0.35">
      <c r="B12" s="150" t="s">
        <v>266</v>
      </c>
      <c r="C12" s="155"/>
      <c r="G12" s="81" t="s">
        <v>317</v>
      </c>
    </row>
    <row r="13" spans="2:12" x14ac:dyDescent="0.35">
      <c r="B13" s="150" t="s">
        <v>267</v>
      </c>
      <c r="C13" s="155"/>
      <c r="G13" s="81" t="s">
        <v>277</v>
      </c>
    </row>
    <row r="14" spans="2:12" ht="15" thickBot="1" x14ac:dyDescent="0.4">
      <c r="B14" s="147"/>
      <c r="C14" s="148"/>
      <c r="G14" s="89" t="s">
        <v>14</v>
      </c>
    </row>
    <row r="20" spans="4:9" ht="15" thickBot="1" x14ac:dyDescent="0.4"/>
    <row r="21" spans="4:9" ht="15" thickBot="1" x14ac:dyDescent="0.4">
      <c r="D21" s="195" t="s">
        <v>325</v>
      </c>
      <c r="E21" s="196"/>
      <c r="H21" s="183" t="s">
        <v>313</v>
      </c>
      <c r="I21" s="191"/>
    </row>
    <row r="22" spans="4:9" x14ac:dyDescent="0.35">
      <c r="D22" s="118"/>
      <c r="E22" s="120"/>
      <c r="H22" s="118"/>
      <c r="I22" s="120"/>
    </row>
    <row r="23" spans="4:9" x14ac:dyDescent="0.35">
      <c r="D23" s="156" t="s">
        <v>247</v>
      </c>
      <c r="E23" s="65"/>
      <c r="H23" s="156" t="s">
        <v>247</v>
      </c>
      <c r="I23" s="65"/>
    </row>
    <row r="24" spans="4:9" x14ac:dyDescent="0.35">
      <c r="D24" s="156" t="s">
        <v>326</v>
      </c>
      <c r="E24" s="126"/>
      <c r="H24" s="158" t="s">
        <v>316</v>
      </c>
      <c r="I24" s="141"/>
    </row>
    <row r="25" spans="4:9" x14ac:dyDescent="0.35">
      <c r="D25" s="156" t="s">
        <v>320</v>
      </c>
      <c r="E25" s="65"/>
      <c r="H25" s="150"/>
      <c r="I25" s="65"/>
    </row>
    <row r="26" spans="4:9" ht="15" thickBot="1" x14ac:dyDescent="0.4">
      <c r="D26" s="157"/>
      <c r="E26" s="125"/>
      <c r="H26" s="123"/>
      <c r="I26" s="125"/>
    </row>
    <row r="32" spans="4:9" ht="15" thickBot="1" x14ac:dyDescent="0.4"/>
    <row r="33" spans="2:9" ht="15" thickBot="1" x14ac:dyDescent="0.4">
      <c r="B33" s="180" t="s">
        <v>259</v>
      </c>
      <c r="C33" s="181"/>
      <c r="D33" s="182"/>
      <c r="G33" s="170" t="s">
        <v>329</v>
      </c>
      <c r="H33" s="171"/>
      <c r="I33" s="172"/>
    </row>
    <row r="34" spans="2:9" x14ac:dyDescent="0.35">
      <c r="B34" s="118"/>
      <c r="C34" s="119"/>
      <c r="D34" s="120"/>
      <c r="G34" s="127"/>
      <c r="H34" s="128"/>
      <c r="I34" s="159"/>
    </row>
    <row r="35" spans="2:9" x14ac:dyDescent="0.35">
      <c r="B35" s="137" t="s">
        <v>320</v>
      </c>
      <c r="C35" s="122"/>
      <c r="D35" s="65"/>
      <c r="G35" s="137"/>
      <c r="H35" s="122"/>
      <c r="I35" s="65"/>
    </row>
    <row r="36" spans="2:9" x14ac:dyDescent="0.35">
      <c r="B36" s="121" t="s">
        <v>321</v>
      </c>
      <c r="C36" s="122"/>
      <c r="D36" s="65"/>
      <c r="G36" s="137" t="s">
        <v>247</v>
      </c>
      <c r="H36" s="122"/>
      <c r="I36" s="65"/>
    </row>
    <row r="37" spans="2:9" x14ac:dyDescent="0.35">
      <c r="B37" s="121" t="s">
        <v>260</v>
      </c>
      <c r="C37" s="122"/>
      <c r="D37" s="65"/>
      <c r="G37" s="139" t="s">
        <v>316</v>
      </c>
      <c r="H37" s="140"/>
      <c r="I37" s="65"/>
    </row>
    <row r="38" spans="2:9" x14ac:dyDescent="0.35">
      <c r="B38" s="121"/>
      <c r="C38" s="2"/>
      <c r="D38" s="65"/>
      <c r="G38" s="160" t="s">
        <v>334</v>
      </c>
      <c r="H38" s="122"/>
      <c r="I38" s="65"/>
    </row>
    <row r="39" spans="2:9" ht="15" thickBot="1" x14ac:dyDescent="0.4">
      <c r="B39" s="123"/>
      <c r="C39" s="124"/>
      <c r="D39" s="125"/>
      <c r="G39" s="150" t="s">
        <v>318</v>
      </c>
      <c r="H39" s="122"/>
      <c r="I39" s="65"/>
    </row>
    <row r="40" spans="2:9" x14ac:dyDescent="0.35">
      <c r="G40" s="150" t="s">
        <v>319</v>
      </c>
      <c r="H40" s="122"/>
      <c r="I40" s="65"/>
    </row>
    <row r="41" spans="2:9" x14ac:dyDescent="0.35">
      <c r="G41" s="150" t="s">
        <v>265</v>
      </c>
      <c r="H41" s="122"/>
      <c r="I41" s="65"/>
    </row>
    <row r="42" spans="2:9" x14ac:dyDescent="0.35">
      <c r="G42" s="150" t="s">
        <v>268</v>
      </c>
      <c r="H42" s="122"/>
      <c r="I42" s="65"/>
    </row>
    <row r="43" spans="2:9" x14ac:dyDescent="0.35">
      <c r="G43" s="150" t="s">
        <v>269</v>
      </c>
      <c r="H43" s="122"/>
      <c r="I43" s="65"/>
    </row>
    <row r="44" spans="2:9" x14ac:dyDescent="0.35">
      <c r="G44" s="150" t="s">
        <v>271</v>
      </c>
      <c r="H44" s="122"/>
      <c r="I44" s="65"/>
    </row>
    <row r="45" spans="2:9" x14ac:dyDescent="0.35">
      <c r="G45" s="121"/>
      <c r="H45" s="122"/>
      <c r="I45" s="65"/>
    </row>
    <row r="46" spans="2:9" ht="15" thickBot="1" x14ac:dyDescent="0.4">
      <c r="G46" s="123"/>
      <c r="H46" s="124"/>
      <c r="I46" s="125"/>
    </row>
  </sheetData>
  <mergeCells count="6">
    <mergeCell ref="B33:D33"/>
    <mergeCell ref="G33:I33"/>
    <mergeCell ref="K5:L5"/>
    <mergeCell ref="B5:C5"/>
    <mergeCell ref="D21:E21"/>
    <mergeCell ref="H21:I2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AC53E-592C-4C95-9BCC-379A674B1F32}">
  <dimension ref="A2:AB21"/>
  <sheetViews>
    <sheetView workbookViewId="0">
      <selection activeCell="G14" sqref="G14"/>
    </sheetView>
  </sheetViews>
  <sheetFormatPr baseColWidth="10" defaultColWidth="8.7265625" defaultRowHeight="14.5" x14ac:dyDescent="0.35"/>
  <cols>
    <col min="21" max="21" width="11" customWidth="1"/>
    <col min="23" max="23" width="9.90625" customWidth="1"/>
  </cols>
  <sheetData>
    <row r="2" spans="1:28" ht="63" x14ac:dyDescent="0.35">
      <c r="A2" s="96" t="s">
        <v>214</v>
      </c>
      <c r="B2" s="97" t="s">
        <v>215</v>
      </c>
      <c r="C2" s="98" t="s">
        <v>68</v>
      </c>
      <c r="D2" s="98" t="s">
        <v>8</v>
      </c>
      <c r="E2" s="98" t="s">
        <v>127</v>
      </c>
      <c r="F2" s="98" t="s">
        <v>54</v>
      </c>
      <c r="G2" s="98" t="s">
        <v>11</v>
      </c>
      <c r="H2" s="98" t="s">
        <v>173</v>
      </c>
      <c r="I2" s="98" t="s">
        <v>20</v>
      </c>
      <c r="J2" s="98" t="s">
        <v>21</v>
      </c>
      <c r="K2" s="98" t="s">
        <v>216</v>
      </c>
      <c r="L2" s="98" t="s">
        <v>22</v>
      </c>
      <c r="M2" s="98" t="s">
        <v>23</v>
      </c>
      <c r="N2" s="98" t="s">
        <v>27</v>
      </c>
      <c r="O2" s="98" t="s">
        <v>28</v>
      </c>
      <c r="P2" s="98" t="s">
        <v>29</v>
      </c>
      <c r="Q2" s="98" t="s">
        <v>30</v>
      </c>
      <c r="R2" s="98" t="s">
        <v>83</v>
      </c>
      <c r="S2" s="98" t="s">
        <v>66</v>
      </c>
      <c r="T2" s="98" t="s">
        <v>217</v>
      </c>
      <c r="U2" s="98" t="s">
        <v>31</v>
      </c>
      <c r="V2" s="98" t="s">
        <v>81</v>
      </c>
      <c r="W2" s="98" t="s">
        <v>32</v>
      </c>
      <c r="X2" s="98" t="s">
        <v>222</v>
      </c>
      <c r="Y2" s="98" t="s">
        <v>218</v>
      </c>
      <c r="Z2" s="98" t="s">
        <v>219</v>
      </c>
      <c r="AA2" s="98" t="s">
        <v>220</v>
      </c>
      <c r="AB2" s="99" t="s">
        <v>221</v>
      </c>
    </row>
    <row r="3" spans="1:28" x14ac:dyDescent="0.35">
      <c r="A3" s="93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4"/>
    </row>
    <row r="4" spans="1:28" x14ac:dyDescent="0.35">
      <c r="A4" s="93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4"/>
    </row>
    <row r="5" spans="1:28" x14ac:dyDescent="0.35">
      <c r="A5" s="93"/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4"/>
    </row>
    <row r="6" spans="1:28" x14ac:dyDescent="0.35">
      <c r="A6" s="93"/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4"/>
    </row>
    <row r="7" spans="1:28" x14ac:dyDescent="0.35">
      <c r="A7" s="93"/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4"/>
    </row>
    <row r="8" spans="1:28" x14ac:dyDescent="0.35">
      <c r="A8" s="93"/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4"/>
    </row>
    <row r="9" spans="1:28" x14ac:dyDescent="0.35">
      <c r="A9" s="93"/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4"/>
    </row>
    <row r="10" spans="1:28" x14ac:dyDescent="0.35">
      <c r="B10" s="80"/>
    </row>
    <row r="11" spans="1:28" x14ac:dyDescent="0.35">
      <c r="B11" s="80"/>
    </row>
    <row r="12" spans="1:28" x14ac:dyDescent="0.35">
      <c r="B12" s="80"/>
    </row>
    <row r="13" spans="1:28" x14ac:dyDescent="0.35">
      <c r="B13" s="80"/>
    </row>
    <row r="14" spans="1:28" x14ac:dyDescent="0.35">
      <c r="B14" s="80"/>
    </row>
    <row r="15" spans="1:28" x14ac:dyDescent="0.35">
      <c r="B15" s="80"/>
    </row>
    <row r="16" spans="1:28" x14ac:dyDescent="0.35">
      <c r="B16" s="80"/>
    </row>
    <row r="17" spans="2:2" x14ac:dyDescent="0.35">
      <c r="B17" s="80"/>
    </row>
    <row r="18" spans="2:2" x14ac:dyDescent="0.35">
      <c r="B18" s="80"/>
    </row>
    <row r="19" spans="2:2" x14ac:dyDescent="0.35">
      <c r="B19" s="80"/>
    </row>
    <row r="20" spans="2:2" x14ac:dyDescent="0.35">
      <c r="B20" s="80"/>
    </row>
    <row r="21" spans="2:2" x14ac:dyDescent="0.35">
      <c r="B21" s="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91848-76E1-4212-8711-F1CDC6828F58}">
  <dimension ref="A1:IV15"/>
  <sheetViews>
    <sheetView workbookViewId="0"/>
  </sheetViews>
  <sheetFormatPr baseColWidth="10" defaultColWidth="11.54296875" defaultRowHeight="14.5" x14ac:dyDescent="0.35"/>
  <sheetData>
    <row r="1" spans="1:256" x14ac:dyDescent="0.35">
      <c r="A1" t="s">
        <v>223</v>
      </c>
      <c r="F1" t="e">
        <f>'Data Model '!A1+"$$8p!%"</f>
        <v>#VALUE!</v>
      </c>
      <c r="G1" t="e">
        <f>'Data Model '!B1+"$$8p!&amp;"</f>
        <v>#VALUE!</v>
      </c>
      <c r="H1" t="e">
        <f>'Data Model '!C1+"$$8p!'"</f>
        <v>#VALUE!</v>
      </c>
      <c r="I1" t="e">
        <f>'Data Model '!D1+"$$8p!("</f>
        <v>#VALUE!</v>
      </c>
      <c r="J1" t="e">
        <f>'Data Model '!E1+"$$8p!)"</f>
        <v>#VALUE!</v>
      </c>
      <c r="K1" t="e">
        <f>'Data Model '!F1+"$$8p!."</f>
        <v>#VALUE!</v>
      </c>
      <c r="L1" t="e">
        <f>'Data Model '!G1+"$$8p!/"</f>
        <v>#VALUE!</v>
      </c>
      <c r="M1" t="e">
        <f>'Data Model '!H1+"$$8p!0"</f>
        <v>#VALUE!</v>
      </c>
      <c r="N1" t="e">
        <f>'Data Model '!I1+"$$8p!1"</f>
        <v>#VALUE!</v>
      </c>
      <c r="O1" t="e">
        <f>'Data Model '!J1+"$$8p!2"</f>
        <v>#VALUE!</v>
      </c>
      <c r="P1" t="e">
        <f>'Data Model '!A2+"$$8p!3"</f>
        <v>#VALUE!</v>
      </c>
      <c r="Q1" t="e">
        <f>'Data Model '!B2+"$$8p!4"</f>
        <v>#VALUE!</v>
      </c>
      <c r="R1" t="e">
        <f>'Data Model '!C2+"$$8p!5"</f>
        <v>#VALUE!</v>
      </c>
      <c r="S1" t="e">
        <f>'Data Model '!D2+"$$8p!6"</f>
        <v>#VALUE!</v>
      </c>
      <c r="T1" t="e">
        <f>'Data Model '!E2+"$$8p!7"</f>
        <v>#VALUE!</v>
      </c>
      <c r="U1" t="e">
        <f>'Data Model '!F2+"$$8p!8"</f>
        <v>#VALUE!</v>
      </c>
      <c r="V1" t="e">
        <f>'Data Model '!G2+"$$8p!9"</f>
        <v>#VALUE!</v>
      </c>
      <c r="W1" t="e">
        <f>'Data Model '!H2+"$$8p!:"</f>
        <v>#VALUE!</v>
      </c>
      <c r="X1" t="e">
        <f>'Data Model '!I2+"$$8p!;"</f>
        <v>#VALUE!</v>
      </c>
      <c r="Y1" t="e">
        <f>'Data Model '!J2+"$$8p!&lt;"</f>
        <v>#VALUE!</v>
      </c>
      <c r="Z1" t="e">
        <f>'Data Model '!A3+"$$8p!="</f>
        <v>#VALUE!</v>
      </c>
      <c r="AA1" t="e">
        <f>'Data Model '!B3+"$$8p!&gt;"</f>
        <v>#VALUE!</v>
      </c>
      <c r="AB1" t="e">
        <f>'Data Model '!C3+"$$8p!?"</f>
        <v>#VALUE!</v>
      </c>
      <c r="AC1" t="e">
        <f>'Data Model '!D3+"$$8p!@"</f>
        <v>#VALUE!</v>
      </c>
      <c r="AD1" t="e">
        <f>'Data Model '!E3+"$$8p!A"</f>
        <v>#VALUE!</v>
      </c>
      <c r="AE1" t="e">
        <f>'Data Model '!F3+"$$8p!B"</f>
        <v>#VALUE!</v>
      </c>
      <c r="AF1" t="e">
        <f>'Data Model '!G3+"$$8p!C"</f>
        <v>#VALUE!</v>
      </c>
      <c r="AG1" t="e">
        <f>'Data Model '!H3+"$$8p!D"</f>
        <v>#VALUE!</v>
      </c>
      <c r="AH1" t="e">
        <f>'Data Model '!I3+"$$8p!E"</f>
        <v>#VALUE!</v>
      </c>
      <c r="AI1" t="e">
        <f>'Data Model '!J3+"$$8p!F"</f>
        <v>#VALUE!</v>
      </c>
      <c r="AJ1" t="e">
        <f>'Data Model '!A4+"$$8p!G"</f>
        <v>#VALUE!</v>
      </c>
      <c r="AK1" t="e">
        <f>'Data Model '!B4+"$$8p!H"</f>
        <v>#VALUE!</v>
      </c>
      <c r="AL1" t="e">
        <f>'Data Model '!C4+"$$8p!I"</f>
        <v>#VALUE!</v>
      </c>
      <c r="AM1" t="e">
        <f>'Data Model '!D4+"$$8p!J"</f>
        <v>#VALUE!</v>
      </c>
      <c r="AN1" t="e">
        <f>'Data Model '!E4+"$$8p!K"</f>
        <v>#VALUE!</v>
      </c>
      <c r="AO1" t="e">
        <f>'Data Model '!F4+"$$8p!L"</f>
        <v>#VALUE!</v>
      </c>
      <c r="AP1" t="e">
        <f>'Data Model '!G4+"$$8p!M"</f>
        <v>#VALUE!</v>
      </c>
      <c r="AQ1" t="e">
        <f>'Data Model '!H4+"$$8p!N"</f>
        <v>#VALUE!</v>
      </c>
      <c r="AR1" t="e">
        <f>'Data Model '!I4+"$$8p!O"</f>
        <v>#VALUE!</v>
      </c>
      <c r="AS1" t="e">
        <f>'Data Model '!J4+"$$8p!P"</f>
        <v>#VALUE!</v>
      </c>
      <c r="AT1" t="e">
        <f>'Data Model '!A5+"$$8p!Q"</f>
        <v>#VALUE!</v>
      </c>
      <c r="AU1" t="e">
        <f>'Data Model '!B5+"$$8p!R"</f>
        <v>#VALUE!</v>
      </c>
      <c r="AV1" t="e">
        <f>'Data Model '!C5+"$$8p!S"</f>
        <v>#VALUE!</v>
      </c>
      <c r="AW1" t="e">
        <f>'Data Model '!D5+"$$8p!T"</f>
        <v>#VALUE!</v>
      </c>
      <c r="AX1" t="e">
        <f>'Data Model '!E5+"$$8p!U"</f>
        <v>#VALUE!</v>
      </c>
      <c r="AY1" t="e">
        <f>'Data Model '!F5+"$$8p!V"</f>
        <v>#VALUE!</v>
      </c>
      <c r="AZ1" t="e">
        <f>'Data Model '!G5+"$$8p!W"</f>
        <v>#VALUE!</v>
      </c>
      <c r="BA1" t="e">
        <f>'Data Model '!H5+"$$8p!X"</f>
        <v>#VALUE!</v>
      </c>
      <c r="BB1" t="e">
        <f>'Data Model '!I5+"$$8p!Y"</f>
        <v>#VALUE!</v>
      </c>
      <c r="BC1" t="e">
        <f>'Data Model '!J5+"$$8p!Z"</f>
        <v>#VALUE!</v>
      </c>
      <c r="BD1" t="e">
        <f>'Data Model '!A6+"$$8p!["</f>
        <v>#VALUE!</v>
      </c>
      <c r="BE1" t="e">
        <f>'Data Model '!B6+"$$8p!\"</f>
        <v>#VALUE!</v>
      </c>
      <c r="BF1" t="e">
        <f>'Data Model '!C6+"$$8p!]"</f>
        <v>#VALUE!</v>
      </c>
      <c r="BG1" t="e">
        <f>'Data Model '!D6+"$$8p!^"</f>
        <v>#VALUE!</v>
      </c>
      <c r="BH1" t="e">
        <f>'Data Model '!E6+"$$8p!_"</f>
        <v>#VALUE!</v>
      </c>
      <c r="BI1" t="e">
        <f>'Data Model '!F6+"$$8p!`"</f>
        <v>#VALUE!</v>
      </c>
      <c r="BJ1" t="e">
        <f>'Data Model '!G6+"$$8p!a"</f>
        <v>#VALUE!</v>
      </c>
      <c r="BK1" t="e">
        <f>'Data Model '!H6+"$$8p!b"</f>
        <v>#VALUE!</v>
      </c>
      <c r="BL1" t="e">
        <f>'Data Model '!I6+"$$8p!c"</f>
        <v>#VALUE!</v>
      </c>
      <c r="BM1" t="e">
        <f>'Data Model '!J6+"$$8p!d"</f>
        <v>#VALUE!</v>
      </c>
      <c r="BN1" t="e">
        <f>'Data Model '!A7+"$$8p!e"</f>
        <v>#VALUE!</v>
      </c>
      <c r="BO1" t="e">
        <f>'Data Model '!B7+"$$8p!f"</f>
        <v>#VALUE!</v>
      </c>
      <c r="BP1" t="e">
        <f>'Data Model '!C7+"$$8p!g"</f>
        <v>#VALUE!</v>
      </c>
      <c r="BQ1" t="e">
        <f>'Data Model '!D7+"$$8p!h"</f>
        <v>#VALUE!</v>
      </c>
      <c r="BR1" t="e">
        <f>'Data Model '!E7+"$$8p!i"</f>
        <v>#VALUE!</v>
      </c>
      <c r="BS1" t="e">
        <f>'Data Model '!F7+"$$8p!j"</f>
        <v>#VALUE!</v>
      </c>
      <c r="BT1" t="e">
        <f>'Data Model '!G7+"$$8p!k"</f>
        <v>#VALUE!</v>
      </c>
      <c r="BU1" t="e">
        <f>'Data Model '!H7+"$$8p!l"</f>
        <v>#VALUE!</v>
      </c>
      <c r="BV1" t="e">
        <f>'Data Model '!I7+"$$8p!m"</f>
        <v>#VALUE!</v>
      </c>
      <c r="BW1" t="e">
        <f>'Data Model '!J7+"$$8p!n"</f>
        <v>#VALUE!</v>
      </c>
      <c r="BX1" t="e">
        <f>'Data Model '!A8+"$$8p!o"</f>
        <v>#VALUE!</v>
      </c>
      <c r="BY1" t="e">
        <f>'Data Model '!B8+"$$8p!p"</f>
        <v>#VALUE!</v>
      </c>
      <c r="BZ1" t="e">
        <f>'Data Model '!C8+"$$8p!q"</f>
        <v>#VALUE!</v>
      </c>
      <c r="CA1" t="e">
        <f>'Data Model '!D8+"$$8p!r"</f>
        <v>#VALUE!</v>
      </c>
      <c r="CB1" t="e">
        <f>'Data Model '!E8+"$$8p!s"</f>
        <v>#VALUE!</v>
      </c>
      <c r="CC1" t="e">
        <f>'Data Model '!F8+"$$8p!t"</f>
        <v>#VALUE!</v>
      </c>
      <c r="CD1" t="e">
        <f>'Data Model '!G8+"$$8p!u"</f>
        <v>#VALUE!</v>
      </c>
      <c r="CE1" t="e">
        <f>'Data Model '!H8+"$$8p!v"</f>
        <v>#VALUE!</v>
      </c>
      <c r="CF1" t="e">
        <f>'Data Model '!I8+"$$8p!w"</f>
        <v>#VALUE!</v>
      </c>
      <c r="CG1" t="e">
        <f>'Data Model '!J8+"$$8p!x"</f>
        <v>#VALUE!</v>
      </c>
      <c r="CH1" t="e">
        <f>'Data Model '!A9+"$$8p!y"</f>
        <v>#VALUE!</v>
      </c>
      <c r="CI1" t="e">
        <f>'Data Model '!B9+"$$8p!z"</f>
        <v>#VALUE!</v>
      </c>
      <c r="CJ1" t="e">
        <f>'Data Model '!C9+"$$8p!{"</f>
        <v>#VALUE!</v>
      </c>
      <c r="CK1" t="e">
        <f>'Data Model '!D9+"$$8p!|"</f>
        <v>#VALUE!</v>
      </c>
      <c r="CL1" t="e">
        <f>'Data Model '!E9+"$$8p!}"</f>
        <v>#VALUE!</v>
      </c>
      <c r="CM1" t="e">
        <f>'Data Model '!F9+"$$8p!~"</f>
        <v>#VALUE!</v>
      </c>
      <c r="CN1" t="e">
        <f>'Data Model '!G9+"$$8p!$#"</f>
        <v>#VALUE!</v>
      </c>
      <c r="CO1" t="e">
        <f>'Data Model '!H9+"$$8p!$$"</f>
        <v>#VALUE!</v>
      </c>
      <c r="CP1" t="e">
        <f>'Data Model '!I9+"$$8p!$%"</f>
        <v>#VALUE!</v>
      </c>
      <c r="CQ1" t="e">
        <f>'Data Model '!J9+"$$8p!$&amp;"</f>
        <v>#VALUE!</v>
      </c>
      <c r="CR1" t="e">
        <f>'Data Model '!A10+"$$8p!$'"</f>
        <v>#VALUE!</v>
      </c>
      <c r="CS1" t="e">
        <f>'Data Model '!B10+"$$8p!$("</f>
        <v>#VALUE!</v>
      </c>
      <c r="CT1" t="e">
        <f>'Data Model '!C10+"$$8p!$)"</f>
        <v>#VALUE!</v>
      </c>
      <c r="CU1" t="e">
        <f>'Data Model '!D10+"$$8p!$."</f>
        <v>#VALUE!</v>
      </c>
      <c r="CV1" t="e">
        <f>'Data Model '!E10+"$$8p!$/"</f>
        <v>#VALUE!</v>
      </c>
      <c r="CW1" t="e">
        <f>'Data Model '!F10+"$$8p!$0"</f>
        <v>#VALUE!</v>
      </c>
      <c r="CX1" t="e">
        <f>'Data Model '!G10+"$$8p!$1"</f>
        <v>#VALUE!</v>
      </c>
      <c r="CY1" t="e">
        <f>'Data Model '!H10+"$$8p!$2"</f>
        <v>#VALUE!</v>
      </c>
      <c r="CZ1" t="e">
        <f>'Data Model '!I10+"$$8p!$3"</f>
        <v>#VALUE!</v>
      </c>
      <c r="DA1" t="e">
        <f>'Data Model '!J10+"$$8p!$4"</f>
        <v>#VALUE!</v>
      </c>
      <c r="DB1" t="e">
        <f>'Data Model '!A11+"$$8p!$5"</f>
        <v>#VALUE!</v>
      </c>
      <c r="DC1" t="e">
        <f>'Data Model '!B11+"$$8p!$6"</f>
        <v>#VALUE!</v>
      </c>
      <c r="DD1" t="e">
        <f>'Data Model '!C11+"$$8p!$7"</f>
        <v>#VALUE!</v>
      </c>
      <c r="DE1" t="e">
        <f>'Data Model '!D11+"$$8p!$8"</f>
        <v>#VALUE!</v>
      </c>
      <c r="DF1" t="e">
        <f>'Data Model '!E11+"$$8p!$9"</f>
        <v>#VALUE!</v>
      </c>
      <c r="DG1" t="e">
        <f>'Data Model '!F11+"$$8p!$:"</f>
        <v>#VALUE!</v>
      </c>
      <c r="DH1" t="e">
        <f>'Data Model '!G11+"$$8p!$;"</f>
        <v>#VALUE!</v>
      </c>
      <c r="DI1" t="e">
        <f>'Data Model '!H11+"$$8p!$&lt;"</f>
        <v>#VALUE!</v>
      </c>
      <c r="DJ1" t="e">
        <f>'Data Model '!I11+"$$8p!$="</f>
        <v>#VALUE!</v>
      </c>
      <c r="DK1" t="e">
        <f>'Data Model '!J11+"$$8p!$&gt;"</f>
        <v>#VALUE!</v>
      </c>
      <c r="DL1" t="e">
        <f>'Data Model '!A12+"$$8p!$?"</f>
        <v>#VALUE!</v>
      </c>
      <c r="DM1" t="e">
        <f>'Data Model '!B12+"$$8p!$@"</f>
        <v>#VALUE!</v>
      </c>
      <c r="DN1" t="e">
        <f>'Data Model '!C12+"$$8p!$A"</f>
        <v>#VALUE!</v>
      </c>
      <c r="DO1" t="e">
        <f>'Data Model '!D12+"$$8p!$B"</f>
        <v>#VALUE!</v>
      </c>
      <c r="DP1" t="e">
        <f>'Data Model '!E12+"$$8p!$C"</f>
        <v>#VALUE!</v>
      </c>
      <c r="DQ1" t="e">
        <f>'Data Model '!F12+"$$8p!$D"</f>
        <v>#VALUE!</v>
      </c>
      <c r="DR1" t="e">
        <f>'Data Model '!G12+"$$8p!$E"</f>
        <v>#VALUE!</v>
      </c>
      <c r="DS1" t="e">
        <f>'Data Model '!H12+"$$8p!$F"</f>
        <v>#VALUE!</v>
      </c>
      <c r="DT1" t="e">
        <f>'Data Model '!I12+"$$8p!$G"</f>
        <v>#VALUE!</v>
      </c>
      <c r="DU1" t="e">
        <f>'Data Model '!J12+"$$8p!$H"</f>
        <v>#VALUE!</v>
      </c>
      <c r="DV1" t="e">
        <f>'Data Model '!A13+"$$8p!$I"</f>
        <v>#VALUE!</v>
      </c>
      <c r="DW1" t="e">
        <f>'Data Model '!B13+"$$8p!$J"</f>
        <v>#VALUE!</v>
      </c>
      <c r="DX1" t="e">
        <f>'Data Model '!C13+"$$8p!$K"</f>
        <v>#VALUE!</v>
      </c>
      <c r="DY1" t="e">
        <f>'Data Model '!D13+"$$8p!$L"</f>
        <v>#VALUE!</v>
      </c>
      <c r="DZ1" t="e">
        <f>'Data Model '!E13+"$$8p!$M"</f>
        <v>#VALUE!</v>
      </c>
      <c r="EA1" t="e">
        <f>'Data Model '!F13+"$$8p!$N"</f>
        <v>#VALUE!</v>
      </c>
      <c r="EB1" t="e">
        <f>'Data Model '!G13+"$$8p!$O"</f>
        <v>#VALUE!</v>
      </c>
      <c r="EC1" t="e">
        <f>'Data Model '!H13+"$$8p!$P"</f>
        <v>#VALUE!</v>
      </c>
      <c r="ED1" t="e">
        <f>'Data Model '!I13+"$$8p!$Q"</f>
        <v>#VALUE!</v>
      </c>
      <c r="EE1" t="e">
        <f>'Data Model '!J13+"$$8p!$R"</f>
        <v>#VALUE!</v>
      </c>
      <c r="EF1" t="e">
        <f>'Data Model '!A14+"$$8p!$S"</f>
        <v>#VALUE!</v>
      </c>
      <c r="EG1" t="e">
        <f>'Data Model '!B14+"$$8p!$T"</f>
        <v>#VALUE!</v>
      </c>
      <c r="EH1" t="e">
        <f>'Data Model '!C14+"$$8p!$U"</f>
        <v>#VALUE!</v>
      </c>
      <c r="EI1" t="e">
        <f>'Data Model '!D14+"$$8p!$V"</f>
        <v>#VALUE!</v>
      </c>
      <c r="EJ1" t="e">
        <f>'Data Model '!E14+"$$8p!$W"</f>
        <v>#VALUE!</v>
      </c>
      <c r="EK1" t="e">
        <f>'Data Model '!F14+"$$8p!$X"</f>
        <v>#VALUE!</v>
      </c>
      <c r="EL1" t="e">
        <f>'Data Model '!G14+"$$8p!$Y"</f>
        <v>#VALUE!</v>
      </c>
      <c r="EM1" t="e">
        <f>'Data Model '!H14+"$$8p!$Z"</f>
        <v>#VALUE!</v>
      </c>
      <c r="EN1" t="e">
        <f>'Data Model '!I14+"$$8p!$["</f>
        <v>#VALUE!</v>
      </c>
      <c r="EO1" t="e">
        <f>'Data Model '!J14+"$$8p!$\"</f>
        <v>#VALUE!</v>
      </c>
      <c r="EP1" t="e">
        <f>'Data Model '!A15+"$$8p!$]"</f>
        <v>#VALUE!</v>
      </c>
      <c r="EQ1" t="e">
        <f>'Data Model '!B15+"$$8p!$^"</f>
        <v>#VALUE!</v>
      </c>
      <c r="ER1" t="e">
        <f>'Data Model '!C15+"$$8p!$_"</f>
        <v>#VALUE!</v>
      </c>
      <c r="ES1" t="e">
        <f>'Data Model '!D15+"$$8p!$`"</f>
        <v>#VALUE!</v>
      </c>
      <c r="ET1" t="e">
        <f>'Data Model '!E15+"$$8p!$a"</f>
        <v>#VALUE!</v>
      </c>
      <c r="EU1" t="e">
        <f>'Data Model '!F15+"$$8p!$b"</f>
        <v>#VALUE!</v>
      </c>
      <c r="EV1" t="e">
        <f>'Data Model '!G15+"$$8p!$c"</f>
        <v>#VALUE!</v>
      </c>
      <c r="EW1" t="e">
        <f>'Data Model '!H15+"$$8p!$d"</f>
        <v>#VALUE!</v>
      </c>
      <c r="EX1" t="e">
        <f>'Data Model '!I15+"$$8p!$e"</f>
        <v>#VALUE!</v>
      </c>
      <c r="EY1" t="e">
        <f>'Data Model '!J15+"$$8p!$f"</f>
        <v>#VALUE!</v>
      </c>
      <c r="EZ1" t="e">
        <f>'Data Model '!A16+"$$8p!$g"</f>
        <v>#VALUE!</v>
      </c>
      <c r="FA1" t="e">
        <f>'Data Model '!B16+"$$8p!$h"</f>
        <v>#VALUE!</v>
      </c>
      <c r="FB1" t="e">
        <f>'Data Model '!C16+"$$8p!$i"</f>
        <v>#VALUE!</v>
      </c>
      <c r="FC1" t="e">
        <f>'Data Model '!D16+"$$8p!$j"</f>
        <v>#VALUE!</v>
      </c>
      <c r="FD1" t="e">
        <f>'Data Model '!E16+"$$8p!$k"</f>
        <v>#VALUE!</v>
      </c>
      <c r="FE1" t="e">
        <f>'Data Model '!F16+"$$8p!$l"</f>
        <v>#VALUE!</v>
      </c>
      <c r="FF1" t="e">
        <f>'Data Model '!G16+"$$8p!$m"</f>
        <v>#VALUE!</v>
      </c>
      <c r="FG1" t="e">
        <f>'Data Model '!H16+"$$8p!$n"</f>
        <v>#VALUE!</v>
      </c>
      <c r="FH1" t="e">
        <f>'Data Model '!I16+"$$8p!$o"</f>
        <v>#VALUE!</v>
      </c>
      <c r="FI1" t="e">
        <f>'Data Model '!J16+"$$8p!$p"</f>
        <v>#VALUE!</v>
      </c>
      <c r="FJ1" t="e">
        <f>'Data Model '!A17+"$$8p!$q"</f>
        <v>#VALUE!</v>
      </c>
      <c r="FK1" t="e">
        <f>'Data Model '!B17+"$$8p!$r"</f>
        <v>#VALUE!</v>
      </c>
      <c r="FL1" t="e">
        <f>'Data Model '!C17+"$$8p!$s"</f>
        <v>#VALUE!</v>
      </c>
      <c r="FM1" t="e">
        <f>'Data Model '!D17+"$$8p!$t"</f>
        <v>#VALUE!</v>
      </c>
      <c r="FN1" t="e">
        <f>'Data Model '!E17+"$$8p!$u"</f>
        <v>#VALUE!</v>
      </c>
      <c r="FO1" t="e">
        <f>'Data Model '!F17+"$$8p!$v"</f>
        <v>#VALUE!</v>
      </c>
      <c r="FP1" t="e">
        <f>'Data Model '!G17+"$$8p!$w"</f>
        <v>#VALUE!</v>
      </c>
      <c r="FQ1" t="e">
        <f>'Data Model '!H17+"$$8p!$x"</f>
        <v>#VALUE!</v>
      </c>
      <c r="FR1" t="e">
        <f>'Data Model '!I17+"$$8p!$y"</f>
        <v>#VALUE!</v>
      </c>
      <c r="FS1" t="e">
        <f>'Data Model '!J17+"$$8p!$z"</f>
        <v>#VALUE!</v>
      </c>
      <c r="FT1" t="e">
        <f>'Data Model '!A18+"$$8p!${"</f>
        <v>#VALUE!</v>
      </c>
      <c r="FU1" t="e">
        <f>'Data Model '!B18+"$$8p!$|"</f>
        <v>#VALUE!</v>
      </c>
      <c r="FV1" t="e">
        <f>'Data Model '!C18+"$$8p!$}"</f>
        <v>#VALUE!</v>
      </c>
      <c r="FW1" t="e">
        <f>'Data Model '!D18+"$$8p!$~"</f>
        <v>#VALUE!</v>
      </c>
      <c r="FX1" t="e">
        <f>'Data Model '!E18+"$$8p!%#"</f>
        <v>#VALUE!</v>
      </c>
      <c r="FY1" t="e">
        <f>'Data Model '!F18+"$$8p!%$"</f>
        <v>#VALUE!</v>
      </c>
      <c r="FZ1" t="e">
        <f>'Data Model '!G18+"$$8p!%%"</f>
        <v>#VALUE!</v>
      </c>
      <c r="GA1" t="e">
        <f>'Data Model '!H18+"$$8p!%&amp;"</f>
        <v>#VALUE!</v>
      </c>
      <c r="GB1" t="e">
        <f>'Data Model '!I18+"$$8p!%'"</f>
        <v>#VALUE!</v>
      </c>
      <c r="GC1" t="e">
        <f>'Data Model '!J18+"$$8p!%("</f>
        <v>#VALUE!</v>
      </c>
      <c r="GD1" t="e">
        <f>'Data Model '!A19+"$$8p!%)"</f>
        <v>#VALUE!</v>
      </c>
      <c r="GE1" t="e">
        <f>'Data Model '!B19+"$$8p!%."</f>
        <v>#VALUE!</v>
      </c>
      <c r="GF1" t="e">
        <f>'Data Model '!C19+"$$8p!%/"</f>
        <v>#VALUE!</v>
      </c>
      <c r="GG1" t="e">
        <f>'Data Model '!D19+"$$8p!%0"</f>
        <v>#VALUE!</v>
      </c>
      <c r="GH1" t="e">
        <f>'Data Model '!E19+"$$8p!%1"</f>
        <v>#VALUE!</v>
      </c>
      <c r="GI1" t="e">
        <f>'Data Model '!F19+"$$8p!%2"</f>
        <v>#VALUE!</v>
      </c>
      <c r="GJ1" t="e">
        <f>'Data Model '!G19+"$$8p!%3"</f>
        <v>#VALUE!</v>
      </c>
      <c r="GK1" t="e">
        <f>'Data Model '!H19+"$$8p!%4"</f>
        <v>#VALUE!</v>
      </c>
      <c r="GL1" t="e">
        <f>'Data Model '!I19+"$$8p!%5"</f>
        <v>#VALUE!</v>
      </c>
      <c r="GM1" t="e">
        <f>'Data Model '!J19+"$$8p!%6"</f>
        <v>#VALUE!</v>
      </c>
      <c r="GN1" t="e">
        <f>'Data Model '!A20+"$$8p!%7"</f>
        <v>#VALUE!</v>
      </c>
      <c r="GO1" t="e">
        <f>'Data Model '!B20+"$$8p!%8"</f>
        <v>#VALUE!</v>
      </c>
      <c r="GP1" t="e">
        <f>'Data Model '!C20+"$$8p!%9"</f>
        <v>#VALUE!</v>
      </c>
      <c r="GQ1" t="e">
        <f>'Data Model '!D20+"$$8p!%:"</f>
        <v>#VALUE!</v>
      </c>
      <c r="GR1" t="e">
        <f>'Data Model '!E20+"$$8p!%;"</f>
        <v>#VALUE!</v>
      </c>
      <c r="GS1" t="e">
        <f>'Data Model '!F20+"$$8p!%&lt;"</f>
        <v>#VALUE!</v>
      </c>
      <c r="GT1" t="e">
        <f>'Data Model '!G20+"$$8p!%="</f>
        <v>#VALUE!</v>
      </c>
      <c r="GU1" t="e">
        <f>'Data Model '!H20+"$$8p!%&gt;"</f>
        <v>#VALUE!</v>
      </c>
      <c r="GV1" t="e">
        <f>'Data Model '!I20+"$$8p!%?"</f>
        <v>#VALUE!</v>
      </c>
      <c r="GW1" t="e">
        <f>'Data Model '!J20+"$$8p!%@"</f>
        <v>#VALUE!</v>
      </c>
      <c r="GX1" t="e">
        <f>'Data Model '!A21+"$$8p!%A"</f>
        <v>#VALUE!</v>
      </c>
      <c r="GY1" t="e">
        <f>'Data Model '!B21+"$$8p!%B"</f>
        <v>#VALUE!</v>
      </c>
      <c r="GZ1" t="e">
        <f>'Data Model '!C21+"$$8p!%C"</f>
        <v>#VALUE!</v>
      </c>
      <c r="HA1" t="e">
        <f>'Data Model '!D21+"$$8p!%D"</f>
        <v>#VALUE!</v>
      </c>
      <c r="HB1" t="e">
        <f>'Data Model '!E21+"$$8p!%E"</f>
        <v>#VALUE!</v>
      </c>
      <c r="HC1" t="e">
        <f>'Data Model '!F21+"$$8p!%F"</f>
        <v>#VALUE!</v>
      </c>
      <c r="HD1" t="e">
        <f>'Data Model '!G21+"$$8p!%G"</f>
        <v>#VALUE!</v>
      </c>
      <c r="HE1" t="e">
        <f>'Data Model '!H21+"$$8p!%H"</f>
        <v>#VALUE!</v>
      </c>
      <c r="HF1" t="e">
        <f>'Data Model '!I21+"$$8p!%I"</f>
        <v>#VALUE!</v>
      </c>
      <c r="HG1" t="e">
        <f>'Data Model '!J21+"$$8p!%J"</f>
        <v>#VALUE!</v>
      </c>
      <c r="HH1" t="e">
        <f>'Data Model '!A22+"$$8p!%K"</f>
        <v>#VALUE!</v>
      </c>
      <c r="HI1" t="e">
        <f>'Data Model '!B22+"$$8p!%L"</f>
        <v>#VALUE!</v>
      </c>
      <c r="HJ1" t="e">
        <f>'Data Model '!C22+"$$8p!%M"</f>
        <v>#VALUE!</v>
      </c>
      <c r="HK1" t="e">
        <f>'Data Model '!D22+"$$8p!%N"</f>
        <v>#VALUE!</v>
      </c>
      <c r="HL1" t="e">
        <f>'Data Model '!E22+"$$8p!%O"</f>
        <v>#VALUE!</v>
      </c>
      <c r="HM1" t="e">
        <f>'Data Model '!F22+"$$8p!%P"</f>
        <v>#VALUE!</v>
      </c>
      <c r="HN1" t="e">
        <f>'Data Model '!G22+"$$8p!%Q"</f>
        <v>#VALUE!</v>
      </c>
      <c r="HO1" t="e">
        <f>'Data Model '!H22+"$$8p!%R"</f>
        <v>#VALUE!</v>
      </c>
      <c r="HP1" t="e">
        <f>'Data Model '!I22+"$$8p!%S"</f>
        <v>#VALUE!</v>
      </c>
      <c r="HQ1" t="e">
        <f>'Data Model '!J22+"$$8p!%T"</f>
        <v>#VALUE!</v>
      </c>
      <c r="HR1" t="e">
        <f>'Data Model '!A23+"$$8p!%U"</f>
        <v>#VALUE!</v>
      </c>
      <c r="HS1" t="e">
        <f>'Data Model '!B23+"$$8p!%V"</f>
        <v>#VALUE!</v>
      </c>
      <c r="HT1" t="e">
        <f>'Data Model '!C23+"$$8p!%W"</f>
        <v>#VALUE!</v>
      </c>
      <c r="HU1" t="e">
        <f>'Data Model '!D23+"$$8p!%X"</f>
        <v>#VALUE!</v>
      </c>
      <c r="HV1" t="e">
        <f>'Data Model '!E23+"$$8p!%Y"</f>
        <v>#VALUE!</v>
      </c>
      <c r="HW1" t="e">
        <f>'Data Model '!F23+"$$8p!%Z"</f>
        <v>#VALUE!</v>
      </c>
      <c r="HX1" t="e">
        <f>'Data Model '!G23+"$$8p!%["</f>
        <v>#VALUE!</v>
      </c>
      <c r="HY1" t="e">
        <f>'Data Model '!H23+"$$8p!%\"</f>
        <v>#VALUE!</v>
      </c>
      <c r="HZ1" t="e">
        <f>'Data Model '!I23+"$$8p!%]"</f>
        <v>#VALUE!</v>
      </c>
      <c r="IA1" t="e">
        <f>'Data Model '!J23+"$$8p!%^"</f>
        <v>#VALUE!</v>
      </c>
      <c r="IB1" t="e">
        <f>'Data Model '!A24+"$$8p!%_"</f>
        <v>#VALUE!</v>
      </c>
      <c r="IC1" t="e">
        <f>'Data Model '!B24+"$$8p!%`"</f>
        <v>#VALUE!</v>
      </c>
      <c r="ID1" t="e">
        <f>'Data Model '!C24+"$$8p!%a"</f>
        <v>#VALUE!</v>
      </c>
      <c r="IE1" t="e">
        <f>'Data Model '!D24+"$$8p!%b"</f>
        <v>#VALUE!</v>
      </c>
      <c r="IF1" t="e">
        <f>'Data Model '!E24+"$$8p!%c"</f>
        <v>#VALUE!</v>
      </c>
      <c r="IG1" t="e">
        <f>'Data Model '!F24+"$$8p!%d"</f>
        <v>#VALUE!</v>
      </c>
      <c r="IH1" t="e">
        <f>'Data Model '!G24+"$$8p!%e"</f>
        <v>#VALUE!</v>
      </c>
      <c r="II1" t="e">
        <f>'Data Model '!H24+"$$8p!%f"</f>
        <v>#VALUE!</v>
      </c>
      <c r="IJ1" t="e">
        <f>'Data Model '!I24+"$$8p!%g"</f>
        <v>#VALUE!</v>
      </c>
      <c r="IK1" t="e">
        <f>'Data Model '!J24+"$$8p!%h"</f>
        <v>#VALUE!</v>
      </c>
      <c r="IL1" t="e">
        <f>'Data Model '!A25+"$$8p!%i"</f>
        <v>#VALUE!</v>
      </c>
      <c r="IM1" t="e">
        <f>'Data Model '!B25+"$$8p!%j"</f>
        <v>#VALUE!</v>
      </c>
      <c r="IN1" t="e">
        <f>'Data Model '!C25+"$$8p!%k"</f>
        <v>#VALUE!</v>
      </c>
      <c r="IO1" t="e">
        <f>'Data Model '!D25+"$$8p!%l"</f>
        <v>#VALUE!</v>
      </c>
      <c r="IP1" t="e">
        <f>'Data Model '!E25+"$$8p!%m"</f>
        <v>#VALUE!</v>
      </c>
      <c r="IQ1" t="e">
        <f>'Data Model '!F25+"$$8p!%n"</f>
        <v>#VALUE!</v>
      </c>
      <c r="IR1" t="e">
        <f>'Data Model '!G25+"$$8p!%o"</f>
        <v>#VALUE!</v>
      </c>
      <c r="IS1" t="e">
        <f>'Data Model '!H25+"$$8p!%p"</f>
        <v>#VALUE!</v>
      </c>
      <c r="IT1" t="e">
        <f>'Data Model '!I25+"$$8p!%q"</f>
        <v>#VALUE!</v>
      </c>
      <c r="IU1" t="e">
        <f>'Data Model '!J25+"$$8p!%r"</f>
        <v>#VALUE!</v>
      </c>
      <c r="IV1" t="e">
        <f>'Data Model '!A26+"$$8p!%s"</f>
        <v>#VALUE!</v>
      </c>
    </row>
    <row r="2" spans="1:256" x14ac:dyDescent="0.35">
      <c r="A2" t="s">
        <v>224</v>
      </c>
      <c r="F2" t="e">
        <f>'Data Model '!B26+"$$8p!%t"</f>
        <v>#VALUE!</v>
      </c>
      <c r="G2" t="e">
        <f>'Data Model '!C26+"$$8p!%u"</f>
        <v>#VALUE!</v>
      </c>
      <c r="H2" t="e">
        <f>'Data Model '!D26+"$$8p!%v"</f>
        <v>#VALUE!</v>
      </c>
      <c r="I2" t="e">
        <f>'Data Model '!E26+"$$8p!%w"</f>
        <v>#VALUE!</v>
      </c>
      <c r="J2" t="e">
        <f>'Data Model '!F26+"$$8p!%x"</f>
        <v>#VALUE!</v>
      </c>
      <c r="K2" t="e">
        <f>'Data Model '!G26+"$$8p!%y"</f>
        <v>#VALUE!</v>
      </c>
      <c r="L2" t="e">
        <f>'Data Model '!H26+"$$8p!%z"</f>
        <v>#VALUE!</v>
      </c>
      <c r="M2" t="e">
        <f>'Data Model '!I26+"$$8p!%{"</f>
        <v>#VALUE!</v>
      </c>
      <c r="N2" t="e">
        <f>'Data Model '!J26+"$$8p!%|"</f>
        <v>#VALUE!</v>
      </c>
      <c r="O2" t="e">
        <f>'Data Model '!A:A*"$$8p!%}"</f>
        <v>#VALUE!</v>
      </c>
      <c r="P2" t="e">
        <f>'Data Model '!B:B*"$$8p!%~"</f>
        <v>#VALUE!</v>
      </c>
      <c r="Q2" t="e">
        <f>'Data Model '!C:C*"$$8p!&amp;#"</f>
        <v>#VALUE!</v>
      </c>
      <c r="R2" t="e">
        <f>'Data Model '!D:D*"$$8p!&amp;$"</f>
        <v>#VALUE!</v>
      </c>
      <c r="S2" t="e">
        <f>'Data Model '!E:E*"$$8p!&amp;%"</f>
        <v>#VALUE!</v>
      </c>
      <c r="T2" t="e">
        <f>'Data Model '!F:F*"$$8p!&amp;&amp;"</f>
        <v>#VALUE!</v>
      </c>
      <c r="U2" t="e">
        <f>'Data Model '!G:G*"$$8p!&amp;'"</f>
        <v>#VALUE!</v>
      </c>
      <c r="V2" t="e">
        <f>'Data Model '!H:H*"$$8p!&amp;("</f>
        <v>#VALUE!</v>
      </c>
      <c r="W2" t="e">
        <f>'Data Model '!I:I*"$$8p!&amp;)"</f>
        <v>#VALUE!</v>
      </c>
      <c r="X2" t="e">
        <f>'Data Model '!J:J*"$$8p!&amp;."</f>
        <v>#VALUE!</v>
      </c>
      <c r="Y2" t="e">
        <f>'Data Model '!K:K*"$$8p!&amp;/"</f>
        <v>#VALUE!</v>
      </c>
      <c r="Z2" t="e">
        <f>'Data Model '!L:L*"$$8p!&amp;0"</f>
        <v>#VALUE!</v>
      </c>
      <c r="AA2" t="e">
        <f>'Data Model '!M:M*"$$8p!&amp;1"</f>
        <v>#VALUE!</v>
      </c>
      <c r="AB2" t="e">
        <f>'Data Model '!N:N*"$$8p!&amp;2"</f>
        <v>#VALUE!</v>
      </c>
      <c r="AC2" t="e">
        <f>'Data Model '!O:O*"$$8p!&amp;3"</f>
        <v>#VALUE!</v>
      </c>
      <c r="AD2" t="e">
        <f>'Data Model '!P:P*"$$8p!&amp;4"</f>
        <v>#VALUE!</v>
      </c>
      <c r="AE2" t="e">
        <f>'Data Model '!Q:Q*"$$8p!&amp;5"</f>
        <v>#VALUE!</v>
      </c>
      <c r="AF2" t="e">
        <f>'Data Model '!R:R*"$$8p!&amp;6"</f>
        <v>#VALUE!</v>
      </c>
      <c r="AG2" t="e">
        <f>'Data Model '!S:S*"$$8p!&amp;7"</f>
        <v>#VALUE!</v>
      </c>
      <c r="AH2" t="e">
        <f>'Data Model '!T:T*"$$8p!&amp;8"</f>
        <v>#VALUE!</v>
      </c>
      <c r="AI2" t="e">
        <f>'Data Model '!U:U*"$$8p!&amp;9"</f>
        <v>#VALUE!</v>
      </c>
      <c r="AJ2" t="e">
        <f>'Data Model '!V:V*"$$8p!&amp;:"</f>
        <v>#VALUE!</v>
      </c>
      <c r="AK2" t="e">
        <f>'Data Model '!W:W*"$$8p!&amp;;"</f>
        <v>#VALUE!</v>
      </c>
      <c r="AL2" t="e">
        <f>'Data Model '!X:X*"$$8p!&amp;&lt;"</f>
        <v>#VALUE!</v>
      </c>
      <c r="AM2" t="e">
        <f>'Data Model '!Y:Y*"$$8p!&amp;="</f>
        <v>#VALUE!</v>
      </c>
      <c r="AN2" t="e">
        <f>'Data Model '!Z:Z*"$$8p!&amp;&gt;"</f>
        <v>#VALUE!</v>
      </c>
      <c r="AO2" t="e">
        <f>'Data Model '!AA:AA*"$$8p!&amp;?"</f>
        <v>#VALUE!</v>
      </c>
      <c r="AP2" t="e">
        <f>'Data Model '!AB:AB*"$$8p!&amp;@"</f>
        <v>#VALUE!</v>
      </c>
      <c r="AQ2" t="e">
        <f>'Data Model '!AC:AC*"$$8p!&amp;A"</f>
        <v>#VALUE!</v>
      </c>
      <c r="AR2" t="e">
        <f>'Data Model '!AD:AD*"$$8p!&amp;B"</f>
        <v>#VALUE!</v>
      </c>
      <c r="AS2" t="e">
        <f>'Data Model '!AE:AE*"$$8p!&amp;C"</f>
        <v>#VALUE!</v>
      </c>
      <c r="AT2" t="e">
        <f>'Data Model '!AF:AF*"$$8p!&amp;D"</f>
        <v>#VALUE!</v>
      </c>
      <c r="AU2" t="e">
        <f>'Data Model '!AG:AG*"$$8p!&amp;E"</f>
        <v>#VALUE!</v>
      </c>
      <c r="AV2" t="e">
        <f>'Data Model '!AH:AH*"$$8p!&amp;F"</f>
        <v>#VALUE!</v>
      </c>
      <c r="AW2" t="e">
        <f>'Data Model '!AI:AI*"$$8p!&amp;G"</f>
        <v>#VALUE!</v>
      </c>
      <c r="AX2" t="e">
        <f>'Data Model '!AJ:AJ*"$$8p!&amp;H"</f>
        <v>#VALUE!</v>
      </c>
      <c r="AY2" t="e">
        <f>'Data Model '!AK:AK*"$$8p!&amp;I"</f>
        <v>#VALUE!</v>
      </c>
      <c r="AZ2" t="e">
        <f>'Data Model '!AL:AL*"$$8p!&amp;J"</f>
        <v>#VALUE!</v>
      </c>
      <c r="BA2" t="e">
        <f>'Data Model '!AM:AM*"$$8p!&amp;K"</f>
        <v>#VALUE!</v>
      </c>
      <c r="BB2" t="e">
        <f>'Data Model '!AN:AN*"$$8p!&amp;L"</f>
        <v>#VALUE!</v>
      </c>
      <c r="BC2" t="e">
        <f>'Data Model '!AO:AO*"$$8p!&amp;M"</f>
        <v>#VALUE!</v>
      </c>
      <c r="BD2" t="e">
        <f>'Data Model '!AP:AP*"$$8p!&amp;N"</f>
        <v>#VALUE!</v>
      </c>
      <c r="BE2" t="e">
        <f>'Data Model '!AQ:AQ*"$$8p!&amp;O"</f>
        <v>#VALUE!</v>
      </c>
      <c r="BF2" t="e">
        <f>'Data Model '!AR:AR*"$$8p!&amp;P"</f>
        <v>#VALUE!</v>
      </c>
      <c r="BG2" t="e">
        <f>'Data Model '!AS:AS*"$$8p!&amp;Q"</f>
        <v>#VALUE!</v>
      </c>
      <c r="BH2" t="e">
        <f>'Data Model '!AT:AT*"$$8p!&amp;R"</f>
        <v>#VALUE!</v>
      </c>
      <c r="BI2" t="e">
        <f>'Data Model '!AU:AU*"$$8p!&amp;S"</f>
        <v>#VALUE!</v>
      </c>
      <c r="BJ2" t="e">
        <f>'Data Model '!AV:AV*"$$8p!&amp;T"</f>
        <v>#VALUE!</v>
      </c>
      <c r="BK2" t="e">
        <f>'Data Model '!AW:AW*"$$8p!&amp;U"</f>
        <v>#VALUE!</v>
      </c>
      <c r="BL2" t="e">
        <f>'Data Model '!AX:AX*"$$8p!&amp;V"</f>
        <v>#VALUE!</v>
      </c>
      <c r="BM2" t="e">
        <f>'Data Model '!AY:AY*"$$8p!&amp;W"</f>
        <v>#VALUE!</v>
      </c>
      <c r="BN2" t="e">
        <f>'Data Model '!AZ:AZ*"$$8p!&amp;X"</f>
        <v>#VALUE!</v>
      </c>
      <c r="BO2" t="e">
        <f>'Data Model '!BA:BA*"$$8p!&amp;Y"</f>
        <v>#VALUE!</v>
      </c>
      <c r="BP2" t="e">
        <f>'Data Model '!BB:BB*"$$8p!&amp;Z"</f>
        <v>#VALUE!</v>
      </c>
      <c r="BQ2" t="e">
        <f>'Data Model '!BC:BC*"$$8p!&amp;["</f>
        <v>#VALUE!</v>
      </c>
      <c r="BR2" t="e">
        <f>'Data Model '!BD:BD*"$$8p!&amp;\"</f>
        <v>#VALUE!</v>
      </c>
      <c r="BS2" t="e">
        <f>'Data Model '!BE:BE*"$$8p!&amp;]"</f>
        <v>#VALUE!</v>
      </c>
      <c r="BT2" t="e">
        <f>'Data Model '!BF:BF*"$$8p!&amp;^"</f>
        <v>#VALUE!</v>
      </c>
      <c r="BU2" t="e">
        <f>'Data Model '!BG:BG*"$$8p!&amp;_"</f>
        <v>#VALUE!</v>
      </c>
      <c r="BV2" t="e">
        <f>'Data Model '!BH:BH*"$$8p!&amp;`"</f>
        <v>#VALUE!</v>
      </c>
      <c r="BW2" t="e">
        <f>'Data Model '!1:1-"$$8p!&amp;a"</f>
        <v>#VALUE!</v>
      </c>
      <c r="BX2" t="e">
        <f>'Data Model '!2:2-"$$8p!&amp;b"</f>
        <v>#VALUE!</v>
      </c>
      <c r="BY2" t="e">
        <f>'Data Model '!3:3-"$$8p!&amp;c"</f>
        <v>#VALUE!</v>
      </c>
      <c r="BZ2" t="e">
        <f>'Data Model '!4:4-"$$8p!&amp;d"</f>
        <v>#VALUE!</v>
      </c>
      <c r="CA2" t="e">
        <f>'Data Model '!5:5-"$$8p!&amp;e"</f>
        <v>#VALUE!</v>
      </c>
      <c r="CB2" t="e">
        <f>'Data Model '!6:6-"$$8p!&amp;f"</f>
        <v>#VALUE!</v>
      </c>
      <c r="CC2" t="e">
        <f>'Data Model '!7:7-"$$8p!&amp;g"</f>
        <v>#VALUE!</v>
      </c>
      <c r="CD2" t="e">
        <f>'Data Model '!8:8-"$$8p!&amp;h"</f>
        <v>#VALUE!</v>
      </c>
      <c r="CE2" t="e">
        <f>'Data Model '!9:9-"$$8p!&amp;i"</f>
        <v>#VALUE!</v>
      </c>
      <c r="CF2" t="e">
        <f>'Data Model '!10:10-"$$8p!&amp;j"</f>
        <v>#VALUE!</v>
      </c>
      <c r="CG2" t="e">
        <f>'Data Model '!11:11-"$$8p!&amp;k"</f>
        <v>#VALUE!</v>
      </c>
      <c r="CH2" t="e">
        <f>'Data Model '!12:12-"$$8p!&amp;l"</f>
        <v>#VALUE!</v>
      </c>
      <c r="CI2" t="e">
        <f>'Data Model '!13:13-"$$8p!&amp;m"</f>
        <v>#VALUE!</v>
      </c>
      <c r="CJ2" t="e">
        <f>'Data Model '!14:14-"$$8p!&amp;n"</f>
        <v>#VALUE!</v>
      </c>
      <c r="CK2" t="e">
        <f>'Data Model '!15:15-"$$8p!&amp;o"</f>
        <v>#VALUE!</v>
      </c>
      <c r="CL2" t="e">
        <f>'Data Model '!16:16-"$$8p!&amp;p"</f>
        <v>#VALUE!</v>
      </c>
      <c r="CM2" t="e">
        <f>'Data Model '!17:17-"$$8p!&amp;q"</f>
        <v>#VALUE!</v>
      </c>
      <c r="CN2" t="e">
        <f>'Data Model '!18:18-"$$8p!&amp;r"</f>
        <v>#VALUE!</v>
      </c>
      <c r="CO2" t="e">
        <f>'Data Model '!19:19-"$$8p!&amp;s"</f>
        <v>#VALUE!</v>
      </c>
      <c r="CP2" t="e">
        <f>'Data Model '!20:20-"$$8p!&amp;t"</f>
        <v>#VALUE!</v>
      </c>
      <c r="CQ2" t="e">
        <f>'Data Model '!21:21-"$$8p!&amp;u"</f>
        <v>#VALUE!</v>
      </c>
      <c r="CR2" t="e">
        <f>'Data Model '!22:22-"$$8p!&amp;v"</f>
        <v>#VALUE!</v>
      </c>
      <c r="CS2" t="e">
        <f>'Data Model '!23:23-"$$8p!&amp;w"</f>
        <v>#VALUE!</v>
      </c>
      <c r="CT2" t="e">
        <f>'Data Model '!24:24-"$$8p!&amp;x"</f>
        <v>#VALUE!</v>
      </c>
      <c r="CU2" t="e">
        <f>'Data Model '!25:25-"$$8p!&amp;y"</f>
        <v>#VALUE!</v>
      </c>
      <c r="CV2" t="e">
        <f>'Data Model '!26:26-"$$8p!&amp;z"</f>
        <v>#VALUE!</v>
      </c>
      <c r="CW2" t="e">
        <f>'Data Model '!27:27-"$$8p!&amp;{"</f>
        <v>#VALUE!</v>
      </c>
      <c r="CX2" t="e">
        <f>'Data Model '!28:28-"$$8p!&amp;|"</f>
        <v>#VALUE!</v>
      </c>
      <c r="CY2" t="e">
        <f>'Data Model '!29:29-"$$8p!&amp;}"</f>
        <v>#VALUE!</v>
      </c>
      <c r="CZ2" t="e">
        <f>'Data Model '!30:30-"$$8p!&amp;~"</f>
        <v>#VALUE!</v>
      </c>
      <c r="DA2" t="e">
        <f>'Data Model '!31:31-"$$8p!'#"</f>
        <v>#VALUE!</v>
      </c>
      <c r="DB2" t="e">
        <f>'Data Model '!32:32-"$$8p!'$"</f>
        <v>#VALUE!</v>
      </c>
      <c r="DC2" t="e">
        <f>'Data Model '!33:33-"$$8p!'%"</f>
        <v>#VALUE!</v>
      </c>
      <c r="DD2" t="e">
        <f>'Data Model '!34:34-"$$8p!'&amp;"</f>
        <v>#VALUE!</v>
      </c>
      <c r="DE2" t="e">
        <f>'Data Model '!35:35-"$$8p!''"</f>
        <v>#VALUE!</v>
      </c>
      <c r="DF2" t="e">
        <f>'Data Model '!36:36-"$$8p!'("</f>
        <v>#VALUE!</v>
      </c>
      <c r="DG2" t="e">
        <f>'Data Model '!37:37-"$$8p!')"</f>
        <v>#VALUE!</v>
      </c>
      <c r="DH2" t="e">
        <f>'Data Model '!38:38-"$$8p!'."</f>
        <v>#VALUE!</v>
      </c>
      <c r="DI2" t="e">
        <f>'Data Model '!39:39-"$$8p!'/"</f>
        <v>#VALUE!</v>
      </c>
      <c r="DJ2" t="e">
        <f>'Data Model '!40:40-"$$8p!'0"</f>
        <v>#VALUE!</v>
      </c>
      <c r="DK2" t="e">
        <f>'Data Model '!41:41-"$$8p!'1"</f>
        <v>#VALUE!</v>
      </c>
      <c r="DL2" t="e">
        <f>'Data Model '!42:42-"$$8p!'2"</f>
        <v>#VALUE!</v>
      </c>
      <c r="DM2" t="e">
        <f>'Data Model '!43:43-"$$8p!'3"</f>
        <v>#VALUE!</v>
      </c>
      <c r="DN2" t="e">
        <f>'Data Model '!44:44-"$$8p!'4"</f>
        <v>#VALUE!</v>
      </c>
      <c r="DO2" t="e">
        <f>'Data Model '!45:45-"$$8p!'5"</f>
        <v>#VALUE!</v>
      </c>
      <c r="DP2" t="e">
        <f>'Data Model '!46:46-"$$8p!'6"</f>
        <v>#VALUE!</v>
      </c>
      <c r="DQ2" t="e">
        <f>'Data Model '!47:47-"$$8p!'7"</f>
        <v>#VALUE!</v>
      </c>
      <c r="DR2" t="e">
        <f>'Data Model '!48:48-"$$8p!'8"</f>
        <v>#VALUE!</v>
      </c>
      <c r="DS2" t="e">
        <f>'Data Model '!49:49-"$$8p!'9"</f>
        <v>#VALUE!</v>
      </c>
      <c r="DT2" t="e">
        <f>'Data Model '!50:50-"$$8p!':"</f>
        <v>#VALUE!</v>
      </c>
      <c r="DU2" t="e">
        <f>'Data Model '!51:51-"$$8p!';"</f>
        <v>#VALUE!</v>
      </c>
      <c r="DV2" t="e">
        <f>'Data Model '!52:52-"$$8p!'&lt;"</f>
        <v>#VALUE!</v>
      </c>
      <c r="DW2" t="e">
        <f>'Data Model '!53:53-"$$8p!'="</f>
        <v>#VALUE!</v>
      </c>
      <c r="DX2" t="e">
        <f>'Data Model '!54:54-"$$8p!'&gt;"</f>
        <v>#VALUE!</v>
      </c>
      <c r="DY2" t="e">
        <f>'Data Model '!55:55-"$$8p!'?"</f>
        <v>#VALUE!</v>
      </c>
      <c r="DZ2" t="e">
        <f>'Data Model '!56:56-"$$8p!'@"</f>
        <v>#VALUE!</v>
      </c>
      <c r="EA2" t="e">
        <f>'Data Model '!57:57-"$$8p!'A"</f>
        <v>#VALUE!</v>
      </c>
      <c r="EB2" t="e">
        <f>'Data Model '!58:58-"$$8p!'B"</f>
        <v>#VALUE!</v>
      </c>
      <c r="EC2" t="e">
        <f>'Data Model '!59:59-"$$8p!'C"</f>
        <v>#VALUE!</v>
      </c>
      <c r="ED2" t="e">
        <f>'Data Model '!60:60-"$$8p!'D"</f>
        <v>#VALUE!</v>
      </c>
      <c r="EE2" t="e">
        <f>'Data Model '!61:61-"$$8p!'E"</f>
        <v>#VALUE!</v>
      </c>
      <c r="EF2" t="e">
        <f>'Data Model '!62:62-"$$8p!'F"</f>
        <v>#VALUE!</v>
      </c>
      <c r="EG2" t="e">
        <f>'Data Model '!63:63-"$$8p!'G"</f>
        <v>#VALUE!</v>
      </c>
      <c r="EH2" t="e">
        <f>'Data Model '!64:64-"$$8p!'H"</f>
        <v>#VALUE!</v>
      </c>
      <c r="EI2" t="e">
        <f>'Data Model '!65:65-"$$8p!'I"</f>
        <v>#VALUE!</v>
      </c>
      <c r="EJ2" t="e">
        <f>'Data Model '!66:66-"$$8p!'J"</f>
        <v>#VALUE!</v>
      </c>
      <c r="EK2" t="e">
        <f>'Data Model '!67:67-"$$8p!'K"</f>
        <v>#VALUE!</v>
      </c>
      <c r="EL2" t="e">
        <f>'Data Model '!68:68-"$$8p!'L"</f>
        <v>#VALUE!</v>
      </c>
      <c r="EM2" t="e">
        <f>'Data Model '!69:69-"$$8p!'M"</f>
        <v>#VALUE!</v>
      </c>
      <c r="EN2" t="e">
        <f>'Data Model '!70:70-"$$8p!'N"</f>
        <v>#VALUE!</v>
      </c>
      <c r="EO2" t="e">
        <f>'Data Model '!71:71-"$$8p!'O"</f>
        <v>#VALUE!</v>
      </c>
      <c r="EP2" t="e">
        <f>'Data Model '!72:72-"$$8p!'P"</f>
        <v>#VALUE!</v>
      </c>
      <c r="EQ2" t="e">
        <f>'Data Model '!73:73-"$$8p!'Q"</f>
        <v>#VALUE!</v>
      </c>
      <c r="ER2" t="e">
        <f>'Data Model '!74:74-"$$8p!'R"</f>
        <v>#VALUE!</v>
      </c>
      <c r="ES2" t="e">
        <f>'Data Model '!75:75-"$$8p!'S"</f>
        <v>#VALUE!</v>
      </c>
      <c r="ET2" t="e">
        <f>'Data Model '!76:76-"$$8p!'T"</f>
        <v>#VALUE!</v>
      </c>
      <c r="EU2" t="e">
        <f>'Data Model '!77:77-"$$8p!'U"</f>
        <v>#VALUE!</v>
      </c>
      <c r="EV2" t="e">
        <f>'Data Model '!78:78-"$$8p!'V"</f>
        <v>#VALUE!</v>
      </c>
      <c r="EW2" t="e">
        <f>'Data Model '!79:79-"$$8p!'W"</f>
        <v>#VALUE!</v>
      </c>
      <c r="EX2" t="e">
        <f>'Data Model '!80:80-"$$8p!'X"</f>
        <v>#VALUE!</v>
      </c>
      <c r="EY2" t="e">
        <f>'Data Model '!81:81-"$$8p!'Y"</f>
        <v>#VALUE!</v>
      </c>
      <c r="EZ2" t="e">
        <f>'Data Model '!82:82-"$$8p!'Z"</f>
        <v>#VALUE!</v>
      </c>
      <c r="FA2" t="e">
        <f>'Data Model '!83:83-"$$8p!'["</f>
        <v>#VALUE!</v>
      </c>
      <c r="FB2" t="e">
        <f>'Data Model '!84:84-"$$8p!'\"</f>
        <v>#VALUE!</v>
      </c>
      <c r="FC2" t="e">
        <f>'Data Model '!85:85-"$$8p!']"</f>
        <v>#VALUE!</v>
      </c>
      <c r="FD2" t="e">
        <f>'Data Model '!86:86-"$$8p!'^"</f>
        <v>#VALUE!</v>
      </c>
      <c r="FE2" t="e">
        <f>'Data Model '!87:87-"$$8p!'_"</f>
        <v>#VALUE!</v>
      </c>
      <c r="FF2" t="e">
        <f>'Data Model '!88:88-"$$8p!'`"</f>
        <v>#VALUE!</v>
      </c>
      <c r="FG2" t="e">
        <f>'Data Model '!89:89-"$$8p!'a"</f>
        <v>#VALUE!</v>
      </c>
      <c r="FH2" t="e">
        <f>'Data Model '!90:90-"$$8p!'b"</f>
        <v>#VALUE!</v>
      </c>
      <c r="FI2" t="e">
        <f>'Data Model '!91:91-"$$8p!'c"</f>
        <v>#VALUE!</v>
      </c>
      <c r="FJ2" t="e">
        <f>'Data Model '!92:92-"$$8p!'d"</f>
        <v>#VALUE!</v>
      </c>
      <c r="FK2" t="e">
        <f>'Data Model '!93:93-"$$8p!'e"</f>
        <v>#VALUE!</v>
      </c>
      <c r="FL2" t="e">
        <f>'Data Model '!94:94-"$$8p!'f"</f>
        <v>#VALUE!</v>
      </c>
      <c r="FM2" t="e">
        <f>'Data Model '!95:95-"$$8p!'g"</f>
        <v>#VALUE!</v>
      </c>
      <c r="FN2" t="e">
        <f>'Data Model '!96:96-"$$8p!'h"</f>
        <v>#VALUE!</v>
      </c>
      <c r="FO2" t="e">
        <f>'Data Model '!97:97-"$$8p!'i"</f>
        <v>#VALUE!</v>
      </c>
      <c r="FP2" t="e">
        <f>'Data Model '!98:98-"$$8p!'j"</f>
        <v>#VALUE!</v>
      </c>
      <c r="FQ2" t="e">
        <f>'Data Model '!99:99-"$$8p!'k"</f>
        <v>#VALUE!</v>
      </c>
      <c r="FR2" t="e">
        <f>'Data Model '!100:100-"$$8p!'l"</f>
        <v>#VALUE!</v>
      </c>
      <c r="FS2" t="e">
        <f>'Data Model '!101:101-"$$8p!'m"</f>
        <v>#VALUE!</v>
      </c>
      <c r="FT2" t="e">
        <f>'Data Model '!102:102-"$$8p!'n"</f>
        <v>#VALUE!</v>
      </c>
      <c r="FU2" t="e">
        <f>'Data Model '!103:103-"$$8p!'o"</f>
        <v>#VALUE!</v>
      </c>
      <c r="FV2" t="e">
        <f>'Data Model '!104:104-"$$8p!'p"</f>
        <v>#VALUE!</v>
      </c>
      <c r="FW2" t="e">
        <f>'Data Model '!105:105-"$$8p!'q"</f>
        <v>#VALUE!</v>
      </c>
      <c r="FX2" t="e">
        <f>'Data Model '!106:106-"$$8p!'r"</f>
        <v>#VALUE!</v>
      </c>
      <c r="FY2" t="e">
        <f>'Data Model '!107:107-"$$8p!'s"</f>
        <v>#VALUE!</v>
      </c>
      <c r="FZ2" t="e">
        <f>'Data Model '!108:108-"$$8p!'t"</f>
        <v>#VALUE!</v>
      </c>
      <c r="GA2" t="e">
        <f>'Data Model '!109:109-"$$8p!'u"</f>
        <v>#VALUE!</v>
      </c>
      <c r="GB2" t="e">
        <f>'Data Model '!110:110-"$$8p!'v"</f>
        <v>#VALUE!</v>
      </c>
      <c r="GC2" t="e">
        <f>'Data Model '!111:111-"$$8p!'w"</f>
        <v>#VALUE!</v>
      </c>
      <c r="GD2" t="e">
        <f>'Data Model '!112:112-"$$8p!'x"</f>
        <v>#VALUE!</v>
      </c>
      <c r="GE2" t="e">
        <f>'Data Model '!113:113-"$$8p!'y"</f>
        <v>#VALUE!</v>
      </c>
      <c r="GF2" t="e">
        <f>'Data Model '!114:114-"$$8p!'z"</f>
        <v>#VALUE!</v>
      </c>
      <c r="GG2" t="e">
        <f>'Data Model '!115:115-"$$8p!'{"</f>
        <v>#VALUE!</v>
      </c>
      <c r="GH2" t="e">
        <f>'Data Model '!116:116-"$$8p!'|"</f>
        <v>#VALUE!</v>
      </c>
      <c r="GI2" t="e">
        <f>'Data Model '!117:117-"$$8p!'}"</f>
        <v>#VALUE!</v>
      </c>
      <c r="GJ2" t="e">
        <f>'Data Model '!118:118-"$$8p!'~"</f>
        <v>#VALUE!</v>
      </c>
      <c r="GK2" t="e">
        <f>'Data Model '!119:119-"$$8p!(#"</f>
        <v>#VALUE!</v>
      </c>
      <c r="GL2" t="e">
        <f>'Data Model '!120:120-"$$8p!($"</f>
        <v>#VALUE!</v>
      </c>
      <c r="GM2" t="e">
        <f>'Data Model '!121:121-"$$8p!(%"</f>
        <v>#VALUE!</v>
      </c>
      <c r="GN2" t="e">
        <f>'Data Model '!122:122-"$$8p!(&amp;"</f>
        <v>#VALUE!</v>
      </c>
      <c r="GO2" t="e">
        <f>'Data Model '!123:123-"$$8p!('"</f>
        <v>#VALUE!</v>
      </c>
      <c r="GP2" t="e">
        <f>'Data Model '!124:124-"$$8p!(("</f>
        <v>#VALUE!</v>
      </c>
      <c r="GQ2" t="e">
        <f>'Data Model '!125:125-"$$8p!()"</f>
        <v>#VALUE!</v>
      </c>
      <c r="GR2" t="e">
        <f>'Data Model '!126:126-"$$8p!(."</f>
        <v>#VALUE!</v>
      </c>
      <c r="GS2" t="e">
        <f>'Data Model '!127:127-"$$8p!(/"</f>
        <v>#VALUE!</v>
      </c>
      <c r="GT2" t="e">
        <f>'Data Model '!128:128-"$$8p!(0"</f>
        <v>#VALUE!</v>
      </c>
      <c r="GU2" t="e">
        <f>'Data Model '!129:129-"$$8p!(1"</f>
        <v>#VALUE!</v>
      </c>
      <c r="GV2" t="e">
        <f>'Data Model '!130:130-"$$8p!(2"</f>
        <v>#VALUE!</v>
      </c>
      <c r="GW2" t="e">
        <f>'Data Model '!131:131-"$$8p!(3"</f>
        <v>#VALUE!</v>
      </c>
      <c r="GX2" t="e">
        <f>'Data Model '!132:132-"$$8p!(4"</f>
        <v>#VALUE!</v>
      </c>
      <c r="GY2" t="e">
        <f>'Data Model '!133:133-"$$8p!(5"</f>
        <v>#VALUE!</v>
      </c>
      <c r="GZ2" t="e">
        <f>'Data Model '!134:134-"$$8p!(6"</f>
        <v>#VALUE!</v>
      </c>
      <c r="HA2" t="e">
        <f>'Data Model '!135:135-"$$8p!(7"</f>
        <v>#VALUE!</v>
      </c>
      <c r="HB2" t="e">
        <f>'Data Model '!136:136-"$$8p!(8"</f>
        <v>#VALUE!</v>
      </c>
      <c r="HC2" t="e">
        <f>'Data Model '!137:137-"$$8p!(9"</f>
        <v>#VALUE!</v>
      </c>
      <c r="HD2" t="e">
        <f>'Data Model '!138:138-"$$8p!(:"</f>
        <v>#VALUE!</v>
      </c>
      <c r="HE2" t="e">
        <f>'Data Model '!139:139-"$$8p!(;"</f>
        <v>#VALUE!</v>
      </c>
      <c r="HF2" t="e">
        <f>'Data Model '!140:140-"$$8p!(&lt;"</f>
        <v>#VALUE!</v>
      </c>
      <c r="HG2" t="e">
        <f>'Data Model '!141:141-"$$8p!(="</f>
        <v>#VALUE!</v>
      </c>
      <c r="HH2" t="e">
        <f>'Data Model '!142:142-"$$8p!(&gt;"</f>
        <v>#VALUE!</v>
      </c>
      <c r="HI2" t="e">
        <f>'Data Model '!143:143-"$$8p!(?"</f>
        <v>#VALUE!</v>
      </c>
      <c r="HJ2" t="e">
        <f>'Data Model '!144:144-"$$8p!(@"</f>
        <v>#VALUE!</v>
      </c>
      <c r="HK2" t="e">
        <f>'Data Model '!145:145-"$$8p!(A"</f>
        <v>#VALUE!</v>
      </c>
      <c r="HL2" t="e">
        <f>'Data Model '!146:146-"$$8p!(B"</f>
        <v>#VALUE!</v>
      </c>
      <c r="HM2" t="e">
        <f>'Data Model '!147:147-"$$8p!(C"</f>
        <v>#VALUE!</v>
      </c>
      <c r="HN2" t="e">
        <f>'Data Model '!148:148-"$$8p!(D"</f>
        <v>#VALUE!</v>
      </c>
      <c r="HO2" t="e">
        <f>'Data Model '!149:149-"$$8p!(E"</f>
        <v>#VALUE!</v>
      </c>
      <c r="HP2" t="e">
        <f>'Data Model '!150:150-"$$8p!(F"</f>
        <v>#VALUE!</v>
      </c>
      <c r="HQ2" t="e">
        <f>'Data Model '!151:151-"$$8p!(G"</f>
        <v>#VALUE!</v>
      </c>
      <c r="HR2" t="e">
        <f>'Data Model '!152:152-"$$8p!(H"</f>
        <v>#VALUE!</v>
      </c>
      <c r="HS2" t="e">
        <f>'Data Model '!153:153-"$$8p!(I"</f>
        <v>#VALUE!</v>
      </c>
      <c r="HT2" t="e">
        <f>'Data Model '!154:154-"$$8p!(J"</f>
        <v>#VALUE!</v>
      </c>
      <c r="HU2" t="e">
        <f>'Data Model '!155:155-"$$8p!(K"</f>
        <v>#VALUE!</v>
      </c>
      <c r="HV2" t="e">
        <f>'Data Model '!156:156-"$$8p!(L"</f>
        <v>#VALUE!</v>
      </c>
      <c r="HW2" t="e">
        <f>'Data Model '!157:157-"$$8p!(M"</f>
        <v>#VALUE!</v>
      </c>
      <c r="HX2" t="e">
        <f>'Data Model '!158:158-"$$8p!(N"</f>
        <v>#VALUE!</v>
      </c>
      <c r="HY2" t="e">
        <f>'Data Model '!159:159-"$$8p!(O"</f>
        <v>#VALUE!</v>
      </c>
      <c r="HZ2" t="e">
        <f>'Data Model '!160:160-"$$8p!(P"</f>
        <v>#VALUE!</v>
      </c>
      <c r="IA2" t="e">
        <f>'Data Model '!161:161-"$$8p!(Q"</f>
        <v>#VALUE!</v>
      </c>
      <c r="IB2" t="e">
        <f>'Data Model '!162:162-"$$8p!(R"</f>
        <v>#VALUE!</v>
      </c>
      <c r="IC2" t="e">
        <f>'Data Model '!163:163-"$$8p!(S"</f>
        <v>#VALUE!</v>
      </c>
      <c r="ID2" t="e">
        <f>'Data Model '!164:164-"$$8p!(T"</f>
        <v>#VALUE!</v>
      </c>
      <c r="IE2" t="e">
        <f>'Data Model '!165:165-"$$8p!(U"</f>
        <v>#VALUE!</v>
      </c>
      <c r="IF2" t="e">
        <f>'Data Model '!166:166-"$$8p!(V"</f>
        <v>#VALUE!</v>
      </c>
      <c r="IG2" t="e">
        <f>'Data Model '!167:167-"$$8p!(W"</f>
        <v>#VALUE!</v>
      </c>
      <c r="IH2" t="e">
        <f>'Data Model '!168:168-"$$8p!(X"</f>
        <v>#VALUE!</v>
      </c>
      <c r="II2" t="e">
        <f>'Data Model '!169:169-"$$8p!(Y"</f>
        <v>#VALUE!</v>
      </c>
      <c r="IJ2" t="e">
        <f>'Data Model '!170:170-"$$8p!(Z"</f>
        <v>#VALUE!</v>
      </c>
      <c r="IK2" t="e">
        <f>'Data Model '!171:171-"$$8p!(["</f>
        <v>#VALUE!</v>
      </c>
      <c r="IL2" t="e">
        <f>'Data Model '!172:172-"$$8p!(\"</f>
        <v>#VALUE!</v>
      </c>
      <c r="IM2" t="e">
        <f>'Data Model '!173:173-"$$8p!(]"</f>
        <v>#VALUE!</v>
      </c>
      <c r="IN2" t="e">
        <f>'Data Model '!174:174-"$$8p!(^"</f>
        <v>#VALUE!</v>
      </c>
      <c r="IO2" t="e">
        <f>'Data Model '!175:175-"$$8p!(_"</f>
        <v>#VALUE!</v>
      </c>
      <c r="IP2" t="e">
        <f>'Data Model '!176:176-"$$8p!(`"</f>
        <v>#VALUE!</v>
      </c>
      <c r="IQ2" t="e">
        <f>'Data Model '!177:177-"$$8p!(a"</f>
        <v>#VALUE!</v>
      </c>
      <c r="IR2" t="e">
        <f>'Data Model '!178:178-"$$8p!(b"</f>
        <v>#VALUE!</v>
      </c>
      <c r="IS2" t="e">
        <f>'Data Model '!179:179-"$$8p!(c"</f>
        <v>#VALUE!</v>
      </c>
      <c r="IT2" t="e">
        <f>'Data Model '!180:180-"$$8p!(d"</f>
        <v>#VALUE!</v>
      </c>
      <c r="IU2" t="e">
        <f>'Data Model '!181:181-"$$8p!(e"</f>
        <v>#VALUE!</v>
      </c>
      <c r="IV2" t="e">
        <f>'Data Model '!182:182-"$$8p!(f"</f>
        <v>#VALUE!</v>
      </c>
    </row>
    <row r="3" spans="1:256" x14ac:dyDescent="0.35">
      <c r="A3" t="s">
        <v>225</v>
      </c>
      <c r="F3" t="e">
        <f>'Data Model '!183:183-"$$8p!(g"</f>
        <v>#VALUE!</v>
      </c>
      <c r="G3" t="e">
        <f>'Data Model '!184:184-"$$8p!(h"</f>
        <v>#VALUE!</v>
      </c>
      <c r="H3" t="e">
        <f>'Data Model '!185:185-"$$8p!(i"</f>
        <v>#VALUE!</v>
      </c>
      <c r="I3" t="e">
        <f>'Data Model '!186:186-"$$8p!(j"</f>
        <v>#VALUE!</v>
      </c>
      <c r="J3" t="e">
        <f>'Data Model '!187:187-"$$8p!(k"</f>
        <v>#VALUE!</v>
      </c>
      <c r="K3" t="e">
        <f>'Data Model '!188:188-"$$8p!(l"</f>
        <v>#VALUE!</v>
      </c>
      <c r="L3" t="e">
        <f>'Data Model '!189:189-"$$8p!(m"</f>
        <v>#VALUE!</v>
      </c>
      <c r="M3" t="e">
        <f>'Data Model '!190:190-"$$8p!(n"</f>
        <v>#VALUE!</v>
      </c>
      <c r="N3" t="e">
        <f>'Data Model '!191:191-"$$8p!(o"</f>
        <v>#VALUE!</v>
      </c>
      <c r="O3" t="e">
        <f>'Data Model '!192:192-"$$8p!(p"</f>
        <v>#VALUE!</v>
      </c>
      <c r="P3" t="e">
        <f>'Data Model '!193:193-"$$8p!(q"</f>
        <v>#VALUE!</v>
      </c>
      <c r="Q3" t="e">
        <f>'Data Model '!194:194-"$$8p!(r"</f>
        <v>#VALUE!</v>
      </c>
      <c r="R3" t="e">
        <f>'Data Model '!195:195-"$$8p!(s"</f>
        <v>#VALUE!</v>
      </c>
      <c r="S3" t="e">
        <f>'Data Model '!196:196-"$$8p!(t"</f>
        <v>#VALUE!</v>
      </c>
      <c r="T3" t="e">
        <f>'Data Model '!197:197-"$$8p!(u"</f>
        <v>#VALUE!</v>
      </c>
      <c r="U3" t="e">
        <f>'Data Model '!198:198-"$$8p!(v"</f>
        <v>#VALUE!</v>
      </c>
      <c r="V3" t="e">
        <f>'Data Model '!199:199-"$$8p!(w"</f>
        <v>#VALUE!</v>
      </c>
      <c r="W3" t="e">
        <f>'Data Model '!200:200-"$$8p!(x"</f>
        <v>#VALUE!</v>
      </c>
      <c r="X3" t="e">
        <f>'Data Model '!201:201-"$$8p!(y"</f>
        <v>#VALUE!</v>
      </c>
      <c r="Y3" t="e">
        <f>'Data Model '!202:202-"$$8p!(z"</f>
        <v>#VALUE!</v>
      </c>
      <c r="Z3" t="e">
        <f>'Data Model '!203:203-"$$8p!({"</f>
        <v>#VALUE!</v>
      </c>
      <c r="AA3" t="e">
        <f>'Data Model '!204:204-"$$8p!(|"</f>
        <v>#VALUE!</v>
      </c>
      <c r="AB3" t="e">
        <f>'Data Model '!205:205-"$$8p!(}"</f>
        <v>#VALUE!</v>
      </c>
      <c r="AC3" t="e">
        <f>'Data Model '!206:206-"$$8p!(~"</f>
        <v>#VALUE!</v>
      </c>
      <c r="AD3" t="e">
        <f>'Data Model '!207:207-"$$8p!)#"</f>
        <v>#VALUE!</v>
      </c>
      <c r="AE3" t="e">
        <f>'Data Model '!208:208-"$$8p!)$"</f>
        <v>#VALUE!</v>
      </c>
      <c r="AF3" t="e">
        <f>'Data Model '!209:209-"$$8p!)%"</f>
        <v>#VALUE!</v>
      </c>
      <c r="AG3" t="e">
        <f>'Data Model '!210:210-"$$8p!)&amp;"</f>
        <v>#VALUE!</v>
      </c>
      <c r="AH3" t="e">
        <f>'Data Model '!211:211-"$$8p!)'"</f>
        <v>#VALUE!</v>
      </c>
      <c r="AI3" t="e">
        <f>'Data Model '!212:212-"$$8p!)("</f>
        <v>#VALUE!</v>
      </c>
      <c r="AJ3" t="e">
        <f>'Data Model '!213:213-"$$8p!))"</f>
        <v>#VALUE!</v>
      </c>
      <c r="AK3" t="e">
        <f>'Data Model '!214:214-"$$8p!)."</f>
        <v>#VALUE!</v>
      </c>
      <c r="AL3" t="e">
        <f>'Data Model '!215:215-"$$8p!)/"</f>
        <v>#VALUE!</v>
      </c>
      <c r="AM3" t="e">
        <f>'Data Model '!216:216-"$$8p!)0"</f>
        <v>#VALUE!</v>
      </c>
      <c r="AN3" t="e">
        <f>'Data Model '!217:217-"$$8p!)1"</f>
        <v>#VALUE!</v>
      </c>
      <c r="AO3" t="e">
        <f>'Data Model '!218:218-"$$8p!)2"</f>
        <v>#VALUE!</v>
      </c>
      <c r="AP3" t="e">
        <f>'Data Model '!219:219-"$$8p!)3"</f>
        <v>#VALUE!</v>
      </c>
      <c r="AQ3" t="e">
        <f>'Data Model '!220:220-"$$8p!)4"</f>
        <v>#VALUE!</v>
      </c>
      <c r="AR3" t="e">
        <f>'Data Model '!221:221-"$$8p!)5"</f>
        <v>#VALUE!</v>
      </c>
      <c r="AS3" t="e">
        <f>'Data Model '!222:222-"$$8p!)6"</f>
        <v>#VALUE!</v>
      </c>
      <c r="AT3" t="e">
        <f>'Data Model '!223:223-"$$8p!)7"</f>
        <v>#VALUE!</v>
      </c>
      <c r="AU3" t="e">
        <f>'Data Model '!224:224-"$$8p!)8"</f>
        <v>#VALUE!</v>
      </c>
      <c r="AV3" t="e">
        <f>'Data Model '!225:225-"$$8p!)9"</f>
        <v>#VALUE!</v>
      </c>
      <c r="AW3" t="e">
        <f>'Data Model '!226:226-"$$8p!):"</f>
        <v>#VALUE!</v>
      </c>
      <c r="AX3" t="e">
        <f>'Data Dictionnary'!A1+"$$8p!);"</f>
        <v>#VALUE!</v>
      </c>
      <c r="AY3" t="e">
        <f>'Data Dictionnary'!C1+"$$8p!)&lt;"</f>
        <v>#VALUE!</v>
      </c>
      <c r="AZ3" t="e">
        <f>'Data Dictionnary'!D1+"$$8p!)="</f>
        <v>#VALUE!</v>
      </c>
      <c r="BA3" t="e">
        <f>'Data Dictionnary'!E1+"$$8p!)&gt;"</f>
        <v>#VALUE!</v>
      </c>
      <c r="BB3" t="e">
        <f>'Data Dictionnary'!H1+"$$8p!)?"</f>
        <v>#VALUE!</v>
      </c>
      <c r="BC3" t="e">
        <f>'Data Dictionnary'!A3+"$$8p!)@"</f>
        <v>#VALUE!</v>
      </c>
      <c r="BD3" t="e">
        <f>'Data Dictionnary'!B3+"$$8p!)A"</f>
        <v>#VALUE!</v>
      </c>
      <c r="BE3" t="e">
        <f>'Data Dictionnary'!C3+"$$8p!)B"</f>
        <v>#VALUE!</v>
      </c>
      <c r="BF3" t="e">
        <f>'Data Dictionnary'!D3+"$$8p!)C"</f>
        <v>#VALUE!</v>
      </c>
      <c r="BG3" t="e">
        <f>'Data Dictionnary'!E3+"$$8p!)D"</f>
        <v>#VALUE!</v>
      </c>
      <c r="BH3" t="e">
        <f>'Data Dictionnary'!F3+"$$8p!)E"</f>
        <v>#VALUE!</v>
      </c>
      <c r="BI3" t="e">
        <f>'Data Dictionnary'!G3+"$$8p!)F"</f>
        <v>#VALUE!</v>
      </c>
      <c r="BJ3" t="e">
        <f>'Data Dictionnary'!A4+"$$8p!)G"</f>
        <v>#VALUE!</v>
      </c>
      <c r="BK3" t="e">
        <f>'Data Dictionnary'!B4+"$$8p!)H"</f>
        <v>#VALUE!</v>
      </c>
      <c r="BL3" t="e">
        <f>'Data Dictionnary'!C4+"$$8p!)I"</f>
        <v>#VALUE!</v>
      </c>
      <c r="BM3" t="e">
        <f>'Data Dictionnary'!D4+"$$8p!)J"</f>
        <v>#VALUE!</v>
      </c>
      <c r="BN3" t="e">
        <f>'Data Dictionnary'!E4+"$$8p!)K"</f>
        <v>#VALUE!</v>
      </c>
      <c r="BO3" t="e">
        <f>'Data Dictionnary'!F4+"$$8p!)L"</f>
        <v>#VALUE!</v>
      </c>
      <c r="BP3" t="e">
        <f>'Data Dictionnary'!G4+"$$8p!)M"</f>
        <v>#VALUE!</v>
      </c>
      <c r="BQ3" t="e">
        <f>'Data Dictionnary'!H4+"$$8p!)N"</f>
        <v>#VALUE!</v>
      </c>
      <c r="BR3" t="e">
        <f>'Data Dictionnary'!I4+"$$8p!)O"</f>
        <v>#VALUE!</v>
      </c>
      <c r="BS3" t="e">
        <f>'Data Dictionnary'!J4+"$$8p!)P"</f>
        <v>#VALUE!</v>
      </c>
      <c r="BT3" t="e">
        <f>'Data Dictionnary'!K4+"$$8p!)Q"</f>
        <v>#VALUE!</v>
      </c>
      <c r="BU3" t="e">
        <f>'Data Dictionnary'!L4+"$$8p!)R"</f>
        <v>#VALUE!</v>
      </c>
      <c r="BV3" t="e">
        <f>'Data Dictionnary'!A5+"$$8p!)S"</f>
        <v>#VALUE!</v>
      </c>
      <c r="BW3" t="e">
        <f>'Data Dictionnary'!B5+"$$8p!)T"</f>
        <v>#VALUE!</v>
      </c>
      <c r="BX3" t="e">
        <f>'Data Dictionnary'!C5+"$$8p!)U"</f>
        <v>#VALUE!</v>
      </c>
      <c r="BY3" t="e">
        <f>'Data Dictionnary'!D5+"$$8p!)V"</f>
        <v>#VALUE!</v>
      </c>
      <c r="BZ3" t="e">
        <f>'Data Dictionnary'!E5+"$$8p!)W"</f>
        <v>#VALUE!</v>
      </c>
      <c r="CA3" t="e">
        <f>'Data Dictionnary'!F5+"$$8p!)X"</f>
        <v>#VALUE!</v>
      </c>
      <c r="CB3" t="e">
        <f>'Data Dictionnary'!G5+"$$8p!)Y"</f>
        <v>#VALUE!</v>
      </c>
      <c r="CC3" t="e">
        <f>'Data Dictionnary'!H5+"$$8p!)Z"</f>
        <v>#VALUE!</v>
      </c>
      <c r="CD3" t="e">
        <f>'Data Dictionnary'!I5+"$$8p!)["</f>
        <v>#VALUE!</v>
      </c>
      <c r="CE3" t="e">
        <f>'Data Dictionnary'!J5+"$$8p!)\"</f>
        <v>#VALUE!</v>
      </c>
      <c r="CF3" t="e">
        <f>'Data Dictionnary'!K5+"$$8p!)]"</f>
        <v>#VALUE!</v>
      </c>
      <c r="CG3" t="e">
        <f>'Data Dictionnary'!L5+"$$8p!)^"</f>
        <v>#VALUE!</v>
      </c>
      <c r="CH3" t="e">
        <f>'Data Dictionnary'!A6+"$$8p!)_"</f>
        <v>#VALUE!</v>
      </c>
      <c r="CI3" t="e">
        <f>'Data Dictionnary'!B6+"$$8p!)`"</f>
        <v>#VALUE!</v>
      </c>
      <c r="CJ3" t="e">
        <f>'Data Dictionnary'!C6+"$$8p!)a"</f>
        <v>#VALUE!</v>
      </c>
      <c r="CK3" t="e">
        <f>'Data Dictionnary'!D6+"$$8p!)b"</f>
        <v>#VALUE!</v>
      </c>
      <c r="CL3" t="e">
        <f>'Data Dictionnary'!E6+"$$8p!)c"</f>
        <v>#VALUE!</v>
      </c>
      <c r="CM3" t="e">
        <f>'Data Dictionnary'!F6+"$$8p!)d"</f>
        <v>#VALUE!</v>
      </c>
      <c r="CN3" t="e">
        <f>'Data Dictionnary'!G6+"$$8p!)e"</f>
        <v>#VALUE!</v>
      </c>
      <c r="CO3" t="e">
        <f>'Data Dictionnary'!H6+"$$8p!)f"</f>
        <v>#VALUE!</v>
      </c>
      <c r="CP3" t="e">
        <f>'Data Dictionnary'!I6+"$$8p!)g"</f>
        <v>#VALUE!</v>
      </c>
      <c r="CQ3" t="e">
        <f>'Data Dictionnary'!J6+"$$8p!)h"</f>
        <v>#VALUE!</v>
      </c>
      <c r="CR3" t="e">
        <f>'Data Dictionnary'!K6+"$$8p!)i"</f>
        <v>#VALUE!</v>
      </c>
      <c r="CS3" t="e">
        <f>'Data Dictionnary'!L6+"$$8p!)j"</f>
        <v>#VALUE!</v>
      </c>
      <c r="CT3" t="e">
        <f>'Data Dictionnary'!A7+"$$8p!)k"</f>
        <v>#VALUE!</v>
      </c>
      <c r="CU3" t="e">
        <f>'Data Dictionnary'!B7+"$$8p!)l"</f>
        <v>#VALUE!</v>
      </c>
      <c r="CV3" t="e">
        <f>'Data Dictionnary'!C7+"$$8p!)m"</f>
        <v>#VALUE!</v>
      </c>
      <c r="CW3" t="e">
        <f>'Data Dictionnary'!D7+"$$8p!)n"</f>
        <v>#VALUE!</v>
      </c>
      <c r="CX3" t="e">
        <f>'Data Dictionnary'!E7+"$$8p!)o"</f>
        <v>#VALUE!</v>
      </c>
      <c r="CY3" t="e">
        <f>'Data Dictionnary'!F7+"$$8p!)p"</f>
        <v>#VALUE!</v>
      </c>
      <c r="CZ3" t="e">
        <f>'Data Dictionnary'!G7+"$$8p!)q"</f>
        <v>#VALUE!</v>
      </c>
      <c r="DA3" t="e">
        <f>'Data Dictionnary'!H7+"$$8p!)r"</f>
        <v>#VALUE!</v>
      </c>
      <c r="DB3" t="e">
        <f>'Data Dictionnary'!I7+"$$8p!)s"</f>
        <v>#VALUE!</v>
      </c>
      <c r="DC3" t="e">
        <f>'Data Dictionnary'!J7+"$$8p!)t"</f>
        <v>#VALUE!</v>
      </c>
      <c r="DD3" t="e">
        <f>'Data Dictionnary'!K7+"$$8p!)u"</f>
        <v>#VALUE!</v>
      </c>
      <c r="DE3" t="e">
        <f>'Data Dictionnary'!L7+"$$8p!)v"</f>
        <v>#VALUE!</v>
      </c>
      <c r="DF3" t="e">
        <f>'Data Dictionnary'!A8+"$$8p!)w"</f>
        <v>#VALUE!</v>
      </c>
      <c r="DG3" t="e">
        <f>'Data Dictionnary'!B8+"$$8p!)x"</f>
        <v>#VALUE!</v>
      </c>
      <c r="DH3" t="e">
        <f>'Data Dictionnary'!C8+"$$8p!)y"</f>
        <v>#VALUE!</v>
      </c>
      <c r="DI3" t="e">
        <f>'Data Dictionnary'!D8+"$$8p!)z"</f>
        <v>#VALUE!</v>
      </c>
      <c r="DJ3" t="e">
        <f>'Data Dictionnary'!E8+"$$8p!){"</f>
        <v>#VALUE!</v>
      </c>
      <c r="DK3" t="e">
        <f>'Data Dictionnary'!F8+"$$8p!)|"</f>
        <v>#VALUE!</v>
      </c>
      <c r="DL3" t="e">
        <f>'Data Dictionnary'!G8+"$$8p!)}"</f>
        <v>#VALUE!</v>
      </c>
      <c r="DM3" t="e">
        <f>'Data Dictionnary'!H8+"$$8p!)~"</f>
        <v>#VALUE!</v>
      </c>
      <c r="DN3" t="e">
        <f>'Data Dictionnary'!I8+"$$8p!.#"</f>
        <v>#VALUE!</v>
      </c>
      <c r="DO3" t="e">
        <f>'Data Dictionnary'!J8+"$$8p!.$"</f>
        <v>#VALUE!</v>
      </c>
      <c r="DP3" t="e">
        <f>'Data Dictionnary'!K8+"$$8p!.%"</f>
        <v>#VALUE!</v>
      </c>
      <c r="DQ3" t="e">
        <f>'Data Dictionnary'!L8+"$$8p!.&amp;"</f>
        <v>#VALUE!</v>
      </c>
      <c r="DR3" t="e">
        <f>'Data Dictionnary'!A9+"$$8p!.'"</f>
        <v>#VALUE!</v>
      </c>
      <c r="DS3" t="e">
        <f>'Data Dictionnary'!B9+"$$8p!.("</f>
        <v>#VALUE!</v>
      </c>
      <c r="DT3" t="e">
        <f>'Data Dictionnary'!C9+"$$8p!.)"</f>
        <v>#VALUE!</v>
      </c>
      <c r="DU3" t="e">
        <f>'Data Dictionnary'!D9+"$$8p!.."</f>
        <v>#VALUE!</v>
      </c>
      <c r="DV3" t="e">
        <f>'Data Dictionnary'!E9+"$$8p!./"</f>
        <v>#VALUE!</v>
      </c>
      <c r="DW3" t="e">
        <f>'Data Dictionnary'!F9+"$$8p!.0"</f>
        <v>#VALUE!</v>
      </c>
      <c r="DX3" t="e">
        <f>'Data Dictionnary'!G9+"$$8p!.1"</f>
        <v>#VALUE!</v>
      </c>
      <c r="DY3" t="e">
        <f>'Data Dictionnary'!H9+"$$8p!.2"</f>
        <v>#VALUE!</v>
      </c>
      <c r="DZ3" t="e">
        <f>'Data Dictionnary'!I9+"$$8p!.3"</f>
        <v>#VALUE!</v>
      </c>
      <c r="EA3" t="e">
        <f>'Data Dictionnary'!J9+"$$8p!.4"</f>
        <v>#VALUE!</v>
      </c>
      <c r="EB3" t="e">
        <f>'Data Dictionnary'!K9+"$$8p!.5"</f>
        <v>#VALUE!</v>
      </c>
      <c r="EC3" t="e">
        <f>'Data Dictionnary'!L9+"$$8p!.6"</f>
        <v>#VALUE!</v>
      </c>
      <c r="ED3" t="e">
        <f>'Data Dictionnary'!A10+"$$8p!.7"</f>
        <v>#VALUE!</v>
      </c>
      <c r="EE3" t="e">
        <f>'Data Dictionnary'!B10+"$$8p!.8"</f>
        <v>#VALUE!</v>
      </c>
      <c r="EF3" t="e">
        <f>'Data Dictionnary'!C10+"$$8p!.9"</f>
        <v>#VALUE!</v>
      </c>
      <c r="EG3" t="e">
        <f>'Data Dictionnary'!D10+"$$8p!.:"</f>
        <v>#VALUE!</v>
      </c>
      <c r="EH3" t="e">
        <f>'Data Dictionnary'!E10+"$$8p!.;"</f>
        <v>#VALUE!</v>
      </c>
      <c r="EI3" t="e">
        <f>'Data Dictionnary'!F10+"$$8p!.&lt;"</f>
        <v>#VALUE!</v>
      </c>
      <c r="EJ3" t="e">
        <f>'Data Dictionnary'!G10+"$$8p!.="</f>
        <v>#VALUE!</v>
      </c>
      <c r="EK3" t="e">
        <f>'Data Dictionnary'!H10+"$$8p!.&gt;"</f>
        <v>#VALUE!</v>
      </c>
      <c r="EL3" t="e">
        <f>'Data Dictionnary'!I10+"$$8p!.?"</f>
        <v>#VALUE!</v>
      </c>
      <c r="EM3" t="e">
        <f>'Data Dictionnary'!J10+"$$8p!.@"</f>
        <v>#VALUE!</v>
      </c>
      <c r="EN3" t="e">
        <f>'Data Dictionnary'!K10+"$$8p!.A"</f>
        <v>#VALUE!</v>
      </c>
      <c r="EO3" t="e">
        <f>'Data Dictionnary'!L10+"$$8p!.B"</f>
        <v>#VALUE!</v>
      </c>
      <c r="EP3" t="e">
        <f>'Data Dictionnary'!A11+"$$8p!.C"</f>
        <v>#VALUE!</v>
      </c>
      <c r="EQ3" t="e">
        <f>'Data Dictionnary'!B11+"$$8p!.D"</f>
        <v>#VALUE!</v>
      </c>
      <c r="ER3" t="e">
        <f>'Data Dictionnary'!C11+"$$8p!.E"</f>
        <v>#VALUE!</v>
      </c>
      <c r="ES3" t="e">
        <f>'Data Dictionnary'!D11+"$$8p!.F"</f>
        <v>#VALUE!</v>
      </c>
      <c r="ET3" t="e">
        <f>'Data Dictionnary'!E11+"$$8p!.G"</f>
        <v>#VALUE!</v>
      </c>
      <c r="EU3" t="e">
        <f>'Data Dictionnary'!F11+"$$8p!.H"</f>
        <v>#VALUE!</v>
      </c>
      <c r="EV3" t="e">
        <f>'Data Dictionnary'!G11+"$$8p!.I"</f>
        <v>#VALUE!</v>
      </c>
      <c r="EW3" t="e">
        <f>'Data Dictionnary'!H11+"$$8p!.J"</f>
        <v>#VALUE!</v>
      </c>
      <c r="EX3" t="e">
        <f>'Data Dictionnary'!I11+"$$8p!.K"</f>
        <v>#VALUE!</v>
      </c>
      <c r="EY3" t="e">
        <f>'Data Dictionnary'!J11+"$$8p!.L"</f>
        <v>#VALUE!</v>
      </c>
      <c r="EZ3" t="e">
        <f>'Data Dictionnary'!K11+"$$8p!.M"</f>
        <v>#VALUE!</v>
      </c>
      <c r="FA3" t="e">
        <f>'Data Dictionnary'!L11+"$$8p!.N"</f>
        <v>#VALUE!</v>
      </c>
      <c r="FB3" t="e">
        <f>'Data Dictionnary'!A12+"$$8p!.O"</f>
        <v>#VALUE!</v>
      </c>
      <c r="FC3" t="e">
        <f>'Data Dictionnary'!B12+"$$8p!.P"</f>
        <v>#VALUE!</v>
      </c>
      <c r="FD3" t="e">
        <f>'Data Dictionnary'!C12+"$$8p!.Q"</f>
        <v>#VALUE!</v>
      </c>
      <c r="FE3" t="e">
        <f>'Data Dictionnary'!D12+"$$8p!.R"</f>
        <v>#VALUE!</v>
      </c>
      <c r="FF3" t="e">
        <f>'Data Dictionnary'!E12+"$$8p!.S"</f>
        <v>#VALUE!</v>
      </c>
      <c r="FG3" t="e">
        <f>'Data Dictionnary'!F12+"$$8p!.T"</f>
        <v>#VALUE!</v>
      </c>
      <c r="FH3" t="e">
        <f>'Data Dictionnary'!G12+"$$8p!.U"</f>
        <v>#VALUE!</v>
      </c>
      <c r="FI3" t="e">
        <f>'Data Dictionnary'!H12+"$$8p!.V"</f>
        <v>#VALUE!</v>
      </c>
      <c r="FJ3" t="e">
        <f>'Data Dictionnary'!I12+"$$8p!.W"</f>
        <v>#VALUE!</v>
      </c>
      <c r="FK3" t="e">
        <f>'Data Dictionnary'!J12+"$$8p!.X"</f>
        <v>#VALUE!</v>
      </c>
      <c r="FL3" t="e">
        <f>'Data Dictionnary'!K12+"$$8p!.Y"</f>
        <v>#VALUE!</v>
      </c>
      <c r="FM3" t="e">
        <f>'Data Dictionnary'!L12+"$$8p!.Z"</f>
        <v>#VALUE!</v>
      </c>
      <c r="FN3" t="e">
        <f>'Data Dictionnary'!A13+"$$8p!.["</f>
        <v>#VALUE!</v>
      </c>
      <c r="FO3" t="e">
        <f>'Data Dictionnary'!B13+"$$8p!.\"</f>
        <v>#VALUE!</v>
      </c>
      <c r="FP3" t="e">
        <f>'Data Dictionnary'!C13+"$$8p!.]"</f>
        <v>#VALUE!</v>
      </c>
      <c r="FQ3" t="e">
        <f>'Data Dictionnary'!D13+"$$8p!.^"</f>
        <v>#VALUE!</v>
      </c>
      <c r="FR3" t="e">
        <f>'Data Dictionnary'!E13+"$$8p!._"</f>
        <v>#VALUE!</v>
      </c>
      <c r="FS3" t="e">
        <f>'Data Dictionnary'!F13+"$$8p!.`"</f>
        <v>#VALUE!</v>
      </c>
      <c r="FT3" t="e">
        <f>'Data Dictionnary'!G13+"$$8p!.a"</f>
        <v>#VALUE!</v>
      </c>
      <c r="FU3" t="e">
        <f>'Data Dictionnary'!H13+"$$8p!.b"</f>
        <v>#VALUE!</v>
      </c>
      <c r="FV3" t="e">
        <f>'Data Dictionnary'!I13+"$$8p!.c"</f>
        <v>#VALUE!</v>
      </c>
      <c r="FW3" t="e">
        <f>'Data Dictionnary'!J13+"$$8p!.d"</f>
        <v>#VALUE!</v>
      </c>
      <c r="FX3" t="e">
        <f>'Data Dictionnary'!K13+"$$8p!.e"</f>
        <v>#VALUE!</v>
      </c>
      <c r="FY3" t="e">
        <f>'Data Dictionnary'!L13+"$$8p!.f"</f>
        <v>#VALUE!</v>
      </c>
      <c r="FZ3" t="e">
        <f>'Data Dictionnary'!A14+"$$8p!.g"</f>
        <v>#VALUE!</v>
      </c>
      <c r="GA3" t="e">
        <f>'Data Dictionnary'!B14+"$$8p!.h"</f>
        <v>#VALUE!</v>
      </c>
      <c r="GB3" t="e">
        <f>'Data Dictionnary'!C14+"$$8p!.i"</f>
        <v>#VALUE!</v>
      </c>
      <c r="GC3" t="e">
        <f>'Data Dictionnary'!D14+"$$8p!.j"</f>
        <v>#VALUE!</v>
      </c>
      <c r="GD3" t="e">
        <f>'Data Dictionnary'!E14+"$$8p!.k"</f>
        <v>#VALUE!</v>
      </c>
      <c r="GE3" t="e">
        <f>'Data Dictionnary'!F14+"$$8p!.l"</f>
        <v>#VALUE!</v>
      </c>
      <c r="GF3" t="e">
        <f>'Data Dictionnary'!G14+"$$8p!.m"</f>
        <v>#VALUE!</v>
      </c>
      <c r="GG3" t="e">
        <f>'Data Dictionnary'!H14+"$$8p!.n"</f>
        <v>#VALUE!</v>
      </c>
      <c r="GH3" t="e">
        <f>'Data Dictionnary'!I14+"$$8p!.o"</f>
        <v>#VALUE!</v>
      </c>
      <c r="GI3" t="e">
        <f>'Data Dictionnary'!J14+"$$8p!.p"</f>
        <v>#VALUE!</v>
      </c>
      <c r="GJ3" t="e">
        <f>'Data Dictionnary'!K14+"$$8p!.q"</f>
        <v>#VALUE!</v>
      </c>
      <c r="GK3" t="e">
        <f>'Data Dictionnary'!L14+"$$8p!.r"</f>
        <v>#VALUE!</v>
      </c>
      <c r="GL3" t="e">
        <f>'Data Dictionnary'!A15+"$$8p!.s"</f>
        <v>#VALUE!</v>
      </c>
      <c r="GM3" t="e">
        <f>'Data Dictionnary'!B15+"$$8p!.t"</f>
        <v>#VALUE!</v>
      </c>
      <c r="GN3" t="e">
        <f>'Data Dictionnary'!C15+"$$8p!.u"</f>
        <v>#VALUE!</v>
      </c>
      <c r="GO3" t="e">
        <f>'Data Dictionnary'!D15+"$$8p!.v"</f>
        <v>#VALUE!</v>
      </c>
      <c r="GP3" t="e">
        <f>'Data Dictionnary'!E15+"$$8p!.w"</f>
        <v>#VALUE!</v>
      </c>
      <c r="GQ3" t="e">
        <f>'Data Dictionnary'!F15+"$$8p!.x"</f>
        <v>#VALUE!</v>
      </c>
      <c r="GR3" t="e">
        <f>'Data Dictionnary'!G15+"$$8p!.y"</f>
        <v>#VALUE!</v>
      </c>
      <c r="GS3" t="e">
        <f>'Data Dictionnary'!H15+"$$8p!.z"</f>
        <v>#VALUE!</v>
      </c>
      <c r="GT3" t="e">
        <f>'Data Dictionnary'!I15+"$$8p!.{"</f>
        <v>#VALUE!</v>
      </c>
      <c r="GU3" t="e">
        <f>'Data Dictionnary'!J15+"$$8p!.|"</f>
        <v>#VALUE!</v>
      </c>
      <c r="GV3" t="e">
        <f>'Data Dictionnary'!K15+"$$8p!.}"</f>
        <v>#VALUE!</v>
      </c>
      <c r="GW3" t="e">
        <f>'Data Dictionnary'!L15+"$$8p!.~"</f>
        <v>#VALUE!</v>
      </c>
      <c r="GX3" t="e">
        <f>'Data Dictionnary'!A16+"$$8p!/#"</f>
        <v>#VALUE!</v>
      </c>
      <c r="GY3" t="e">
        <f>'Data Dictionnary'!B16+"$$8p!/$"</f>
        <v>#VALUE!</v>
      </c>
      <c r="GZ3" t="e">
        <f>'Data Dictionnary'!C16+"$$8p!/%"</f>
        <v>#VALUE!</v>
      </c>
      <c r="HA3" t="e">
        <f>'Data Dictionnary'!D16+"$$8p!/&amp;"</f>
        <v>#VALUE!</v>
      </c>
      <c r="HB3" t="e">
        <f>'Data Dictionnary'!E16+"$$8p!/'"</f>
        <v>#VALUE!</v>
      </c>
      <c r="HC3" t="e">
        <f>'Data Dictionnary'!F16+"$$8p!/("</f>
        <v>#VALUE!</v>
      </c>
      <c r="HD3" t="e">
        <f>'Data Dictionnary'!G16+"$$8p!/)"</f>
        <v>#VALUE!</v>
      </c>
      <c r="HE3" t="e">
        <f>'Data Dictionnary'!H16+"$$8p!/."</f>
        <v>#VALUE!</v>
      </c>
      <c r="HF3" t="e">
        <f>'Data Dictionnary'!I16+"$$8p!//"</f>
        <v>#VALUE!</v>
      </c>
      <c r="HG3" t="e">
        <f>'Data Dictionnary'!J16+"$$8p!/0"</f>
        <v>#VALUE!</v>
      </c>
      <c r="HH3" t="e">
        <f>'Data Dictionnary'!K16+"$$8p!/1"</f>
        <v>#VALUE!</v>
      </c>
      <c r="HI3" t="e">
        <f>'Data Dictionnary'!L16+"$$8p!/2"</f>
        <v>#VALUE!</v>
      </c>
      <c r="HJ3" t="e">
        <f>'Data Dictionnary'!A17+"$$8p!/3"</f>
        <v>#VALUE!</v>
      </c>
      <c r="HK3" t="e">
        <f>'Data Dictionnary'!B17+"$$8p!/4"</f>
        <v>#VALUE!</v>
      </c>
      <c r="HL3" t="e">
        <f>'Data Dictionnary'!C17+"$$8p!/5"</f>
        <v>#VALUE!</v>
      </c>
      <c r="HM3" t="e">
        <f>'Data Dictionnary'!D17+"$$8p!/6"</f>
        <v>#VALUE!</v>
      </c>
      <c r="HN3" t="e">
        <f>'Data Dictionnary'!E17+"$$8p!/7"</f>
        <v>#VALUE!</v>
      </c>
      <c r="HO3" t="e">
        <f>'Data Dictionnary'!F17+"$$8p!/8"</f>
        <v>#VALUE!</v>
      </c>
      <c r="HP3" t="e">
        <f>'Data Dictionnary'!G17+"$$8p!/9"</f>
        <v>#VALUE!</v>
      </c>
      <c r="HQ3" t="e">
        <f>'Data Dictionnary'!H17+"$$8p!/:"</f>
        <v>#VALUE!</v>
      </c>
      <c r="HR3" t="e">
        <f>'Data Dictionnary'!I17+"$$8p!/;"</f>
        <v>#VALUE!</v>
      </c>
      <c r="HS3" t="e">
        <f>'Data Dictionnary'!J17+"$$8p!/&lt;"</f>
        <v>#VALUE!</v>
      </c>
      <c r="HT3" t="e">
        <f>'Data Dictionnary'!K17+"$$8p!/="</f>
        <v>#VALUE!</v>
      </c>
      <c r="HU3" t="e">
        <f>'Data Dictionnary'!L17+"$$8p!/&gt;"</f>
        <v>#VALUE!</v>
      </c>
      <c r="HV3" t="e">
        <f>'Data Dictionnary'!A18+"$$8p!/?"</f>
        <v>#VALUE!</v>
      </c>
      <c r="HW3" t="e">
        <f>'Data Dictionnary'!B18+"$$8p!/@"</f>
        <v>#VALUE!</v>
      </c>
      <c r="HX3" t="e">
        <f>'Data Dictionnary'!C18+"$$8p!/A"</f>
        <v>#VALUE!</v>
      </c>
      <c r="HY3" t="e">
        <f>'Data Dictionnary'!D18+"$$8p!/B"</f>
        <v>#VALUE!</v>
      </c>
      <c r="HZ3" t="e">
        <f>'Data Dictionnary'!E18+"$$8p!/C"</f>
        <v>#VALUE!</v>
      </c>
      <c r="IA3" t="e">
        <f>'Data Dictionnary'!F18+"$$8p!/D"</f>
        <v>#VALUE!</v>
      </c>
      <c r="IB3" t="e">
        <f>'Data Dictionnary'!G18+"$$8p!/E"</f>
        <v>#VALUE!</v>
      </c>
      <c r="IC3" t="e">
        <f>'Data Dictionnary'!H18+"$$8p!/F"</f>
        <v>#VALUE!</v>
      </c>
      <c r="ID3" t="e">
        <f>'Data Dictionnary'!I18+"$$8p!/G"</f>
        <v>#VALUE!</v>
      </c>
      <c r="IE3" t="e">
        <f>'Data Dictionnary'!J18+"$$8p!/H"</f>
        <v>#VALUE!</v>
      </c>
      <c r="IF3" t="e">
        <f>'Data Dictionnary'!K18+"$$8p!/I"</f>
        <v>#VALUE!</v>
      </c>
      <c r="IG3" t="e">
        <f>'Data Dictionnary'!L18+"$$8p!/J"</f>
        <v>#VALUE!</v>
      </c>
      <c r="IH3" t="e">
        <f>'Data Dictionnary'!A19+"$$8p!/K"</f>
        <v>#VALUE!</v>
      </c>
      <c r="II3" t="e">
        <f>'Data Dictionnary'!B19+"$$8p!/L"</f>
        <v>#VALUE!</v>
      </c>
      <c r="IJ3" t="e">
        <f>'Data Dictionnary'!C19+"$$8p!/M"</f>
        <v>#VALUE!</v>
      </c>
      <c r="IK3" t="e">
        <f>'Data Dictionnary'!D19+"$$8p!/N"</f>
        <v>#VALUE!</v>
      </c>
      <c r="IL3" t="e">
        <f>'Data Dictionnary'!E19+"$$8p!/O"</f>
        <v>#VALUE!</v>
      </c>
      <c r="IM3" t="e">
        <f>'Data Dictionnary'!F19+"$$8p!/P"</f>
        <v>#VALUE!</v>
      </c>
      <c r="IN3" t="e">
        <f>'Data Dictionnary'!G19+"$$8p!/Q"</f>
        <v>#VALUE!</v>
      </c>
      <c r="IO3" t="e">
        <f>'Data Dictionnary'!H19+"$$8p!/R"</f>
        <v>#VALUE!</v>
      </c>
      <c r="IP3" t="e">
        <f>'Data Dictionnary'!I19+"$$8p!/S"</f>
        <v>#VALUE!</v>
      </c>
      <c r="IQ3" t="e">
        <f>'Data Dictionnary'!J19+"$$8p!/T"</f>
        <v>#VALUE!</v>
      </c>
      <c r="IR3" t="e">
        <f>'Data Dictionnary'!K19+"$$8p!/U"</f>
        <v>#VALUE!</v>
      </c>
      <c r="IS3" t="e">
        <f>'Data Dictionnary'!L19+"$$8p!/V"</f>
        <v>#VALUE!</v>
      </c>
      <c r="IT3" t="e">
        <f>'Data Dictionnary'!A20+"$$8p!/W"</f>
        <v>#VALUE!</v>
      </c>
      <c r="IU3" t="e">
        <f>'Data Dictionnary'!B20+"$$8p!/X"</f>
        <v>#VALUE!</v>
      </c>
      <c r="IV3" t="e">
        <f>'Data Dictionnary'!C20+"$$8p!/Y"</f>
        <v>#VALUE!</v>
      </c>
    </row>
    <row r="4" spans="1:256" x14ac:dyDescent="0.35">
      <c r="F4" t="e">
        <f>'Data Dictionnary'!D20+"$$8p!/Z"</f>
        <v>#VALUE!</v>
      </c>
      <c r="G4" t="e">
        <f>'Data Dictionnary'!E20+"$$8p!/["</f>
        <v>#VALUE!</v>
      </c>
      <c r="H4" t="e">
        <f>'Data Dictionnary'!F20+"$$8p!/\"</f>
        <v>#VALUE!</v>
      </c>
      <c r="I4" t="e">
        <f>'Data Dictionnary'!G20+"$$8p!/]"</f>
        <v>#VALUE!</v>
      </c>
      <c r="J4" t="e">
        <f>'Data Dictionnary'!H20+"$$8p!/^"</f>
        <v>#VALUE!</v>
      </c>
      <c r="K4" t="e">
        <f>'Data Dictionnary'!I20+"$$8p!/_"</f>
        <v>#VALUE!</v>
      </c>
      <c r="L4" t="e">
        <f>'Data Dictionnary'!J20+"$$8p!/`"</f>
        <v>#VALUE!</v>
      </c>
      <c r="M4" t="e">
        <f>'Data Dictionnary'!K20+"$$8p!/a"</f>
        <v>#VALUE!</v>
      </c>
      <c r="N4" t="e">
        <f>'Data Dictionnary'!L20+"$$8p!/b"</f>
        <v>#VALUE!</v>
      </c>
      <c r="O4" t="e">
        <f>'Data Dictionnary'!A21+"$$8p!/c"</f>
        <v>#VALUE!</v>
      </c>
      <c r="P4" t="e">
        <f>'Data Dictionnary'!B21+"$$8p!/d"</f>
        <v>#VALUE!</v>
      </c>
      <c r="Q4" t="e">
        <f>'Data Dictionnary'!C21+"$$8p!/e"</f>
        <v>#VALUE!</v>
      </c>
      <c r="R4" t="e">
        <f>'Data Dictionnary'!D21+"$$8p!/f"</f>
        <v>#VALUE!</v>
      </c>
      <c r="S4" t="e">
        <f>'Data Dictionnary'!E21+"$$8p!/g"</f>
        <v>#VALUE!</v>
      </c>
      <c r="T4" t="e">
        <f>'Data Dictionnary'!F21+"$$8p!/h"</f>
        <v>#VALUE!</v>
      </c>
      <c r="U4" t="e">
        <f>'Data Dictionnary'!G21+"$$8p!/i"</f>
        <v>#VALUE!</v>
      </c>
      <c r="V4" t="e">
        <f>'Data Dictionnary'!H21+"$$8p!/j"</f>
        <v>#VALUE!</v>
      </c>
      <c r="W4" t="e">
        <f>'Data Dictionnary'!I21+"$$8p!/k"</f>
        <v>#VALUE!</v>
      </c>
      <c r="X4" t="e">
        <f>'Data Dictionnary'!J21+"$$8p!/l"</f>
        <v>#VALUE!</v>
      </c>
      <c r="Y4" t="e">
        <f>'Data Dictionnary'!K21+"$$8p!/m"</f>
        <v>#VALUE!</v>
      </c>
      <c r="Z4" t="e">
        <f>'Data Dictionnary'!L21+"$$8p!/n"</f>
        <v>#VALUE!</v>
      </c>
      <c r="AA4" t="e">
        <f>'Data Dictionnary'!A22+"$$8p!/o"</f>
        <v>#VALUE!</v>
      </c>
      <c r="AB4" t="e">
        <f>'Data Dictionnary'!B22+"$$8p!/p"</f>
        <v>#VALUE!</v>
      </c>
      <c r="AC4" t="e">
        <f>'Data Dictionnary'!C22+"$$8p!/q"</f>
        <v>#VALUE!</v>
      </c>
      <c r="AD4" t="e">
        <f>'Data Dictionnary'!D22+"$$8p!/r"</f>
        <v>#VALUE!</v>
      </c>
      <c r="AE4" t="e">
        <f>'Data Dictionnary'!E22+"$$8p!/s"</f>
        <v>#VALUE!</v>
      </c>
      <c r="AF4" t="e">
        <f>'Data Dictionnary'!F22+"$$8p!/t"</f>
        <v>#VALUE!</v>
      </c>
      <c r="AG4" t="e">
        <f>'Data Dictionnary'!G22+"$$8p!/u"</f>
        <v>#VALUE!</v>
      </c>
      <c r="AH4" t="e">
        <f>'Data Dictionnary'!H22+"$$8p!/v"</f>
        <v>#VALUE!</v>
      </c>
      <c r="AI4" t="e">
        <f>'Data Dictionnary'!I22+"$$8p!/w"</f>
        <v>#VALUE!</v>
      </c>
      <c r="AJ4" t="e">
        <f>'Data Dictionnary'!J22+"$$8p!/x"</f>
        <v>#VALUE!</v>
      </c>
      <c r="AK4" t="e">
        <f>'Data Dictionnary'!K22+"$$8p!/y"</f>
        <v>#VALUE!</v>
      </c>
      <c r="AL4" t="e">
        <f>'Data Dictionnary'!L22+"$$8p!/z"</f>
        <v>#VALUE!</v>
      </c>
      <c r="AM4" t="e">
        <f>'Data Dictionnary'!A23+"$$8p!/{"</f>
        <v>#VALUE!</v>
      </c>
      <c r="AN4" t="e">
        <f>'Data Dictionnary'!B23+"$$8p!/|"</f>
        <v>#VALUE!</v>
      </c>
      <c r="AO4" t="e">
        <f>'Data Dictionnary'!C23+"$$8p!/}"</f>
        <v>#VALUE!</v>
      </c>
      <c r="AP4" t="e">
        <f>'Data Dictionnary'!D23+"$$8p!/~"</f>
        <v>#VALUE!</v>
      </c>
      <c r="AQ4" t="e">
        <f>'Data Dictionnary'!E23+"$$8p!0#"</f>
        <v>#VALUE!</v>
      </c>
      <c r="AR4" t="e">
        <f>'Data Dictionnary'!F23+"$$8p!0$"</f>
        <v>#VALUE!</v>
      </c>
      <c r="AS4" t="e">
        <f>'Data Dictionnary'!G23+"$$8p!0%"</f>
        <v>#VALUE!</v>
      </c>
      <c r="AT4" t="e">
        <f>'Data Dictionnary'!H23+"$$8p!0&amp;"</f>
        <v>#VALUE!</v>
      </c>
      <c r="AU4" t="e">
        <f>'Data Dictionnary'!I23+"$$8p!0'"</f>
        <v>#VALUE!</v>
      </c>
      <c r="AV4" t="e">
        <f>'Data Dictionnary'!J23+"$$8p!0("</f>
        <v>#VALUE!</v>
      </c>
      <c r="AW4" t="e">
        <f>'Data Dictionnary'!K23+"$$8p!0)"</f>
        <v>#VALUE!</v>
      </c>
      <c r="AX4" t="e">
        <f>'Data Dictionnary'!L23+"$$8p!0."</f>
        <v>#VALUE!</v>
      </c>
      <c r="AY4" t="e">
        <f>'Data Dictionnary'!A24+"$$8p!0/"</f>
        <v>#VALUE!</v>
      </c>
      <c r="AZ4" t="e">
        <f>'Data Dictionnary'!B24+"$$8p!00"</f>
        <v>#VALUE!</v>
      </c>
      <c r="BA4" t="e">
        <f>'Data Dictionnary'!C24+"$$8p!01"</f>
        <v>#VALUE!</v>
      </c>
      <c r="BB4" t="e">
        <f>'Data Dictionnary'!D24+"$$8p!02"</f>
        <v>#VALUE!</v>
      </c>
      <c r="BC4" t="e">
        <f>'Data Dictionnary'!E24+"$$8p!03"</f>
        <v>#VALUE!</v>
      </c>
      <c r="BD4" t="e">
        <f>'Data Dictionnary'!F24+"$$8p!04"</f>
        <v>#VALUE!</v>
      </c>
      <c r="BE4" t="e">
        <f>'Data Dictionnary'!G24+"$$8p!05"</f>
        <v>#VALUE!</v>
      </c>
      <c r="BF4" t="e">
        <f>'Data Dictionnary'!H24+"$$8p!06"</f>
        <v>#VALUE!</v>
      </c>
      <c r="BG4" t="e">
        <f>'Data Dictionnary'!I24+"$$8p!07"</f>
        <v>#VALUE!</v>
      </c>
      <c r="BH4" t="e">
        <f>'Data Dictionnary'!J24+"$$8p!08"</f>
        <v>#VALUE!</v>
      </c>
      <c r="BI4" t="e">
        <f>'Data Dictionnary'!K24+"$$8p!09"</f>
        <v>#VALUE!</v>
      </c>
      <c r="BJ4" t="e">
        <f>'Data Dictionnary'!L24+"$$8p!0:"</f>
        <v>#VALUE!</v>
      </c>
      <c r="BK4" t="e">
        <f>'Data Dictionnary'!A25+"$$8p!0;"</f>
        <v>#VALUE!</v>
      </c>
      <c r="BL4" t="e">
        <f>'Data Dictionnary'!B25+"$$8p!0&lt;"</f>
        <v>#VALUE!</v>
      </c>
      <c r="BM4" t="e">
        <f>'Data Dictionnary'!C25+"$$8p!0="</f>
        <v>#VALUE!</v>
      </c>
      <c r="BN4" t="e">
        <f>'Data Dictionnary'!D25+"$$8p!0&gt;"</f>
        <v>#VALUE!</v>
      </c>
      <c r="BO4" t="e">
        <f>'Data Dictionnary'!E25+"$$8p!0?"</f>
        <v>#VALUE!</v>
      </c>
      <c r="BP4" t="e">
        <f>'Data Dictionnary'!F25+"$$8p!0@"</f>
        <v>#VALUE!</v>
      </c>
      <c r="BQ4" t="e">
        <f>'Data Dictionnary'!G25+"$$8p!0A"</f>
        <v>#VALUE!</v>
      </c>
      <c r="BR4" t="e">
        <f>'Data Dictionnary'!H25+"$$8p!0B"</f>
        <v>#VALUE!</v>
      </c>
      <c r="BS4" t="e">
        <f>'Data Dictionnary'!I25+"$$8p!0C"</f>
        <v>#VALUE!</v>
      </c>
      <c r="BT4" t="e">
        <f>'Data Dictionnary'!J25+"$$8p!0D"</f>
        <v>#VALUE!</v>
      </c>
      <c r="BU4" t="e">
        <f>'Data Dictionnary'!K25+"$$8p!0E"</f>
        <v>#VALUE!</v>
      </c>
      <c r="BV4" t="e">
        <f>'Data Dictionnary'!L25+"$$8p!0F"</f>
        <v>#VALUE!</v>
      </c>
      <c r="BW4" t="e">
        <f>'Data Dictionnary'!A26+"$$8p!0G"</f>
        <v>#VALUE!</v>
      </c>
      <c r="BX4" t="e">
        <f>'Data Dictionnary'!B26+"$$8p!0H"</f>
        <v>#VALUE!</v>
      </c>
      <c r="BY4" t="e">
        <f>'Data Dictionnary'!C26+"$$8p!0I"</f>
        <v>#VALUE!</v>
      </c>
      <c r="BZ4" t="e">
        <f>'Data Dictionnary'!D26+"$$8p!0J"</f>
        <v>#VALUE!</v>
      </c>
      <c r="CA4" t="e">
        <f>'Data Dictionnary'!E26+"$$8p!0K"</f>
        <v>#VALUE!</v>
      </c>
      <c r="CB4" t="e">
        <f>'Data Dictionnary'!F26+"$$8p!0L"</f>
        <v>#VALUE!</v>
      </c>
      <c r="CC4" t="e">
        <f>'Data Dictionnary'!G26+"$$8p!0M"</f>
        <v>#VALUE!</v>
      </c>
      <c r="CD4" t="e">
        <f>'Data Dictionnary'!H26+"$$8p!0N"</f>
        <v>#VALUE!</v>
      </c>
      <c r="CE4" t="e">
        <f>'Data Dictionnary'!I26+"$$8p!0O"</f>
        <v>#VALUE!</v>
      </c>
      <c r="CF4" t="e">
        <f>'Data Dictionnary'!J26+"$$8p!0P"</f>
        <v>#VALUE!</v>
      </c>
      <c r="CG4" t="e">
        <f>'Data Dictionnary'!K26+"$$8p!0Q"</f>
        <v>#VALUE!</v>
      </c>
      <c r="CH4" t="e">
        <f>'Data Dictionnary'!L26+"$$8p!0R"</f>
        <v>#VALUE!</v>
      </c>
      <c r="CI4" t="e">
        <f>'Data Dictionnary'!A27+"$$8p!0S"</f>
        <v>#VALUE!</v>
      </c>
      <c r="CJ4" t="e">
        <f>'Data Dictionnary'!B27+"$$8p!0T"</f>
        <v>#VALUE!</v>
      </c>
      <c r="CK4" t="e">
        <f>'Data Dictionnary'!C27+"$$8p!0U"</f>
        <v>#VALUE!</v>
      </c>
      <c r="CL4" t="e">
        <f>'Data Dictionnary'!D27+"$$8p!0V"</f>
        <v>#VALUE!</v>
      </c>
      <c r="CM4" t="e">
        <f>'Data Dictionnary'!E27+"$$8p!0W"</f>
        <v>#VALUE!</v>
      </c>
      <c r="CN4" t="e">
        <f>'Data Dictionnary'!F27+"$$8p!0X"</f>
        <v>#VALUE!</v>
      </c>
      <c r="CO4" t="e">
        <f>'Data Dictionnary'!G27+"$$8p!0Y"</f>
        <v>#VALUE!</v>
      </c>
      <c r="CP4" t="e">
        <f>'Data Dictionnary'!H27+"$$8p!0Z"</f>
        <v>#VALUE!</v>
      </c>
      <c r="CQ4" t="e">
        <f>'Data Dictionnary'!I27+"$$8p!0["</f>
        <v>#VALUE!</v>
      </c>
      <c r="CR4" t="e">
        <f>'Data Dictionnary'!J27+"$$8p!0\"</f>
        <v>#VALUE!</v>
      </c>
      <c r="CS4" t="e">
        <f>'Data Dictionnary'!K27+"$$8p!0]"</f>
        <v>#VALUE!</v>
      </c>
      <c r="CT4" t="e">
        <f>'Data Dictionnary'!L27+"$$8p!0^"</f>
        <v>#VALUE!</v>
      </c>
      <c r="CU4" t="e">
        <f>'Data Dictionnary'!A28+"$$8p!0_"</f>
        <v>#VALUE!</v>
      </c>
      <c r="CV4" t="e">
        <f>'Data Dictionnary'!B28+"$$8p!0`"</f>
        <v>#VALUE!</v>
      </c>
      <c r="CW4" t="e">
        <f>'Data Dictionnary'!C28+"$$8p!0a"</f>
        <v>#VALUE!</v>
      </c>
      <c r="CX4" t="e">
        <f>'Data Dictionnary'!D28+"$$8p!0b"</f>
        <v>#VALUE!</v>
      </c>
      <c r="CY4" t="e">
        <f>'Data Dictionnary'!E28+"$$8p!0c"</f>
        <v>#VALUE!</v>
      </c>
      <c r="CZ4" t="e">
        <f>'Data Dictionnary'!F28+"$$8p!0d"</f>
        <v>#VALUE!</v>
      </c>
      <c r="DA4" t="e">
        <f>'Data Dictionnary'!G28+"$$8p!0e"</f>
        <v>#VALUE!</v>
      </c>
      <c r="DB4" t="e">
        <f>'Data Dictionnary'!H28+"$$8p!0f"</f>
        <v>#VALUE!</v>
      </c>
      <c r="DC4" t="e">
        <f>'Data Dictionnary'!I28+"$$8p!0g"</f>
        <v>#VALUE!</v>
      </c>
      <c r="DD4" t="e">
        <f>'Data Dictionnary'!J28+"$$8p!0h"</f>
        <v>#VALUE!</v>
      </c>
      <c r="DE4" t="e">
        <f>'Data Dictionnary'!K28+"$$8p!0i"</f>
        <v>#VALUE!</v>
      </c>
      <c r="DF4" t="e">
        <f>'Data Dictionnary'!L28+"$$8p!0j"</f>
        <v>#VALUE!</v>
      </c>
      <c r="DG4" t="e">
        <f>'Data Dictionnary'!A29+"$$8p!0k"</f>
        <v>#VALUE!</v>
      </c>
      <c r="DH4" t="e">
        <f>'Data Dictionnary'!B29+"$$8p!0l"</f>
        <v>#VALUE!</v>
      </c>
      <c r="DI4" t="e">
        <f>'Data Dictionnary'!C29+"$$8p!0m"</f>
        <v>#VALUE!</v>
      </c>
      <c r="DJ4" t="e">
        <f>'Data Dictionnary'!D29+"$$8p!0n"</f>
        <v>#VALUE!</v>
      </c>
      <c r="DK4" t="e">
        <f>'Data Dictionnary'!E29+"$$8p!0o"</f>
        <v>#VALUE!</v>
      </c>
      <c r="DL4" t="e">
        <f>'Data Dictionnary'!F29+"$$8p!0p"</f>
        <v>#VALUE!</v>
      </c>
      <c r="DM4" t="e">
        <f>'Data Dictionnary'!G29+"$$8p!0q"</f>
        <v>#VALUE!</v>
      </c>
      <c r="DN4" t="e">
        <f>'Data Dictionnary'!H29+"$$8p!0r"</f>
        <v>#VALUE!</v>
      </c>
      <c r="DO4" t="e">
        <f>'Data Dictionnary'!I29+"$$8p!0s"</f>
        <v>#VALUE!</v>
      </c>
      <c r="DP4" t="e">
        <f>'Data Dictionnary'!J29+"$$8p!0t"</f>
        <v>#VALUE!</v>
      </c>
      <c r="DQ4" t="e">
        <f>'Data Dictionnary'!K29+"$$8p!0u"</f>
        <v>#VALUE!</v>
      </c>
      <c r="DR4" t="e">
        <f>'Data Dictionnary'!L29+"$$8p!0v"</f>
        <v>#VALUE!</v>
      </c>
      <c r="DS4" t="e">
        <f>'Data Dictionnary'!A30+"$$8p!0w"</f>
        <v>#VALUE!</v>
      </c>
      <c r="DT4" t="e">
        <f>'Data Dictionnary'!B30+"$$8p!0x"</f>
        <v>#VALUE!</v>
      </c>
      <c r="DU4" t="e">
        <f>'Data Dictionnary'!C30+"$$8p!0y"</f>
        <v>#VALUE!</v>
      </c>
      <c r="DV4" t="e">
        <f>'Data Dictionnary'!D30+"$$8p!0z"</f>
        <v>#VALUE!</v>
      </c>
      <c r="DW4" t="e">
        <f>'Data Dictionnary'!E30+"$$8p!0{"</f>
        <v>#VALUE!</v>
      </c>
      <c r="DX4" t="e">
        <f>'Data Dictionnary'!F30+"$$8p!0|"</f>
        <v>#VALUE!</v>
      </c>
      <c r="DY4" t="e">
        <f>'Data Dictionnary'!G30+"$$8p!0}"</f>
        <v>#VALUE!</v>
      </c>
      <c r="DZ4" t="e">
        <f>'Data Dictionnary'!H30+"$$8p!0~"</f>
        <v>#VALUE!</v>
      </c>
      <c r="EA4" t="e">
        <f>'Data Dictionnary'!I30+"$$8p!1#"</f>
        <v>#VALUE!</v>
      </c>
      <c r="EB4" t="e">
        <f>'Data Dictionnary'!J30+"$$8p!1$"</f>
        <v>#VALUE!</v>
      </c>
      <c r="EC4" t="e">
        <f>'Data Dictionnary'!K30+"$$8p!1%"</f>
        <v>#VALUE!</v>
      </c>
      <c r="ED4" t="e">
        <f>'Data Dictionnary'!L30+"$$8p!1&amp;"</f>
        <v>#VALUE!</v>
      </c>
      <c r="EE4" t="e">
        <f>'Data Dictionnary'!A31+"$$8p!1'"</f>
        <v>#VALUE!</v>
      </c>
      <c r="EF4" t="e">
        <f>'Data Dictionnary'!B31+"$$8p!1("</f>
        <v>#VALUE!</v>
      </c>
      <c r="EG4" t="e">
        <f>'Data Dictionnary'!C31+"$$8p!1)"</f>
        <v>#VALUE!</v>
      </c>
      <c r="EH4" t="e">
        <f>'Data Dictionnary'!D31+"$$8p!1."</f>
        <v>#VALUE!</v>
      </c>
      <c r="EI4" t="e">
        <f>'Data Dictionnary'!E31+"$$8p!1/"</f>
        <v>#VALUE!</v>
      </c>
      <c r="EJ4" t="e">
        <f>'Data Dictionnary'!F31+"$$8p!10"</f>
        <v>#VALUE!</v>
      </c>
      <c r="EK4" t="e">
        <f>'Data Dictionnary'!G31+"$$8p!11"</f>
        <v>#VALUE!</v>
      </c>
      <c r="EL4" t="e">
        <f>'Data Dictionnary'!H31+"$$8p!12"</f>
        <v>#VALUE!</v>
      </c>
      <c r="EM4" t="e">
        <f>'Data Dictionnary'!I31+"$$8p!13"</f>
        <v>#VALUE!</v>
      </c>
      <c r="EN4" t="e">
        <f>'Data Dictionnary'!J31+"$$8p!14"</f>
        <v>#VALUE!</v>
      </c>
      <c r="EO4" t="e">
        <f>'Data Dictionnary'!K31+"$$8p!15"</f>
        <v>#VALUE!</v>
      </c>
      <c r="EP4" t="e">
        <f>'Data Dictionnary'!L31+"$$8p!16"</f>
        <v>#VALUE!</v>
      </c>
      <c r="EQ4" t="e">
        <f>'Data Dictionnary'!A32+"$$8p!17"</f>
        <v>#VALUE!</v>
      </c>
      <c r="ER4" t="e">
        <f>'Data Dictionnary'!B32+"$$8p!18"</f>
        <v>#VALUE!</v>
      </c>
      <c r="ES4" t="e">
        <f>'Data Dictionnary'!C32+"$$8p!19"</f>
        <v>#VALUE!</v>
      </c>
      <c r="ET4" t="e">
        <f>'Data Dictionnary'!D32+"$$8p!1:"</f>
        <v>#VALUE!</v>
      </c>
      <c r="EU4" t="e">
        <f>'Data Dictionnary'!E32+"$$8p!1;"</f>
        <v>#VALUE!</v>
      </c>
      <c r="EV4" t="e">
        <f>'Data Dictionnary'!F32+"$$8p!1&lt;"</f>
        <v>#VALUE!</v>
      </c>
      <c r="EW4" t="e">
        <f>'Data Dictionnary'!G32+"$$8p!1="</f>
        <v>#VALUE!</v>
      </c>
      <c r="EX4" t="e">
        <f>'Data Dictionnary'!H32+"$$8p!1&gt;"</f>
        <v>#VALUE!</v>
      </c>
      <c r="EY4" t="e">
        <f>'Data Dictionnary'!I32+"$$8p!1?"</f>
        <v>#VALUE!</v>
      </c>
      <c r="EZ4" t="e">
        <f>'Data Dictionnary'!J32+"$$8p!1@"</f>
        <v>#VALUE!</v>
      </c>
      <c r="FA4" t="e">
        <f>'Data Dictionnary'!K32+"$$8p!1A"</f>
        <v>#VALUE!</v>
      </c>
      <c r="FB4" t="e">
        <f>'Data Dictionnary'!L32+"$$8p!1B"</f>
        <v>#VALUE!</v>
      </c>
      <c r="FC4" t="e">
        <f>'Data Dictionnary'!A33+"$$8p!1C"</f>
        <v>#VALUE!</v>
      </c>
      <c r="FD4" t="e">
        <f>'Data Dictionnary'!B33+"$$8p!1D"</f>
        <v>#VALUE!</v>
      </c>
      <c r="FE4" t="e">
        <f>'Data Dictionnary'!C33+"$$8p!1E"</f>
        <v>#VALUE!</v>
      </c>
      <c r="FF4" t="e">
        <f>'Data Dictionnary'!D33+"$$8p!1F"</f>
        <v>#VALUE!</v>
      </c>
      <c r="FG4" t="e">
        <f>'Data Dictionnary'!E33+"$$8p!1G"</f>
        <v>#VALUE!</v>
      </c>
      <c r="FH4" t="e">
        <f>'Data Dictionnary'!F33+"$$8p!1H"</f>
        <v>#VALUE!</v>
      </c>
      <c r="FI4" t="e">
        <f>'Data Dictionnary'!G33+"$$8p!1I"</f>
        <v>#VALUE!</v>
      </c>
      <c r="FJ4" t="e">
        <f>'Data Dictionnary'!H33+"$$8p!1J"</f>
        <v>#VALUE!</v>
      </c>
      <c r="FK4" t="e">
        <f>'Data Dictionnary'!I33+"$$8p!1K"</f>
        <v>#VALUE!</v>
      </c>
      <c r="FL4" t="e">
        <f>'Data Dictionnary'!J33+"$$8p!1L"</f>
        <v>#VALUE!</v>
      </c>
      <c r="FM4" t="e">
        <f>'Data Dictionnary'!K33+"$$8p!1M"</f>
        <v>#VALUE!</v>
      </c>
      <c r="FN4" t="e">
        <f>'Data Dictionnary'!L33+"$$8p!1N"</f>
        <v>#VALUE!</v>
      </c>
      <c r="FO4" t="e">
        <f>'Data Dictionnary'!A34+"$$8p!1O"</f>
        <v>#VALUE!</v>
      </c>
      <c r="FP4" t="e">
        <f>'Data Dictionnary'!B34+"$$8p!1P"</f>
        <v>#VALUE!</v>
      </c>
      <c r="FQ4" t="e">
        <f>'Data Dictionnary'!C34+"$$8p!1Q"</f>
        <v>#VALUE!</v>
      </c>
      <c r="FR4" t="e">
        <f>'Data Dictionnary'!D34+"$$8p!1R"</f>
        <v>#VALUE!</v>
      </c>
      <c r="FS4" t="e">
        <f>'Data Dictionnary'!E34+"$$8p!1S"</f>
        <v>#VALUE!</v>
      </c>
      <c r="FT4" t="e">
        <f>'Data Dictionnary'!F34+"$$8p!1T"</f>
        <v>#VALUE!</v>
      </c>
      <c r="FU4" t="e">
        <f>'Data Dictionnary'!G34+"$$8p!1U"</f>
        <v>#VALUE!</v>
      </c>
      <c r="FV4" t="e">
        <f>'Data Dictionnary'!H34+"$$8p!1V"</f>
        <v>#VALUE!</v>
      </c>
      <c r="FW4" t="e">
        <f>'Data Dictionnary'!I34+"$$8p!1W"</f>
        <v>#VALUE!</v>
      </c>
      <c r="FX4" t="e">
        <f>'Data Dictionnary'!J34+"$$8p!1X"</f>
        <v>#VALUE!</v>
      </c>
      <c r="FY4" t="e">
        <f>'Data Dictionnary'!K34+"$$8p!1Y"</f>
        <v>#VALUE!</v>
      </c>
      <c r="FZ4" t="e">
        <f>'Data Dictionnary'!L34+"$$8p!1Z"</f>
        <v>#VALUE!</v>
      </c>
      <c r="GA4" t="e">
        <f>'Data Dictionnary'!C35+"$$8p!1["</f>
        <v>#VALUE!</v>
      </c>
      <c r="GB4" t="e">
        <f>'Data Dictionnary'!D35+"$$8p!1\"</f>
        <v>#VALUE!</v>
      </c>
      <c r="GC4" t="e">
        <f>'Data Dictionnary'!E35+"$$8p!1]"</f>
        <v>#VALUE!</v>
      </c>
      <c r="GD4" t="e">
        <f>'Data Dictionnary'!F35+"$$8p!1^"</f>
        <v>#VALUE!</v>
      </c>
      <c r="GE4" t="e">
        <f>'Data Dictionnary'!G35+"$$8p!1_"</f>
        <v>#VALUE!</v>
      </c>
      <c r="GF4" t="e">
        <f>'Data Dictionnary'!H35+"$$8p!1`"</f>
        <v>#VALUE!</v>
      </c>
      <c r="GG4" t="e">
        <f>'Data Dictionnary'!I35+"$$8p!1a"</f>
        <v>#VALUE!</v>
      </c>
      <c r="GH4" t="e">
        <f>'Data Dictionnary'!J35+"$$8p!1b"</f>
        <v>#VALUE!</v>
      </c>
      <c r="GI4" t="e">
        <f>'Data Dictionnary'!K35+"$$8p!1c"</f>
        <v>#VALUE!</v>
      </c>
      <c r="GJ4" t="e">
        <f>'Data Dictionnary'!L35+"$$8p!1d"</f>
        <v>#VALUE!</v>
      </c>
      <c r="GK4" t="e">
        <f>'Data Dictionnary'!C36+"$$8p!1e"</f>
        <v>#VALUE!</v>
      </c>
      <c r="GL4" t="e">
        <f>'Data Dictionnary'!D36+"$$8p!1f"</f>
        <v>#VALUE!</v>
      </c>
      <c r="GM4" t="e">
        <f>'Data Dictionnary'!E36+"$$8p!1g"</f>
        <v>#VALUE!</v>
      </c>
      <c r="GN4" t="e">
        <f>'Data Dictionnary'!F36+"$$8p!1h"</f>
        <v>#VALUE!</v>
      </c>
      <c r="GO4" t="e">
        <f>'Data Dictionnary'!G36+"$$8p!1i"</f>
        <v>#VALUE!</v>
      </c>
      <c r="GP4" t="e">
        <f>'Data Dictionnary'!H36+"$$8p!1j"</f>
        <v>#VALUE!</v>
      </c>
      <c r="GQ4" t="e">
        <f>'Data Dictionnary'!I36+"$$8p!1k"</f>
        <v>#VALUE!</v>
      </c>
      <c r="GR4" t="e">
        <f>'Data Dictionnary'!J36+"$$8p!1l"</f>
        <v>#VALUE!</v>
      </c>
      <c r="GS4" t="e">
        <f>'Data Dictionnary'!K36+"$$8p!1m"</f>
        <v>#VALUE!</v>
      </c>
      <c r="GT4" t="e">
        <f>'Data Dictionnary'!L36+"$$8p!1n"</f>
        <v>#VALUE!</v>
      </c>
      <c r="GU4" t="e">
        <f>'Data Dictionnary'!C37+"$$8p!1o"</f>
        <v>#VALUE!</v>
      </c>
      <c r="GV4" t="e">
        <f>'Data Dictionnary'!D37+"$$8p!1p"</f>
        <v>#VALUE!</v>
      </c>
      <c r="GW4" t="e">
        <f>'Data Dictionnary'!E37+"$$8p!1q"</f>
        <v>#VALUE!</v>
      </c>
      <c r="GX4" t="e">
        <f>'Data Dictionnary'!F37+"$$8p!1r"</f>
        <v>#VALUE!</v>
      </c>
      <c r="GY4" t="e">
        <f>'Data Dictionnary'!G37+"$$8p!1s"</f>
        <v>#VALUE!</v>
      </c>
      <c r="GZ4" t="e">
        <f>'Data Dictionnary'!H37+"$$8p!1t"</f>
        <v>#VALUE!</v>
      </c>
      <c r="HA4" t="e">
        <f>'Data Dictionnary'!I37+"$$8p!1u"</f>
        <v>#VALUE!</v>
      </c>
      <c r="HB4" t="e">
        <f>'Data Dictionnary'!J37+"$$8p!1v"</f>
        <v>#VALUE!</v>
      </c>
      <c r="HC4" t="e">
        <f>'Data Dictionnary'!K37+"$$8p!1w"</f>
        <v>#VALUE!</v>
      </c>
      <c r="HD4" t="e">
        <f>'Data Dictionnary'!L37+"$$8p!1x"</f>
        <v>#VALUE!</v>
      </c>
      <c r="HE4" t="e">
        <f>'Data Dictionnary'!C38+"$$8p!1y"</f>
        <v>#VALUE!</v>
      </c>
      <c r="HF4" t="e">
        <f>'Data Dictionnary'!D38+"$$8p!1z"</f>
        <v>#VALUE!</v>
      </c>
      <c r="HG4" t="e">
        <f>'Data Dictionnary'!E38+"$$8p!1{"</f>
        <v>#VALUE!</v>
      </c>
      <c r="HH4" t="e">
        <f>'Data Dictionnary'!F38+"$$8p!1|"</f>
        <v>#VALUE!</v>
      </c>
      <c r="HI4" t="e">
        <f>'Data Dictionnary'!G38+"$$8p!1}"</f>
        <v>#VALUE!</v>
      </c>
      <c r="HJ4" t="e">
        <f>'Data Dictionnary'!H38+"$$8p!1~"</f>
        <v>#VALUE!</v>
      </c>
      <c r="HK4" t="e">
        <f>'Data Dictionnary'!I38+"$$8p!2#"</f>
        <v>#VALUE!</v>
      </c>
      <c r="HL4" t="e">
        <f>'Data Dictionnary'!J38+"$$8p!2$"</f>
        <v>#VALUE!</v>
      </c>
      <c r="HM4" t="e">
        <f>'Data Dictionnary'!K38+"$$8p!2%"</f>
        <v>#VALUE!</v>
      </c>
      <c r="HN4" t="e">
        <f>'Data Dictionnary'!L38+"$$8p!2&amp;"</f>
        <v>#VALUE!</v>
      </c>
      <c r="HO4" t="e">
        <f>'Data Dictionnary'!C39+"$$8p!2'"</f>
        <v>#VALUE!</v>
      </c>
      <c r="HP4" t="e">
        <f>'Data Dictionnary'!D39+"$$8p!2("</f>
        <v>#VALUE!</v>
      </c>
      <c r="HQ4" t="e">
        <f>'Data Dictionnary'!E39+"$$8p!2)"</f>
        <v>#VALUE!</v>
      </c>
      <c r="HR4" t="e">
        <f>'Data Dictionnary'!F39+"$$8p!2."</f>
        <v>#VALUE!</v>
      </c>
      <c r="HS4" t="e">
        <f>'Data Dictionnary'!G39+"$$8p!2/"</f>
        <v>#VALUE!</v>
      </c>
      <c r="HT4" t="e">
        <f>'Data Dictionnary'!H39+"$$8p!20"</f>
        <v>#VALUE!</v>
      </c>
      <c r="HU4" t="e">
        <f>'Data Dictionnary'!I39+"$$8p!21"</f>
        <v>#VALUE!</v>
      </c>
      <c r="HV4" t="e">
        <f>'Data Dictionnary'!J39+"$$8p!22"</f>
        <v>#VALUE!</v>
      </c>
      <c r="HW4" t="e">
        <f>'Data Dictionnary'!K39+"$$8p!23"</f>
        <v>#VALUE!</v>
      </c>
      <c r="HX4" t="e">
        <f>'Data Dictionnary'!L39+"$$8p!24"</f>
        <v>#VALUE!</v>
      </c>
      <c r="HY4" t="e">
        <f>'Data Dictionnary'!C40+"$$8p!25"</f>
        <v>#VALUE!</v>
      </c>
      <c r="HZ4" t="e">
        <f>'Data Dictionnary'!D40+"$$8p!26"</f>
        <v>#VALUE!</v>
      </c>
      <c r="IA4" t="e">
        <f>'Data Dictionnary'!E40+"$$8p!27"</f>
        <v>#VALUE!</v>
      </c>
      <c r="IB4" t="e">
        <f>'Data Dictionnary'!F40+"$$8p!28"</f>
        <v>#VALUE!</v>
      </c>
      <c r="IC4" t="e">
        <f>'Data Dictionnary'!G40+"$$8p!29"</f>
        <v>#VALUE!</v>
      </c>
      <c r="ID4" t="e">
        <f>'Data Dictionnary'!H40+"$$8p!2:"</f>
        <v>#VALUE!</v>
      </c>
      <c r="IE4" t="e">
        <f>'Data Dictionnary'!I40+"$$8p!2;"</f>
        <v>#VALUE!</v>
      </c>
      <c r="IF4" t="e">
        <f>'Data Dictionnary'!J40+"$$8p!2&lt;"</f>
        <v>#VALUE!</v>
      </c>
      <c r="IG4" t="e">
        <f>'Data Dictionnary'!K40+"$$8p!2="</f>
        <v>#VALUE!</v>
      </c>
      <c r="IH4" t="e">
        <f>'Data Dictionnary'!L40+"$$8p!2&gt;"</f>
        <v>#VALUE!</v>
      </c>
      <c r="II4" t="e">
        <f>'Data Dictionnary'!C41+"$$8p!2?"</f>
        <v>#VALUE!</v>
      </c>
      <c r="IJ4" t="e">
        <f>'Data Dictionnary'!D41+"$$8p!2@"</f>
        <v>#VALUE!</v>
      </c>
      <c r="IK4" t="e">
        <f>'Data Dictionnary'!E41+"$$8p!2A"</f>
        <v>#VALUE!</v>
      </c>
      <c r="IL4" t="e">
        <f>'Data Dictionnary'!F41+"$$8p!2B"</f>
        <v>#VALUE!</v>
      </c>
      <c r="IM4" t="e">
        <f>'Data Dictionnary'!G41+"$$8p!2C"</f>
        <v>#VALUE!</v>
      </c>
      <c r="IN4" t="e">
        <f>'Data Dictionnary'!H41+"$$8p!2D"</f>
        <v>#VALUE!</v>
      </c>
      <c r="IO4" t="e">
        <f>'Data Dictionnary'!I41+"$$8p!2E"</f>
        <v>#VALUE!</v>
      </c>
      <c r="IP4" t="e">
        <f>'Data Dictionnary'!J41+"$$8p!2F"</f>
        <v>#VALUE!</v>
      </c>
      <c r="IQ4" t="e">
        <f>'Data Dictionnary'!K41+"$$8p!2G"</f>
        <v>#VALUE!</v>
      </c>
      <c r="IR4" t="e">
        <f>'Data Dictionnary'!L41+"$$8p!2H"</f>
        <v>#VALUE!</v>
      </c>
      <c r="IS4" t="e">
        <f>'Data Dictionnary'!C42+"$$8p!2I"</f>
        <v>#VALUE!</v>
      </c>
      <c r="IT4" t="e">
        <f>'Data Dictionnary'!D42+"$$8p!2J"</f>
        <v>#VALUE!</v>
      </c>
      <c r="IU4" t="e">
        <f>'Data Dictionnary'!E42+"$$8p!2K"</f>
        <v>#VALUE!</v>
      </c>
      <c r="IV4" t="e">
        <f>'Data Dictionnary'!F42+"$$8p!2L"</f>
        <v>#VALUE!</v>
      </c>
    </row>
    <row r="5" spans="1:256" x14ac:dyDescent="0.35">
      <c r="F5" t="e">
        <f>'Data Dictionnary'!G42+"$$8p!2M"</f>
        <v>#VALUE!</v>
      </c>
      <c r="G5" t="e">
        <f>'Data Dictionnary'!H42+"$$8p!2N"</f>
        <v>#VALUE!</v>
      </c>
      <c r="H5" t="e">
        <f>'Data Dictionnary'!I42+"$$8p!2O"</f>
        <v>#VALUE!</v>
      </c>
      <c r="I5" t="e">
        <f>'Data Dictionnary'!J42+"$$8p!2P"</f>
        <v>#VALUE!</v>
      </c>
      <c r="J5" t="e">
        <f>'Data Dictionnary'!K42+"$$8p!2Q"</f>
        <v>#VALUE!</v>
      </c>
      <c r="K5" t="e">
        <f>'Data Dictionnary'!L42+"$$8p!2R"</f>
        <v>#VALUE!</v>
      </c>
      <c r="L5" t="e">
        <f>'Data Dictionnary'!C43+"$$8p!2S"</f>
        <v>#VALUE!</v>
      </c>
      <c r="M5" t="e">
        <f>'Data Dictionnary'!D43+"$$8p!2T"</f>
        <v>#VALUE!</v>
      </c>
      <c r="N5" t="e">
        <f>'Data Dictionnary'!E43+"$$8p!2U"</f>
        <v>#VALUE!</v>
      </c>
      <c r="O5" t="e">
        <f>'Data Dictionnary'!F43+"$$8p!2V"</f>
        <v>#VALUE!</v>
      </c>
      <c r="P5" t="e">
        <f>'Data Dictionnary'!G43+"$$8p!2W"</f>
        <v>#VALUE!</v>
      </c>
      <c r="Q5" t="e">
        <f>'Data Dictionnary'!H43+"$$8p!2X"</f>
        <v>#VALUE!</v>
      </c>
      <c r="R5" t="e">
        <f>'Data Dictionnary'!I43+"$$8p!2Y"</f>
        <v>#VALUE!</v>
      </c>
      <c r="S5" t="e">
        <f>'Data Dictionnary'!J43+"$$8p!2Z"</f>
        <v>#VALUE!</v>
      </c>
      <c r="T5" t="e">
        <f>'Data Dictionnary'!K43+"$$8p!2["</f>
        <v>#VALUE!</v>
      </c>
      <c r="U5" t="e">
        <f>'Data Dictionnary'!L43+"$$8p!2\"</f>
        <v>#VALUE!</v>
      </c>
      <c r="V5" t="e">
        <f>'Data Dictionnary'!C44+"$$8p!2]"</f>
        <v>#VALUE!</v>
      </c>
      <c r="W5" t="e">
        <f>'Data Dictionnary'!D44+"$$8p!2^"</f>
        <v>#VALUE!</v>
      </c>
      <c r="X5" t="e">
        <f>'Data Dictionnary'!E44+"$$8p!2_"</f>
        <v>#VALUE!</v>
      </c>
      <c r="Y5" t="e">
        <f>'Data Dictionnary'!F44+"$$8p!2`"</f>
        <v>#VALUE!</v>
      </c>
      <c r="Z5" t="e">
        <f>'Data Dictionnary'!G44+"$$8p!2a"</f>
        <v>#VALUE!</v>
      </c>
      <c r="AA5" t="e">
        <f>'Data Dictionnary'!H44+"$$8p!2b"</f>
        <v>#VALUE!</v>
      </c>
      <c r="AB5" t="e">
        <f>'Data Dictionnary'!I44+"$$8p!2c"</f>
        <v>#VALUE!</v>
      </c>
      <c r="AC5" t="e">
        <f>'Data Dictionnary'!J44+"$$8p!2d"</f>
        <v>#VALUE!</v>
      </c>
      <c r="AD5" t="e">
        <f>'Data Dictionnary'!K44+"$$8p!2e"</f>
        <v>#VALUE!</v>
      </c>
      <c r="AE5" t="e">
        <f>'Data Dictionnary'!L44+"$$8p!2f"</f>
        <v>#VALUE!</v>
      </c>
      <c r="AF5" t="e">
        <f>'Data Dictionnary'!C45+"$$8p!2g"</f>
        <v>#VALUE!</v>
      </c>
      <c r="AG5" t="e">
        <f>'Data Dictionnary'!D45+"$$8p!2h"</f>
        <v>#VALUE!</v>
      </c>
      <c r="AH5" t="e">
        <f>'Data Dictionnary'!E45+"$$8p!2i"</f>
        <v>#VALUE!</v>
      </c>
      <c r="AI5" t="e">
        <f>'Data Dictionnary'!F45+"$$8p!2j"</f>
        <v>#VALUE!</v>
      </c>
      <c r="AJ5" t="e">
        <f>'Data Dictionnary'!G45+"$$8p!2k"</f>
        <v>#VALUE!</v>
      </c>
      <c r="AK5" t="e">
        <f>'Data Dictionnary'!H45+"$$8p!2l"</f>
        <v>#VALUE!</v>
      </c>
      <c r="AL5" t="e">
        <f>'Data Dictionnary'!I45+"$$8p!2m"</f>
        <v>#VALUE!</v>
      </c>
      <c r="AM5" t="e">
        <f>'Data Dictionnary'!J45+"$$8p!2n"</f>
        <v>#VALUE!</v>
      </c>
      <c r="AN5" t="e">
        <f>'Data Dictionnary'!K45+"$$8p!2o"</f>
        <v>#VALUE!</v>
      </c>
      <c r="AO5" t="e">
        <f>'Data Dictionnary'!L45+"$$8p!2p"</f>
        <v>#VALUE!</v>
      </c>
      <c r="AP5" t="e">
        <f>'Data Dictionnary'!C46+"$$8p!2q"</f>
        <v>#VALUE!</v>
      </c>
      <c r="AQ5" t="e">
        <f>'Data Dictionnary'!D46+"$$8p!2r"</f>
        <v>#VALUE!</v>
      </c>
      <c r="AR5" t="e">
        <f>'Data Dictionnary'!E46+"$$8p!2s"</f>
        <v>#VALUE!</v>
      </c>
      <c r="AS5" t="e">
        <f>'Data Dictionnary'!F46+"$$8p!2t"</f>
        <v>#VALUE!</v>
      </c>
      <c r="AT5" t="e">
        <f>'Data Dictionnary'!G46+"$$8p!2u"</f>
        <v>#VALUE!</v>
      </c>
      <c r="AU5" t="e">
        <f>'Data Dictionnary'!H46+"$$8p!2v"</f>
        <v>#VALUE!</v>
      </c>
      <c r="AV5" t="e">
        <f>'Data Dictionnary'!I46+"$$8p!2w"</f>
        <v>#VALUE!</v>
      </c>
      <c r="AW5" t="e">
        <f>'Data Dictionnary'!J46+"$$8p!2x"</f>
        <v>#VALUE!</v>
      </c>
      <c r="AX5" t="e">
        <f>'Data Dictionnary'!K46+"$$8p!2y"</f>
        <v>#VALUE!</v>
      </c>
      <c r="AY5" t="e">
        <f>'Data Dictionnary'!L46+"$$8p!2z"</f>
        <v>#VALUE!</v>
      </c>
      <c r="AZ5" t="e">
        <f>'Data Dictionnary'!C47+"$$8p!2{"</f>
        <v>#VALUE!</v>
      </c>
      <c r="BA5" t="e">
        <f>'Data Dictionnary'!D47+"$$8p!2|"</f>
        <v>#VALUE!</v>
      </c>
      <c r="BB5" t="e">
        <f>'Data Dictionnary'!E47+"$$8p!2}"</f>
        <v>#VALUE!</v>
      </c>
      <c r="BC5" t="e">
        <f>'Data Dictionnary'!F47+"$$8p!2~"</f>
        <v>#VALUE!</v>
      </c>
      <c r="BD5" t="e">
        <f>'Data Dictionnary'!G47+"$$8p!3#"</f>
        <v>#VALUE!</v>
      </c>
      <c r="BE5" t="e">
        <f>'Data Dictionnary'!H47+"$$8p!3$"</f>
        <v>#VALUE!</v>
      </c>
      <c r="BF5" t="e">
        <f>'Data Dictionnary'!I47+"$$8p!3%"</f>
        <v>#VALUE!</v>
      </c>
      <c r="BG5" t="e">
        <f>'Data Dictionnary'!J47+"$$8p!3&amp;"</f>
        <v>#VALUE!</v>
      </c>
      <c r="BH5" t="e">
        <f>'Data Dictionnary'!K47+"$$8p!3'"</f>
        <v>#VALUE!</v>
      </c>
      <c r="BI5" t="e">
        <f>'Data Dictionnary'!L47+"$$8p!3("</f>
        <v>#VALUE!</v>
      </c>
      <c r="BJ5" t="e">
        <f>'Data Dictionnary'!C48+"$$8p!3)"</f>
        <v>#VALUE!</v>
      </c>
      <c r="BK5" t="e">
        <f>'Data Dictionnary'!D48+"$$8p!3."</f>
        <v>#VALUE!</v>
      </c>
      <c r="BL5" t="e">
        <f>'Data Dictionnary'!E48+"$$8p!3/"</f>
        <v>#VALUE!</v>
      </c>
      <c r="BM5" t="e">
        <f>'Data Dictionnary'!F48+"$$8p!30"</f>
        <v>#VALUE!</v>
      </c>
      <c r="BN5" t="e">
        <f>'Data Dictionnary'!G48+"$$8p!31"</f>
        <v>#VALUE!</v>
      </c>
      <c r="BO5" t="e">
        <f>'Data Dictionnary'!H48+"$$8p!32"</f>
        <v>#VALUE!</v>
      </c>
      <c r="BP5" t="e">
        <f>'Data Dictionnary'!I48+"$$8p!33"</f>
        <v>#VALUE!</v>
      </c>
      <c r="BQ5" t="e">
        <f>'Data Dictionnary'!J48+"$$8p!34"</f>
        <v>#VALUE!</v>
      </c>
      <c r="BR5" t="e">
        <f>'Data Dictionnary'!K48+"$$8p!35"</f>
        <v>#VALUE!</v>
      </c>
      <c r="BS5" t="e">
        <f>'Data Dictionnary'!L48+"$$8p!36"</f>
        <v>#VALUE!</v>
      </c>
      <c r="BT5" t="e">
        <f>'Data Dictionnary'!C49+"$$8p!37"</f>
        <v>#VALUE!</v>
      </c>
      <c r="BU5" t="e">
        <f>'Data Dictionnary'!D49+"$$8p!38"</f>
        <v>#VALUE!</v>
      </c>
      <c r="BV5" t="e">
        <f>'Data Dictionnary'!E49+"$$8p!39"</f>
        <v>#VALUE!</v>
      </c>
      <c r="BW5" t="e">
        <f>'Data Dictionnary'!F49+"$$8p!3:"</f>
        <v>#VALUE!</v>
      </c>
      <c r="BX5" t="e">
        <f>'Data Dictionnary'!G49+"$$8p!3;"</f>
        <v>#VALUE!</v>
      </c>
      <c r="BY5" t="e">
        <f>'Data Dictionnary'!H49+"$$8p!3&lt;"</f>
        <v>#VALUE!</v>
      </c>
      <c r="BZ5" t="e">
        <f>'Data Dictionnary'!I49+"$$8p!3="</f>
        <v>#VALUE!</v>
      </c>
      <c r="CA5" t="e">
        <f>'Data Dictionnary'!J49+"$$8p!3&gt;"</f>
        <v>#VALUE!</v>
      </c>
      <c r="CB5" t="e">
        <f>'Data Dictionnary'!K49+"$$8p!3?"</f>
        <v>#VALUE!</v>
      </c>
      <c r="CC5" t="e">
        <f>'Data Dictionnary'!L49+"$$8p!3@"</f>
        <v>#VALUE!</v>
      </c>
      <c r="CD5" t="e">
        <f>'Data Dictionnary'!C50+"$$8p!3A"</f>
        <v>#VALUE!</v>
      </c>
      <c r="CE5" t="e">
        <f>'Data Dictionnary'!D50+"$$8p!3B"</f>
        <v>#VALUE!</v>
      </c>
      <c r="CF5" t="e">
        <f>'Data Dictionnary'!E50+"$$8p!3C"</f>
        <v>#VALUE!</v>
      </c>
      <c r="CG5" t="e">
        <f>'Data Dictionnary'!F50+"$$8p!3D"</f>
        <v>#VALUE!</v>
      </c>
      <c r="CH5" t="e">
        <f>'Data Dictionnary'!G50+"$$8p!3E"</f>
        <v>#VALUE!</v>
      </c>
      <c r="CI5" t="e">
        <f>'Data Dictionnary'!H50+"$$8p!3F"</f>
        <v>#VALUE!</v>
      </c>
      <c r="CJ5" t="e">
        <f>'Data Dictionnary'!I50+"$$8p!3G"</f>
        <v>#VALUE!</v>
      </c>
      <c r="CK5" t="e">
        <f>'Data Dictionnary'!J50+"$$8p!3H"</f>
        <v>#VALUE!</v>
      </c>
      <c r="CL5" t="e">
        <f>'Data Dictionnary'!K50+"$$8p!3I"</f>
        <v>#VALUE!</v>
      </c>
      <c r="CM5" t="e">
        <f>'Data Dictionnary'!L50+"$$8p!3J"</f>
        <v>#VALUE!</v>
      </c>
      <c r="CN5" t="e">
        <f>'Data Dictionnary'!C51+"$$8p!3K"</f>
        <v>#VALUE!</v>
      </c>
      <c r="CO5" t="e">
        <f>'Data Dictionnary'!D51+"$$8p!3L"</f>
        <v>#VALUE!</v>
      </c>
      <c r="CP5" t="e">
        <f>'Data Dictionnary'!E51+"$$8p!3M"</f>
        <v>#VALUE!</v>
      </c>
      <c r="CQ5" t="e">
        <f>'Data Dictionnary'!F51+"$$8p!3N"</f>
        <v>#VALUE!</v>
      </c>
      <c r="CR5" t="e">
        <f>'Data Dictionnary'!G51+"$$8p!3O"</f>
        <v>#VALUE!</v>
      </c>
      <c r="CS5" t="e">
        <f>'Data Dictionnary'!H51+"$$8p!3P"</f>
        <v>#VALUE!</v>
      </c>
      <c r="CT5" t="e">
        <f>'Data Dictionnary'!I51+"$$8p!3Q"</f>
        <v>#VALUE!</v>
      </c>
      <c r="CU5" t="e">
        <f>'Data Dictionnary'!J51+"$$8p!3R"</f>
        <v>#VALUE!</v>
      </c>
      <c r="CV5" t="e">
        <f>'Data Dictionnary'!K51+"$$8p!3S"</f>
        <v>#VALUE!</v>
      </c>
      <c r="CW5" t="e">
        <f>'Data Dictionnary'!L51+"$$8p!3T"</f>
        <v>#VALUE!</v>
      </c>
      <c r="CX5" t="e">
        <f>'Data Dictionnary'!C52+"$$8p!3U"</f>
        <v>#VALUE!</v>
      </c>
      <c r="CY5" t="e">
        <f>'Data Dictionnary'!D52+"$$8p!3V"</f>
        <v>#VALUE!</v>
      </c>
      <c r="CZ5" t="e">
        <f>'Data Dictionnary'!E52+"$$8p!3W"</f>
        <v>#VALUE!</v>
      </c>
      <c r="DA5" t="e">
        <f>'Data Dictionnary'!F52+"$$8p!3X"</f>
        <v>#VALUE!</v>
      </c>
      <c r="DB5" t="e">
        <f>'Data Dictionnary'!G52+"$$8p!3Y"</f>
        <v>#VALUE!</v>
      </c>
      <c r="DC5" t="e">
        <f>'Data Dictionnary'!H52+"$$8p!3Z"</f>
        <v>#VALUE!</v>
      </c>
      <c r="DD5" t="e">
        <f>'Data Dictionnary'!I52+"$$8p!3["</f>
        <v>#VALUE!</v>
      </c>
      <c r="DE5" t="e">
        <f>'Data Dictionnary'!J52+"$$8p!3\"</f>
        <v>#VALUE!</v>
      </c>
      <c r="DF5" t="e">
        <f>'Data Dictionnary'!K52+"$$8p!3]"</f>
        <v>#VALUE!</v>
      </c>
      <c r="DG5" t="e">
        <f>'Data Dictionnary'!L52+"$$8p!3^"</f>
        <v>#VALUE!</v>
      </c>
      <c r="DH5" t="e">
        <f>'Data Dictionnary'!C53+"$$8p!3_"</f>
        <v>#VALUE!</v>
      </c>
      <c r="DI5" t="e">
        <f>'Data Dictionnary'!D53+"$$8p!3`"</f>
        <v>#VALUE!</v>
      </c>
      <c r="DJ5" t="e">
        <f>'Data Dictionnary'!E53+"$$8p!3a"</f>
        <v>#VALUE!</v>
      </c>
      <c r="DK5" t="e">
        <f>'Data Dictionnary'!F53+"$$8p!3b"</f>
        <v>#VALUE!</v>
      </c>
      <c r="DL5" t="e">
        <f>'Data Dictionnary'!G53+"$$8p!3c"</f>
        <v>#VALUE!</v>
      </c>
      <c r="DM5" t="e">
        <f>'Data Dictionnary'!H53+"$$8p!3d"</f>
        <v>#VALUE!</v>
      </c>
      <c r="DN5" t="e">
        <f>'Data Dictionnary'!I53+"$$8p!3e"</f>
        <v>#VALUE!</v>
      </c>
      <c r="DO5" t="e">
        <f>'Data Dictionnary'!J53+"$$8p!3f"</f>
        <v>#VALUE!</v>
      </c>
      <c r="DP5" t="e">
        <f>'Data Dictionnary'!K53+"$$8p!3g"</f>
        <v>#VALUE!</v>
      </c>
      <c r="DQ5" t="e">
        <f>'Data Dictionnary'!L53+"$$8p!3h"</f>
        <v>#VALUE!</v>
      </c>
      <c r="DR5" t="e">
        <f>'Data Dictionnary'!C54+"$$8p!3i"</f>
        <v>#VALUE!</v>
      </c>
      <c r="DS5" t="e">
        <f>'Data Dictionnary'!D54+"$$8p!3j"</f>
        <v>#VALUE!</v>
      </c>
      <c r="DT5" t="e">
        <f>'Data Dictionnary'!E54+"$$8p!3k"</f>
        <v>#VALUE!</v>
      </c>
      <c r="DU5" t="e">
        <f>'Data Dictionnary'!F54+"$$8p!3l"</f>
        <v>#VALUE!</v>
      </c>
      <c r="DV5" t="e">
        <f>'Data Dictionnary'!G54+"$$8p!3m"</f>
        <v>#VALUE!</v>
      </c>
      <c r="DW5" t="e">
        <f>'Data Dictionnary'!H54+"$$8p!3n"</f>
        <v>#VALUE!</v>
      </c>
      <c r="DX5" t="e">
        <f>'Data Dictionnary'!I54+"$$8p!3o"</f>
        <v>#VALUE!</v>
      </c>
      <c r="DY5" t="e">
        <f>'Data Dictionnary'!J54+"$$8p!3p"</f>
        <v>#VALUE!</v>
      </c>
      <c r="DZ5" t="e">
        <f>'Data Dictionnary'!K54+"$$8p!3q"</f>
        <v>#VALUE!</v>
      </c>
      <c r="EA5" t="e">
        <f>'Data Dictionnary'!L54+"$$8p!3r"</f>
        <v>#VALUE!</v>
      </c>
      <c r="EB5" t="e">
        <f>'Data Dictionnary'!C55+"$$8p!3s"</f>
        <v>#VALUE!</v>
      </c>
      <c r="EC5" t="e">
        <f>'Data Dictionnary'!D55+"$$8p!3t"</f>
        <v>#VALUE!</v>
      </c>
      <c r="ED5" t="e">
        <f>'Data Dictionnary'!E55+"$$8p!3u"</f>
        <v>#VALUE!</v>
      </c>
      <c r="EE5" t="e">
        <f>'Data Dictionnary'!F55+"$$8p!3v"</f>
        <v>#VALUE!</v>
      </c>
      <c r="EF5" t="e">
        <f>'Data Dictionnary'!G55+"$$8p!3w"</f>
        <v>#VALUE!</v>
      </c>
      <c r="EG5" t="e">
        <f>'Data Dictionnary'!H55+"$$8p!3x"</f>
        <v>#VALUE!</v>
      </c>
      <c r="EH5" t="e">
        <f>'Data Dictionnary'!I55+"$$8p!3y"</f>
        <v>#VALUE!</v>
      </c>
      <c r="EI5" t="e">
        <f>'Data Dictionnary'!J55+"$$8p!3z"</f>
        <v>#VALUE!</v>
      </c>
      <c r="EJ5" t="e">
        <f>'Data Dictionnary'!K55+"$$8p!3{"</f>
        <v>#VALUE!</v>
      </c>
      <c r="EK5" t="e">
        <f>'Data Dictionnary'!L55+"$$8p!3|"</f>
        <v>#VALUE!</v>
      </c>
      <c r="EL5" t="e">
        <f>'Data Dictionnary'!C56+"$$8p!3}"</f>
        <v>#VALUE!</v>
      </c>
      <c r="EM5" t="e">
        <f>'Data Dictionnary'!D56+"$$8p!3~"</f>
        <v>#VALUE!</v>
      </c>
      <c r="EN5" t="e">
        <f>'Data Dictionnary'!E56+"$$8p!4#"</f>
        <v>#VALUE!</v>
      </c>
      <c r="EO5" t="e">
        <f>'Data Dictionnary'!F56+"$$8p!4$"</f>
        <v>#VALUE!</v>
      </c>
      <c r="EP5" t="e">
        <f>'Data Dictionnary'!G56+"$$8p!4%"</f>
        <v>#VALUE!</v>
      </c>
      <c r="EQ5" t="e">
        <f>'Data Dictionnary'!H56+"$$8p!4&amp;"</f>
        <v>#VALUE!</v>
      </c>
      <c r="ER5" t="e">
        <f>'Data Dictionnary'!I56+"$$8p!4'"</f>
        <v>#VALUE!</v>
      </c>
      <c r="ES5" t="e">
        <f>'Data Dictionnary'!J56+"$$8p!4("</f>
        <v>#VALUE!</v>
      </c>
      <c r="ET5" t="e">
        <f>'Data Dictionnary'!K56+"$$8p!4)"</f>
        <v>#VALUE!</v>
      </c>
      <c r="EU5" t="e">
        <f>'Data Dictionnary'!L56+"$$8p!4."</f>
        <v>#VALUE!</v>
      </c>
      <c r="EV5" t="e">
        <f>'Data Dictionnary'!C57+"$$8p!4/"</f>
        <v>#VALUE!</v>
      </c>
      <c r="EW5" t="e">
        <f>'Data Dictionnary'!D57+"$$8p!40"</f>
        <v>#VALUE!</v>
      </c>
      <c r="EX5" t="e">
        <f>'Data Dictionnary'!E57+"$$8p!41"</f>
        <v>#VALUE!</v>
      </c>
      <c r="EY5" t="e">
        <f>'Data Dictionnary'!F57+"$$8p!42"</f>
        <v>#VALUE!</v>
      </c>
      <c r="EZ5" t="e">
        <f>'Data Dictionnary'!G57+"$$8p!43"</f>
        <v>#VALUE!</v>
      </c>
      <c r="FA5" t="e">
        <f>'Data Dictionnary'!H57+"$$8p!44"</f>
        <v>#VALUE!</v>
      </c>
      <c r="FB5" t="e">
        <f>'Data Dictionnary'!I57+"$$8p!45"</f>
        <v>#VALUE!</v>
      </c>
      <c r="FC5" t="e">
        <f>'Data Dictionnary'!J57+"$$8p!46"</f>
        <v>#VALUE!</v>
      </c>
      <c r="FD5" t="e">
        <f>'Data Dictionnary'!K57+"$$8p!47"</f>
        <v>#VALUE!</v>
      </c>
      <c r="FE5" t="e">
        <f>'Data Dictionnary'!L57+"$$8p!48"</f>
        <v>#VALUE!</v>
      </c>
      <c r="FF5" t="e">
        <f>'Data Dictionnary'!C58+"$$8p!49"</f>
        <v>#VALUE!</v>
      </c>
      <c r="FG5" t="e">
        <f>'Data Dictionnary'!D58+"$$8p!4:"</f>
        <v>#VALUE!</v>
      </c>
      <c r="FH5" t="e">
        <f>'Data Dictionnary'!E58+"$$8p!4;"</f>
        <v>#VALUE!</v>
      </c>
      <c r="FI5" t="e">
        <f>'Data Dictionnary'!F58+"$$8p!4&lt;"</f>
        <v>#VALUE!</v>
      </c>
      <c r="FJ5" t="e">
        <f>'Data Dictionnary'!G58+"$$8p!4="</f>
        <v>#VALUE!</v>
      </c>
      <c r="FK5" t="e">
        <f>'Data Dictionnary'!H58+"$$8p!4&gt;"</f>
        <v>#VALUE!</v>
      </c>
      <c r="FL5" t="e">
        <f>'Data Dictionnary'!I58+"$$8p!4?"</f>
        <v>#VALUE!</v>
      </c>
      <c r="FM5" t="e">
        <f>'Data Dictionnary'!J58+"$$8p!4@"</f>
        <v>#VALUE!</v>
      </c>
      <c r="FN5" t="e">
        <f>'Data Dictionnary'!K58+"$$8p!4A"</f>
        <v>#VALUE!</v>
      </c>
      <c r="FO5" t="e">
        <f>'Data Dictionnary'!L58+"$$8p!4B"</f>
        <v>#VALUE!</v>
      </c>
      <c r="FP5" t="e">
        <f>'Data Dictionnary'!C59+"$$8p!4C"</f>
        <v>#VALUE!</v>
      </c>
      <c r="FQ5" t="e">
        <f>'Data Dictionnary'!D59+"$$8p!4D"</f>
        <v>#VALUE!</v>
      </c>
      <c r="FR5" t="e">
        <f>'Data Dictionnary'!E59+"$$8p!4E"</f>
        <v>#VALUE!</v>
      </c>
      <c r="FS5" t="e">
        <f>'Data Dictionnary'!F59+"$$8p!4F"</f>
        <v>#VALUE!</v>
      </c>
      <c r="FT5" t="e">
        <f>'Data Dictionnary'!G59+"$$8p!4G"</f>
        <v>#VALUE!</v>
      </c>
      <c r="FU5" t="e">
        <f>'Data Dictionnary'!H59+"$$8p!4H"</f>
        <v>#VALUE!</v>
      </c>
      <c r="FV5" t="e">
        <f>'Data Dictionnary'!I59+"$$8p!4I"</f>
        <v>#VALUE!</v>
      </c>
      <c r="FW5" t="e">
        <f>'Data Dictionnary'!J59+"$$8p!4J"</f>
        <v>#VALUE!</v>
      </c>
      <c r="FX5" t="e">
        <f>'Data Dictionnary'!K59+"$$8p!4K"</f>
        <v>#VALUE!</v>
      </c>
      <c r="FY5" t="e">
        <f>'Data Dictionnary'!L59+"$$8p!4L"</f>
        <v>#VALUE!</v>
      </c>
      <c r="FZ5" t="e">
        <f>'Data Dictionnary'!C60+"$$8p!4M"</f>
        <v>#VALUE!</v>
      </c>
      <c r="GA5" t="e">
        <f>'Data Dictionnary'!D60+"$$8p!4N"</f>
        <v>#VALUE!</v>
      </c>
      <c r="GB5" t="e">
        <f>'Data Dictionnary'!E60+"$$8p!4O"</f>
        <v>#VALUE!</v>
      </c>
      <c r="GC5" t="e">
        <f>'Data Dictionnary'!F60+"$$8p!4P"</f>
        <v>#VALUE!</v>
      </c>
      <c r="GD5" t="e">
        <f>'Data Dictionnary'!G60+"$$8p!4Q"</f>
        <v>#VALUE!</v>
      </c>
      <c r="GE5" t="e">
        <f>'Data Dictionnary'!H60+"$$8p!4R"</f>
        <v>#VALUE!</v>
      </c>
      <c r="GF5" t="e">
        <f>'Data Dictionnary'!I60+"$$8p!4S"</f>
        <v>#VALUE!</v>
      </c>
      <c r="GG5" t="e">
        <f>'Data Dictionnary'!J60+"$$8p!4T"</f>
        <v>#VALUE!</v>
      </c>
      <c r="GH5" t="e">
        <f>'Data Dictionnary'!K60+"$$8p!4U"</f>
        <v>#VALUE!</v>
      </c>
      <c r="GI5" t="e">
        <f>'Data Dictionnary'!L60+"$$8p!4V"</f>
        <v>#VALUE!</v>
      </c>
      <c r="GJ5" t="e">
        <f>'Data Dictionnary'!C61+"$$8p!4W"</f>
        <v>#VALUE!</v>
      </c>
      <c r="GK5" t="e">
        <f>'Data Dictionnary'!D61+"$$8p!4X"</f>
        <v>#VALUE!</v>
      </c>
      <c r="GL5" t="e">
        <f>'Data Dictionnary'!E61+"$$8p!4Y"</f>
        <v>#VALUE!</v>
      </c>
      <c r="GM5" t="e">
        <f>'Data Dictionnary'!F61+"$$8p!4Z"</f>
        <v>#VALUE!</v>
      </c>
      <c r="GN5" t="e">
        <f>'Data Dictionnary'!G61+"$$8p!4["</f>
        <v>#VALUE!</v>
      </c>
      <c r="GO5" t="e">
        <f>'Data Dictionnary'!H61+"$$8p!4\"</f>
        <v>#VALUE!</v>
      </c>
      <c r="GP5" t="e">
        <f>'Data Dictionnary'!I61+"$$8p!4]"</f>
        <v>#VALUE!</v>
      </c>
      <c r="GQ5" t="e">
        <f>'Data Dictionnary'!J61+"$$8p!4^"</f>
        <v>#VALUE!</v>
      </c>
      <c r="GR5" t="e">
        <f>'Data Dictionnary'!K61+"$$8p!4_"</f>
        <v>#VALUE!</v>
      </c>
      <c r="GS5" t="e">
        <f>'Data Dictionnary'!L61+"$$8p!4`"</f>
        <v>#VALUE!</v>
      </c>
      <c r="GT5" t="e">
        <f>'Data Dictionnary'!C62+"$$8p!4a"</f>
        <v>#VALUE!</v>
      </c>
      <c r="GU5" t="e">
        <f>'Data Dictionnary'!D62+"$$8p!4b"</f>
        <v>#VALUE!</v>
      </c>
      <c r="GV5" t="e">
        <f>'Data Dictionnary'!E62+"$$8p!4c"</f>
        <v>#VALUE!</v>
      </c>
      <c r="GW5" t="e">
        <f>'Data Dictionnary'!F62+"$$8p!4d"</f>
        <v>#VALUE!</v>
      </c>
      <c r="GX5" t="e">
        <f>'Data Dictionnary'!G62+"$$8p!4e"</f>
        <v>#VALUE!</v>
      </c>
      <c r="GY5" t="e">
        <f>'Data Dictionnary'!H62+"$$8p!4f"</f>
        <v>#VALUE!</v>
      </c>
      <c r="GZ5" t="e">
        <f>'Data Dictionnary'!I62+"$$8p!4g"</f>
        <v>#VALUE!</v>
      </c>
      <c r="HA5" t="e">
        <f>'Data Dictionnary'!J62+"$$8p!4h"</f>
        <v>#VALUE!</v>
      </c>
      <c r="HB5" t="e">
        <f>'Data Dictionnary'!K62+"$$8p!4i"</f>
        <v>#VALUE!</v>
      </c>
      <c r="HC5" t="e">
        <f>'Data Dictionnary'!L62+"$$8p!4j"</f>
        <v>#VALUE!</v>
      </c>
      <c r="HD5" t="e">
        <f>'Data Dictionnary'!C63+"$$8p!4k"</f>
        <v>#VALUE!</v>
      </c>
      <c r="HE5" t="e">
        <f>'Data Dictionnary'!D63+"$$8p!4l"</f>
        <v>#VALUE!</v>
      </c>
      <c r="HF5" t="e">
        <f>'Data Dictionnary'!E63+"$$8p!4m"</f>
        <v>#VALUE!</v>
      </c>
      <c r="HG5" t="e">
        <f>'Data Dictionnary'!F63+"$$8p!4n"</f>
        <v>#VALUE!</v>
      </c>
      <c r="HH5" t="e">
        <f>'Data Dictionnary'!G63+"$$8p!4o"</f>
        <v>#VALUE!</v>
      </c>
      <c r="HI5" t="e">
        <f>'Data Dictionnary'!H63+"$$8p!4p"</f>
        <v>#VALUE!</v>
      </c>
      <c r="HJ5" t="e">
        <f>'Data Dictionnary'!I63+"$$8p!4q"</f>
        <v>#VALUE!</v>
      </c>
      <c r="HK5" t="e">
        <f>'Data Dictionnary'!J63+"$$8p!4r"</f>
        <v>#VALUE!</v>
      </c>
      <c r="HL5" t="e">
        <f>'Data Dictionnary'!K63+"$$8p!4s"</f>
        <v>#VALUE!</v>
      </c>
      <c r="HM5" t="e">
        <f>'Data Dictionnary'!L63+"$$8p!4t"</f>
        <v>#VALUE!</v>
      </c>
      <c r="HN5" t="e">
        <f>'Data Dictionnary'!C64+"$$8p!4u"</f>
        <v>#VALUE!</v>
      </c>
      <c r="HO5" t="e">
        <f>'Data Dictionnary'!D64+"$$8p!4v"</f>
        <v>#VALUE!</v>
      </c>
      <c r="HP5" t="e">
        <f>'Data Dictionnary'!E64+"$$8p!4w"</f>
        <v>#VALUE!</v>
      </c>
      <c r="HQ5" t="e">
        <f>'Data Dictionnary'!F64+"$$8p!4x"</f>
        <v>#VALUE!</v>
      </c>
      <c r="HR5" t="e">
        <f>'Data Dictionnary'!G64+"$$8p!4y"</f>
        <v>#VALUE!</v>
      </c>
      <c r="HS5" t="e">
        <f>'Data Dictionnary'!H64+"$$8p!4z"</f>
        <v>#VALUE!</v>
      </c>
      <c r="HT5" t="e">
        <f>'Data Dictionnary'!I64+"$$8p!4{"</f>
        <v>#VALUE!</v>
      </c>
      <c r="HU5" t="e">
        <f>'Data Dictionnary'!J64+"$$8p!4|"</f>
        <v>#VALUE!</v>
      </c>
      <c r="HV5" t="e">
        <f>'Data Dictionnary'!K64+"$$8p!4}"</f>
        <v>#VALUE!</v>
      </c>
      <c r="HW5" t="e">
        <f>'Data Dictionnary'!L64+"$$8p!4~"</f>
        <v>#VALUE!</v>
      </c>
      <c r="HX5" t="e">
        <f>'Data Dictionnary'!C65+"$$8p!5#"</f>
        <v>#VALUE!</v>
      </c>
      <c r="HY5" t="e">
        <f>'Data Dictionnary'!D65+"$$8p!5$"</f>
        <v>#VALUE!</v>
      </c>
      <c r="HZ5" t="e">
        <f>'Data Dictionnary'!E65+"$$8p!5%"</f>
        <v>#VALUE!</v>
      </c>
      <c r="IA5" t="e">
        <f>'Data Dictionnary'!F65+"$$8p!5&amp;"</f>
        <v>#VALUE!</v>
      </c>
      <c r="IB5" t="e">
        <f>'Data Dictionnary'!G65+"$$8p!5'"</f>
        <v>#VALUE!</v>
      </c>
      <c r="IC5" t="e">
        <f>'Data Dictionnary'!H65+"$$8p!5("</f>
        <v>#VALUE!</v>
      </c>
      <c r="ID5" t="e">
        <f>'Data Dictionnary'!I65+"$$8p!5)"</f>
        <v>#VALUE!</v>
      </c>
      <c r="IE5" t="e">
        <f>'Data Dictionnary'!J65+"$$8p!5."</f>
        <v>#VALUE!</v>
      </c>
      <c r="IF5" t="e">
        <f>'Data Dictionnary'!K65+"$$8p!5/"</f>
        <v>#VALUE!</v>
      </c>
      <c r="IG5" t="e">
        <f>'Data Dictionnary'!L65+"$$8p!50"</f>
        <v>#VALUE!</v>
      </c>
      <c r="IH5" t="e">
        <f>'Data Dictionnary'!C66+"$$8p!51"</f>
        <v>#VALUE!</v>
      </c>
      <c r="II5" t="e">
        <f>'Data Dictionnary'!D66+"$$8p!52"</f>
        <v>#VALUE!</v>
      </c>
      <c r="IJ5" t="e">
        <f>'Data Dictionnary'!E66+"$$8p!53"</f>
        <v>#VALUE!</v>
      </c>
      <c r="IK5" t="e">
        <f>'Data Dictionnary'!F66+"$$8p!54"</f>
        <v>#VALUE!</v>
      </c>
      <c r="IL5" t="e">
        <f>'Data Dictionnary'!G66+"$$8p!55"</f>
        <v>#VALUE!</v>
      </c>
      <c r="IM5" t="e">
        <f>'Data Dictionnary'!H66+"$$8p!56"</f>
        <v>#VALUE!</v>
      </c>
      <c r="IN5" t="e">
        <f>'Data Dictionnary'!I66+"$$8p!57"</f>
        <v>#VALUE!</v>
      </c>
      <c r="IO5" t="e">
        <f>'Data Dictionnary'!J66+"$$8p!58"</f>
        <v>#VALUE!</v>
      </c>
      <c r="IP5" t="e">
        <f>'Data Dictionnary'!K66+"$$8p!59"</f>
        <v>#VALUE!</v>
      </c>
      <c r="IQ5" t="e">
        <f>'Data Dictionnary'!L66+"$$8p!5:"</f>
        <v>#VALUE!</v>
      </c>
      <c r="IR5" t="e">
        <f>'Data Dictionnary'!C67+"$$8p!5;"</f>
        <v>#VALUE!</v>
      </c>
      <c r="IS5" t="e">
        <f>'Data Dictionnary'!D67+"$$8p!5&lt;"</f>
        <v>#VALUE!</v>
      </c>
      <c r="IT5" t="e">
        <f>'Data Dictionnary'!E67+"$$8p!5="</f>
        <v>#VALUE!</v>
      </c>
      <c r="IU5" t="e">
        <f>'Data Dictionnary'!F67+"$$8p!5&gt;"</f>
        <v>#VALUE!</v>
      </c>
      <c r="IV5" t="e">
        <f>'Data Dictionnary'!G67+"$$8p!5?"</f>
        <v>#VALUE!</v>
      </c>
    </row>
    <row r="6" spans="1:256" x14ac:dyDescent="0.35">
      <c r="F6" t="e">
        <f>'Data Dictionnary'!H67+"$$8p!5@"</f>
        <v>#VALUE!</v>
      </c>
      <c r="G6" t="e">
        <f>'Data Dictionnary'!I67+"$$8p!5A"</f>
        <v>#VALUE!</v>
      </c>
      <c r="H6" t="e">
        <f>'Data Dictionnary'!J67+"$$8p!5B"</f>
        <v>#VALUE!</v>
      </c>
      <c r="I6" t="e">
        <f>'Data Dictionnary'!K67+"$$8p!5C"</f>
        <v>#VALUE!</v>
      </c>
      <c r="J6" t="e">
        <f>'Data Dictionnary'!L67+"$$8p!5D"</f>
        <v>#VALUE!</v>
      </c>
      <c r="K6" t="e">
        <f>'Data Dictionnary'!C68+"$$8p!5E"</f>
        <v>#VALUE!</v>
      </c>
      <c r="L6" t="e">
        <f>'Data Dictionnary'!D68+"$$8p!5F"</f>
        <v>#VALUE!</v>
      </c>
      <c r="M6" t="e">
        <f>'Data Dictionnary'!E68+"$$8p!5G"</f>
        <v>#VALUE!</v>
      </c>
      <c r="N6" t="e">
        <f>'Data Dictionnary'!F68+"$$8p!5H"</f>
        <v>#VALUE!</v>
      </c>
      <c r="O6" t="e">
        <f>'Data Dictionnary'!G68+"$$8p!5I"</f>
        <v>#VALUE!</v>
      </c>
      <c r="P6" t="e">
        <f>'Data Dictionnary'!H68+"$$8p!5J"</f>
        <v>#VALUE!</v>
      </c>
      <c r="Q6" t="e">
        <f>'Data Dictionnary'!I68+"$$8p!5K"</f>
        <v>#VALUE!</v>
      </c>
      <c r="R6" t="e">
        <f>'Data Dictionnary'!J68+"$$8p!5L"</f>
        <v>#VALUE!</v>
      </c>
      <c r="S6" t="e">
        <f>'Data Dictionnary'!K68+"$$8p!5M"</f>
        <v>#VALUE!</v>
      </c>
      <c r="T6" t="e">
        <f>'Data Dictionnary'!L68+"$$8p!5N"</f>
        <v>#VALUE!</v>
      </c>
      <c r="U6" t="e">
        <f>'Data Dictionnary'!C69+"$$8p!5O"</f>
        <v>#VALUE!</v>
      </c>
      <c r="V6" t="e">
        <f>'Data Dictionnary'!D69+"$$8p!5P"</f>
        <v>#VALUE!</v>
      </c>
      <c r="W6" t="e">
        <f>'Data Dictionnary'!E69+"$$8p!5Q"</f>
        <v>#VALUE!</v>
      </c>
      <c r="X6" t="e">
        <f>'Data Dictionnary'!F69+"$$8p!5R"</f>
        <v>#VALUE!</v>
      </c>
      <c r="Y6" t="e">
        <f>'Data Dictionnary'!G69+"$$8p!5S"</f>
        <v>#VALUE!</v>
      </c>
      <c r="Z6" t="e">
        <f>'Data Dictionnary'!H69+"$$8p!5T"</f>
        <v>#VALUE!</v>
      </c>
      <c r="AA6" t="e">
        <f>'Data Dictionnary'!I69+"$$8p!5U"</f>
        <v>#VALUE!</v>
      </c>
      <c r="AB6" t="e">
        <f>'Data Dictionnary'!J69+"$$8p!5V"</f>
        <v>#VALUE!</v>
      </c>
      <c r="AC6" t="e">
        <f>'Data Dictionnary'!K69+"$$8p!5W"</f>
        <v>#VALUE!</v>
      </c>
      <c r="AD6" t="e">
        <f>'Data Dictionnary'!L69+"$$8p!5X"</f>
        <v>#VALUE!</v>
      </c>
      <c r="AE6" t="e">
        <f>'Data Dictionnary'!C70+"$$8p!5Y"</f>
        <v>#VALUE!</v>
      </c>
      <c r="AF6" t="e">
        <f>'Data Dictionnary'!D70+"$$8p!5Z"</f>
        <v>#VALUE!</v>
      </c>
      <c r="AG6" t="e">
        <f>'Data Dictionnary'!E70+"$$8p!5["</f>
        <v>#VALUE!</v>
      </c>
      <c r="AH6" t="e">
        <f>'Data Dictionnary'!F70+"$$8p!5\"</f>
        <v>#VALUE!</v>
      </c>
      <c r="AI6" t="e">
        <f>'Data Dictionnary'!G70+"$$8p!5]"</f>
        <v>#VALUE!</v>
      </c>
      <c r="AJ6" t="e">
        <f>'Data Dictionnary'!H70+"$$8p!5^"</f>
        <v>#VALUE!</v>
      </c>
      <c r="AK6" t="e">
        <f>'Data Dictionnary'!I70+"$$8p!5_"</f>
        <v>#VALUE!</v>
      </c>
      <c r="AL6" t="e">
        <f>'Data Dictionnary'!J70+"$$8p!5`"</f>
        <v>#VALUE!</v>
      </c>
      <c r="AM6" t="e">
        <f>'Data Dictionnary'!K70+"$$8p!5a"</f>
        <v>#VALUE!</v>
      </c>
      <c r="AN6" t="e">
        <f>'Data Dictionnary'!L70+"$$8p!5b"</f>
        <v>#VALUE!</v>
      </c>
      <c r="AO6" t="e">
        <f>'Data Dictionnary'!C71+"$$8p!5c"</f>
        <v>#VALUE!</v>
      </c>
      <c r="AP6" t="e">
        <f>'Data Dictionnary'!D71+"$$8p!5d"</f>
        <v>#VALUE!</v>
      </c>
      <c r="AQ6" t="e">
        <f>'Data Dictionnary'!E71+"$$8p!5e"</f>
        <v>#VALUE!</v>
      </c>
      <c r="AR6" t="e">
        <f>'Data Dictionnary'!F71+"$$8p!5f"</f>
        <v>#VALUE!</v>
      </c>
      <c r="AS6" t="e">
        <f>'Data Dictionnary'!G71+"$$8p!5g"</f>
        <v>#VALUE!</v>
      </c>
      <c r="AT6" t="e">
        <f>'Data Dictionnary'!H71+"$$8p!5h"</f>
        <v>#VALUE!</v>
      </c>
      <c r="AU6" t="e">
        <f>'Data Dictionnary'!I71+"$$8p!5i"</f>
        <v>#VALUE!</v>
      </c>
      <c r="AV6" t="e">
        <f>'Data Dictionnary'!J71+"$$8p!5j"</f>
        <v>#VALUE!</v>
      </c>
      <c r="AW6" t="e">
        <f>'Data Dictionnary'!K71+"$$8p!5k"</f>
        <v>#VALUE!</v>
      </c>
      <c r="AX6" t="e">
        <f>'Data Dictionnary'!L71+"$$8p!5l"</f>
        <v>#VALUE!</v>
      </c>
      <c r="AY6" t="e">
        <f>'Data Dictionnary'!C72+"$$8p!5m"</f>
        <v>#VALUE!</v>
      </c>
      <c r="AZ6" t="e">
        <f>'Data Dictionnary'!D72+"$$8p!5n"</f>
        <v>#VALUE!</v>
      </c>
      <c r="BA6" t="e">
        <f>'Data Dictionnary'!E72+"$$8p!5o"</f>
        <v>#VALUE!</v>
      </c>
      <c r="BB6" t="e">
        <f>'Data Dictionnary'!F72+"$$8p!5p"</f>
        <v>#VALUE!</v>
      </c>
      <c r="BC6" t="e">
        <f>'Data Dictionnary'!G72+"$$8p!5q"</f>
        <v>#VALUE!</v>
      </c>
      <c r="BD6" t="e">
        <f>'Data Dictionnary'!H72+"$$8p!5r"</f>
        <v>#VALUE!</v>
      </c>
      <c r="BE6" t="e">
        <f>'Data Dictionnary'!I72+"$$8p!5s"</f>
        <v>#VALUE!</v>
      </c>
      <c r="BF6" t="e">
        <f>'Data Dictionnary'!J72+"$$8p!5t"</f>
        <v>#VALUE!</v>
      </c>
      <c r="BG6" t="e">
        <f>'Data Dictionnary'!K72+"$$8p!5u"</f>
        <v>#VALUE!</v>
      </c>
      <c r="BH6" t="e">
        <f>'Data Dictionnary'!L72+"$$8p!5v"</f>
        <v>#VALUE!</v>
      </c>
      <c r="BI6" t="e">
        <f>'Data Dictionnary'!C73+"$$8p!5w"</f>
        <v>#VALUE!</v>
      </c>
      <c r="BJ6" t="e">
        <f>'Data Dictionnary'!D73+"$$8p!5x"</f>
        <v>#VALUE!</v>
      </c>
      <c r="BK6" t="e">
        <f>'Data Dictionnary'!E73+"$$8p!5y"</f>
        <v>#VALUE!</v>
      </c>
      <c r="BL6" t="e">
        <f>'Data Dictionnary'!F73+"$$8p!5z"</f>
        <v>#VALUE!</v>
      </c>
      <c r="BM6" t="e">
        <f>'Data Dictionnary'!G73+"$$8p!5{"</f>
        <v>#VALUE!</v>
      </c>
      <c r="BN6" t="e">
        <f>'Data Dictionnary'!H73+"$$8p!5|"</f>
        <v>#VALUE!</v>
      </c>
      <c r="BO6" t="e">
        <f>'Data Dictionnary'!I73+"$$8p!5}"</f>
        <v>#VALUE!</v>
      </c>
      <c r="BP6" t="e">
        <f>'Data Dictionnary'!J73+"$$8p!5~"</f>
        <v>#VALUE!</v>
      </c>
      <c r="BQ6" t="e">
        <f>'Data Dictionnary'!K73+"$$8p!6#"</f>
        <v>#VALUE!</v>
      </c>
      <c r="BR6" t="e">
        <f>'Data Dictionnary'!L73+"$$8p!6$"</f>
        <v>#VALUE!</v>
      </c>
      <c r="BS6" t="e">
        <f>'Data Dictionnary'!C74+"$$8p!6%"</f>
        <v>#VALUE!</v>
      </c>
      <c r="BT6" t="e">
        <f>'Data Dictionnary'!D74+"$$8p!6&amp;"</f>
        <v>#VALUE!</v>
      </c>
      <c r="BU6" t="e">
        <f>'Data Dictionnary'!E74+"$$8p!6'"</f>
        <v>#VALUE!</v>
      </c>
      <c r="BV6" t="e">
        <f>'Data Dictionnary'!F74+"$$8p!6("</f>
        <v>#VALUE!</v>
      </c>
      <c r="BW6" t="e">
        <f>'Data Dictionnary'!G74+"$$8p!6)"</f>
        <v>#VALUE!</v>
      </c>
      <c r="BX6" t="e">
        <f>'Data Dictionnary'!H74+"$$8p!6."</f>
        <v>#VALUE!</v>
      </c>
      <c r="BY6" t="e">
        <f>'Data Dictionnary'!I74+"$$8p!6/"</f>
        <v>#VALUE!</v>
      </c>
      <c r="BZ6" t="e">
        <f>'Data Dictionnary'!J74+"$$8p!60"</f>
        <v>#VALUE!</v>
      </c>
      <c r="CA6" t="e">
        <f>'Data Dictionnary'!K74+"$$8p!61"</f>
        <v>#VALUE!</v>
      </c>
      <c r="CB6" t="e">
        <f>'Data Dictionnary'!L74+"$$8p!62"</f>
        <v>#VALUE!</v>
      </c>
      <c r="CC6" t="e">
        <f>'Data Dictionnary'!C75+"$$8p!63"</f>
        <v>#VALUE!</v>
      </c>
      <c r="CD6" t="e">
        <f>'Data Dictionnary'!D75+"$$8p!64"</f>
        <v>#VALUE!</v>
      </c>
      <c r="CE6" t="e">
        <f>'Data Dictionnary'!E75+"$$8p!65"</f>
        <v>#VALUE!</v>
      </c>
      <c r="CF6" t="e">
        <f>'Data Dictionnary'!F75+"$$8p!66"</f>
        <v>#VALUE!</v>
      </c>
      <c r="CG6" t="e">
        <f>'Data Dictionnary'!G75+"$$8p!67"</f>
        <v>#VALUE!</v>
      </c>
      <c r="CH6" t="e">
        <f>'Data Dictionnary'!H75+"$$8p!68"</f>
        <v>#VALUE!</v>
      </c>
      <c r="CI6" t="e">
        <f>'Data Dictionnary'!I75+"$$8p!69"</f>
        <v>#VALUE!</v>
      </c>
      <c r="CJ6" t="e">
        <f>'Data Dictionnary'!J75+"$$8p!6:"</f>
        <v>#VALUE!</v>
      </c>
      <c r="CK6" t="e">
        <f>'Data Dictionnary'!K75+"$$8p!6;"</f>
        <v>#VALUE!</v>
      </c>
      <c r="CL6" t="e">
        <f>'Data Dictionnary'!L75+"$$8p!6&lt;"</f>
        <v>#VALUE!</v>
      </c>
      <c r="CM6" t="e">
        <f>'Data Dictionnary'!C76+"$$8p!6="</f>
        <v>#VALUE!</v>
      </c>
      <c r="CN6" t="e">
        <f>'Data Dictionnary'!D76+"$$8p!6&gt;"</f>
        <v>#VALUE!</v>
      </c>
      <c r="CO6" t="e">
        <f>'Data Dictionnary'!E76+"$$8p!6?"</f>
        <v>#VALUE!</v>
      </c>
      <c r="CP6" t="e">
        <f>'Data Dictionnary'!F76+"$$8p!6@"</f>
        <v>#VALUE!</v>
      </c>
      <c r="CQ6" t="e">
        <f>'Data Dictionnary'!G76+"$$8p!6A"</f>
        <v>#VALUE!</v>
      </c>
      <c r="CR6" t="e">
        <f>'Data Dictionnary'!H76+"$$8p!6B"</f>
        <v>#VALUE!</v>
      </c>
      <c r="CS6" t="e">
        <f>'Data Dictionnary'!I76+"$$8p!6C"</f>
        <v>#VALUE!</v>
      </c>
      <c r="CT6" t="e">
        <f>'Data Dictionnary'!J76+"$$8p!6D"</f>
        <v>#VALUE!</v>
      </c>
      <c r="CU6" t="e">
        <f>'Data Dictionnary'!K76+"$$8p!6E"</f>
        <v>#VALUE!</v>
      </c>
      <c r="CV6" t="e">
        <f>'Data Dictionnary'!L76+"$$8p!6F"</f>
        <v>#VALUE!</v>
      </c>
      <c r="CW6" t="e">
        <f>'Data Dictionnary'!C77+"$$8p!6G"</f>
        <v>#VALUE!</v>
      </c>
      <c r="CX6" t="e">
        <f>'Data Dictionnary'!D77+"$$8p!6H"</f>
        <v>#VALUE!</v>
      </c>
      <c r="CY6" t="e">
        <f>'Data Dictionnary'!E77+"$$8p!6I"</f>
        <v>#VALUE!</v>
      </c>
      <c r="CZ6" t="e">
        <f>'Data Dictionnary'!F77+"$$8p!6J"</f>
        <v>#VALUE!</v>
      </c>
      <c r="DA6" t="e">
        <f>'Data Dictionnary'!G77+"$$8p!6K"</f>
        <v>#VALUE!</v>
      </c>
      <c r="DB6" t="e">
        <f>'Data Dictionnary'!H77+"$$8p!6L"</f>
        <v>#VALUE!</v>
      </c>
      <c r="DC6" t="e">
        <f>'Data Dictionnary'!I77+"$$8p!6M"</f>
        <v>#VALUE!</v>
      </c>
      <c r="DD6" t="e">
        <f>'Data Dictionnary'!J77+"$$8p!6N"</f>
        <v>#VALUE!</v>
      </c>
      <c r="DE6" t="e">
        <f>'Data Dictionnary'!K77+"$$8p!6O"</f>
        <v>#VALUE!</v>
      </c>
      <c r="DF6" t="e">
        <f>'Data Dictionnary'!L77+"$$8p!6P"</f>
        <v>#VALUE!</v>
      </c>
      <c r="DG6" t="e">
        <f>'Data Dictionnary'!C78+"$$8p!6Q"</f>
        <v>#VALUE!</v>
      </c>
      <c r="DH6" t="e">
        <f>'Data Dictionnary'!D78+"$$8p!6R"</f>
        <v>#VALUE!</v>
      </c>
      <c r="DI6" t="e">
        <f>'Data Dictionnary'!E78+"$$8p!6S"</f>
        <v>#VALUE!</v>
      </c>
      <c r="DJ6" t="e">
        <f>'Data Dictionnary'!F78+"$$8p!6T"</f>
        <v>#VALUE!</v>
      </c>
      <c r="DK6" t="e">
        <f>'Data Dictionnary'!G78+"$$8p!6U"</f>
        <v>#VALUE!</v>
      </c>
      <c r="DL6" t="e">
        <f>'Data Dictionnary'!H78+"$$8p!6V"</f>
        <v>#VALUE!</v>
      </c>
      <c r="DM6" t="e">
        <f>'Data Dictionnary'!I78+"$$8p!6W"</f>
        <v>#VALUE!</v>
      </c>
      <c r="DN6" t="e">
        <f>'Data Dictionnary'!J78+"$$8p!6X"</f>
        <v>#VALUE!</v>
      </c>
      <c r="DO6" t="e">
        <f>'Data Dictionnary'!K78+"$$8p!6Y"</f>
        <v>#VALUE!</v>
      </c>
      <c r="DP6" t="e">
        <f>'Data Dictionnary'!L78+"$$8p!6Z"</f>
        <v>#VALUE!</v>
      </c>
      <c r="DQ6" t="e">
        <f>'Data Dictionnary'!C79+"$$8p!6["</f>
        <v>#VALUE!</v>
      </c>
      <c r="DR6" t="e">
        <f>'Data Dictionnary'!D79+"$$8p!6\"</f>
        <v>#VALUE!</v>
      </c>
      <c r="DS6" t="e">
        <f>'Data Dictionnary'!E79+"$$8p!6]"</f>
        <v>#VALUE!</v>
      </c>
      <c r="DT6" t="e">
        <f>'Data Dictionnary'!F79+"$$8p!6^"</f>
        <v>#VALUE!</v>
      </c>
      <c r="DU6" t="e">
        <f>'Data Dictionnary'!G79+"$$8p!6_"</f>
        <v>#VALUE!</v>
      </c>
      <c r="DV6" t="e">
        <f>'Data Dictionnary'!H79+"$$8p!6`"</f>
        <v>#VALUE!</v>
      </c>
      <c r="DW6" t="e">
        <f>'Data Dictionnary'!I79+"$$8p!6a"</f>
        <v>#VALUE!</v>
      </c>
      <c r="DX6" t="e">
        <f>'Data Dictionnary'!J79+"$$8p!6b"</f>
        <v>#VALUE!</v>
      </c>
      <c r="DY6" t="e">
        <f>'Data Dictionnary'!K79+"$$8p!6c"</f>
        <v>#VALUE!</v>
      </c>
      <c r="DZ6" t="e">
        <f>'Data Dictionnary'!L79+"$$8p!6d"</f>
        <v>#VALUE!</v>
      </c>
      <c r="EA6" t="e">
        <f>'Data Dictionnary'!C80+"$$8p!6e"</f>
        <v>#VALUE!</v>
      </c>
      <c r="EB6" t="e">
        <f>'Data Dictionnary'!D80+"$$8p!6f"</f>
        <v>#VALUE!</v>
      </c>
      <c r="EC6" t="e">
        <f>'Data Dictionnary'!E80+"$$8p!6g"</f>
        <v>#VALUE!</v>
      </c>
      <c r="ED6" t="e">
        <f>'Data Dictionnary'!F80+"$$8p!6h"</f>
        <v>#VALUE!</v>
      </c>
      <c r="EE6" t="e">
        <f>'Data Dictionnary'!G80+"$$8p!6i"</f>
        <v>#VALUE!</v>
      </c>
      <c r="EF6" t="e">
        <f>'Data Dictionnary'!H80+"$$8p!6j"</f>
        <v>#VALUE!</v>
      </c>
      <c r="EG6" t="e">
        <f>'Data Dictionnary'!I80+"$$8p!6k"</f>
        <v>#VALUE!</v>
      </c>
      <c r="EH6" t="e">
        <f>'Data Dictionnary'!J80+"$$8p!6l"</f>
        <v>#VALUE!</v>
      </c>
      <c r="EI6" t="e">
        <f>'Data Dictionnary'!K80+"$$8p!6m"</f>
        <v>#VALUE!</v>
      </c>
      <c r="EJ6" t="e">
        <f>'Data Dictionnary'!L80+"$$8p!6n"</f>
        <v>#VALUE!</v>
      </c>
      <c r="EK6" t="e">
        <f>'Data Dictionnary'!C81+"$$8p!6o"</f>
        <v>#VALUE!</v>
      </c>
      <c r="EL6" t="e">
        <f>'Data Dictionnary'!D81+"$$8p!6p"</f>
        <v>#VALUE!</v>
      </c>
      <c r="EM6" t="e">
        <f>'Data Dictionnary'!E81+"$$8p!6q"</f>
        <v>#VALUE!</v>
      </c>
      <c r="EN6" t="e">
        <f>'Data Dictionnary'!F81+"$$8p!6r"</f>
        <v>#VALUE!</v>
      </c>
      <c r="EO6" t="e">
        <f>'Data Dictionnary'!G81+"$$8p!6s"</f>
        <v>#VALUE!</v>
      </c>
      <c r="EP6" t="e">
        <f>'Data Dictionnary'!H81+"$$8p!6t"</f>
        <v>#VALUE!</v>
      </c>
      <c r="EQ6" t="e">
        <f>'Data Dictionnary'!I81+"$$8p!6u"</f>
        <v>#VALUE!</v>
      </c>
      <c r="ER6" t="e">
        <f>'Data Dictionnary'!J81+"$$8p!6v"</f>
        <v>#VALUE!</v>
      </c>
      <c r="ES6" t="e">
        <f>'Data Dictionnary'!K81+"$$8p!6w"</f>
        <v>#VALUE!</v>
      </c>
      <c r="ET6" t="e">
        <f>'Data Dictionnary'!L81+"$$8p!6x"</f>
        <v>#VALUE!</v>
      </c>
      <c r="EU6" t="e">
        <f>'Data Dictionnary'!C82+"$$8p!6y"</f>
        <v>#VALUE!</v>
      </c>
      <c r="EV6" t="e">
        <f>'Data Dictionnary'!D82+"$$8p!6z"</f>
        <v>#VALUE!</v>
      </c>
      <c r="EW6" t="e">
        <f>'Data Dictionnary'!E82+"$$8p!6{"</f>
        <v>#VALUE!</v>
      </c>
      <c r="EX6" t="e">
        <f>'Data Dictionnary'!F82+"$$8p!6|"</f>
        <v>#VALUE!</v>
      </c>
      <c r="EY6" t="e">
        <f>'Data Dictionnary'!G82+"$$8p!6}"</f>
        <v>#VALUE!</v>
      </c>
      <c r="EZ6" t="e">
        <f>'Data Dictionnary'!H82+"$$8p!6~"</f>
        <v>#VALUE!</v>
      </c>
      <c r="FA6" t="e">
        <f>'Data Dictionnary'!I82+"$$8p!7#"</f>
        <v>#VALUE!</v>
      </c>
      <c r="FB6" t="e">
        <f>'Data Dictionnary'!J82+"$$8p!7$"</f>
        <v>#VALUE!</v>
      </c>
      <c r="FC6" t="e">
        <f>'Data Dictionnary'!K82+"$$8p!7%"</f>
        <v>#VALUE!</v>
      </c>
      <c r="FD6" t="e">
        <f>'Data Dictionnary'!L82+"$$8p!7&amp;"</f>
        <v>#VALUE!</v>
      </c>
      <c r="FE6" t="e">
        <f>'Data Dictionnary'!C83+"$$8p!7'"</f>
        <v>#VALUE!</v>
      </c>
      <c r="FF6" t="e">
        <f>'Data Dictionnary'!D83+"$$8p!7("</f>
        <v>#VALUE!</v>
      </c>
      <c r="FG6" t="e">
        <f>'Data Dictionnary'!E83+"$$8p!7)"</f>
        <v>#VALUE!</v>
      </c>
      <c r="FH6" t="e">
        <f>'Data Dictionnary'!F83+"$$8p!7."</f>
        <v>#VALUE!</v>
      </c>
      <c r="FI6" t="e">
        <f>'Data Dictionnary'!G83+"$$8p!7/"</f>
        <v>#VALUE!</v>
      </c>
      <c r="FJ6" t="e">
        <f>'Data Dictionnary'!H83+"$$8p!70"</f>
        <v>#VALUE!</v>
      </c>
      <c r="FK6" t="e">
        <f>'Data Dictionnary'!I83+"$$8p!71"</f>
        <v>#VALUE!</v>
      </c>
      <c r="FL6" t="e">
        <f>'Data Dictionnary'!J83+"$$8p!72"</f>
        <v>#VALUE!</v>
      </c>
      <c r="FM6" t="e">
        <f>'Data Dictionnary'!K83+"$$8p!73"</f>
        <v>#VALUE!</v>
      </c>
      <c r="FN6" t="e">
        <f>'Data Dictionnary'!L83+"$$8p!74"</f>
        <v>#VALUE!</v>
      </c>
      <c r="FO6" t="e">
        <f>'Data Dictionnary'!C84+"$$8p!75"</f>
        <v>#VALUE!</v>
      </c>
      <c r="FP6" t="e">
        <f>'Data Dictionnary'!D84+"$$8p!76"</f>
        <v>#VALUE!</v>
      </c>
      <c r="FQ6" t="e">
        <f>'Data Dictionnary'!E84+"$$8p!77"</f>
        <v>#VALUE!</v>
      </c>
      <c r="FR6" t="e">
        <f>'Data Dictionnary'!F84+"$$8p!78"</f>
        <v>#VALUE!</v>
      </c>
      <c r="FS6" t="e">
        <f>'Data Dictionnary'!G84+"$$8p!79"</f>
        <v>#VALUE!</v>
      </c>
      <c r="FT6" t="e">
        <f>'Data Dictionnary'!H84+"$$8p!7:"</f>
        <v>#VALUE!</v>
      </c>
      <c r="FU6" t="e">
        <f>'Data Dictionnary'!I84+"$$8p!7;"</f>
        <v>#VALUE!</v>
      </c>
      <c r="FV6" t="e">
        <f>'Data Dictionnary'!J84+"$$8p!7&lt;"</f>
        <v>#VALUE!</v>
      </c>
      <c r="FW6" t="e">
        <f>'Data Dictionnary'!K84+"$$8p!7="</f>
        <v>#VALUE!</v>
      </c>
      <c r="FX6" t="e">
        <f>'Data Dictionnary'!L84+"$$8p!7&gt;"</f>
        <v>#VALUE!</v>
      </c>
      <c r="FY6" t="e">
        <f>'Data Dictionnary'!C85+"$$8p!7?"</f>
        <v>#VALUE!</v>
      </c>
      <c r="FZ6" t="e">
        <f>'Data Dictionnary'!D85+"$$8p!7@"</f>
        <v>#VALUE!</v>
      </c>
      <c r="GA6" t="e">
        <f>'Data Dictionnary'!E85+"$$8p!7A"</f>
        <v>#VALUE!</v>
      </c>
      <c r="GB6" t="e">
        <f>'Data Dictionnary'!F85+"$$8p!7B"</f>
        <v>#VALUE!</v>
      </c>
      <c r="GC6" t="e">
        <f>'Data Dictionnary'!G85+"$$8p!7C"</f>
        <v>#VALUE!</v>
      </c>
      <c r="GD6" t="e">
        <f>'Data Dictionnary'!H85+"$$8p!7D"</f>
        <v>#VALUE!</v>
      </c>
      <c r="GE6" t="e">
        <f>'Data Dictionnary'!I85+"$$8p!7E"</f>
        <v>#VALUE!</v>
      </c>
      <c r="GF6" t="e">
        <f>'Data Dictionnary'!J85+"$$8p!7F"</f>
        <v>#VALUE!</v>
      </c>
      <c r="GG6" t="e">
        <f>'Data Dictionnary'!K85+"$$8p!7G"</f>
        <v>#VALUE!</v>
      </c>
      <c r="GH6" t="e">
        <f>'Data Dictionnary'!L85+"$$8p!7H"</f>
        <v>#VALUE!</v>
      </c>
      <c r="GI6" t="e">
        <f>'Data Dictionnary'!C86+"$$8p!7I"</f>
        <v>#VALUE!</v>
      </c>
      <c r="GJ6" t="e">
        <f>'Data Dictionnary'!D86+"$$8p!7J"</f>
        <v>#VALUE!</v>
      </c>
      <c r="GK6" t="e">
        <f>'Data Dictionnary'!E86+"$$8p!7K"</f>
        <v>#VALUE!</v>
      </c>
      <c r="GL6" t="e">
        <f>'Data Dictionnary'!F86+"$$8p!7L"</f>
        <v>#VALUE!</v>
      </c>
      <c r="GM6" t="e">
        <f>'Data Dictionnary'!G86+"$$8p!7M"</f>
        <v>#VALUE!</v>
      </c>
      <c r="GN6" t="e">
        <f>'Data Dictionnary'!H86+"$$8p!7N"</f>
        <v>#VALUE!</v>
      </c>
      <c r="GO6" t="e">
        <f>'Data Dictionnary'!I86+"$$8p!7O"</f>
        <v>#VALUE!</v>
      </c>
      <c r="GP6" t="e">
        <f>'Data Dictionnary'!J86+"$$8p!7P"</f>
        <v>#VALUE!</v>
      </c>
      <c r="GQ6" t="e">
        <f>'Data Dictionnary'!K86+"$$8p!7Q"</f>
        <v>#VALUE!</v>
      </c>
      <c r="GR6" t="e">
        <f>'Data Dictionnary'!L86+"$$8p!7R"</f>
        <v>#VALUE!</v>
      </c>
      <c r="GS6" t="e">
        <f>'Data Dictionnary'!C87+"$$8p!7S"</f>
        <v>#VALUE!</v>
      </c>
      <c r="GT6" t="e">
        <f>'Data Dictionnary'!D87+"$$8p!7T"</f>
        <v>#VALUE!</v>
      </c>
      <c r="GU6" t="e">
        <f>'Data Dictionnary'!E87+"$$8p!7U"</f>
        <v>#VALUE!</v>
      </c>
      <c r="GV6" t="e">
        <f>'Data Dictionnary'!F87+"$$8p!7V"</f>
        <v>#VALUE!</v>
      </c>
      <c r="GW6" t="e">
        <f>'Data Dictionnary'!G87+"$$8p!7W"</f>
        <v>#VALUE!</v>
      </c>
      <c r="GX6" t="e">
        <f>'Data Dictionnary'!H87+"$$8p!7X"</f>
        <v>#VALUE!</v>
      </c>
      <c r="GY6" t="e">
        <f>'Data Dictionnary'!I87+"$$8p!7Y"</f>
        <v>#VALUE!</v>
      </c>
      <c r="GZ6" t="e">
        <f>'Data Dictionnary'!J87+"$$8p!7Z"</f>
        <v>#VALUE!</v>
      </c>
      <c r="HA6" t="e">
        <f>'Data Dictionnary'!K87+"$$8p!7["</f>
        <v>#VALUE!</v>
      </c>
      <c r="HB6" t="e">
        <f>'Data Dictionnary'!L87+"$$8p!7\"</f>
        <v>#VALUE!</v>
      </c>
      <c r="HC6" t="e">
        <f>'Data Dictionnary'!C88+"$$8p!7]"</f>
        <v>#VALUE!</v>
      </c>
      <c r="HD6" t="e">
        <f>'Data Dictionnary'!D88+"$$8p!7^"</f>
        <v>#VALUE!</v>
      </c>
      <c r="HE6" t="e">
        <f>'Data Dictionnary'!E88+"$$8p!7_"</f>
        <v>#VALUE!</v>
      </c>
      <c r="HF6" t="e">
        <f>'Data Dictionnary'!F88+"$$8p!7`"</f>
        <v>#VALUE!</v>
      </c>
      <c r="HG6" t="e">
        <f>'Data Dictionnary'!G88+"$$8p!7a"</f>
        <v>#VALUE!</v>
      </c>
      <c r="HH6" t="e">
        <f>'Data Dictionnary'!H88+"$$8p!7b"</f>
        <v>#VALUE!</v>
      </c>
      <c r="HI6" t="e">
        <f>'Data Dictionnary'!I88+"$$8p!7c"</f>
        <v>#VALUE!</v>
      </c>
      <c r="HJ6" t="e">
        <f>'Data Dictionnary'!J88+"$$8p!7d"</f>
        <v>#VALUE!</v>
      </c>
      <c r="HK6" t="e">
        <f>'Data Dictionnary'!K88+"$$8p!7e"</f>
        <v>#VALUE!</v>
      </c>
      <c r="HL6" t="e">
        <f>'Data Dictionnary'!L88+"$$8p!7f"</f>
        <v>#VALUE!</v>
      </c>
      <c r="HM6" t="e">
        <f>'Data Dictionnary'!C89+"$$8p!7g"</f>
        <v>#VALUE!</v>
      </c>
      <c r="HN6" t="e">
        <f>'Data Dictionnary'!D89+"$$8p!7h"</f>
        <v>#VALUE!</v>
      </c>
      <c r="HO6" t="e">
        <f>'Data Dictionnary'!E89+"$$8p!7i"</f>
        <v>#VALUE!</v>
      </c>
      <c r="HP6" t="e">
        <f>'Data Dictionnary'!F89+"$$8p!7j"</f>
        <v>#VALUE!</v>
      </c>
      <c r="HQ6" t="e">
        <f>'Data Dictionnary'!G89+"$$8p!7k"</f>
        <v>#VALUE!</v>
      </c>
      <c r="HR6" t="e">
        <f>'Data Dictionnary'!H89+"$$8p!7l"</f>
        <v>#VALUE!</v>
      </c>
      <c r="HS6" t="e">
        <f>'Data Dictionnary'!I89+"$$8p!7m"</f>
        <v>#VALUE!</v>
      </c>
      <c r="HT6" t="e">
        <f>'Data Dictionnary'!J89+"$$8p!7n"</f>
        <v>#VALUE!</v>
      </c>
      <c r="HU6" t="e">
        <f>'Data Dictionnary'!K89+"$$8p!7o"</f>
        <v>#VALUE!</v>
      </c>
      <c r="HV6" t="e">
        <f>'Data Dictionnary'!L89+"$$8p!7p"</f>
        <v>#VALUE!</v>
      </c>
      <c r="HW6" t="e">
        <f>'Data Dictionnary'!C90+"$$8p!7q"</f>
        <v>#VALUE!</v>
      </c>
      <c r="HX6" t="e">
        <f>'Data Dictionnary'!D90+"$$8p!7r"</f>
        <v>#VALUE!</v>
      </c>
      <c r="HY6" t="e">
        <f>'Data Dictionnary'!E90+"$$8p!7s"</f>
        <v>#VALUE!</v>
      </c>
      <c r="HZ6" t="e">
        <f>'Data Dictionnary'!F90+"$$8p!7t"</f>
        <v>#VALUE!</v>
      </c>
      <c r="IA6" t="e">
        <f>'Data Dictionnary'!G90+"$$8p!7u"</f>
        <v>#VALUE!</v>
      </c>
      <c r="IB6" t="e">
        <f>'Data Dictionnary'!H90+"$$8p!7v"</f>
        <v>#VALUE!</v>
      </c>
      <c r="IC6" t="e">
        <f>'Data Dictionnary'!I90+"$$8p!7w"</f>
        <v>#VALUE!</v>
      </c>
      <c r="ID6" t="e">
        <f>'Data Dictionnary'!J90+"$$8p!7x"</f>
        <v>#VALUE!</v>
      </c>
      <c r="IE6" t="e">
        <f>'Data Dictionnary'!K90+"$$8p!7y"</f>
        <v>#VALUE!</v>
      </c>
      <c r="IF6" t="e">
        <f>'Data Dictionnary'!L90+"$$8p!7z"</f>
        <v>#VALUE!</v>
      </c>
      <c r="IG6" t="e">
        <f>'Data Dictionnary'!C91+"$$8p!7{"</f>
        <v>#VALUE!</v>
      </c>
      <c r="IH6" t="e">
        <f>'Data Dictionnary'!D91+"$$8p!7|"</f>
        <v>#VALUE!</v>
      </c>
      <c r="II6" t="e">
        <f>'Data Dictionnary'!E91+"$$8p!7}"</f>
        <v>#VALUE!</v>
      </c>
      <c r="IJ6" t="e">
        <f>'Data Dictionnary'!F91+"$$8p!7~"</f>
        <v>#VALUE!</v>
      </c>
      <c r="IK6" t="e">
        <f>'Data Dictionnary'!G91+"$$8p!8#"</f>
        <v>#VALUE!</v>
      </c>
      <c r="IL6" t="e">
        <f>'Data Dictionnary'!H91+"$$8p!8$"</f>
        <v>#VALUE!</v>
      </c>
      <c r="IM6" t="e">
        <f>'Data Dictionnary'!I91+"$$8p!8%"</f>
        <v>#VALUE!</v>
      </c>
      <c r="IN6" t="e">
        <f>'Data Dictionnary'!J91+"$$8p!8&amp;"</f>
        <v>#VALUE!</v>
      </c>
      <c r="IO6" t="e">
        <f>'Data Dictionnary'!K91+"$$8p!8'"</f>
        <v>#VALUE!</v>
      </c>
      <c r="IP6" t="e">
        <f>'Data Dictionnary'!L91+"$$8p!8("</f>
        <v>#VALUE!</v>
      </c>
      <c r="IQ6" t="e">
        <f>'Data Dictionnary'!C92+"$$8p!8)"</f>
        <v>#VALUE!</v>
      </c>
      <c r="IR6" t="e">
        <f>'Data Dictionnary'!D92+"$$8p!8."</f>
        <v>#VALUE!</v>
      </c>
      <c r="IS6" t="e">
        <f>'Data Dictionnary'!E92+"$$8p!8/"</f>
        <v>#VALUE!</v>
      </c>
      <c r="IT6" t="e">
        <f>'Data Dictionnary'!F92+"$$8p!80"</f>
        <v>#VALUE!</v>
      </c>
      <c r="IU6" t="e">
        <f>'Data Dictionnary'!G92+"$$8p!81"</f>
        <v>#VALUE!</v>
      </c>
      <c r="IV6" t="e">
        <f>'Data Dictionnary'!H92+"$$8p!82"</f>
        <v>#VALUE!</v>
      </c>
    </row>
    <row r="7" spans="1:256" x14ac:dyDescent="0.35">
      <c r="F7" t="e">
        <f>'Data Dictionnary'!I92+"$$8p!83"</f>
        <v>#VALUE!</v>
      </c>
      <c r="G7" t="e">
        <f>'Data Dictionnary'!J92+"$$8p!84"</f>
        <v>#VALUE!</v>
      </c>
      <c r="H7" t="e">
        <f>'Data Dictionnary'!K92+"$$8p!85"</f>
        <v>#VALUE!</v>
      </c>
      <c r="I7" t="e">
        <f>'Data Dictionnary'!L92+"$$8p!86"</f>
        <v>#VALUE!</v>
      </c>
      <c r="J7" t="e">
        <f>'Data Dictionnary'!C93+"$$8p!87"</f>
        <v>#VALUE!</v>
      </c>
      <c r="K7" t="e">
        <f>'Data Dictionnary'!D93+"$$8p!88"</f>
        <v>#VALUE!</v>
      </c>
      <c r="L7" t="e">
        <f>'Data Dictionnary'!E93+"$$8p!89"</f>
        <v>#VALUE!</v>
      </c>
      <c r="M7" t="e">
        <f>'Data Dictionnary'!F93+"$$8p!8:"</f>
        <v>#VALUE!</v>
      </c>
      <c r="N7" t="e">
        <f>'Data Dictionnary'!G93+"$$8p!8;"</f>
        <v>#VALUE!</v>
      </c>
      <c r="O7" t="e">
        <f>'Data Dictionnary'!H93+"$$8p!8&lt;"</f>
        <v>#VALUE!</v>
      </c>
      <c r="P7" t="e">
        <f>'Data Dictionnary'!I93+"$$8p!8="</f>
        <v>#VALUE!</v>
      </c>
      <c r="Q7" t="e">
        <f>'Data Dictionnary'!J93+"$$8p!8&gt;"</f>
        <v>#VALUE!</v>
      </c>
      <c r="R7" t="e">
        <f>'Data Dictionnary'!K93+"$$8p!8?"</f>
        <v>#VALUE!</v>
      </c>
      <c r="S7" t="e">
        <f>'Data Dictionnary'!L93+"$$8p!8@"</f>
        <v>#VALUE!</v>
      </c>
      <c r="T7" t="e">
        <f>'Data Dictionnary'!C94+"$$8p!8A"</f>
        <v>#VALUE!</v>
      </c>
      <c r="U7" t="e">
        <f>'Data Dictionnary'!D94+"$$8p!8B"</f>
        <v>#VALUE!</v>
      </c>
      <c r="V7" t="e">
        <f>'Data Dictionnary'!E94+"$$8p!8C"</f>
        <v>#VALUE!</v>
      </c>
      <c r="W7" t="e">
        <f>'Data Dictionnary'!F94+"$$8p!8D"</f>
        <v>#VALUE!</v>
      </c>
      <c r="X7" t="e">
        <f>'Data Dictionnary'!G94+"$$8p!8E"</f>
        <v>#VALUE!</v>
      </c>
      <c r="Y7" t="e">
        <f>'Data Dictionnary'!H94+"$$8p!8F"</f>
        <v>#VALUE!</v>
      </c>
      <c r="Z7" t="e">
        <f>'Data Dictionnary'!I94+"$$8p!8G"</f>
        <v>#VALUE!</v>
      </c>
      <c r="AA7" t="e">
        <f>'Data Dictionnary'!J94+"$$8p!8H"</f>
        <v>#VALUE!</v>
      </c>
      <c r="AB7" t="e">
        <f>'Data Dictionnary'!K94+"$$8p!8I"</f>
        <v>#VALUE!</v>
      </c>
      <c r="AC7" t="e">
        <f>'Data Dictionnary'!L94+"$$8p!8J"</f>
        <v>#VALUE!</v>
      </c>
      <c r="AD7" t="e">
        <f>'Data Dictionnary'!C95+"$$8p!8K"</f>
        <v>#VALUE!</v>
      </c>
      <c r="AE7" t="e">
        <f>'Data Dictionnary'!D95+"$$8p!8L"</f>
        <v>#VALUE!</v>
      </c>
      <c r="AF7" t="e">
        <f>'Data Dictionnary'!E95+"$$8p!8M"</f>
        <v>#VALUE!</v>
      </c>
      <c r="AG7" t="e">
        <f>'Data Dictionnary'!F95+"$$8p!8N"</f>
        <v>#VALUE!</v>
      </c>
      <c r="AH7" t="e">
        <f>'Data Dictionnary'!G95+"$$8p!8O"</f>
        <v>#VALUE!</v>
      </c>
      <c r="AI7" t="e">
        <f>'Data Dictionnary'!H95+"$$8p!8P"</f>
        <v>#VALUE!</v>
      </c>
      <c r="AJ7" t="e">
        <f>'Data Dictionnary'!I95+"$$8p!8Q"</f>
        <v>#VALUE!</v>
      </c>
      <c r="AK7" t="e">
        <f>'Data Dictionnary'!J95+"$$8p!8R"</f>
        <v>#VALUE!</v>
      </c>
      <c r="AL7" t="e">
        <f>'Data Dictionnary'!K95+"$$8p!8S"</f>
        <v>#VALUE!</v>
      </c>
      <c r="AM7" t="e">
        <f>'Data Dictionnary'!L95+"$$8p!8T"</f>
        <v>#VALUE!</v>
      </c>
      <c r="AN7" t="e">
        <f>'Data Dictionnary'!C96+"$$8p!8U"</f>
        <v>#VALUE!</v>
      </c>
      <c r="AO7" t="e">
        <f>'Data Dictionnary'!D96+"$$8p!8V"</f>
        <v>#VALUE!</v>
      </c>
      <c r="AP7" t="e">
        <f>'Data Dictionnary'!E96+"$$8p!8W"</f>
        <v>#VALUE!</v>
      </c>
      <c r="AQ7" t="e">
        <f>'Data Dictionnary'!F96+"$$8p!8X"</f>
        <v>#VALUE!</v>
      </c>
      <c r="AR7" t="e">
        <f>'Data Dictionnary'!G96+"$$8p!8Y"</f>
        <v>#VALUE!</v>
      </c>
      <c r="AS7" t="e">
        <f>'Data Dictionnary'!H96+"$$8p!8Z"</f>
        <v>#VALUE!</v>
      </c>
      <c r="AT7" t="e">
        <f>'Data Dictionnary'!I96+"$$8p!8["</f>
        <v>#VALUE!</v>
      </c>
      <c r="AU7" t="e">
        <f>'Data Dictionnary'!J96+"$$8p!8\"</f>
        <v>#VALUE!</v>
      </c>
      <c r="AV7" t="e">
        <f>'Data Dictionnary'!K96+"$$8p!8]"</f>
        <v>#VALUE!</v>
      </c>
      <c r="AW7" t="e">
        <f>'Data Dictionnary'!L96+"$$8p!8^"</f>
        <v>#VALUE!</v>
      </c>
      <c r="AX7" t="e">
        <f>'Data Dictionnary'!C97+"$$8p!8_"</f>
        <v>#VALUE!</v>
      </c>
      <c r="AY7" t="e">
        <f>'Data Dictionnary'!D97+"$$8p!8`"</f>
        <v>#VALUE!</v>
      </c>
      <c r="AZ7" t="e">
        <f>'Data Dictionnary'!E97+"$$8p!8a"</f>
        <v>#VALUE!</v>
      </c>
      <c r="BA7" t="e">
        <f>'Data Dictionnary'!F97+"$$8p!8b"</f>
        <v>#VALUE!</v>
      </c>
      <c r="BB7" t="e">
        <f>'Data Dictionnary'!G97+"$$8p!8c"</f>
        <v>#VALUE!</v>
      </c>
      <c r="BC7" t="e">
        <f>'Data Dictionnary'!H97+"$$8p!8d"</f>
        <v>#VALUE!</v>
      </c>
      <c r="BD7" t="e">
        <f>'Data Dictionnary'!I97+"$$8p!8e"</f>
        <v>#VALUE!</v>
      </c>
      <c r="BE7" t="e">
        <f>'Data Dictionnary'!J97+"$$8p!8f"</f>
        <v>#VALUE!</v>
      </c>
      <c r="BF7" t="e">
        <f>'Data Dictionnary'!K97+"$$8p!8g"</f>
        <v>#VALUE!</v>
      </c>
      <c r="BG7" t="e">
        <f>'Data Dictionnary'!L97+"$$8p!8h"</f>
        <v>#VALUE!</v>
      </c>
      <c r="BH7" t="e">
        <f>'Data Dictionnary'!C98+"$$8p!8i"</f>
        <v>#VALUE!</v>
      </c>
      <c r="BI7" t="e">
        <f>'Data Dictionnary'!D98+"$$8p!8j"</f>
        <v>#VALUE!</v>
      </c>
      <c r="BJ7" t="e">
        <f>'Data Dictionnary'!E98+"$$8p!8k"</f>
        <v>#VALUE!</v>
      </c>
      <c r="BK7" t="e">
        <f>'Data Dictionnary'!F98+"$$8p!8l"</f>
        <v>#VALUE!</v>
      </c>
      <c r="BL7" t="e">
        <f>'Data Dictionnary'!G98+"$$8p!8m"</f>
        <v>#VALUE!</v>
      </c>
      <c r="BM7" t="e">
        <f>'Data Dictionnary'!H98+"$$8p!8n"</f>
        <v>#VALUE!</v>
      </c>
      <c r="BN7" t="e">
        <f>'Data Dictionnary'!I98+"$$8p!8o"</f>
        <v>#VALUE!</v>
      </c>
      <c r="BO7" t="e">
        <f>'Data Dictionnary'!J98+"$$8p!8p"</f>
        <v>#VALUE!</v>
      </c>
      <c r="BP7" t="e">
        <f>'Data Dictionnary'!K98+"$$8p!8q"</f>
        <v>#VALUE!</v>
      </c>
      <c r="BQ7" t="e">
        <f>'Data Dictionnary'!L98+"$$8p!8r"</f>
        <v>#VALUE!</v>
      </c>
      <c r="BR7" t="e">
        <f>'Data Dictionnary'!C99+"$$8p!8s"</f>
        <v>#VALUE!</v>
      </c>
      <c r="BS7" t="e">
        <f>'Data Dictionnary'!D99+"$$8p!8t"</f>
        <v>#VALUE!</v>
      </c>
      <c r="BT7" t="e">
        <f>'Data Dictionnary'!E99+"$$8p!8u"</f>
        <v>#VALUE!</v>
      </c>
      <c r="BU7" t="e">
        <f>'Data Dictionnary'!F99+"$$8p!8v"</f>
        <v>#VALUE!</v>
      </c>
      <c r="BV7" t="e">
        <f>'Data Dictionnary'!G99+"$$8p!8w"</f>
        <v>#VALUE!</v>
      </c>
      <c r="BW7" t="e">
        <f>'Data Dictionnary'!H99+"$$8p!8x"</f>
        <v>#VALUE!</v>
      </c>
      <c r="BX7" t="e">
        <f>'Data Dictionnary'!I99+"$$8p!8y"</f>
        <v>#VALUE!</v>
      </c>
      <c r="BY7" t="e">
        <f>'Data Dictionnary'!J99+"$$8p!8z"</f>
        <v>#VALUE!</v>
      </c>
      <c r="BZ7" t="e">
        <f>'Data Dictionnary'!K99+"$$8p!8{"</f>
        <v>#VALUE!</v>
      </c>
      <c r="CA7" t="e">
        <f>'Data Dictionnary'!L99+"$$8p!8|"</f>
        <v>#VALUE!</v>
      </c>
      <c r="CB7" t="e">
        <f>'Data Dictionnary'!C100+"$$8p!8}"</f>
        <v>#VALUE!</v>
      </c>
      <c r="CC7" t="e">
        <f>'Data Dictionnary'!D100+"$$8p!8~"</f>
        <v>#VALUE!</v>
      </c>
      <c r="CD7" t="e">
        <f>'Data Dictionnary'!E100+"$$8p!9#"</f>
        <v>#VALUE!</v>
      </c>
      <c r="CE7" t="e">
        <f>'Data Dictionnary'!F100+"$$8p!9$"</f>
        <v>#VALUE!</v>
      </c>
      <c r="CF7" t="e">
        <f>'Data Dictionnary'!G100+"$$8p!9%"</f>
        <v>#VALUE!</v>
      </c>
      <c r="CG7" t="e">
        <f>'Data Dictionnary'!H100+"$$8p!9&amp;"</f>
        <v>#VALUE!</v>
      </c>
      <c r="CH7" t="e">
        <f>'Data Dictionnary'!I100+"$$8p!9'"</f>
        <v>#VALUE!</v>
      </c>
      <c r="CI7" t="e">
        <f>'Data Dictionnary'!J100+"$$8p!9("</f>
        <v>#VALUE!</v>
      </c>
      <c r="CJ7" t="e">
        <f>'Data Dictionnary'!K100+"$$8p!9)"</f>
        <v>#VALUE!</v>
      </c>
      <c r="CK7" t="e">
        <f>'Data Dictionnary'!L100+"$$8p!9."</f>
        <v>#VALUE!</v>
      </c>
      <c r="CL7" t="e">
        <f>'Data Dictionnary'!C101+"$$8p!9/"</f>
        <v>#VALUE!</v>
      </c>
      <c r="CM7" t="e">
        <f>'Data Dictionnary'!D101+"$$8p!90"</f>
        <v>#VALUE!</v>
      </c>
      <c r="CN7" t="e">
        <f>'Data Dictionnary'!E101+"$$8p!91"</f>
        <v>#VALUE!</v>
      </c>
      <c r="CO7" t="e">
        <f>'Data Dictionnary'!F101+"$$8p!92"</f>
        <v>#VALUE!</v>
      </c>
      <c r="CP7" t="e">
        <f>'Data Dictionnary'!G101+"$$8p!93"</f>
        <v>#VALUE!</v>
      </c>
      <c r="CQ7" t="e">
        <f>'Data Dictionnary'!H101+"$$8p!94"</f>
        <v>#VALUE!</v>
      </c>
      <c r="CR7" t="e">
        <f>'Data Dictionnary'!I101+"$$8p!95"</f>
        <v>#VALUE!</v>
      </c>
      <c r="CS7" t="e">
        <f>'Data Dictionnary'!J101+"$$8p!96"</f>
        <v>#VALUE!</v>
      </c>
      <c r="CT7" t="e">
        <f>'Data Dictionnary'!K101+"$$8p!97"</f>
        <v>#VALUE!</v>
      </c>
      <c r="CU7" t="e">
        <f>'Data Dictionnary'!L101+"$$8p!98"</f>
        <v>#VALUE!</v>
      </c>
      <c r="CV7" t="e">
        <f>'Data Dictionnary'!C102+"$$8p!99"</f>
        <v>#VALUE!</v>
      </c>
      <c r="CW7" t="e">
        <f>'Data Dictionnary'!D102+"$$8p!9:"</f>
        <v>#VALUE!</v>
      </c>
      <c r="CX7" t="e">
        <f>'Data Dictionnary'!E102+"$$8p!9;"</f>
        <v>#VALUE!</v>
      </c>
      <c r="CY7" t="e">
        <f>'Data Dictionnary'!F102+"$$8p!9&lt;"</f>
        <v>#VALUE!</v>
      </c>
      <c r="CZ7" t="e">
        <f>'Data Dictionnary'!G102+"$$8p!9="</f>
        <v>#VALUE!</v>
      </c>
      <c r="DA7" t="e">
        <f>'Data Dictionnary'!H102+"$$8p!9&gt;"</f>
        <v>#VALUE!</v>
      </c>
      <c r="DB7" t="e">
        <f>'Data Dictionnary'!I102+"$$8p!9?"</f>
        <v>#VALUE!</v>
      </c>
      <c r="DC7" t="e">
        <f>'Data Dictionnary'!J102+"$$8p!9@"</f>
        <v>#VALUE!</v>
      </c>
      <c r="DD7" t="e">
        <f>'Data Dictionnary'!K102+"$$8p!9A"</f>
        <v>#VALUE!</v>
      </c>
      <c r="DE7" t="e">
        <f>'Data Dictionnary'!L102+"$$8p!9B"</f>
        <v>#VALUE!</v>
      </c>
      <c r="DF7" t="e">
        <f>'Data Dictionnary'!C103+"$$8p!9C"</f>
        <v>#VALUE!</v>
      </c>
      <c r="DG7" t="e">
        <f>'Data Dictionnary'!D103+"$$8p!9D"</f>
        <v>#VALUE!</v>
      </c>
      <c r="DH7" t="e">
        <f>'Data Dictionnary'!E103+"$$8p!9E"</f>
        <v>#VALUE!</v>
      </c>
      <c r="DI7" t="e">
        <f>'Data Dictionnary'!F103+"$$8p!9F"</f>
        <v>#VALUE!</v>
      </c>
      <c r="DJ7" t="e">
        <f>'Data Dictionnary'!G103+"$$8p!9G"</f>
        <v>#VALUE!</v>
      </c>
      <c r="DK7" t="e">
        <f>'Data Dictionnary'!H103+"$$8p!9H"</f>
        <v>#VALUE!</v>
      </c>
      <c r="DL7" t="e">
        <f>'Data Dictionnary'!I103+"$$8p!9I"</f>
        <v>#VALUE!</v>
      </c>
      <c r="DM7" t="e">
        <f>'Data Dictionnary'!J103+"$$8p!9J"</f>
        <v>#VALUE!</v>
      </c>
      <c r="DN7" t="e">
        <f>'Data Dictionnary'!K103+"$$8p!9K"</f>
        <v>#VALUE!</v>
      </c>
      <c r="DO7" t="e">
        <f>'Data Dictionnary'!L103+"$$8p!9L"</f>
        <v>#VALUE!</v>
      </c>
      <c r="DP7" t="e">
        <f>'Data Dictionnary'!C104+"$$8p!9M"</f>
        <v>#VALUE!</v>
      </c>
      <c r="DQ7" t="e">
        <f>'Data Dictionnary'!D104+"$$8p!9N"</f>
        <v>#VALUE!</v>
      </c>
      <c r="DR7" t="e">
        <f>'Data Dictionnary'!E104+"$$8p!9O"</f>
        <v>#VALUE!</v>
      </c>
      <c r="DS7" t="e">
        <f>'Data Dictionnary'!F104+"$$8p!9P"</f>
        <v>#VALUE!</v>
      </c>
      <c r="DT7" t="e">
        <f>'Data Dictionnary'!G104+"$$8p!9Q"</f>
        <v>#VALUE!</v>
      </c>
      <c r="DU7" t="e">
        <f>'Data Dictionnary'!H104+"$$8p!9R"</f>
        <v>#VALUE!</v>
      </c>
      <c r="DV7" t="e">
        <f>'Data Dictionnary'!I104+"$$8p!9S"</f>
        <v>#VALUE!</v>
      </c>
      <c r="DW7" t="e">
        <f>'Data Dictionnary'!J104+"$$8p!9T"</f>
        <v>#VALUE!</v>
      </c>
      <c r="DX7" t="e">
        <f>'Data Dictionnary'!K104+"$$8p!9U"</f>
        <v>#VALUE!</v>
      </c>
      <c r="DY7" t="e">
        <f>'Data Dictionnary'!L104+"$$8p!9V"</f>
        <v>#VALUE!</v>
      </c>
      <c r="DZ7" t="e">
        <f>'Data Dictionnary'!C105+"$$8p!9W"</f>
        <v>#VALUE!</v>
      </c>
      <c r="EA7" t="e">
        <f>'Data Dictionnary'!D105+"$$8p!9X"</f>
        <v>#VALUE!</v>
      </c>
      <c r="EB7" t="e">
        <f>'Data Dictionnary'!E105+"$$8p!9Y"</f>
        <v>#VALUE!</v>
      </c>
      <c r="EC7" t="e">
        <f>'Data Dictionnary'!F105+"$$8p!9Z"</f>
        <v>#VALUE!</v>
      </c>
      <c r="ED7" t="e">
        <f>'Data Dictionnary'!G105+"$$8p!9["</f>
        <v>#VALUE!</v>
      </c>
      <c r="EE7" t="e">
        <f>'Data Dictionnary'!H105+"$$8p!9\"</f>
        <v>#VALUE!</v>
      </c>
      <c r="EF7" t="e">
        <f>'Data Dictionnary'!I105+"$$8p!9]"</f>
        <v>#VALUE!</v>
      </c>
      <c r="EG7" t="e">
        <f>'Data Dictionnary'!J105+"$$8p!9^"</f>
        <v>#VALUE!</v>
      </c>
      <c r="EH7" t="e">
        <f>'Data Dictionnary'!K105+"$$8p!9_"</f>
        <v>#VALUE!</v>
      </c>
      <c r="EI7" t="e">
        <f>'Data Dictionnary'!L105+"$$8p!9`"</f>
        <v>#VALUE!</v>
      </c>
      <c r="EJ7" t="e">
        <f>'Data Dictionnary'!C106+"$$8p!9a"</f>
        <v>#VALUE!</v>
      </c>
      <c r="EK7" t="e">
        <f>'Data Dictionnary'!D106+"$$8p!9b"</f>
        <v>#VALUE!</v>
      </c>
      <c r="EL7" t="e">
        <f>'Data Dictionnary'!E106+"$$8p!9c"</f>
        <v>#VALUE!</v>
      </c>
      <c r="EM7" t="e">
        <f>'Data Dictionnary'!F106+"$$8p!9d"</f>
        <v>#VALUE!</v>
      </c>
      <c r="EN7" t="e">
        <f>'Data Dictionnary'!G106+"$$8p!9e"</f>
        <v>#VALUE!</v>
      </c>
      <c r="EO7" t="e">
        <f>'Data Dictionnary'!H106+"$$8p!9f"</f>
        <v>#VALUE!</v>
      </c>
      <c r="EP7" t="e">
        <f>'Data Dictionnary'!I106+"$$8p!9g"</f>
        <v>#VALUE!</v>
      </c>
      <c r="EQ7" t="e">
        <f>'Data Dictionnary'!J106+"$$8p!9h"</f>
        <v>#VALUE!</v>
      </c>
      <c r="ER7" t="e">
        <f>'Data Dictionnary'!K106+"$$8p!9i"</f>
        <v>#VALUE!</v>
      </c>
      <c r="ES7" t="e">
        <f>'Data Dictionnary'!L106+"$$8p!9j"</f>
        <v>#VALUE!</v>
      </c>
      <c r="ET7" t="e">
        <f>'Data Dictionnary'!C107+"$$8p!9k"</f>
        <v>#VALUE!</v>
      </c>
      <c r="EU7" t="e">
        <f>'Data Dictionnary'!D107+"$$8p!9l"</f>
        <v>#VALUE!</v>
      </c>
      <c r="EV7" t="e">
        <f>'Data Dictionnary'!E107+"$$8p!9m"</f>
        <v>#VALUE!</v>
      </c>
      <c r="EW7" t="e">
        <f>'Data Dictionnary'!F107+"$$8p!9n"</f>
        <v>#VALUE!</v>
      </c>
      <c r="EX7" t="e">
        <f>'Data Dictionnary'!G107+"$$8p!9o"</f>
        <v>#VALUE!</v>
      </c>
      <c r="EY7" t="e">
        <f>'Data Dictionnary'!H107+"$$8p!9p"</f>
        <v>#VALUE!</v>
      </c>
      <c r="EZ7" t="e">
        <f>'Data Dictionnary'!I107+"$$8p!9q"</f>
        <v>#VALUE!</v>
      </c>
      <c r="FA7" t="e">
        <f>'Data Dictionnary'!J107+"$$8p!9r"</f>
        <v>#VALUE!</v>
      </c>
      <c r="FB7" t="e">
        <f>'Data Dictionnary'!K107+"$$8p!9s"</f>
        <v>#VALUE!</v>
      </c>
      <c r="FC7" t="e">
        <f>'Data Dictionnary'!L107+"$$8p!9t"</f>
        <v>#VALUE!</v>
      </c>
      <c r="FD7" t="e">
        <f>'Data Dictionnary'!C108+"$$8p!9u"</f>
        <v>#VALUE!</v>
      </c>
      <c r="FE7" t="e">
        <f>'Data Dictionnary'!D108+"$$8p!9v"</f>
        <v>#VALUE!</v>
      </c>
      <c r="FF7" t="e">
        <f>'Data Dictionnary'!E108+"$$8p!9w"</f>
        <v>#VALUE!</v>
      </c>
      <c r="FG7" t="e">
        <f>'Data Dictionnary'!F108+"$$8p!9x"</f>
        <v>#VALUE!</v>
      </c>
      <c r="FH7" t="e">
        <f>'Data Dictionnary'!G108+"$$8p!9y"</f>
        <v>#VALUE!</v>
      </c>
      <c r="FI7" t="e">
        <f>'Data Dictionnary'!H108+"$$8p!9z"</f>
        <v>#VALUE!</v>
      </c>
      <c r="FJ7" t="e">
        <f>'Data Dictionnary'!I108+"$$8p!9{"</f>
        <v>#VALUE!</v>
      </c>
      <c r="FK7" t="e">
        <f>'Data Dictionnary'!J108+"$$8p!9|"</f>
        <v>#VALUE!</v>
      </c>
      <c r="FL7" t="e">
        <f>'Data Dictionnary'!K108+"$$8p!9}"</f>
        <v>#VALUE!</v>
      </c>
      <c r="FM7" t="e">
        <f>'Data Dictionnary'!L108+"$$8p!9~"</f>
        <v>#VALUE!</v>
      </c>
      <c r="FN7" t="e">
        <f>'Data Dictionnary'!C109+"$$8p!:#"</f>
        <v>#VALUE!</v>
      </c>
      <c r="FO7" t="e">
        <f>'Data Dictionnary'!D109+"$$8p!:$"</f>
        <v>#VALUE!</v>
      </c>
      <c r="FP7" t="e">
        <f>'Data Dictionnary'!E109+"$$8p!:%"</f>
        <v>#VALUE!</v>
      </c>
      <c r="FQ7" t="e">
        <f>'Data Dictionnary'!F109+"$$8p!:&amp;"</f>
        <v>#VALUE!</v>
      </c>
      <c r="FR7" t="e">
        <f>'Data Dictionnary'!G109+"$$8p!:'"</f>
        <v>#VALUE!</v>
      </c>
      <c r="FS7" t="e">
        <f>'Data Dictionnary'!H109+"$$8p!:("</f>
        <v>#VALUE!</v>
      </c>
      <c r="FT7" t="e">
        <f>'Data Dictionnary'!I109+"$$8p!:)"</f>
        <v>#VALUE!</v>
      </c>
      <c r="FU7" t="e">
        <f>'Data Dictionnary'!J109+"$$8p!:."</f>
        <v>#VALUE!</v>
      </c>
      <c r="FV7" t="e">
        <f>'Data Dictionnary'!K109+"$$8p!:/"</f>
        <v>#VALUE!</v>
      </c>
      <c r="FW7" t="e">
        <f>'Data Dictionnary'!L109+"$$8p!:0"</f>
        <v>#VALUE!</v>
      </c>
      <c r="FX7" t="e">
        <f>'Data Dictionnary'!C110+"$$8p!:1"</f>
        <v>#VALUE!</v>
      </c>
      <c r="FY7" t="e">
        <f>'Data Dictionnary'!D110+"$$8p!:2"</f>
        <v>#VALUE!</v>
      </c>
      <c r="FZ7" t="e">
        <f>'Data Dictionnary'!E110+"$$8p!:3"</f>
        <v>#VALUE!</v>
      </c>
      <c r="GA7" t="e">
        <f>'Data Dictionnary'!F110+"$$8p!:4"</f>
        <v>#VALUE!</v>
      </c>
      <c r="GB7" t="e">
        <f>'Data Dictionnary'!G110+"$$8p!:5"</f>
        <v>#VALUE!</v>
      </c>
      <c r="GC7" t="e">
        <f>'Data Dictionnary'!H110+"$$8p!:6"</f>
        <v>#VALUE!</v>
      </c>
      <c r="GD7" t="e">
        <f>'Data Dictionnary'!I110+"$$8p!:7"</f>
        <v>#VALUE!</v>
      </c>
      <c r="GE7" t="e">
        <f>'Data Dictionnary'!J110+"$$8p!:8"</f>
        <v>#VALUE!</v>
      </c>
      <c r="GF7" t="e">
        <f>'Data Dictionnary'!K110+"$$8p!:9"</f>
        <v>#VALUE!</v>
      </c>
      <c r="GG7" t="e">
        <f>'Data Dictionnary'!L110+"$$8p!::"</f>
        <v>#VALUE!</v>
      </c>
      <c r="GH7" t="e">
        <f>'Data Dictionnary'!C111+"$$8p!:;"</f>
        <v>#VALUE!</v>
      </c>
      <c r="GI7" t="e">
        <f>'Data Dictionnary'!D111+"$$8p!:&lt;"</f>
        <v>#VALUE!</v>
      </c>
      <c r="GJ7" t="e">
        <f>'Data Dictionnary'!E111+"$$8p!:="</f>
        <v>#VALUE!</v>
      </c>
      <c r="GK7" t="e">
        <f>'Data Dictionnary'!F111+"$$8p!:&gt;"</f>
        <v>#VALUE!</v>
      </c>
      <c r="GL7" t="e">
        <f>'Data Dictionnary'!G111+"$$8p!:?"</f>
        <v>#VALUE!</v>
      </c>
      <c r="GM7" t="e">
        <f>'Data Dictionnary'!H111+"$$8p!:@"</f>
        <v>#VALUE!</v>
      </c>
      <c r="GN7" t="e">
        <f>'Data Dictionnary'!I111+"$$8p!:A"</f>
        <v>#VALUE!</v>
      </c>
      <c r="GO7" t="e">
        <f>'Data Dictionnary'!J111+"$$8p!:B"</f>
        <v>#VALUE!</v>
      </c>
      <c r="GP7" t="e">
        <f>'Data Dictionnary'!K111+"$$8p!:C"</f>
        <v>#VALUE!</v>
      </c>
      <c r="GQ7" t="e">
        <f>'Data Dictionnary'!L111+"$$8p!:D"</f>
        <v>#VALUE!</v>
      </c>
      <c r="GR7" t="e">
        <f>'Data Dictionnary'!C112+"$$8p!:E"</f>
        <v>#VALUE!</v>
      </c>
      <c r="GS7" t="e">
        <f>'Data Dictionnary'!D112+"$$8p!:F"</f>
        <v>#VALUE!</v>
      </c>
      <c r="GT7" t="e">
        <f>'Data Dictionnary'!E112+"$$8p!:G"</f>
        <v>#VALUE!</v>
      </c>
      <c r="GU7" t="e">
        <f>'Data Dictionnary'!F112+"$$8p!:H"</f>
        <v>#VALUE!</v>
      </c>
      <c r="GV7" t="e">
        <f>'Data Dictionnary'!G112+"$$8p!:I"</f>
        <v>#VALUE!</v>
      </c>
      <c r="GW7" t="e">
        <f>'Data Dictionnary'!H112+"$$8p!:J"</f>
        <v>#VALUE!</v>
      </c>
      <c r="GX7" t="e">
        <f>'Data Dictionnary'!I112+"$$8p!:K"</f>
        <v>#VALUE!</v>
      </c>
      <c r="GY7" t="e">
        <f>'Data Dictionnary'!J112+"$$8p!:L"</f>
        <v>#VALUE!</v>
      </c>
      <c r="GZ7" t="e">
        <f>'Data Dictionnary'!K112+"$$8p!:M"</f>
        <v>#VALUE!</v>
      </c>
      <c r="HA7" t="e">
        <f>'Data Dictionnary'!L112+"$$8p!:N"</f>
        <v>#VALUE!</v>
      </c>
      <c r="HB7" t="e">
        <f>'Data Dictionnary'!C113+"$$8p!:O"</f>
        <v>#VALUE!</v>
      </c>
      <c r="HC7" t="e">
        <f>'Data Dictionnary'!D113+"$$8p!:P"</f>
        <v>#VALUE!</v>
      </c>
      <c r="HD7" t="e">
        <f>'Data Dictionnary'!E113+"$$8p!:Q"</f>
        <v>#VALUE!</v>
      </c>
      <c r="HE7" t="e">
        <f>'Data Dictionnary'!F113+"$$8p!:R"</f>
        <v>#VALUE!</v>
      </c>
      <c r="HF7" t="e">
        <f>'Data Dictionnary'!G113+"$$8p!:S"</f>
        <v>#VALUE!</v>
      </c>
      <c r="HG7" t="e">
        <f>'Data Dictionnary'!H113+"$$8p!:T"</f>
        <v>#VALUE!</v>
      </c>
      <c r="HH7" t="e">
        <f>'Data Dictionnary'!I113+"$$8p!:U"</f>
        <v>#VALUE!</v>
      </c>
      <c r="HI7" t="e">
        <f>'Data Dictionnary'!J113+"$$8p!:V"</f>
        <v>#VALUE!</v>
      </c>
      <c r="HJ7" t="e">
        <f>'Data Dictionnary'!K113+"$$8p!:W"</f>
        <v>#VALUE!</v>
      </c>
      <c r="HK7" t="e">
        <f>'Data Dictionnary'!L113+"$$8p!:X"</f>
        <v>#VALUE!</v>
      </c>
      <c r="HL7" t="e">
        <f>'Data Dictionnary'!C114+"$$8p!:Y"</f>
        <v>#VALUE!</v>
      </c>
      <c r="HM7" t="e">
        <f>'Data Dictionnary'!D114+"$$8p!:Z"</f>
        <v>#VALUE!</v>
      </c>
      <c r="HN7" t="e">
        <f>'Data Dictionnary'!E114+"$$8p!:["</f>
        <v>#VALUE!</v>
      </c>
      <c r="HO7" t="e">
        <f>'Data Dictionnary'!F114+"$$8p!:\"</f>
        <v>#VALUE!</v>
      </c>
      <c r="HP7" t="e">
        <f>'Data Dictionnary'!G114+"$$8p!:]"</f>
        <v>#VALUE!</v>
      </c>
      <c r="HQ7" t="e">
        <f>'Data Dictionnary'!H114+"$$8p!:^"</f>
        <v>#VALUE!</v>
      </c>
      <c r="HR7" t="e">
        <f>'Data Dictionnary'!I114+"$$8p!:_"</f>
        <v>#VALUE!</v>
      </c>
      <c r="HS7" t="e">
        <f>'Data Dictionnary'!J114+"$$8p!:`"</f>
        <v>#VALUE!</v>
      </c>
      <c r="HT7" t="e">
        <f>'Data Dictionnary'!K114+"$$8p!:a"</f>
        <v>#VALUE!</v>
      </c>
      <c r="HU7" t="e">
        <f>'Data Dictionnary'!L114+"$$8p!:b"</f>
        <v>#VALUE!</v>
      </c>
      <c r="HV7" t="e">
        <f>'Data Dictionnary'!C115+"$$8p!:c"</f>
        <v>#VALUE!</v>
      </c>
      <c r="HW7" t="e">
        <f>'Data Dictionnary'!D115+"$$8p!:d"</f>
        <v>#VALUE!</v>
      </c>
      <c r="HX7" t="e">
        <f>'Data Dictionnary'!E115+"$$8p!:e"</f>
        <v>#VALUE!</v>
      </c>
      <c r="HY7" t="e">
        <f>'Data Dictionnary'!F115+"$$8p!:f"</f>
        <v>#VALUE!</v>
      </c>
      <c r="HZ7" t="e">
        <f>'Data Dictionnary'!G115+"$$8p!:g"</f>
        <v>#VALUE!</v>
      </c>
      <c r="IA7" t="e">
        <f>'Data Dictionnary'!H115+"$$8p!:h"</f>
        <v>#VALUE!</v>
      </c>
      <c r="IB7" t="e">
        <f>'Data Dictionnary'!I115+"$$8p!:i"</f>
        <v>#VALUE!</v>
      </c>
      <c r="IC7" t="e">
        <f>'Data Dictionnary'!J115+"$$8p!:j"</f>
        <v>#VALUE!</v>
      </c>
      <c r="ID7" t="e">
        <f>'Data Dictionnary'!K115+"$$8p!:k"</f>
        <v>#VALUE!</v>
      </c>
      <c r="IE7" t="e">
        <f>'Data Dictionnary'!L115+"$$8p!:l"</f>
        <v>#VALUE!</v>
      </c>
      <c r="IF7" t="e">
        <f>'Data Dictionnary'!C116+"$$8p!:m"</f>
        <v>#VALUE!</v>
      </c>
      <c r="IG7" t="e">
        <f>'Data Dictionnary'!D116+"$$8p!:n"</f>
        <v>#VALUE!</v>
      </c>
      <c r="IH7" t="e">
        <f>'Data Dictionnary'!E116+"$$8p!:o"</f>
        <v>#VALUE!</v>
      </c>
      <c r="II7" t="e">
        <f>'Data Dictionnary'!F116+"$$8p!:p"</f>
        <v>#VALUE!</v>
      </c>
      <c r="IJ7" t="e">
        <f>'Data Dictionnary'!G116+"$$8p!:q"</f>
        <v>#VALUE!</v>
      </c>
      <c r="IK7" t="e">
        <f>'Data Dictionnary'!H116+"$$8p!:r"</f>
        <v>#VALUE!</v>
      </c>
      <c r="IL7" t="e">
        <f>'Data Dictionnary'!I116+"$$8p!:s"</f>
        <v>#VALUE!</v>
      </c>
      <c r="IM7" t="e">
        <f>'Data Dictionnary'!J116+"$$8p!:t"</f>
        <v>#VALUE!</v>
      </c>
      <c r="IN7" t="e">
        <f>'Data Dictionnary'!K116+"$$8p!:u"</f>
        <v>#VALUE!</v>
      </c>
      <c r="IO7" t="e">
        <f>'Data Dictionnary'!L116+"$$8p!:v"</f>
        <v>#VALUE!</v>
      </c>
      <c r="IP7" t="e">
        <f>'Data Dictionnary'!C117+"$$8p!:w"</f>
        <v>#VALUE!</v>
      </c>
      <c r="IQ7" t="e">
        <f>'Data Dictionnary'!D117+"$$8p!:x"</f>
        <v>#VALUE!</v>
      </c>
      <c r="IR7" t="e">
        <f>'Data Dictionnary'!E117+"$$8p!:y"</f>
        <v>#VALUE!</v>
      </c>
      <c r="IS7" t="e">
        <f>'Data Dictionnary'!F117+"$$8p!:z"</f>
        <v>#VALUE!</v>
      </c>
      <c r="IT7" t="e">
        <f>'Data Dictionnary'!G117+"$$8p!:{"</f>
        <v>#VALUE!</v>
      </c>
      <c r="IU7" t="e">
        <f>'Data Dictionnary'!H117+"$$8p!:|"</f>
        <v>#VALUE!</v>
      </c>
      <c r="IV7" t="e">
        <f>'Data Dictionnary'!I117+"$$8p!:}"</f>
        <v>#VALUE!</v>
      </c>
    </row>
    <row r="8" spans="1:256" x14ac:dyDescent="0.35">
      <c r="F8" t="e">
        <f>'Data Dictionnary'!J117+"$$8p!:~"</f>
        <v>#VALUE!</v>
      </c>
      <c r="G8" t="e">
        <f>'Data Dictionnary'!K117+"$$8p!;#"</f>
        <v>#VALUE!</v>
      </c>
      <c r="H8" t="e">
        <f>'Data Dictionnary'!L117+"$$8p!;$"</f>
        <v>#VALUE!</v>
      </c>
      <c r="I8" t="e">
        <f>'Data Dictionnary'!C118+"$$8p!;%"</f>
        <v>#VALUE!</v>
      </c>
      <c r="J8" t="e">
        <f>'Data Dictionnary'!D118+"$$8p!;&amp;"</f>
        <v>#VALUE!</v>
      </c>
      <c r="K8" t="e">
        <f>'Data Dictionnary'!E118+"$$8p!;'"</f>
        <v>#VALUE!</v>
      </c>
      <c r="L8" t="e">
        <f>'Data Dictionnary'!F118+"$$8p!;("</f>
        <v>#VALUE!</v>
      </c>
      <c r="M8" t="e">
        <f>'Data Dictionnary'!G118+"$$8p!;)"</f>
        <v>#VALUE!</v>
      </c>
      <c r="N8" t="e">
        <f>'Data Dictionnary'!H118+"$$8p!;."</f>
        <v>#VALUE!</v>
      </c>
      <c r="O8" t="e">
        <f>'Data Dictionnary'!I118+"$$8p!;/"</f>
        <v>#VALUE!</v>
      </c>
      <c r="P8" t="e">
        <f>'Data Dictionnary'!J118+"$$8p!;0"</f>
        <v>#VALUE!</v>
      </c>
      <c r="Q8" t="e">
        <f>'Data Dictionnary'!K118+"$$8p!;1"</f>
        <v>#VALUE!</v>
      </c>
      <c r="R8" t="e">
        <f>'Data Dictionnary'!L118+"$$8p!;2"</f>
        <v>#VALUE!</v>
      </c>
      <c r="S8" t="e">
        <f>'Data Dictionnary'!C119+"$$8p!;3"</f>
        <v>#VALUE!</v>
      </c>
      <c r="T8" t="e">
        <f>'Data Dictionnary'!D119+"$$8p!;4"</f>
        <v>#VALUE!</v>
      </c>
      <c r="U8" t="e">
        <f>'Data Dictionnary'!E119+"$$8p!;5"</f>
        <v>#VALUE!</v>
      </c>
      <c r="V8" t="e">
        <f>'Data Dictionnary'!F119+"$$8p!;6"</f>
        <v>#VALUE!</v>
      </c>
      <c r="W8" t="e">
        <f>'Data Dictionnary'!G119+"$$8p!;7"</f>
        <v>#VALUE!</v>
      </c>
      <c r="X8" t="e">
        <f>'Data Dictionnary'!H119+"$$8p!;8"</f>
        <v>#VALUE!</v>
      </c>
      <c r="Y8" t="e">
        <f>'Data Dictionnary'!I119+"$$8p!;9"</f>
        <v>#VALUE!</v>
      </c>
      <c r="Z8" t="e">
        <f>'Data Dictionnary'!J119+"$$8p!;:"</f>
        <v>#VALUE!</v>
      </c>
      <c r="AA8" t="e">
        <f>'Data Dictionnary'!K119+"$$8p!;;"</f>
        <v>#VALUE!</v>
      </c>
      <c r="AB8" t="e">
        <f>'Data Dictionnary'!L119+"$$8p!;&lt;"</f>
        <v>#VALUE!</v>
      </c>
      <c r="AC8" t="e">
        <f>'Data Dictionnary'!C120+"$$8p!;="</f>
        <v>#VALUE!</v>
      </c>
      <c r="AD8" t="e">
        <f>'Data Dictionnary'!D120+"$$8p!;&gt;"</f>
        <v>#VALUE!</v>
      </c>
      <c r="AE8" t="e">
        <f>'Data Dictionnary'!E120+"$$8p!;?"</f>
        <v>#VALUE!</v>
      </c>
      <c r="AF8" t="e">
        <f>'Data Dictionnary'!F120+"$$8p!;@"</f>
        <v>#VALUE!</v>
      </c>
      <c r="AG8" t="e">
        <f>'Data Dictionnary'!G120+"$$8p!;A"</f>
        <v>#VALUE!</v>
      </c>
      <c r="AH8" t="e">
        <f>'Data Dictionnary'!H120+"$$8p!;B"</f>
        <v>#VALUE!</v>
      </c>
      <c r="AI8" t="e">
        <f>'Data Dictionnary'!I120+"$$8p!;C"</f>
        <v>#VALUE!</v>
      </c>
      <c r="AJ8" t="e">
        <f>'Data Dictionnary'!J120+"$$8p!;D"</f>
        <v>#VALUE!</v>
      </c>
      <c r="AK8" t="e">
        <f>'Data Dictionnary'!K120+"$$8p!;E"</f>
        <v>#VALUE!</v>
      </c>
      <c r="AL8" t="e">
        <f>'Data Dictionnary'!L120+"$$8p!;F"</f>
        <v>#VALUE!</v>
      </c>
      <c r="AM8" t="e">
        <f>'Data Dictionnary'!C121+"$$8p!;G"</f>
        <v>#VALUE!</v>
      </c>
      <c r="AN8" t="e">
        <f>'Data Dictionnary'!D121+"$$8p!;H"</f>
        <v>#VALUE!</v>
      </c>
      <c r="AO8" t="e">
        <f>'Data Dictionnary'!E121+"$$8p!;I"</f>
        <v>#VALUE!</v>
      </c>
      <c r="AP8" t="e">
        <f>'Data Dictionnary'!F121+"$$8p!;J"</f>
        <v>#VALUE!</v>
      </c>
      <c r="AQ8" t="e">
        <f>'Data Dictionnary'!G121+"$$8p!;K"</f>
        <v>#VALUE!</v>
      </c>
      <c r="AR8" t="e">
        <f>'Data Dictionnary'!H121+"$$8p!;L"</f>
        <v>#VALUE!</v>
      </c>
      <c r="AS8" t="e">
        <f>'Data Dictionnary'!I121+"$$8p!;M"</f>
        <v>#VALUE!</v>
      </c>
      <c r="AT8" t="e">
        <f>'Data Dictionnary'!J121+"$$8p!;N"</f>
        <v>#VALUE!</v>
      </c>
      <c r="AU8" t="e">
        <f>'Data Dictionnary'!K121+"$$8p!;O"</f>
        <v>#VALUE!</v>
      </c>
      <c r="AV8" t="e">
        <f>'Data Dictionnary'!L121+"$$8p!;P"</f>
        <v>#VALUE!</v>
      </c>
      <c r="AW8" t="e">
        <f>'Data Dictionnary'!C122+"$$8p!;Q"</f>
        <v>#VALUE!</v>
      </c>
      <c r="AX8" t="e">
        <f>'Data Dictionnary'!D122+"$$8p!;R"</f>
        <v>#VALUE!</v>
      </c>
      <c r="AY8" t="e">
        <f>'Data Dictionnary'!E122+"$$8p!;S"</f>
        <v>#VALUE!</v>
      </c>
      <c r="AZ8" t="e">
        <f>'Data Dictionnary'!F122+"$$8p!;T"</f>
        <v>#VALUE!</v>
      </c>
      <c r="BA8" t="e">
        <f>'Data Dictionnary'!G122+"$$8p!;U"</f>
        <v>#VALUE!</v>
      </c>
      <c r="BB8" t="e">
        <f>'Data Dictionnary'!H122+"$$8p!;V"</f>
        <v>#VALUE!</v>
      </c>
      <c r="BC8" t="e">
        <f>'Data Dictionnary'!I122+"$$8p!;W"</f>
        <v>#VALUE!</v>
      </c>
      <c r="BD8" t="e">
        <f>'Data Dictionnary'!J122+"$$8p!;X"</f>
        <v>#VALUE!</v>
      </c>
      <c r="BE8" t="e">
        <f>'Data Dictionnary'!K122+"$$8p!;Y"</f>
        <v>#VALUE!</v>
      </c>
      <c r="BF8" t="e">
        <f>'Data Dictionnary'!L122+"$$8p!;Z"</f>
        <v>#VALUE!</v>
      </c>
      <c r="BG8" t="e">
        <f>'Data Dictionnary'!C123+"$$8p!;["</f>
        <v>#VALUE!</v>
      </c>
      <c r="BH8" t="e">
        <f>'Data Dictionnary'!D123+"$$8p!;\"</f>
        <v>#VALUE!</v>
      </c>
      <c r="BI8" t="e">
        <f>'Data Dictionnary'!E123+"$$8p!;]"</f>
        <v>#VALUE!</v>
      </c>
      <c r="BJ8" t="e">
        <f>'Data Dictionnary'!F123+"$$8p!;^"</f>
        <v>#VALUE!</v>
      </c>
      <c r="BK8" t="e">
        <f>'Data Dictionnary'!G123+"$$8p!;_"</f>
        <v>#VALUE!</v>
      </c>
      <c r="BL8" t="e">
        <f>'Data Dictionnary'!H123+"$$8p!;`"</f>
        <v>#VALUE!</v>
      </c>
      <c r="BM8" t="e">
        <f>'Data Dictionnary'!I123+"$$8p!;a"</f>
        <v>#VALUE!</v>
      </c>
      <c r="BN8" t="e">
        <f>'Data Dictionnary'!J123+"$$8p!;b"</f>
        <v>#VALUE!</v>
      </c>
      <c r="BO8" t="e">
        <f>'Data Dictionnary'!K123+"$$8p!;c"</f>
        <v>#VALUE!</v>
      </c>
      <c r="BP8" t="e">
        <f>'Data Dictionnary'!L123+"$$8p!;d"</f>
        <v>#VALUE!</v>
      </c>
      <c r="BQ8" t="e">
        <f>'Data Dictionnary'!C124+"$$8p!;e"</f>
        <v>#VALUE!</v>
      </c>
      <c r="BR8" t="e">
        <f>'Data Dictionnary'!D124+"$$8p!;f"</f>
        <v>#VALUE!</v>
      </c>
      <c r="BS8" t="e">
        <f>'Data Dictionnary'!E124+"$$8p!;g"</f>
        <v>#VALUE!</v>
      </c>
      <c r="BT8" t="e">
        <f>'Data Dictionnary'!F124+"$$8p!;h"</f>
        <v>#VALUE!</v>
      </c>
      <c r="BU8" t="e">
        <f>'Data Dictionnary'!G124+"$$8p!;i"</f>
        <v>#VALUE!</v>
      </c>
      <c r="BV8" t="e">
        <f>'Data Dictionnary'!H124+"$$8p!;j"</f>
        <v>#VALUE!</v>
      </c>
      <c r="BW8" t="e">
        <f>'Data Dictionnary'!I124+"$$8p!;k"</f>
        <v>#VALUE!</v>
      </c>
      <c r="BX8" t="e">
        <f>'Data Dictionnary'!J124+"$$8p!;l"</f>
        <v>#VALUE!</v>
      </c>
      <c r="BY8" t="e">
        <f>'Data Dictionnary'!K124+"$$8p!;m"</f>
        <v>#VALUE!</v>
      </c>
      <c r="BZ8" t="e">
        <f>'Data Dictionnary'!L124+"$$8p!;n"</f>
        <v>#VALUE!</v>
      </c>
      <c r="CA8" t="e">
        <f>'Data Dictionnary'!C125+"$$8p!;o"</f>
        <v>#VALUE!</v>
      </c>
      <c r="CB8" t="e">
        <f>'Data Dictionnary'!D125+"$$8p!;p"</f>
        <v>#VALUE!</v>
      </c>
      <c r="CC8" t="e">
        <f>'Data Dictionnary'!E125+"$$8p!;q"</f>
        <v>#VALUE!</v>
      </c>
      <c r="CD8" t="e">
        <f>'Data Dictionnary'!F125+"$$8p!;r"</f>
        <v>#VALUE!</v>
      </c>
      <c r="CE8" t="e">
        <f>'Data Dictionnary'!G125+"$$8p!;s"</f>
        <v>#VALUE!</v>
      </c>
      <c r="CF8" t="e">
        <f>'Data Dictionnary'!H125+"$$8p!;t"</f>
        <v>#VALUE!</v>
      </c>
      <c r="CG8" t="e">
        <f>'Data Dictionnary'!I125+"$$8p!;u"</f>
        <v>#VALUE!</v>
      </c>
      <c r="CH8" t="e">
        <f>'Data Dictionnary'!J125+"$$8p!;v"</f>
        <v>#VALUE!</v>
      </c>
      <c r="CI8" t="e">
        <f>'Data Dictionnary'!K125+"$$8p!;w"</f>
        <v>#VALUE!</v>
      </c>
      <c r="CJ8" t="e">
        <f>'Data Dictionnary'!L125+"$$8p!;x"</f>
        <v>#VALUE!</v>
      </c>
      <c r="CK8" t="e">
        <f>'Data Dictionnary'!C126+"$$8p!;y"</f>
        <v>#VALUE!</v>
      </c>
      <c r="CL8" t="e">
        <f>'Data Dictionnary'!D126+"$$8p!;z"</f>
        <v>#VALUE!</v>
      </c>
      <c r="CM8" t="e">
        <f>'Data Dictionnary'!E126+"$$8p!;{"</f>
        <v>#VALUE!</v>
      </c>
      <c r="CN8" t="e">
        <f>'Data Dictionnary'!F126+"$$8p!;|"</f>
        <v>#VALUE!</v>
      </c>
      <c r="CO8" t="e">
        <f>'Data Dictionnary'!G126+"$$8p!;}"</f>
        <v>#VALUE!</v>
      </c>
      <c r="CP8" t="e">
        <f>'Data Dictionnary'!H126+"$$8p!;~"</f>
        <v>#VALUE!</v>
      </c>
      <c r="CQ8" t="e">
        <f>'Data Dictionnary'!I126+"$$8p!&lt;#"</f>
        <v>#VALUE!</v>
      </c>
      <c r="CR8" t="e">
        <f>'Data Dictionnary'!J126+"$$8p!&lt;$"</f>
        <v>#VALUE!</v>
      </c>
      <c r="CS8" t="e">
        <f>'Data Dictionnary'!K126+"$$8p!&lt;%"</f>
        <v>#VALUE!</v>
      </c>
      <c r="CT8" t="e">
        <f>'Data Dictionnary'!L126+"$$8p!&lt;&amp;"</f>
        <v>#VALUE!</v>
      </c>
      <c r="CU8" t="e">
        <f>'Data Dictionnary'!C127+"$$8p!&lt;'"</f>
        <v>#VALUE!</v>
      </c>
      <c r="CV8" t="e">
        <f>'Data Dictionnary'!D127+"$$8p!&lt;("</f>
        <v>#VALUE!</v>
      </c>
      <c r="CW8" t="e">
        <f>'Data Dictionnary'!E127+"$$8p!&lt;)"</f>
        <v>#VALUE!</v>
      </c>
      <c r="CX8" t="e">
        <f>'Data Dictionnary'!F127+"$$8p!&lt;."</f>
        <v>#VALUE!</v>
      </c>
      <c r="CY8" t="e">
        <f>'Data Dictionnary'!G127+"$$8p!&lt;/"</f>
        <v>#VALUE!</v>
      </c>
      <c r="CZ8" t="e">
        <f>'Data Dictionnary'!H127+"$$8p!&lt;0"</f>
        <v>#VALUE!</v>
      </c>
      <c r="DA8" t="e">
        <f>'Data Dictionnary'!I127+"$$8p!&lt;1"</f>
        <v>#VALUE!</v>
      </c>
      <c r="DB8" t="e">
        <f>'Data Dictionnary'!J127+"$$8p!&lt;2"</f>
        <v>#VALUE!</v>
      </c>
      <c r="DC8" t="e">
        <f>'Data Dictionnary'!K127+"$$8p!&lt;3"</f>
        <v>#VALUE!</v>
      </c>
      <c r="DD8" t="e">
        <f>'Data Dictionnary'!L127+"$$8p!&lt;4"</f>
        <v>#VALUE!</v>
      </c>
      <c r="DE8" t="e">
        <f>'Data Dictionnary'!C128+"$$8p!&lt;5"</f>
        <v>#VALUE!</v>
      </c>
      <c r="DF8" t="e">
        <f>'Data Dictionnary'!D128+"$$8p!&lt;6"</f>
        <v>#VALUE!</v>
      </c>
      <c r="DG8" t="e">
        <f>'Data Dictionnary'!E128+"$$8p!&lt;7"</f>
        <v>#VALUE!</v>
      </c>
      <c r="DH8" t="e">
        <f>'Data Dictionnary'!F128+"$$8p!&lt;8"</f>
        <v>#VALUE!</v>
      </c>
      <c r="DI8" t="e">
        <f>'Data Dictionnary'!G128+"$$8p!&lt;9"</f>
        <v>#VALUE!</v>
      </c>
      <c r="DJ8" t="e">
        <f>'Data Dictionnary'!H128+"$$8p!&lt;:"</f>
        <v>#VALUE!</v>
      </c>
      <c r="DK8" t="e">
        <f>'Data Dictionnary'!I128+"$$8p!&lt;;"</f>
        <v>#VALUE!</v>
      </c>
      <c r="DL8" t="e">
        <f>'Data Dictionnary'!J128+"$$8p!&lt;&lt;"</f>
        <v>#VALUE!</v>
      </c>
      <c r="DM8" t="e">
        <f>'Data Dictionnary'!K128+"$$8p!&lt;="</f>
        <v>#VALUE!</v>
      </c>
      <c r="DN8" t="e">
        <f>'Data Dictionnary'!L128+"$$8p!&lt;&gt;"</f>
        <v>#VALUE!</v>
      </c>
      <c r="DO8" t="e">
        <f>'Data Dictionnary'!C129+"$$8p!&lt;?"</f>
        <v>#VALUE!</v>
      </c>
      <c r="DP8" t="e">
        <f>'Data Dictionnary'!D129+"$$8p!&lt;@"</f>
        <v>#VALUE!</v>
      </c>
      <c r="DQ8" t="e">
        <f>'Data Dictionnary'!E129+"$$8p!&lt;A"</f>
        <v>#VALUE!</v>
      </c>
      <c r="DR8" t="e">
        <f>'Data Dictionnary'!F129+"$$8p!&lt;B"</f>
        <v>#VALUE!</v>
      </c>
      <c r="DS8" t="e">
        <f>'Data Dictionnary'!G129+"$$8p!&lt;C"</f>
        <v>#VALUE!</v>
      </c>
      <c r="DT8" t="e">
        <f>'Data Dictionnary'!H129+"$$8p!&lt;D"</f>
        <v>#VALUE!</v>
      </c>
      <c r="DU8" t="e">
        <f>'Data Dictionnary'!I129+"$$8p!&lt;E"</f>
        <v>#VALUE!</v>
      </c>
      <c r="DV8" t="e">
        <f>'Data Dictionnary'!J129+"$$8p!&lt;F"</f>
        <v>#VALUE!</v>
      </c>
      <c r="DW8" t="e">
        <f>'Data Dictionnary'!K129+"$$8p!&lt;G"</f>
        <v>#VALUE!</v>
      </c>
      <c r="DX8" t="e">
        <f>'Data Dictionnary'!L129+"$$8p!&lt;H"</f>
        <v>#VALUE!</v>
      </c>
      <c r="DY8" t="e">
        <f>'Data Dictionnary'!C130+"$$8p!&lt;I"</f>
        <v>#VALUE!</v>
      </c>
      <c r="DZ8" t="e">
        <f>'Data Dictionnary'!D130+"$$8p!&lt;J"</f>
        <v>#VALUE!</v>
      </c>
      <c r="EA8" t="e">
        <f>'Data Dictionnary'!E130+"$$8p!&lt;K"</f>
        <v>#VALUE!</v>
      </c>
      <c r="EB8" t="e">
        <f>'Data Dictionnary'!F130+"$$8p!&lt;L"</f>
        <v>#VALUE!</v>
      </c>
      <c r="EC8" t="e">
        <f>'Data Dictionnary'!G130+"$$8p!&lt;M"</f>
        <v>#VALUE!</v>
      </c>
      <c r="ED8" t="e">
        <f>'Data Dictionnary'!H130+"$$8p!&lt;N"</f>
        <v>#VALUE!</v>
      </c>
      <c r="EE8" t="e">
        <f>'Data Dictionnary'!I130+"$$8p!&lt;O"</f>
        <v>#VALUE!</v>
      </c>
      <c r="EF8" t="e">
        <f>'Data Dictionnary'!J130+"$$8p!&lt;P"</f>
        <v>#VALUE!</v>
      </c>
      <c r="EG8" t="e">
        <f>'Data Dictionnary'!K130+"$$8p!&lt;Q"</f>
        <v>#VALUE!</v>
      </c>
      <c r="EH8" t="e">
        <f>'Data Dictionnary'!L130+"$$8p!&lt;R"</f>
        <v>#VALUE!</v>
      </c>
      <c r="EI8" t="e">
        <f>'Data Dictionnary'!C131+"$$8p!&lt;S"</f>
        <v>#VALUE!</v>
      </c>
      <c r="EJ8" t="e">
        <f>'Data Dictionnary'!D131+"$$8p!&lt;T"</f>
        <v>#VALUE!</v>
      </c>
      <c r="EK8" t="e">
        <f>'Data Dictionnary'!E131+"$$8p!&lt;U"</f>
        <v>#VALUE!</v>
      </c>
      <c r="EL8" t="e">
        <f>'Data Dictionnary'!F131+"$$8p!&lt;V"</f>
        <v>#VALUE!</v>
      </c>
      <c r="EM8" t="e">
        <f>'Data Dictionnary'!G131+"$$8p!&lt;W"</f>
        <v>#VALUE!</v>
      </c>
      <c r="EN8" t="e">
        <f>'Data Dictionnary'!H131+"$$8p!&lt;X"</f>
        <v>#VALUE!</v>
      </c>
      <c r="EO8" t="e">
        <f>'Data Dictionnary'!I131+"$$8p!&lt;Y"</f>
        <v>#VALUE!</v>
      </c>
      <c r="EP8" t="e">
        <f>'Data Dictionnary'!J131+"$$8p!&lt;Z"</f>
        <v>#VALUE!</v>
      </c>
      <c r="EQ8" t="e">
        <f>'Data Dictionnary'!K131+"$$8p!&lt;["</f>
        <v>#VALUE!</v>
      </c>
      <c r="ER8" t="e">
        <f>'Data Dictionnary'!L131+"$$8p!&lt;\"</f>
        <v>#VALUE!</v>
      </c>
      <c r="ES8" t="e">
        <f>'Data Dictionnary'!C132+"$$8p!&lt;]"</f>
        <v>#VALUE!</v>
      </c>
      <c r="ET8" t="e">
        <f>'Data Dictionnary'!D132+"$$8p!&lt;^"</f>
        <v>#VALUE!</v>
      </c>
      <c r="EU8" t="e">
        <f>'Data Dictionnary'!E132+"$$8p!&lt;_"</f>
        <v>#VALUE!</v>
      </c>
      <c r="EV8" t="e">
        <f>'Data Dictionnary'!F132+"$$8p!&lt;`"</f>
        <v>#VALUE!</v>
      </c>
      <c r="EW8" t="e">
        <f>'Data Dictionnary'!G132+"$$8p!&lt;a"</f>
        <v>#VALUE!</v>
      </c>
      <c r="EX8" t="e">
        <f>'Data Dictionnary'!H132+"$$8p!&lt;b"</f>
        <v>#VALUE!</v>
      </c>
      <c r="EY8" t="e">
        <f>'Data Dictionnary'!I132+"$$8p!&lt;c"</f>
        <v>#VALUE!</v>
      </c>
      <c r="EZ8" t="e">
        <f>'Data Dictionnary'!J132+"$$8p!&lt;d"</f>
        <v>#VALUE!</v>
      </c>
      <c r="FA8" t="e">
        <f>'Data Dictionnary'!K132+"$$8p!&lt;e"</f>
        <v>#VALUE!</v>
      </c>
      <c r="FB8" t="e">
        <f>'Data Dictionnary'!L132+"$$8p!&lt;f"</f>
        <v>#VALUE!</v>
      </c>
      <c r="FC8" t="e">
        <f>'Data Dictionnary'!C133+"$$8p!&lt;g"</f>
        <v>#VALUE!</v>
      </c>
      <c r="FD8" t="e">
        <f>'Data Dictionnary'!D133+"$$8p!&lt;h"</f>
        <v>#VALUE!</v>
      </c>
      <c r="FE8" t="e">
        <f>'Data Dictionnary'!E133+"$$8p!&lt;i"</f>
        <v>#VALUE!</v>
      </c>
      <c r="FF8" t="e">
        <f>'Data Dictionnary'!F133+"$$8p!&lt;j"</f>
        <v>#VALUE!</v>
      </c>
      <c r="FG8" t="e">
        <f>'Data Dictionnary'!G133+"$$8p!&lt;k"</f>
        <v>#VALUE!</v>
      </c>
      <c r="FH8" t="e">
        <f>'Data Dictionnary'!H133+"$$8p!&lt;l"</f>
        <v>#VALUE!</v>
      </c>
      <c r="FI8" t="e">
        <f>'Data Dictionnary'!I133+"$$8p!&lt;m"</f>
        <v>#VALUE!</v>
      </c>
      <c r="FJ8" t="e">
        <f>'Data Dictionnary'!J133+"$$8p!&lt;n"</f>
        <v>#VALUE!</v>
      </c>
      <c r="FK8" t="e">
        <f>'Data Dictionnary'!K133+"$$8p!&lt;o"</f>
        <v>#VALUE!</v>
      </c>
      <c r="FL8" t="e">
        <f>'Data Dictionnary'!L133+"$$8p!&lt;p"</f>
        <v>#VALUE!</v>
      </c>
      <c r="FM8" t="e">
        <f>'Data Dictionnary'!C134+"$$8p!&lt;q"</f>
        <v>#VALUE!</v>
      </c>
      <c r="FN8" t="e">
        <f>'Data Dictionnary'!D134+"$$8p!&lt;r"</f>
        <v>#VALUE!</v>
      </c>
      <c r="FO8" t="e">
        <f>'Data Dictionnary'!E134+"$$8p!&lt;s"</f>
        <v>#VALUE!</v>
      </c>
      <c r="FP8" t="e">
        <f>'Data Dictionnary'!F134+"$$8p!&lt;t"</f>
        <v>#VALUE!</v>
      </c>
      <c r="FQ8" t="e">
        <f>'Data Dictionnary'!G134+"$$8p!&lt;u"</f>
        <v>#VALUE!</v>
      </c>
      <c r="FR8" t="e">
        <f>'Data Dictionnary'!H134+"$$8p!&lt;v"</f>
        <v>#VALUE!</v>
      </c>
      <c r="FS8" t="e">
        <f>'Data Dictionnary'!I134+"$$8p!&lt;w"</f>
        <v>#VALUE!</v>
      </c>
      <c r="FT8" t="e">
        <f>'Data Dictionnary'!J134+"$$8p!&lt;x"</f>
        <v>#VALUE!</v>
      </c>
      <c r="FU8" t="e">
        <f>'Data Dictionnary'!K134+"$$8p!&lt;y"</f>
        <v>#VALUE!</v>
      </c>
      <c r="FV8" t="e">
        <f>'Data Dictionnary'!L134+"$$8p!&lt;z"</f>
        <v>#VALUE!</v>
      </c>
      <c r="FW8" t="e">
        <f>'Data Dictionnary'!C135+"$$8p!&lt;{"</f>
        <v>#VALUE!</v>
      </c>
      <c r="FX8" t="e">
        <f>'Data Dictionnary'!D135+"$$8p!&lt;|"</f>
        <v>#VALUE!</v>
      </c>
      <c r="FY8" t="e">
        <f>'Data Dictionnary'!E135+"$$8p!&lt;}"</f>
        <v>#VALUE!</v>
      </c>
      <c r="FZ8" t="e">
        <f>'Data Dictionnary'!F135+"$$8p!&lt;~"</f>
        <v>#VALUE!</v>
      </c>
      <c r="GA8" t="e">
        <f>'Data Dictionnary'!G135+"$$8p!=#"</f>
        <v>#VALUE!</v>
      </c>
      <c r="GB8" t="e">
        <f>'Data Dictionnary'!H135+"$$8p!=$"</f>
        <v>#VALUE!</v>
      </c>
      <c r="GC8" t="e">
        <f>'Data Dictionnary'!I135+"$$8p!=%"</f>
        <v>#VALUE!</v>
      </c>
      <c r="GD8" t="e">
        <f>'Data Dictionnary'!J135+"$$8p!=&amp;"</f>
        <v>#VALUE!</v>
      </c>
      <c r="GE8" t="e">
        <f>'Data Dictionnary'!K135+"$$8p!='"</f>
        <v>#VALUE!</v>
      </c>
      <c r="GF8" t="e">
        <f>'Data Dictionnary'!L135+"$$8p!=("</f>
        <v>#VALUE!</v>
      </c>
      <c r="GG8" t="e">
        <f>'Data Dictionnary'!C136+"$$8p!=)"</f>
        <v>#VALUE!</v>
      </c>
      <c r="GH8" t="e">
        <f>'Data Dictionnary'!D136+"$$8p!=."</f>
        <v>#VALUE!</v>
      </c>
      <c r="GI8" t="e">
        <f>'Data Dictionnary'!E136+"$$8p!=/"</f>
        <v>#VALUE!</v>
      </c>
      <c r="GJ8" t="e">
        <f>'Data Dictionnary'!F136+"$$8p!=0"</f>
        <v>#VALUE!</v>
      </c>
      <c r="GK8" t="e">
        <f>'Data Dictionnary'!G136+"$$8p!=1"</f>
        <v>#VALUE!</v>
      </c>
      <c r="GL8" t="e">
        <f>'Data Dictionnary'!H136+"$$8p!=2"</f>
        <v>#VALUE!</v>
      </c>
      <c r="GM8" t="e">
        <f>'Data Dictionnary'!I136+"$$8p!=3"</f>
        <v>#VALUE!</v>
      </c>
      <c r="GN8" t="e">
        <f>'Data Dictionnary'!J136+"$$8p!=4"</f>
        <v>#VALUE!</v>
      </c>
      <c r="GO8" t="e">
        <f>'Data Dictionnary'!K136+"$$8p!=5"</f>
        <v>#VALUE!</v>
      </c>
      <c r="GP8" t="e">
        <f>'Data Dictionnary'!L136+"$$8p!=6"</f>
        <v>#VALUE!</v>
      </c>
      <c r="GQ8" t="e">
        <f>'Data Dictionnary'!C137+"$$8p!=7"</f>
        <v>#VALUE!</v>
      </c>
      <c r="GR8" t="e">
        <f>'Data Dictionnary'!D137+"$$8p!=8"</f>
        <v>#VALUE!</v>
      </c>
      <c r="GS8" t="e">
        <f>'Data Dictionnary'!E137+"$$8p!=9"</f>
        <v>#VALUE!</v>
      </c>
      <c r="GT8" t="e">
        <f>'Data Dictionnary'!F137+"$$8p!=:"</f>
        <v>#VALUE!</v>
      </c>
      <c r="GU8" t="e">
        <f>'Data Dictionnary'!G137+"$$8p!=;"</f>
        <v>#VALUE!</v>
      </c>
      <c r="GV8" t="e">
        <f>'Data Dictionnary'!H137+"$$8p!=&lt;"</f>
        <v>#VALUE!</v>
      </c>
      <c r="GW8" t="e">
        <f>'Data Dictionnary'!I137+"$$8p!=="</f>
        <v>#VALUE!</v>
      </c>
      <c r="GX8" t="e">
        <f>'Data Dictionnary'!J137+"$$8p!=&gt;"</f>
        <v>#VALUE!</v>
      </c>
      <c r="GY8" t="e">
        <f>'Data Dictionnary'!K137+"$$8p!=?"</f>
        <v>#VALUE!</v>
      </c>
      <c r="GZ8" t="e">
        <f>'Data Dictionnary'!L137+"$$8p!=@"</f>
        <v>#VALUE!</v>
      </c>
      <c r="HA8" t="e">
        <f>'Data Dictionnary'!C138+"$$8p!=A"</f>
        <v>#VALUE!</v>
      </c>
      <c r="HB8" t="e">
        <f>'Data Dictionnary'!D138+"$$8p!=B"</f>
        <v>#VALUE!</v>
      </c>
      <c r="HC8" t="e">
        <f>'Data Dictionnary'!E138+"$$8p!=C"</f>
        <v>#VALUE!</v>
      </c>
      <c r="HD8" t="e">
        <f>'Data Dictionnary'!F138+"$$8p!=D"</f>
        <v>#VALUE!</v>
      </c>
      <c r="HE8" t="e">
        <f>'Data Dictionnary'!G138+"$$8p!=E"</f>
        <v>#VALUE!</v>
      </c>
      <c r="HF8" t="e">
        <f>'Data Dictionnary'!H138+"$$8p!=F"</f>
        <v>#VALUE!</v>
      </c>
      <c r="HG8" t="e">
        <f>'Data Dictionnary'!I138+"$$8p!=G"</f>
        <v>#VALUE!</v>
      </c>
      <c r="HH8" t="e">
        <f>'Data Dictionnary'!J138+"$$8p!=H"</f>
        <v>#VALUE!</v>
      </c>
      <c r="HI8" t="e">
        <f>'Data Dictionnary'!K138+"$$8p!=I"</f>
        <v>#VALUE!</v>
      </c>
      <c r="HJ8" t="e">
        <f>'Data Dictionnary'!L138+"$$8p!=J"</f>
        <v>#VALUE!</v>
      </c>
      <c r="HK8" t="e">
        <f>'Data Dictionnary'!C139+"$$8p!=K"</f>
        <v>#VALUE!</v>
      </c>
      <c r="HL8" t="e">
        <f>'Data Dictionnary'!D139+"$$8p!=L"</f>
        <v>#VALUE!</v>
      </c>
      <c r="HM8" t="e">
        <f>'Data Dictionnary'!E139+"$$8p!=M"</f>
        <v>#VALUE!</v>
      </c>
      <c r="HN8" t="e">
        <f>'Data Dictionnary'!F139+"$$8p!=N"</f>
        <v>#VALUE!</v>
      </c>
      <c r="HO8" t="e">
        <f>'Data Dictionnary'!G139+"$$8p!=O"</f>
        <v>#VALUE!</v>
      </c>
      <c r="HP8" t="e">
        <f>'Data Dictionnary'!H139+"$$8p!=P"</f>
        <v>#VALUE!</v>
      </c>
      <c r="HQ8" t="e">
        <f>'Data Dictionnary'!I139+"$$8p!=Q"</f>
        <v>#VALUE!</v>
      </c>
      <c r="HR8" t="e">
        <f>'Data Dictionnary'!J139+"$$8p!=R"</f>
        <v>#VALUE!</v>
      </c>
      <c r="HS8" t="e">
        <f>'Data Dictionnary'!K139+"$$8p!=S"</f>
        <v>#VALUE!</v>
      </c>
      <c r="HT8" t="e">
        <f>'Data Dictionnary'!L139+"$$8p!=T"</f>
        <v>#VALUE!</v>
      </c>
      <c r="HU8" t="e">
        <f>'Data Dictionnary'!C140+"$$8p!=U"</f>
        <v>#VALUE!</v>
      </c>
      <c r="HV8" t="e">
        <f>'Data Dictionnary'!D140+"$$8p!=V"</f>
        <v>#VALUE!</v>
      </c>
      <c r="HW8" t="e">
        <f>'Data Dictionnary'!E140+"$$8p!=W"</f>
        <v>#VALUE!</v>
      </c>
      <c r="HX8" t="e">
        <f>'Data Dictionnary'!F140+"$$8p!=X"</f>
        <v>#VALUE!</v>
      </c>
      <c r="HY8" t="e">
        <f>'Data Dictionnary'!G140+"$$8p!=Y"</f>
        <v>#VALUE!</v>
      </c>
      <c r="HZ8" t="e">
        <f>'Data Dictionnary'!H140+"$$8p!=Z"</f>
        <v>#VALUE!</v>
      </c>
      <c r="IA8" t="e">
        <f>'Data Dictionnary'!I140+"$$8p!=["</f>
        <v>#VALUE!</v>
      </c>
      <c r="IB8" t="e">
        <f>'Data Dictionnary'!J140+"$$8p!=\"</f>
        <v>#VALUE!</v>
      </c>
      <c r="IC8" t="e">
        <f>'Data Dictionnary'!K140+"$$8p!=]"</f>
        <v>#VALUE!</v>
      </c>
      <c r="ID8" t="e">
        <f>'Data Dictionnary'!L140+"$$8p!=^"</f>
        <v>#VALUE!</v>
      </c>
      <c r="IE8" t="e">
        <f>'Data Dictionnary'!C141+"$$8p!=_"</f>
        <v>#VALUE!</v>
      </c>
      <c r="IF8" t="e">
        <f>'Data Dictionnary'!D141+"$$8p!=`"</f>
        <v>#VALUE!</v>
      </c>
      <c r="IG8" t="e">
        <f>'Data Dictionnary'!E141+"$$8p!=a"</f>
        <v>#VALUE!</v>
      </c>
      <c r="IH8" t="e">
        <f>'Data Dictionnary'!F141+"$$8p!=b"</f>
        <v>#VALUE!</v>
      </c>
      <c r="II8" t="e">
        <f>'Data Dictionnary'!G141+"$$8p!=c"</f>
        <v>#VALUE!</v>
      </c>
      <c r="IJ8" t="e">
        <f>'Data Dictionnary'!H141+"$$8p!=d"</f>
        <v>#VALUE!</v>
      </c>
      <c r="IK8" t="e">
        <f>'Data Dictionnary'!I141+"$$8p!=e"</f>
        <v>#VALUE!</v>
      </c>
      <c r="IL8" t="e">
        <f>'Data Dictionnary'!J141+"$$8p!=f"</f>
        <v>#VALUE!</v>
      </c>
      <c r="IM8" t="e">
        <f>'Data Dictionnary'!K141+"$$8p!=g"</f>
        <v>#VALUE!</v>
      </c>
      <c r="IN8" t="e">
        <f>'Data Dictionnary'!L141+"$$8p!=h"</f>
        <v>#VALUE!</v>
      </c>
      <c r="IO8" t="e">
        <f>'Data Dictionnary'!E142+"$$8p!=i"</f>
        <v>#VALUE!</v>
      </c>
      <c r="IP8" t="e">
        <f>'Data Dictionnary'!F142+"$$8p!=j"</f>
        <v>#VALUE!</v>
      </c>
      <c r="IQ8" t="e">
        <f>'Data Dictionnary'!G142+"$$8p!=k"</f>
        <v>#VALUE!</v>
      </c>
      <c r="IR8" t="e">
        <f>'Data Dictionnary'!H142+"$$8p!=l"</f>
        <v>#VALUE!</v>
      </c>
      <c r="IS8" t="e">
        <f>'Data Dictionnary'!I142+"$$8p!=m"</f>
        <v>#VALUE!</v>
      </c>
      <c r="IT8" t="e">
        <f>'Data Dictionnary'!J142+"$$8p!=n"</f>
        <v>#VALUE!</v>
      </c>
      <c r="IU8" t="e">
        <f>'Data Dictionnary'!K142+"$$8p!=o"</f>
        <v>#VALUE!</v>
      </c>
      <c r="IV8" t="e">
        <f>'Data Dictionnary'!L142+"$$8p!=p"</f>
        <v>#VALUE!</v>
      </c>
    </row>
    <row r="9" spans="1:256" x14ac:dyDescent="0.35">
      <c r="F9" t="e">
        <f>'Data Dictionnary'!E143+"$$8p!=q"</f>
        <v>#VALUE!</v>
      </c>
      <c r="G9" t="e">
        <f>'Data Dictionnary'!F143+"$$8p!=r"</f>
        <v>#VALUE!</v>
      </c>
      <c r="H9" t="e">
        <f>'Data Dictionnary'!G143+"$$8p!=s"</f>
        <v>#VALUE!</v>
      </c>
      <c r="I9" t="e">
        <f>'Data Dictionnary'!H143+"$$8p!=t"</f>
        <v>#VALUE!</v>
      </c>
      <c r="J9" t="e">
        <f>'Data Dictionnary'!I143+"$$8p!=u"</f>
        <v>#VALUE!</v>
      </c>
      <c r="K9" t="e">
        <f>'Data Dictionnary'!J143+"$$8p!=v"</f>
        <v>#VALUE!</v>
      </c>
      <c r="L9" t="e">
        <f>'Data Dictionnary'!K143+"$$8p!=w"</f>
        <v>#VALUE!</v>
      </c>
      <c r="M9" t="e">
        <f>'Data Dictionnary'!L143+"$$8p!=x"</f>
        <v>#VALUE!</v>
      </c>
      <c r="N9" t="e">
        <f>'Data Dictionnary'!E144+"$$8p!=y"</f>
        <v>#VALUE!</v>
      </c>
      <c r="O9" t="e">
        <f>'Data Dictionnary'!F144+"$$8p!=z"</f>
        <v>#VALUE!</v>
      </c>
      <c r="P9" t="e">
        <f>'Data Dictionnary'!G144+"$$8p!={"</f>
        <v>#VALUE!</v>
      </c>
      <c r="Q9" t="e">
        <f>'Data Dictionnary'!H144+"$$8p!=|"</f>
        <v>#VALUE!</v>
      </c>
      <c r="R9" t="e">
        <f>'Data Dictionnary'!I144+"$$8p!=}"</f>
        <v>#VALUE!</v>
      </c>
      <c r="S9" t="e">
        <f>'Data Dictionnary'!J144+"$$8p!=~"</f>
        <v>#VALUE!</v>
      </c>
      <c r="T9" t="e">
        <f>'Data Dictionnary'!K144+"$$8p!&gt;#"</f>
        <v>#VALUE!</v>
      </c>
      <c r="U9" t="e">
        <f>'Data Dictionnary'!L144+"$$8p!&gt;$"</f>
        <v>#VALUE!</v>
      </c>
      <c r="V9" t="e">
        <f>'Data Dictionnary'!E145+"$$8p!&gt;%"</f>
        <v>#VALUE!</v>
      </c>
      <c r="W9" t="e">
        <f>'Data Dictionnary'!F145+"$$8p!&gt;&amp;"</f>
        <v>#VALUE!</v>
      </c>
      <c r="X9" t="e">
        <f>'Data Dictionnary'!G145+"$$8p!&gt;'"</f>
        <v>#VALUE!</v>
      </c>
      <c r="Y9" t="e">
        <f>'Data Dictionnary'!H145+"$$8p!&gt;("</f>
        <v>#VALUE!</v>
      </c>
      <c r="Z9" t="e">
        <f>'Data Dictionnary'!I145+"$$8p!&gt;)"</f>
        <v>#VALUE!</v>
      </c>
      <c r="AA9" t="e">
        <f>'Data Dictionnary'!J145+"$$8p!&gt;."</f>
        <v>#VALUE!</v>
      </c>
      <c r="AB9" t="e">
        <f>'Data Dictionnary'!K145+"$$8p!&gt;/"</f>
        <v>#VALUE!</v>
      </c>
      <c r="AC9" t="e">
        <f>'Data Dictionnary'!L145+"$$8p!&gt;0"</f>
        <v>#VALUE!</v>
      </c>
      <c r="AD9" t="e">
        <f>'Data Dictionnary'!E146+"$$8p!&gt;1"</f>
        <v>#VALUE!</v>
      </c>
      <c r="AE9" t="e">
        <f>'Data Dictionnary'!F146+"$$8p!&gt;2"</f>
        <v>#VALUE!</v>
      </c>
      <c r="AF9" t="e">
        <f>'Data Dictionnary'!G146+"$$8p!&gt;3"</f>
        <v>#VALUE!</v>
      </c>
      <c r="AG9" t="e">
        <f>'Data Dictionnary'!H146+"$$8p!&gt;4"</f>
        <v>#VALUE!</v>
      </c>
      <c r="AH9" t="e">
        <f>'Data Dictionnary'!I146+"$$8p!&gt;5"</f>
        <v>#VALUE!</v>
      </c>
      <c r="AI9" t="e">
        <f>'Data Dictionnary'!J146+"$$8p!&gt;6"</f>
        <v>#VALUE!</v>
      </c>
      <c r="AJ9" t="e">
        <f>'Data Dictionnary'!K146+"$$8p!&gt;7"</f>
        <v>#VALUE!</v>
      </c>
      <c r="AK9" t="e">
        <f>'Data Dictionnary'!L146+"$$8p!&gt;8"</f>
        <v>#VALUE!</v>
      </c>
      <c r="AL9" t="e">
        <f>'Data Dictionnary'!E147+"$$8p!&gt;9"</f>
        <v>#VALUE!</v>
      </c>
      <c r="AM9" t="e">
        <f>'Data Dictionnary'!F147+"$$8p!&gt;:"</f>
        <v>#VALUE!</v>
      </c>
      <c r="AN9" t="e">
        <f>'Data Dictionnary'!G147+"$$8p!&gt;;"</f>
        <v>#VALUE!</v>
      </c>
      <c r="AO9" t="e">
        <f>'Data Dictionnary'!H147+"$$8p!&gt;&lt;"</f>
        <v>#VALUE!</v>
      </c>
      <c r="AP9" t="e">
        <f>'Data Dictionnary'!I147+"$$8p!&gt;="</f>
        <v>#VALUE!</v>
      </c>
      <c r="AQ9" t="e">
        <f>'Data Dictionnary'!J147+"$$8p!&gt;&gt;"</f>
        <v>#VALUE!</v>
      </c>
      <c r="AR9" t="e">
        <f>'Data Dictionnary'!K147+"$$8p!&gt;?"</f>
        <v>#VALUE!</v>
      </c>
      <c r="AS9" t="e">
        <f>'Data Dictionnary'!L147+"$$8p!&gt;@"</f>
        <v>#VALUE!</v>
      </c>
      <c r="AT9" t="e">
        <f>'Data Dictionnary'!A:A*"$$8p!&gt;A"</f>
        <v>#VALUE!</v>
      </c>
      <c r="AU9" t="e">
        <f>'Data Dictionnary'!B:B*"$$8p!&gt;B"</f>
        <v>#VALUE!</v>
      </c>
      <c r="AV9" t="e">
        <f>'Data Dictionnary'!C:C*"$$8p!&gt;C"</f>
        <v>#VALUE!</v>
      </c>
      <c r="AW9" t="e">
        <f>'Data Dictionnary'!D:D*"$$8p!&gt;D"</f>
        <v>#VALUE!</v>
      </c>
      <c r="AX9" t="e">
        <f>'Data Dictionnary'!E:E*"$$8p!&gt;E"</f>
        <v>#VALUE!</v>
      </c>
      <c r="AY9" t="e">
        <f>'Data Dictionnary'!F:F*"$$8p!&gt;F"</f>
        <v>#VALUE!</v>
      </c>
      <c r="AZ9" t="e">
        <f>'Data Dictionnary'!G:G*"$$8p!&gt;G"</f>
        <v>#VALUE!</v>
      </c>
      <c r="BA9" t="e">
        <f>'Data Dictionnary'!H:H*"$$8p!&gt;H"</f>
        <v>#VALUE!</v>
      </c>
      <c r="BB9" t="e">
        <f>'Data Dictionnary'!I:I*"$$8p!&gt;I"</f>
        <v>#VALUE!</v>
      </c>
      <c r="BC9" t="e">
        <f>'Data Dictionnary'!J:J*"$$8p!&gt;J"</f>
        <v>#VALUE!</v>
      </c>
      <c r="BD9" t="e">
        <f>'Data Dictionnary'!K:K*"$$8p!&gt;K"</f>
        <v>#VALUE!</v>
      </c>
      <c r="BE9" t="e">
        <f>'Data Dictionnary'!L:L*"$$8p!&gt;L"</f>
        <v>#VALUE!</v>
      </c>
      <c r="BF9" t="e">
        <f>'Data Dictionnary'!M:M*"$$8p!&gt;M"</f>
        <v>#VALUE!</v>
      </c>
      <c r="BG9" t="e">
        <f>'Data Dictionnary'!N:N*"$$8p!&gt;N"</f>
        <v>#VALUE!</v>
      </c>
      <c r="BH9" t="e">
        <f>'Data Dictionnary'!O:O*"$$8p!&gt;O"</f>
        <v>#VALUE!</v>
      </c>
      <c r="BI9" t="e">
        <f>'Data Dictionnary'!P:P*"$$8p!&gt;P"</f>
        <v>#VALUE!</v>
      </c>
      <c r="BJ9" t="e">
        <f>'Data Dictionnary'!Q:Q*"$$8p!&gt;Q"</f>
        <v>#VALUE!</v>
      </c>
      <c r="BK9" t="e">
        <f>'Data Dictionnary'!R:R*"$$8p!&gt;R"</f>
        <v>#VALUE!</v>
      </c>
      <c r="BL9" t="e">
        <f>'Data Dictionnary'!S:S*"$$8p!&gt;S"</f>
        <v>#VALUE!</v>
      </c>
      <c r="BM9" t="e">
        <f>'Data Dictionnary'!T:T*"$$8p!&gt;T"</f>
        <v>#VALUE!</v>
      </c>
      <c r="BN9" t="e">
        <f>'Data Dictionnary'!U:U*"$$8p!&gt;U"</f>
        <v>#VALUE!</v>
      </c>
      <c r="BO9" t="e">
        <f>'Data Dictionnary'!V:V*"$$8p!&gt;V"</f>
        <v>#VALUE!</v>
      </c>
      <c r="BP9" t="e">
        <f>'Data Dictionnary'!W:W*"$$8p!&gt;W"</f>
        <v>#VALUE!</v>
      </c>
      <c r="BQ9" t="e">
        <f>'Data Dictionnary'!X:X*"$$8p!&gt;X"</f>
        <v>#VALUE!</v>
      </c>
      <c r="BR9" t="e">
        <f>'Data Dictionnary'!Y:Y*"$$8p!&gt;Y"</f>
        <v>#VALUE!</v>
      </c>
      <c r="BS9" t="e">
        <f>'Data Dictionnary'!Z:Z*"$$8p!&gt;Z"</f>
        <v>#VALUE!</v>
      </c>
      <c r="BT9" t="e">
        <f>'Data Dictionnary'!AA:AA*"$$8p!&gt;["</f>
        <v>#VALUE!</v>
      </c>
      <c r="BU9" t="e">
        <f>'Data Dictionnary'!AB:AB*"$$8p!&gt;\"</f>
        <v>#VALUE!</v>
      </c>
      <c r="BV9" t="e">
        <f>'Data Dictionnary'!AC:AC*"$$8p!&gt;]"</f>
        <v>#VALUE!</v>
      </c>
      <c r="BW9" t="e">
        <f>'Data Dictionnary'!AD:AD*"$$8p!&gt;^"</f>
        <v>#VALUE!</v>
      </c>
      <c r="BX9" t="e">
        <f>'Data Dictionnary'!AE:AE*"$$8p!&gt;_"</f>
        <v>#VALUE!</v>
      </c>
      <c r="BY9" t="e">
        <f>'Data Dictionnary'!AF:AF*"$$8p!&gt;`"</f>
        <v>#VALUE!</v>
      </c>
      <c r="BZ9" t="e">
        <f>'Data Dictionnary'!AG:AG*"$$8p!&gt;a"</f>
        <v>#VALUE!</v>
      </c>
      <c r="CA9" t="e">
        <f>'Data Dictionnary'!AH:AH*"$$8p!&gt;b"</f>
        <v>#VALUE!</v>
      </c>
      <c r="CB9" t="e">
        <f>'Data Dictionnary'!AI:AI*"$$8p!&gt;c"</f>
        <v>#VALUE!</v>
      </c>
      <c r="CC9" t="e">
        <f>'Data Dictionnary'!AJ:AJ*"$$8p!&gt;d"</f>
        <v>#VALUE!</v>
      </c>
      <c r="CD9" t="e">
        <f>'Data Dictionnary'!AK:AK*"$$8p!&gt;e"</f>
        <v>#VALUE!</v>
      </c>
      <c r="CE9" t="e">
        <f>'Data Dictionnary'!AL:AL*"$$8p!&gt;f"</f>
        <v>#VALUE!</v>
      </c>
      <c r="CF9" t="e">
        <f>'Data Dictionnary'!AM:AM*"$$8p!&gt;g"</f>
        <v>#VALUE!</v>
      </c>
      <c r="CG9" t="e">
        <f>'Data Dictionnary'!AN:AN*"$$8p!&gt;h"</f>
        <v>#VALUE!</v>
      </c>
      <c r="CH9" t="e">
        <f>'Data Dictionnary'!AO:AO*"$$8p!&gt;i"</f>
        <v>#VALUE!</v>
      </c>
      <c r="CI9" t="e">
        <f>'Data Dictionnary'!AP:AP*"$$8p!&gt;j"</f>
        <v>#VALUE!</v>
      </c>
      <c r="CJ9" t="e">
        <f>'Data Dictionnary'!AQ:AQ*"$$8p!&gt;k"</f>
        <v>#VALUE!</v>
      </c>
      <c r="CK9" t="e">
        <f>'Data Dictionnary'!AR:AR*"$$8p!&gt;l"</f>
        <v>#VALUE!</v>
      </c>
      <c r="CL9" t="e">
        <f>'Data Dictionnary'!AS:AS*"$$8p!&gt;m"</f>
        <v>#VALUE!</v>
      </c>
      <c r="CM9" t="e">
        <f>'Data Dictionnary'!AT:AT*"$$8p!&gt;n"</f>
        <v>#VALUE!</v>
      </c>
      <c r="CN9" t="e">
        <f>'Data Dictionnary'!AU:AU*"$$8p!&gt;o"</f>
        <v>#VALUE!</v>
      </c>
      <c r="CO9" t="e">
        <f>'Data Dictionnary'!AV:AV*"$$8p!&gt;p"</f>
        <v>#VALUE!</v>
      </c>
      <c r="CP9" t="e">
        <f>'Data Dictionnary'!AW:AW*"$$8p!&gt;q"</f>
        <v>#VALUE!</v>
      </c>
      <c r="CQ9" t="e">
        <f>'Data Dictionnary'!AX:AX*"$$8p!&gt;r"</f>
        <v>#VALUE!</v>
      </c>
      <c r="CR9" t="e">
        <f>'Data Dictionnary'!AY:AY*"$$8p!&gt;s"</f>
        <v>#VALUE!</v>
      </c>
      <c r="CS9" t="e">
        <f>'Data Dictionnary'!AZ:AZ*"$$8p!&gt;t"</f>
        <v>#VALUE!</v>
      </c>
      <c r="CT9" t="e">
        <f>'Data Dictionnary'!BA:BA*"$$8p!&gt;u"</f>
        <v>#VALUE!</v>
      </c>
      <c r="CU9" t="e">
        <f>'Data Dictionnary'!BB:BB*"$$8p!&gt;v"</f>
        <v>#VALUE!</v>
      </c>
      <c r="CV9" t="e">
        <f>'Data Dictionnary'!BC:BC*"$$8p!&gt;w"</f>
        <v>#VALUE!</v>
      </c>
      <c r="CW9" t="e">
        <f>'Data Dictionnary'!BD:BD*"$$8p!&gt;x"</f>
        <v>#VALUE!</v>
      </c>
      <c r="CX9" t="e">
        <f>'Data Dictionnary'!BE:BE*"$$8p!&gt;y"</f>
        <v>#VALUE!</v>
      </c>
      <c r="CY9" t="e">
        <f>'Data Dictionnary'!BF:BF*"$$8p!&gt;z"</f>
        <v>#VALUE!</v>
      </c>
      <c r="CZ9" t="e">
        <f>'Data Dictionnary'!BG:BG*"$$8p!&gt;{"</f>
        <v>#VALUE!</v>
      </c>
      <c r="DA9" t="e">
        <f>'Data Dictionnary'!BH:BH*"$$8p!&gt;|"</f>
        <v>#VALUE!</v>
      </c>
      <c r="DB9" t="e">
        <f>'Data Dictionnary'!BI:BI*"$$8p!&gt;}"</f>
        <v>#VALUE!</v>
      </c>
      <c r="DC9" t="e">
        <f>'Data Dictionnary'!BJ:BJ*"$$8p!&gt;~"</f>
        <v>#VALUE!</v>
      </c>
      <c r="DD9" t="e">
        <f>'Data Dictionnary'!1:1-"$$8p!?#"</f>
        <v>#VALUE!</v>
      </c>
      <c r="DE9" t="e">
        <f>'Data Dictionnary'!2:2-"$$8p!?$"</f>
        <v>#VALUE!</v>
      </c>
      <c r="DF9" t="e">
        <f>'Data Dictionnary'!3:3-"$$8p!?%"</f>
        <v>#VALUE!</v>
      </c>
      <c r="DG9" t="e">
        <f>'Data Dictionnary'!4:4-"$$8p!?&amp;"</f>
        <v>#VALUE!</v>
      </c>
      <c r="DH9" t="e">
        <f>'Data Dictionnary'!5:5-"$$8p!?'"</f>
        <v>#VALUE!</v>
      </c>
      <c r="DI9" t="e">
        <f>'Data Dictionnary'!6:6-"$$8p!?("</f>
        <v>#VALUE!</v>
      </c>
      <c r="DJ9" t="e">
        <f>'Data Dictionnary'!7:7-"$$8p!?)"</f>
        <v>#VALUE!</v>
      </c>
      <c r="DK9" t="e">
        <f>'Data Dictionnary'!8:8-"$$8p!?."</f>
        <v>#VALUE!</v>
      </c>
      <c r="DL9" t="e">
        <f>'Data Dictionnary'!9:9-"$$8p!?/"</f>
        <v>#VALUE!</v>
      </c>
      <c r="DM9" t="e">
        <f>'Data Dictionnary'!10:10-"$$8p!?0"</f>
        <v>#VALUE!</v>
      </c>
      <c r="DN9" t="e">
        <f>'Data Dictionnary'!11:11-"$$8p!?1"</f>
        <v>#VALUE!</v>
      </c>
      <c r="DO9" t="e">
        <f>'Data Dictionnary'!12:12-"$$8p!?2"</f>
        <v>#VALUE!</v>
      </c>
      <c r="DP9" t="e">
        <f>'Data Dictionnary'!13:13-"$$8p!?3"</f>
        <v>#VALUE!</v>
      </c>
      <c r="DQ9" t="e">
        <f>'Data Dictionnary'!14:14-"$$8p!?4"</f>
        <v>#VALUE!</v>
      </c>
      <c r="DR9" t="e">
        <f>'Data Dictionnary'!15:15-"$$8p!?5"</f>
        <v>#VALUE!</v>
      </c>
      <c r="DS9" t="e">
        <f>'Data Dictionnary'!16:16-"$$8p!?6"</f>
        <v>#VALUE!</v>
      </c>
      <c r="DT9" t="e">
        <f>'Data Dictionnary'!17:17-"$$8p!?7"</f>
        <v>#VALUE!</v>
      </c>
      <c r="DU9" t="e">
        <f>'Data Dictionnary'!18:18-"$$8p!?8"</f>
        <v>#VALUE!</v>
      </c>
      <c r="DV9" t="e">
        <f>'Data Dictionnary'!19:19-"$$8p!?9"</f>
        <v>#VALUE!</v>
      </c>
      <c r="DW9" t="e">
        <f>'Data Dictionnary'!20:20-"$$8p!?:"</f>
        <v>#VALUE!</v>
      </c>
      <c r="DX9" t="e">
        <f>'Data Dictionnary'!21:21-"$$8p!?;"</f>
        <v>#VALUE!</v>
      </c>
      <c r="DY9" t="e">
        <f>'Data Dictionnary'!22:22-"$$8p!?&lt;"</f>
        <v>#VALUE!</v>
      </c>
      <c r="DZ9" t="e">
        <f>'Data Dictionnary'!23:23-"$$8p!?="</f>
        <v>#VALUE!</v>
      </c>
      <c r="EA9" t="e">
        <f>'Data Dictionnary'!24:24-"$$8p!?&gt;"</f>
        <v>#VALUE!</v>
      </c>
      <c r="EB9" t="e">
        <f>'Data Dictionnary'!25:25-"$$8p!??"</f>
        <v>#VALUE!</v>
      </c>
      <c r="EC9" t="e">
        <f>'Data Dictionnary'!26:26-"$$8p!?@"</f>
        <v>#VALUE!</v>
      </c>
      <c r="ED9" t="e">
        <f>'Data Dictionnary'!27:27-"$$8p!?A"</f>
        <v>#VALUE!</v>
      </c>
      <c r="EE9" t="e">
        <f>'Data Dictionnary'!28:28-"$$8p!?B"</f>
        <v>#VALUE!</v>
      </c>
      <c r="EF9" t="e">
        <f>'Data Dictionnary'!29:29-"$$8p!?C"</f>
        <v>#VALUE!</v>
      </c>
      <c r="EG9" t="e">
        <f>'Data Dictionnary'!30:30-"$$8p!?D"</f>
        <v>#VALUE!</v>
      </c>
      <c r="EH9" t="e">
        <f>'Data Dictionnary'!31:31-"$$8p!?E"</f>
        <v>#VALUE!</v>
      </c>
      <c r="EI9" t="e">
        <f>'Data Dictionnary'!32:32-"$$8p!?F"</f>
        <v>#VALUE!</v>
      </c>
      <c r="EJ9" t="e">
        <f>'Data Dictionnary'!33:33-"$$8p!?G"</f>
        <v>#VALUE!</v>
      </c>
      <c r="EK9" t="e">
        <f>'Data Dictionnary'!34:34-"$$8p!?H"</f>
        <v>#VALUE!</v>
      </c>
      <c r="EL9" t="e">
        <f>'Data Dictionnary'!35:35-"$$8p!?I"</f>
        <v>#VALUE!</v>
      </c>
      <c r="EM9" t="e">
        <f>'Data Dictionnary'!36:36-"$$8p!?J"</f>
        <v>#VALUE!</v>
      </c>
      <c r="EN9" t="e">
        <f>'Data Dictionnary'!37:37-"$$8p!?K"</f>
        <v>#VALUE!</v>
      </c>
      <c r="EO9" t="e">
        <f>'Data Dictionnary'!38:38-"$$8p!?L"</f>
        <v>#VALUE!</v>
      </c>
      <c r="EP9" t="e">
        <f>'Data Dictionnary'!39:39-"$$8p!?M"</f>
        <v>#VALUE!</v>
      </c>
      <c r="EQ9" t="e">
        <f>'Data Dictionnary'!40:40-"$$8p!?N"</f>
        <v>#VALUE!</v>
      </c>
      <c r="ER9" t="e">
        <f>'Data Dictionnary'!41:41-"$$8p!?O"</f>
        <v>#VALUE!</v>
      </c>
      <c r="ES9" t="e">
        <f>'Data Dictionnary'!42:42-"$$8p!?P"</f>
        <v>#VALUE!</v>
      </c>
      <c r="ET9" t="e">
        <f>'Data Dictionnary'!43:43-"$$8p!?Q"</f>
        <v>#VALUE!</v>
      </c>
      <c r="EU9" t="e">
        <f>'Data Dictionnary'!44:44-"$$8p!?R"</f>
        <v>#VALUE!</v>
      </c>
      <c r="EV9" t="e">
        <f>'Data Dictionnary'!45:45-"$$8p!?S"</f>
        <v>#VALUE!</v>
      </c>
      <c r="EW9" t="e">
        <f>'Data Dictionnary'!46:46-"$$8p!?T"</f>
        <v>#VALUE!</v>
      </c>
      <c r="EX9" t="e">
        <f>'Data Dictionnary'!47:47-"$$8p!?U"</f>
        <v>#VALUE!</v>
      </c>
      <c r="EY9" t="e">
        <f>'Data Dictionnary'!48:48-"$$8p!?V"</f>
        <v>#VALUE!</v>
      </c>
      <c r="EZ9" t="e">
        <f>'Data Dictionnary'!49:49-"$$8p!?W"</f>
        <v>#VALUE!</v>
      </c>
      <c r="FA9" t="e">
        <f>'Data Dictionnary'!50:50-"$$8p!?X"</f>
        <v>#VALUE!</v>
      </c>
      <c r="FB9" t="e">
        <f>'Data Dictionnary'!51:51-"$$8p!?Y"</f>
        <v>#VALUE!</v>
      </c>
      <c r="FC9" t="e">
        <f>'Data Dictionnary'!52:52-"$$8p!?Z"</f>
        <v>#VALUE!</v>
      </c>
      <c r="FD9" t="e">
        <f>'Data Dictionnary'!53:53-"$$8p!?["</f>
        <v>#VALUE!</v>
      </c>
      <c r="FE9" t="e">
        <f>'Data Dictionnary'!54:54-"$$8p!?\"</f>
        <v>#VALUE!</v>
      </c>
      <c r="FF9" t="e">
        <f>'Data Dictionnary'!55:55-"$$8p!?]"</f>
        <v>#VALUE!</v>
      </c>
      <c r="FG9" t="e">
        <f>'Data Dictionnary'!56:56-"$$8p!?^"</f>
        <v>#VALUE!</v>
      </c>
      <c r="FH9" t="e">
        <f>'Data Dictionnary'!57:57-"$$8p!?_"</f>
        <v>#VALUE!</v>
      </c>
      <c r="FI9" t="e">
        <f>'Data Dictionnary'!58:58-"$$8p!?`"</f>
        <v>#VALUE!</v>
      </c>
      <c r="FJ9" t="e">
        <f>'Data Dictionnary'!59:59-"$$8p!?a"</f>
        <v>#VALUE!</v>
      </c>
      <c r="FK9" t="e">
        <f>'Data Dictionnary'!60:60-"$$8p!?b"</f>
        <v>#VALUE!</v>
      </c>
      <c r="FL9" t="e">
        <f>'Data Dictionnary'!61:61-"$$8p!?c"</f>
        <v>#VALUE!</v>
      </c>
      <c r="FM9" t="e">
        <f>'Data Dictionnary'!62:62-"$$8p!?d"</f>
        <v>#VALUE!</v>
      </c>
      <c r="FN9" t="e">
        <f>'Data Dictionnary'!63:63-"$$8p!?e"</f>
        <v>#VALUE!</v>
      </c>
      <c r="FO9" t="e">
        <f>'Data Dictionnary'!64:64-"$$8p!?f"</f>
        <v>#VALUE!</v>
      </c>
      <c r="FP9" t="e">
        <f>'Data Dictionnary'!65:65-"$$8p!?g"</f>
        <v>#VALUE!</v>
      </c>
      <c r="FQ9" t="e">
        <f>'Data Dictionnary'!66:66-"$$8p!?h"</f>
        <v>#VALUE!</v>
      </c>
      <c r="FR9" t="e">
        <f>'Data Dictionnary'!67:67-"$$8p!?i"</f>
        <v>#VALUE!</v>
      </c>
      <c r="FS9" t="e">
        <f>'Data Dictionnary'!68:68-"$$8p!?j"</f>
        <v>#VALUE!</v>
      </c>
      <c r="FT9" t="e">
        <f>'Data Dictionnary'!69:69-"$$8p!?k"</f>
        <v>#VALUE!</v>
      </c>
      <c r="FU9" t="e">
        <f>'Data Dictionnary'!70:70-"$$8p!?l"</f>
        <v>#VALUE!</v>
      </c>
      <c r="FV9" t="e">
        <f>'Data Dictionnary'!71:71-"$$8p!?m"</f>
        <v>#VALUE!</v>
      </c>
      <c r="FW9" t="e">
        <f>'Data Dictionnary'!72:72-"$$8p!?n"</f>
        <v>#VALUE!</v>
      </c>
      <c r="FX9" t="e">
        <f>'Data Dictionnary'!73:73-"$$8p!?o"</f>
        <v>#VALUE!</v>
      </c>
      <c r="FY9" t="e">
        <f>'Data Dictionnary'!74:74-"$$8p!?p"</f>
        <v>#VALUE!</v>
      </c>
      <c r="FZ9" t="e">
        <f>'Data Dictionnary'!75:75-"$$8p!?q"</f>
        <v>#VALUE!</v>
      </c>
      <c r="GA9" t="e">
        <f>'Data Dictionnary'!76:76-"$$8p!?r"</f>
        <v>#VALUE!</v>
      </c>
      <c r="GB9" t="e">
        <f>'Data Dictionnary'!77:77-"$$8p!?s"</f>
        <v>#VALUE!</v>
      </c>
      <c r="GC9" t="e">
        <f>'Data Dictionnary'!78:78-"$$8p!?t"</f>
        <v>#VALUE!</v>
      </c>
      <c r="GD9" t="e">
        <f>'Data Dictionnary'!79:79-"$$8p!?u"</f>
        <v>#VALUE!</v>
      </c>
      <c r="GE9" t="e">
        <f>'Data Dictionnary'!80:80-"$$8p!?v"</f>
        <v>#VALUE!</v>
      </c>
      <c r="GF9" t="e">
        <f>'Data Dictionnary'!81:81-"$$8p!?w"</f>
        <v>#VALUE!</v>
      </c>
      <c r="GG9" t="e">
        <f>'Data Dictionnary'!82:82-"$$8p!?x"</f>
        <v>#VALUE!</v>
      </c>
      <c r="GH9" t="e">
        <f>'Data Dictionnary'!83:83-"$$8p!?y"</f>
        <v>#VALUE!</v>
      </c>
      <c r="GI9" t="e">
        <f>'Data Dictionnary'!84:84-"$$8p!?z"</f>
        <v>#VALUE!</v>
      </c>
      <c r="GJ9" t="e">
        <f>'Data Dictionnary'!85:85-"$$8p!?{"</f>
        <v>#VALUE!</v>
      </c>
      <c r="GK9" t="e">
        <f>'Data Dictionnary'!86:86-"$$8p!?|"</f>
        <v>#VALUE!</v>
      </c>
      <c r="GL9" t="e">
        <f>'Data Dictionnary'!87:87-"$$8p!?}"</f>
        <v>#VALUE!</v>
      </c>
      <c r="GM9" t="e">
        <f>'Data Dictionnary'!88:88-"$$8p!?~"</f>
        <v>#VALUE!</v>
      </c>
      <c r="GN9" t="e">
        <f>'Data Dictionnary'!89:89-"$$8p!@#"</f>
        <v>#VALUE!</v>
      </c>
      <c r="GO9" t="e">
        <f>'Data Dictionnary'!90:90-"$$8p!@$"</f>
        <v>#VALUE!</v>
      </c>
      <c r="GP9" t="e">
        <f>'Data Dictionnary'!91:91-"$$8p!@%"</f>
        <v>#VALUE!</v>
      </c>
      <c r="GQ9" t="e">
        <f>'Data Dictionnary'!92:92-"$$8p!@&amp;"</f>
        <v>#VALUE!</v>
      </c>
      <c r="GR9" t="e">
        <f>'Data Dictionnary'!93:93-"$$8p!@'"</f>
        <v>#VALUE!</v>
      </c>
      <c r="GS9" t="e">
        <f>'Data Dictionnary'!94:94-"$$8p!@("</f>
        <v>#VALUE!</v>
      </c>
      <c r="GT9" t="e">
        <f>'Data Dictionnary'!95:95-"$$8p!@)"</f>
        <v>#VALUE!</v>
      </c>
      <c r="GU9" t="e">
        <f>'Data Dictionnary'!96:96-"$$8p!@."</f>
        <v>#VALUE!</v>
      </c>
      <c r="GV9" t="e">
        <f>'Data Dictionnary'!97:97-"$$8p!@/"</f>
        <v>#VALUE!</v>
      </c>
      <c r="GW9" t="e">
        <f>'Data Dictionnary'!98:98-"$$8p!@0"</f>
        <v>#VALUE!</v>
      </c>
      <c r="GX9" t="e">
        <f>'Data Dictionnary'!99:99-"$$8p!@1"</f>
        <v>#VALUE!</v>
      </c>
      <c r="GY9" t="e">
        <f>'Data Dictionnary'!100:100-"$$8p!@2"</f>
        <v>#VALUE!</v>
      </c>
      <c r="GZ9" t="e">
        <f>'Data Dictionnary'!101:101-"$$8p!@3"</f>
        <v>#VALUE!</v>
      </c>
      <c r="HA9" t="e">
        <f>'Data Dictionnary'!102:102-"$$8p!@4"</f>
        <v>#VALUE!</v>
      </c>
      <c r="HB9" t="e">
        <f>'Data Dictionnary'!103:103-"$$8p!@5"</f>
        <v>#VALUE!</v>
      </c>
      <c r="HC9" t="e">
        <f>'Data Dictionnary'!104:104-"$$8p!@6"</f>
        <v>#VALUE!</v>
      </c>
      <c r="HD9" t="e">
        <f>'Data Dictionnary'!105:105-"$$8p!@7"</f>
        <v>#VALUE!</v>
      </c>
      <c r="HE9" t="e">
        <f>'Data Dictionnary'!106:106-"$$8p!@8"</f>
        <v>#VALUE!</v>
      </c>
      <c r="HF9" t="e">
        <f>'Data Dictionnary'!107:107-"$$8p!@9"</f>
        <v>#VALUE!</v>
      </c>
      <c r="HG9" t="e">
        <f>'Data Dictionnary'!108:108-"$$8p!@:"</f>
        <v>#VALUE!</v>
      </c>
      <c r="HH9" t="e">
        <f>'Data Dictionnary'!109:109-"$$8p!@;"</f>
        <v>#VALUE!</v>
      </c>
      <c r="HI9" t="e">
        <f>'Data Dictionnary'!110:110-"$$8p!@&lt;"</f>
        <v>#VALUE!</v>
      </c>
      <c r="HJ9" t="e">
        <f>'Data Dictionnary'!111:111-"$$8p!@="</f>
        <v>#VALUE!</v>
      </c>
      <c r="HK9" t="e">
        <f>'Data Dictionnary'!112:112-"$$8p!@&gt;"</f>
        <v>#VALUE!</v>
      </c>
      <c r="HL9" t="e">
        <f>'Data Dictionnary'!113:113-"$$8p!@?"</f>
        <v>#VALUE!</v>
      </c>
      <c r="HM9" t="e">
        <f>'Data Dictionnary'!114:114-"$$8p!@@"</f>
        <v>#VALUE!</v>
      </c>
      <c r="HN9" t="e">
        <f>'Data Dictionnary'!115:115-"$$8p!@A"</f>
        <v>#VALUE!</v>
      </c>
      <c r="HO9" t="e">
        <f>'Data Dictionnary'!116:116-"$$8p!@B"</f>
        <v>#VALUE!</v>
      </c>
      <c r="HP9" t="e">
        <f>'Data Dictionnary'!117:117-"$$8p!@C"</f>
        <v>#VALUE!</v>
      </c>
      <c r="HQ9" t="e">
        <f>'Data Dictionnary'!118:118-"$$8p!@D"</f>
        <v>#VALUE!</v>
      </c>
      <c r="HR9" t="e">
        <f>'Data Dictionnary'!119:119-"$$8p!@E"</f>
        <v>#VALUE!</v>
      </c>
      <c r="HS9" t="e">
        <f>'Data Dictionnary'!120:120-"$$8p!@F"</f>
        <v>#VALUE!</v>
      </c>
      <c r="HT9" t="e">
        <f>'Data Dictionnary'!121:121-"$$8p!@G"</f>
        <v>#VALUE!</v>
      </c>
      <c r="HU9" t="e">
        <f>'Data Dictionnary'!122:122-"$$8p!@H"</f>
        <v>#VALUE!</v>
      </c>
      <c r="HV9" t="e">
        <f>'Data Dictionnary'!123:123-"$$8p!@I"</f>
        <v>#VALUE!</v>
      </c>
      <c r="HW9" t="e">
        <f>'Data Dictionnary'!124:124-"$$8p!@J"</f>
        <v>#VALUE!</v>
      </c>
      <c r="HX9" t="e">
        <f>'Data Dictionnary'!125:125-"$$8p!@K"</f>
        <v>#VALUE!</v>
      </c>
      <c r="HY9" t="e">
        <f>'Data Dictionnary'!126:126-"$$8p!@L"</f>
        <v>#VALUE!</v>
      </c>
      <c r="HZ9" t="e">
        <f>'Data Dictionnary'!127:127-"$$8p!@M"</f>
        <v>#VALUE!</v>
      </c>
      <c r="IA9" t="e">
        <f>'Data Dictionnary'!128:128-"$$8p!@N"</f>
        <v>#VALUE!</v>
      </c>
      <c r="IB9" t="e">
        <f>'Data Dictionnary'!129:129-"$$8p!@O"</f>
        <v>#VALUE!</v>
      </c>
      <c r="IC9" t="e">
        <f>'Data Dictionnary'!130:130-"$$8p!@P"</f>
        <v>#VALUE!</v>
      </c>
      <c r="ID9" t="e">
        <f>'Data Dictionnary'!131:131-"$$8p!@Q"</f>
        <v>#VALUE!</v>
      </c>
      <c r="IE9" t="e">
        <f>'Data Dictionnary'!132:132-"$$8p!@R"</f>
        <v>#VALUE!</v>
      </c>
      <c r="IF9" t="e">
        <f>'Data Dictionnary'!133:133-"$$8p!@S"</f>
        <v>#VALUE!</v>
      </c>
      <c r="IG9" t="e">
        <f>'Data Dictionnary'!134:134-"$$8p!@T"</f>
        <v>#VALUE!</v>
      </c>
      <c r="IH9" t="e">
        <f>'Data Dictionnary'!135:135-"$$8p!@U"</f>
        <v>#VALUE!</v>
      </c>
      <c r="II9" t="e">
        <f>'Data Dictionnary'!136:136-"$$8p!@V"</f>
        <v>#VALUE!</v>
      </c>
      <c r="IJ9" t="e">
        <f>'Data Dictionnary'!137:137-"$$8p!@W"</f>
        <v>#VALUE!</v>
      </c>
      <c r="IK9" t="e">
        <f>'Data Dictionnary'!138:138-"$$8p!@X"</f>
        <v>#VALUE!</v>
      </c>
      <c r="IL9" t="e">
        <f>'Data Dictionnary'!139:139-"$$8p!@Y"</f>
        <v>#VALUE!</v>
      </c>
      <c r="IM9" t="e">
        <f>'Data Dictionnary'!140:140-"$$8p!@Z"</f>
        <v>#VALUE!</v>
      </c>
      <c r="IN9" t="e">
        <f>'Data Dictionnary'!141:141-"$$8p!@["</f>
        <v>#VALUE!</v>
      </c>
      <c r="IO9" t="e">
        <f>'Data Dictionnary'!142:142-"$$8p!@\"</f>
        <v>#VALUE!</v>
      </c>
      <c r="IP9" t="e">
        <f>'Data Dictionnary'!143:143-"$$8p!@]"</f>
        <v>#VALUE!</v>
      </c>
      <c r="IQ9" t="e">
        <f>'Data Dictionnary'!144:144-"$$8p!@^"</f>
        <v>#VALUE!</v>
      </c>
      <c r="IR9" t="e">
        <f>'Data Dictionnary'!145:145-"$$8p!@_"</f>
        <v>#VALUE!</v>
      </c>
      <c r="IS9" t="e">
        <f>'Data Dictionnary'!146:146-"$$8p!@`"</f>
        <v>#VALUE!</v>
      </c>
      <c r="IT9" t="e">
        <f>'Data Dictionnary'!147:147-"$$8p!@a"</f>
        <v>#VALUE!</v>
      </c>
      <c r="IU9" t="e">
        <f>'Data Dictionnary'!148:148-"$$8p!@b"</f>
        <v>#VALUE!</v>
      </c>
      <c r="IV9" t="e">
        <f>'Data Dictionnary'!149:149-"$$8p!@c"</f>
        <v>#VALUE!</v>
      </c>
    </row>
    <row r="10" spans="1:256" x14ac:dyDescent="0.35">
      <c r="F10" t="e">
        <f>'Data Dictionnary'!150:150-"$$8p!@d"</f>
        <v>#VALUE!</v>
      </c>
      <c r="G10" t="e">
        <f>'Data Dictionnary'!151:151-"$$8p!@e"</f>
        <v>#VALUE!</v>
      </c>
      <c r="H10" t="e">
        <f>'Data Dictionnary'!152:152-"$$8p!@f"</f>
        <v>#VALUE!</v>
      </c>
      <c r="I10" t="e">
        <f>'Data Dictionnary'!153:153-"$$8p!@g"</f>
        <v>#VALUE!</v>
      </c>
      <c r="J10" t="e">
        <f>'Data Dictionnary'!154:154-"$$8p!@h"</f>
        <v>#VALUE!</v>
      </c>
      <c r="K10" t="e">
        <f>'Data Dictionnary'!155:155-"$$8p!@i"</f>
        <v>#VALUE!</v>
      </c>
      <c r="L10" t="e">
        <f>'Data Dictionnary'!156:156-"$$8p!@j"</f>
        <v>#VALUE!</v>
      </c>
      <c r="M10" t="e">
        <f>'Data Dictionnary'!157:157-"$$8p!@k"</f>
        <v>#VALUE!</v>
      </c>
      <c r="N10" t="e">
        <f>'Data Dictionnary'!158:158-"$$8p!@l"</f>
        <v>#VALUE!</v>
      </c>
      <c r="O10" t="e">
        <f>'Data Dictionnary'!159:159-"$$8p!@m"</f>
        <v>#VALUE!</v>
      </c>
      <c r="P10" t="e">
        <f>'Data Dictionnary'!160:160-"$$8p!@n"</f>
        <v>#VALUE!</v>
      </c>
      <c r="Q10" t="e">
        <f>'Data Dictionnary'!161:161-"$$8p!@o"</f>
        <v>#VALUE!</v>
      </c>
      <c r="R10" t="e">
        <f>'Data Dictionnary'!162:162-"$$8p!@p"</f>
        <v>#VALUE!</v>
      </c>
      <c r="S10" t="e">
        <f>'Data Dictionnary'!163:163-"$$8p!@q"</f>
        <v>#VALUE!</v>
      </c>
      <c r="T10" t="e">
        <f>'Data Dictionnary'!164:164-"$$8p!@r"</f>
        <v>#VALUE!</v>
      </c>
      <c r="U10" t="e">
        <f>'Data Dictionnary'!165:165-"$$8p!@s"</f>
        <v>#VALUE!</v>
      </c>
      <c r="V10" t="e">
        <f>'Data Dictionnary'!166:166-"$$8p!@t"</f>
        <v>#VALUE!</v>
      </c>
      <c r="W10" t="e">
        <f>'Data Dictionnary'!167:167-"$$8p!@u"</f>
        <v>#VALUE!</v>
      </c>
      <c r="X10" t="e">
        <f>'Data Dictionnary'!168:168-"$$8p!@v"</f>
        <v>#VALUE!</v>
      </c>
      <c r="Y10" t="e">
        <f>'Data Dictionnary'!169:169-"$$8p!@w"</f>
        <v>#VALUE!</v>
      </c>
      <c r="Z10" t="e">
        <f>'Data Dictionnary'!170:170-"$$8p!@x"</f>
        <v>#VALUE!</v>
      </c>
      <c r="AA10" t="e">
        <f>'Data Dictionnary'!171:171-"$$8p!@y"</f>
        <v>#VALUE!</v>
      </c>
      <c r="AB10" t="e">
        <f>'Data Dictionnary'!172:172-"$$8p!@z"</f>
        <v>#VALUE!</v>
      </c>
      <c r="AC10" t="e">
        <f>'Data Dictionnary'!173:173-"$$8p!@{"</f>
        <v>#VALUE!</v>
      </c>
      <c r="AD10" t="e">
        <f>'Data Dictionnary'!174:174-"$$8p!@|"</f>
        <v>#VALUE!</v>
      </c>
      <c r="AE10" t="e">
        <f>'Data Dictionnary'!175:175-"$$8p!@}"</f>
        <v>#VALUE!</v>
      </c>
      <c r="AF10" t="e">
        <f>'Data Dictionnary'!176:176-"$$8p!@~"</f>
        <v>#VALUE!</v>
      </c>
      <c r="AG10" t="e">
        <f>'Data Dictionnary'!177:177-"$$8p!A#"</f>
        <v>#VALUE!</v>
      </c>
      <c r="AH10" t="e">
        <f>'Data Dictionnary'!178:178-"$$8p!A$"</f>
        <v>#VALUE!</v>
      </c>
      <c r="AI10" t="e">
        <f>'Data Dictionnary'!179:179-"$$8p!A%"</f>
        <v>#VALUE!</v>
      </c>
      <c r="AJ10" t="e">
        <f>'Data Dictionnary'!180:180-"$$8p!A&amp;"</f>
        <v>#VALUE!</v>
      </c>
      <c r="AK10" t="e">
        <f>'Data Dictionnary'!181:181-"$$8p!A'"</f>
        <v>#VALUE!</v>
      </c>
      <c r="AL10" t="e">
        <f>'Data Dictionnary'!182:182-"$$8p!A("</f>
        <v>#VALUE!</v>
      </c>
      <c r="AM10" t="e">
        <f>'Data Dictionnary'!183:183-"$$8p!A)"</f>
        <v>#VALUE!</v>
      </c>
      <c r="AN10" t="e">
        <f>'Data Dictionnary'!184:184-"$$8p!A."</f>
        <v>#VALUE!</v>
      </c>
      <c r="AO10" t="e">
        <f>'Data Dictionnary'!185:185-"$$8p!A/"</f>
        <v>#VALUE!</v>
      </c>
      <c r="AP10" t="e">
        <f>'Data Dictionnary'!186:186-"$$8p!A0"</f>
        <v>#VALUE!</v>
      </c>
      <c r="AQ10" t="e">
        <f>'Data Dictionnary'!187:187-"$$8p!A1"</f>
        <v>#VALUE!</v>
      </c>
      <c r="AR10" t="e">
        <f>'Data Dictionnary'!188:188-"$$8p!A2"</f>
        <v>#VALUE!</v>
      </c>
      <c r="AS10" t="e">
        <f>'Data Dictionnary'!189:189-"$$8p!A3"</f>
        <v>#VALUE!</v>
      </c>
      <c r="AT10" t="e">
        <f>'Data Dictionnary'!190:190-"$$8p!A4"</f>
        <v>#VALUE!</v>
      </c>
      <c r="AU10" t="e">
        <f>'Data Dictionnary'!191:191-"$$8p!A5"</f>
        <v>#VALUE!</v>
      </c>
      <c r="AV10" t="e">
        <f>'Data Dictionnary'!192:192-"$$8p!A6"</f>
        <v>#VALUE!</v>
      </c>
      <c r="AW10" t="e">
        <f>'Data Dictionnary'!193:193-"$$8p!A7"</f>
        <v>#VALUE!</v>
      </c>
      <c r="AX10" t="e">
        <f>'Data Dictionnary'!194:194-"$$8p!A8"</f>
        <v>#VALUE!</v>
      </c>
      <c r="AY10" t="e">
        <f>'Data Dictionnary'!195:195-"$$8p!A9"</f>
        <v>#VALUE!</v>
      </c>
      <c r="AZ10" t="e">
        <f>'Data Dictionnary'!196:196-"$$8p!A:"</f>
        <v>#VALUE!</v>
      </c>
      <c r="BA10" t="e">
        <f>'Data Dictionnary'!197:197-"$$8p!A;"</f>
        <v>#VALUE!</v>
      </c>
      <c r="BB10" t="e">
        <f>'Data Dictionnary'!198:198-"$$8p!A&lt;"</f>
        <v>#VALUE!</v>
      </c>
      <c r="BC10" t="e">
        <f>'Data Dictionnary'!199:199-"$$8p!A="</f>
        <v>#VALUE!</v>
      </c>
      <c r="BD10" t="e">
        <f>'Data Dictionnary'!200:200-"$$8p!A&gt;"</f>
        <v>#VALUE!</v>
      </c>
      <c r="BE10" t="e">
        <f>'Data Dictionnary'!201:201-"$$8p!A?"</f>
        <v>#VALUE!</v>
      </c>
      <c r="BF10" t="e">
        <f>'Data Dictionnary'!202:202-"$$8p!A@"</f>
        <v>#VALUE!</v>
      </c>
      <c r="BG10" t="e">
        <f>'Data Dictionnary'!203:203-"$$8p!AA"</f>
        <v>#VALUE!</v>
      </c>
      <c r="BH10" t="e">
        <f>'Data Dictionnary'!204:204-"$$8p!AB"</f>
        <v>#VALUE!</v>
      </c>
      <c r="BI10" t="e">
        <f>'Data Dictionnary'!205:205-"$$8p!AC"</f>
        <v>#VALUE!</v>
      </c>
      <c r="BJ10" t="e">
        <f>'Data Dictionnary'!206:206-"$$8p!AD"</f>
        <v>#VALUE!</v>
      </c>
      <c r="BK10" t="e">
        <f>'Data Dictionnary'!207:207-"$$8p!AE"</f>
        <v>#VALUE!</v>
      </c>
      <c r="BL10" t="e">
        <f>'Data Dictionnary'!208:208-"$$8p!AF"</f>
        <v>#VALUE!</v>
      </c>
      <c r="BM10" t="e">
        <f>'Data Dictionnary'!209:209-"$$8p!AG"</f>
        <v>#VALUE!</v>
      </c>
      <c r="BN10" t="e">
        <f>'Data Dictionnary'!210:210-"$$8p!AH"</f>
        <v>#VALUE!</v>
      </c>
      <c r="BO10" t="e">
        <f>'Data Dictionnary'!211:211-"$$8p!AI"</f>
        <v>#VALUE!</v>
      </c>
      <c r="BP10" t="e">
        <f>'Data Dictionnary'!212:212-"$$8p!AJ"</f>
        <v>#VALUE!</v>
      </c>
      <c r="BQ10" t="e">
        <f>'Data Dictionnary'!213:213-"$$8p!AK"</f>
        <v>#VALUE!</v>
      </c>
      <c r="BR10" t="e">
        <f>'Data Dictionnary'!214:214-"$$8p!AL"</f>
        <v>#VALUE!</v>
      </c>
      <c r="BS10" t="e">
        <f>'Data Dictionnary'!215:215-"$$8p!AM"</f>
        <v>#VALUE!</v>
      </c>
      <c r="BT10" t="e">
        <f>'Data Dictionnary'!216:216-"$$8p!AN"</f>
        <v>#VALUE!</v>
      </c>
      <c r="BU10" t="e">
        <f>'Data Dictionnary'!217:217-"$$8p!AO"</f>
        <v>#VALUE!</v>
      </c>
      <c r="BV10" t="e">
        <f>'Data Dictionnary'!218:218-"$$8p!AP"</f>
        <v>#VALUE!</v>
      </c>
      <c r="BW10" t="e">
        <f>'Data Dictionnary'!219:219-"$$8p!AQ"</f>
        <v>#VALUE!</v>
      </c>
      <c r="BX10" t="e">
        <f>'Data Dictionnary'!220:220-"$$8p!AR"</f>
        <v>#VALUE!</v>
      </c>
      <c r="BY10" t="e">
        <f>'Data Dictionnary'!221:221-"$$8p!AS"</f>
        <v>#VALUE!</v>
      </c>
      <c r="BZ10" t="e">
        <f>'Data Dictionnary'!222:222-"$$8p!AT"</f>
        <v>#VALUE!</v>
      </c>
      <c r="CA10" t="e">
        <f>'Data Dictionnary'!223:223-"$$8p!AU"</f>
        <v>#VALUE!</v>
      </c>
      <c r="CB10" t="e">
        <f>'Data Dictionnary'!224:224-"$$8p!AV"</f>
        <v>#VALUE!</v>
      </c>
      <c r="CC10" t="e">
        <f>'Data Dictionnary'!225:225-"$$8p!AW"</f>
        <v>#VALUE!</v>
      </c>
      <c r="CD10" t="e">
        <f>'Data Dictionnary'!226:226-"$$8p!AX"</f>
        <v>#VALUE!</v>
      </c>
      <c r="CE10" t="e">
        <f>'Data Dictionnary'!227:227-"$$8p!AY"</f>
        <v>#VALUE!</v>
      </c>
      <c r="CF10" t="e">
        <f>'Data Dictionnary'!228:228-"$$8p!AZ"</f>
        <v>#VALUE!</v>
      </c>
      <c r="CG10" t="e">
        <f>'Data Dictionnary'!229:229-"$$8p!A["</f>
        <v>#VALUE!</v>
      </c>
      <c r="CH10" t="e">
        <f>'Data Dictionnary'!230:230-"$$8p!A\"</f>
        <v>#VALUE!</v>
      </c>
      <c r="CI10" t="e">
        <f>'Data Dictionnary'!231:231-"$$8p!A]"</f>
        <v>#VALUE!</v>
      </c>
      <c r="CJ10" t="e">
        <f>'Data Dictionnary'!232:232-"$$8p!A^"</f>
        <v>#VALUE!</v>
      </c>
      <c r="CK10" t="e">
        <f>'Data Dictionnary'!233:233-"$$8p!A_"</f>
        <v>#VALUE!</v>
      </c>
      <c r="CL10" t="e">
        <f>'Data Dictionnary'!234:234-"$$8p!A`"</f>
        <v>#VALUE!</v>
      </c>
      <c r="CM10" t="e">
        <f>'Data Dictionnary'!235:235-"$$8p!Aa"</f>
        <v>#VALUE!</v>
      </c>
      <c r="CN10" t="e">
        <f>'Data Dictionnary'!236:236-"$$8p!Ab"</f>
        <v>#VALUE!</v>
      </c>
      <c r="CO10" t="e">
        <f>'Data Dictionnary'!237:237-"$$8p!Ac"</f>
        <v>#VALUE!</v>
      </c>
      <c r="CP10" t="e">
        <f>'Data Dictionnary'!238:238-"$$8p!Ad"</f>
        <v>#VALUE!</v>
      </c>
      <c r="CQ10" t="e">
        <f>'Data Dictionnary'!239:239-"$$8p!Ae"</f>
        <v>#VALUE!</v>
      </c>
      <c r="CR10" t="e">
        <f>'Data Dictionnary'!240:240-"$$8p!Af"</f>
        <v>#VALUE!</v>
      </c>
      <c r="CS10" t="e">
        <f>'Data Dictionnary'!241:241-"$$8p!Ag"</f>
        <v>#VALUE!</v>
      </c>
      <c r="CT10" t="e">
        <f>'Data Dictionnary'!242:242-"$$8p!Ah"</f>
        <v>#VALUE!</v>
      </c>
      <c r="CU10" t="e">
        <f>'Data Dictionnary'!243:243-"$$8p!Ai"</f>
        <v>#VALUE!</v>
      </c>
      <c r="CV10" t="e">
        <f>'Data Dictionnary'!244:244-"$$8p!Aj"</f>
        <v>#VALUE!</v>
      </c>
      <c r="CW10" t="e">
        <f>'Data Dictionnary'!245:245-"$$8p!Ak"</f>
        <v>#VALUE!</v>
      </c>
      <c r="CX10" t="e">
        <f>'Data Dictionnary'!246:246-"$$8p!Al"</f>
        <v>#VALUE!</v>
      </c>
      <c r="CY10" t="e">
        <f>'Data Dictionnary'!247:247-"$$8p!Am"</f>
        <v>#VALUE!</v>
      </c>
      <c r="CZ10" t="e">
        <f>'Data Dictionnary'!248:248-"$$8p!An"</f>
        <v>#VALUE!</v>
      </c>
      <c r="DA10" t="e">
        <f>'Data Dictionnary'!249:249-"$$8p!Ao"</f>
        <v>#VALUE!</v>
      </c>
      <c r="DB10" t="e">
        <f>'Data Dictionnary'!250:250-"$$8p!Ap"</f>
        <v>#VALUE!</v>
      </c>
      <c r="DC10" t="e">
        <f>'Data Dictionnary'!251:251-"$$8p!Aq"</f>
        <v>#VALUE!</v>
      </c>
      <c r="DD10" t="e">
        <f>'Data Dictionnary'!252:252-"$$8p!Ar"</f>
        <v>#VALUE!</v>
      </c>
      <c r="DE10" t="e">
        <f>'Data Dictionnary'!253:253-"$$8p!As"</f>
        <v>#VALUE!</v>
      </c>
      <c r="DF10" t="e">
        <f>'Data Dictionnary'!254:254-"$$8p!At"</f>
        <v>#VALUE!</v>
      </c>
      <c r="DG10" t="e">
        <f>'Data Dictionnary'!255:255-"$$8p!Au"</f>
        <v>#VALUE!</v>
      </c>
      <c r="DH10" t="e">
        <f>'Data Dictionnary'!256:256-"$$8p!Av"</f>
        <v>#VALUE!</v>
      </c>
      <c r="DI10" t="e">
        <f>'Data Dictionnary'!257:257-"$$8p!Aw"</f>
        <v>#VALUE!</v>
      </c>
      <c r="DJ10" t="e">
        <f>'Data Dictionnary'!258:258-"$$8p!Ax"</f>
        <v>#VALUE!</v>
      </c>
      <c r="DK10" t="e">
        <f>'Data Dictionnary'!259:259-"$$8p!Ay"</f>
        <v>#VALUE!</v>
      </c>
      <c r="DL10" t="e">
        <f>'Data Dictionnary'!260:260-"$$8p!Az"</f>
        <v>#VALUE!</v>
      </c>
      <c r="DM10" t="e">
        <f>'Data Dictionnary'!261:261-"$$8p!A{"</f>
        <v>#VALUE!</v>
      </c>
      <c r="DN10" t="e">
        <f>'Data Dictionnary'!262:262-"$$8p!A|"</f>
        <v>#VALUE!</v>
      </c>
      <c r="DO10" t="e">
        <f>'Data Dictionnary'!263:263-"$$8p!A}"</f>
        <v>#VALUE!</v>
      </c>
      <c r="DP10" t="e">
        <f>'Data Dictionnary'!264:264-"$$8p!A~"</f>
        <v>#VALUE!</v>
      </c>
      <c r="DQ10" t="e">
        <f>'Data Dictionnary'!265:265-"$$8p!B#"</f>
        <v>#VALUE!</v>
      </c>
      <c r="DR10" t="e">
        <f>'Data Dictionnary'!266:266-"$$8p!B$"</f>
        <v>#VALUE!</v>
      </c>
      <c r="DS10" t="e">
        <f>'Data Dictionnary'!267:267-"$$8p!B%"</f>
        <v>#VALUE!</v>
      </c>
      <c r="DT10" t="e">
        <f>'Data Dictionnary'!268:268-"$$8p!B&amp;"</f>
        <v>#VALUE!</v>
      </c>
      <c r="DU10" t="e">
        <f>'Data Dictionnary'!269:269-"$$8p!B'"</f>
        <v>#VALUE!</v>
      </c>
      <c r="DV10" t="e">
        <f>'Data Dictionnary'!270:270-"$$8p!B("</f>
        <v>#VALUE!</v>
      </c>
      <c r="DW10" t="e">
        <f>'Data Dictionnary'!271:271-"$$8p!B)"</f>
        <v>#VALUE!</v>
      </c>
      <c r="DX10" t="e">
        <f>'Data Dictionnary'!272:272-"$$8p!B."</f>
        <v>#VALUE!</v>
      </c>
      <c r="DY10" t="e">
        <f>'Data Dictionnary'!273:273-"$$8p!B/"</f>
        <v>#VALUE!</v>
      </c>
      <c r="DZ10" t="e">
        <f>'Data Dictionnary'!274:274-"$$8p!B0"</f>
        <v>#VALUE!</v>
      </c>
      <c r="EA10" t="e">
        <f>'Data Dictionnary'!275:275-"$$8p!B1"</f>
        <v>#VALUE!</v>
      </c>
      <c r="EB10" t="e">
        <f>'Data Dictionnary'!276:276-"$$8p!B2"</f>
        <v>#VALUE!</v>
      </c>
      <c r="EC10" t="e">
        <f>'Data Dictionnary'!277:277-"$$8p!B3"</f>
        <v>#VALUE!</v>
      </c>
      <c r="ED10" t="e">
        <f>'Data Dictionnary'!278:278-"$$8p!B4"</f>
        <v>#VALUE!</v>
      </c>
      <c r="EE10" t="e">
        <f>'Data Dictionnary'!279:279-"$$8p!B5"</f>
        <v>#VALUE!</v>
      </c>
      <c r="EF10" t="e">
        <f>'Data Dictionnary'!280:280-"$$8p!B6"</f>
        <v>#VALUE!</v>
      </c>
      <c r="EG10" t="e">
        <f>'Data Dictionnary'!281:281-"$$8p!B7"</f>
        <v>#VALUE!</v>
      </c>
      <c r="EH10" t="e">
        <f>'Data Dictionnary'!282:282-"$$8p!B8"</f>
        <v>#VALUE!</v>
      </c>
      <c r="EI10" t="e">
        <f>'Data Dictionnary'!283:283-"$$8p!B9"</f>
        <v>#VALUE!</v>
      </c>
      <c r="EJ10" t="e">
        <f>'Data Dictionnary'!284:284-"$$8p!B:"</f>
        <v>#VALUE!</v>
      </c>
      <c r="EK10" t="e">
        <f>'Data Dictionnary'!285:285-"$$8p!B;"</f>
        <v>#VALUE!</v>
      </c>
      <c r="EL10" t="e">
        <f>'Data Dictionnary'!286:286-"$$8p!B&lt;"</f>
        <v>#VALUE!</v>
      </c>
      <c r="EM10" t="e">
        <f>'Data Dictionnary'!287:287-"$$8p!B="</f>
        <v>#VALUE!</v>
      </c>
      <c r="EN10" t="e">
        <f>'Data Dictionnary'!288:288-"$$8p!B&gt;"</f>
        <v>#VALUE!</v>
      </c>
      <c r="EO10" t="e">
        <f>'Data Dictionnary'!289:289-"$$8p!B?"</f>
        <v>#VALUE!</v>
      </c>
      <c r="EP10" t="e">
        <f>'Data Dictionnary'!290:290-"$$8p!B@"</f>
        <v>#VALUE!</v>
      </c>
      <c r="EQ10" t="e">
        <f>'Data Dictionnary'!291:291-"$$8p!BA"</f>
        <v>#VALUE!</v>
      </c>
      <c r="ER10" t="e">
        <f>'Data Dictionnary'!292:292-"$$8p!BB"</f>
        <v>#VALUE!</v>
      </c>
      <c r="ES10" t="e">
        <f>'Data Dictionnary'!293:293-"$$8p!BC"</f>
        <v>#VALUE!</v>
      </c>
      <c r="ET10" t="e">
        <f>'Data Dictionnary'!294:294-"$$8p!BD"</f>
        <v>#VALUE!</v>
      </c>
      <c r="EU10" t="e">
        <f>'Data Dictionnary'!295:295-"$$8p!BE"</f>
        <v>#VALUE!</v>
      </c>
      <c r="EV10" t="e">
        <f>'Data Dictionnary'!296:296-"$$8p!BF"</f>
        <v>#VALUE!</v>
      </c>
      <c r="EW10" t="e">
        <f>'Data Dictionnary'!297:297-"$$8p!BG"</f>
        <v>#VALUE!</v>
      </c>
      <c r="EX10" t="e">
        <f>'Data Dictionnary'!298:298-"$$8p!BH"</f>
        <v>#VALUE!</v>
      </c>
      <c r="EY10" t="e">
        <f>'Data Dictionnary'!299:299-"$$8p!BI"</f>
        <v>#VALUE!</v>
      </c>
      <c r="EZ10" t="e">
        <f>'Data Dictionnary'!300:300-"$$8p!BJ"</f>
        <v>#VALUE!</v>
      </c>
      <c r="FA10" t="e">
        <f>'Data Dictionnary'!301:301-"$$8p!BK"</f>
        <v>#VALUE!</v>
      </c>
      <c r="FB10" t="e">
        <f>'Data Dictionnary'!302:302-"$$8p!BL"</f>
        <v>#VALUE!</v>
      </c>
      <c r="FC10" t="e">
        <f>'Data Dictionnary'!303:303-"$$8p!BM"</f>
        <v>#VALUE!</v>
      </c>
      <c r="FD10" t="e">
        <f>'Data Dictionnary'!304:304-"$$8p!BN"</f>
        <v>#VALUE!</v>
      </c>
      <c r="FE10" t="e">
        <f>'Data Dictionnary'!305:305-"$$8p!BO"</f>
        <v>#VALUE!</v>
      </c>
      <c r="FF10" t="e">
        <f>'Data Dictionnary'!306:306-"$$8p!BP"</f>
        <v>#VALUE!</v>
      </c>
      <c r="FG10" t="e">
        <f>'Data Dictionnary'!307:307-"$$8p!BQ"</f>
        <v>#VALUE!</v>
      </c>
      <c r="FH10" t="e">
        <f>'Data Dictionnary'!308:308-"$$8p!BR"</f>
        <v>#VALUE!</v>
      </c>
      <c r="FI10" t="e">
        <f>'Data Dictionnary'!309:309-"$$8p!BS"</f>
        <v>#VALUE!</v>
      </c>
      <c r="FJ10" t="e">
        <f>'Data Dictionnary'!310:310-"$$8p!BT"</f>
        <v>#VALUE!</v>
      </c>
      <c r="FK10" t="e">
        <f>'Data Dictionnary'!311:311-"$$8p!BU"</f>
        <v>#VALUE!</v>
      </c>
      <c r="FL10" t="e">
        <f>'Data Dictionnary'!312:312-"$$8p!BV"</f>
        <v>#VALUE!</v>
      </c>
      <c r="FM10" t="e">
        <f>'Data Dictionnary'!313:313-"$$8p!BW"</f>
        <v>#VALUE!</v>
      </c>
      <c r="FN10" t="e">
        <f>'Data Dictionnary'!314:314-"$$8p!BX"</f>
        <v>#VALUE!</v>
      </c>
      <c r="FO10" t="e">
        <f>'Data Dictionnary'!315:315-"$$8p!BY"</f>
        <v>#VALUE!</v>
      </c>
      <c r="FP10" t="e">
        <f>'Data Dictionnary'!316:316-"$$8p!BZ"</f>
        <v>#VALUE!</v>
      </c>
      <c r="FQ10" t="e">
        <f>'Data Dictionnary'!317:317-"$$8p!B["</f>
        <v>#VALUE!</v>
      </c>
      <c r="FR10" t="e">
        <f>'Data Dictionnary'!318:318-"$$8p!B\"</f>
        <v>#VALUE!</v>
      </c>
      <c r="FS10" t="e">
        <f>'Data Dictionnary'!319:319-"$$8p!B]"</f>
        <v>#VALUE!</v>
      </c>
      <c r="FT10" t="e">
        <f>'Data Dictionnary'!320:320-"$$8p!B^"</f>
        <v>#VALUE!</v>
      </c>
      <c r="FU10" t="e">
        <f>'Data Dictionnary'!321:321-"$$8p!B_"</f>
        <v>#VALUE!</v>
      </c>
      <c r="FV10" t="e">
        <f>'Data Dictionnary'!322:322-"$$8p!B`"</f>
        <v>#VALUE!</v>
      </c>
      <c r="FW10" t="e">
        <f>'Data Dictionnary'!323:323-"$$8p!Ba"</f>
        <v>#VALUE!</v>
      </c>
      <c r="FX10" t="e">
        <f>'Data Dictionnary'!324:324-"$$8p!Bb"</f>
        <v>#VALUE!</v>
      </c>
      <c r="FY10" t="e">
        <f>'Data Dictionnary'!325:325-"$$8p!Bc"</f>
        <v>#VALUE!</v>
      </c>
      <c r="FZ10" t="e">
        <f>'Data Dictionnary'!326:326-"$$8p!Bd"</f>
        <v>#VALUE!</v>
      </c>
      <c r="GA10" t="e">
        <f>'Data Dictionnary'!327:327-"$$8p!Be"</f>
        <v>#VALUE!</v>
      </c>
      <c r="GB10" t="e">
        <f>'Data Dictionnary'!328:328-"$$8p!Bf"</f>
        <v>#VALUE!</v>
      </c>
      <c r="GC10" t="e">
        <f>'Data Dictionnary'!329:329-"$$8p!Bg"</f>
        <v>#VALUE!</v>
      </c>
      <c r="GD10" t="e">
        <f>'Data Dictionnary'!330:330-"$$8p!Bh"</f>
        <v>#VALUE!</v>
      </c>
      <c r="GE10" t="e">
        <f>'Data Dictionnary'!331:331-"$$8p!Bi"</f>
        <v>#VALUE!</v>
      </c>
      <c r="GF10" t="e">
        <f>'Data Dictionnary'!332:332-"$$8p!Bj"</f>
        <v>#VALUE!</v>
      </c>
      <c r="GG10" t="e">
        <f>'Data Dictionnary'!333:333-"$$8p!Bk"</f>
        <v>#VALUE!</v>
      </c>
      <c r="GH10" t="e">
        <f>'Data Dictionnary'!334:334-"$$8p!Bl"</f>
        <v>#VALUE!</v>
      </c>
      <c r="GI10" t="e">
        <f>'Data Dictionnary'!335:335-"$$8p!Bm"</f>
        <v>#VALUE!</v>
      </c>
      <c r="GJ10" t="e">
        <f>'Data Dictionnary'!336:336-"$$8p!Bn"</f>
        <v>#VALUE!</v>
      </c>
      <c r="GK10" t="e">
        <f>'Data Dictionnary'!337:337-"$$8p!Bo"</f>
        <v>#VALUE!</v>
      </c>
      <c r="GL10" t="e">
        <f>'Data Dictionnary'!338:338-"$$8p!Bp"</f>
        <v>#VALUE!</v>
      </c>
      <c r="GM10" t="e">
        <f>'Data Dictionnary'!339:339-"$$8p!Bq"</f>
        <v>#VALUE!</v>
      </c>
      <c r="GN10" t="e">
        <f>'Data Dictionnary'!340:340-"$$8p!Br"</f>
        <v>#VALUE!</v>
      </c>
      <c r="GO10" t="e">
        <f>'Data Dictionnary'!341:341-"$$8p!Bs"</f>
        <v>#VALUE!</v>
      </c>
      <c r="GP10" t="e">
        <f>'Data Dictionnary'!342:342-"$$8p!Bt"</f>
        <v>#VALUE!</v>
      </c>
      <c r="GQ10" t="e">
        <f>'Data Dictionnary'!343:343-"$$8p!Bu"</f>
        <v>#VALUE!</v>
      </c>
      <c r="GR10" t="e">
        <f>'Data Dictionnary'!344:344-"$$8p!Bv"</f>
        <v>#VALUE!</v>
      </c>
      <c r="GS10" t="e">
        <f>'Data Dictionnary'!345:345-"$$8p!Bw"</f>
        <v>#VALUE!</v>
      </c>
      <c r="GT10" t="e">
        <f>'Data Dictionnary'!346:346-"$$8p!Bx"</f>
        <v>#VALUE!</v>
      </c>
      <c r="GU10" t="e">
        <f>'Data Dictionnary'!347:347-"$$8p!By"</f>
        <v>#VALUE!</v>
      </c>
      <c r="GV10" t="e">
        <f>Lists!L1+"$$8p!Bz"</f>
        <v>#VALUE!</v>
      </c>
      <c r="GW10" t="e">
        <f>Lists!M1+"$$8p!B{"</f>
        <v>#VALUE!</v>
      </c>
      <c r="GX10" t="e">
        <f>Lists!B1+"$$8p!B|"</f>
        <v>#VALUE!</v>
      </c>
      <c r="GY10" t="e">
        <f>Lists!A1+"$$8p!B}"</f>
        <v>#VALUE!</v>
      </c>
      <c r="GZ10" t="e">
        <f>Lists!#REF!+"$$8p!B~"</f>
        <v>#REF!</v>
      </c>
      <c r="HA10" t="e">
        <f>Lists!D1+"$$8p!C#"</f>
        <v>#VALUE!</v>
      </c>
      <c r="HB10" t="e">
        <f>Lists!C1+"$$8p!C$"</f>
        <v>#VALUE!</v>
      </c>
      <c r="HC10" t="e">
        <f>Lists!E1+"$$8p!C%"</f>
        <v>#VALUE!</v>
      </c>
      <c r="HD10" t="e">
        <f>Lists!L2+"$$8p!C&amp;"</f>
        <v>#VALUE!</v>
      </c>
      <c r="HE10" t="e">
        <f>Lists!M2+"$$8p!C'"</f>
        <v>#VALUE!</v>
      </c>
      <c r="HF10" t="e">
        <f>Lists!A2+"$$8p!C("</f>
        <v>#VALUE!</v>
      </c>
      <c r="HG10" t="e">
        <f>Lists!C2+"$$8p!C)"</f>
        <v>#VALUE!</v>
      </c>
      <c r="HH10" t="e">
        <f>Lists!E2+"$$8p!C."</f>
        <v>#VALUE!</v>
      </c>
      <c r="HI10" t="e">
        <f>Lists!L3+"$$8p!C/"</f>
        <v>#VALUE!</v>
      </c>
      <c r="HJ10" t="e">
        <f>Lists!M3+"$$8p!C0"</f>
        <v>#VALUE!</v>
      </c>
      <c r="HK10" t="e">
        <f>Lists!A3+"$$8p!C1"</f>
        <v>#VALUE!</v>
      </c>
      <c r="HL10" t="e">
        <f>Lists!C3+"$$8p!C2"</f>
        <v>#VALUE!</v>
      </c>
      <c r="HM10" t="e">
        <f>Lists!E3+"$$8p!C3"</f>
        <v>#VALUE!</v>
      </c>
      <c r="HN10" t="e">
        <f>Lists!AB3+"$$8p!C4"</f>
        <v>#VALUE!</v>
      </c>
      <c r="HO10" t="e">
        <f>Lists!L4+"$$8p!C5"</f>
        <v>#VALUE!</v>
      </c>
      <c r="HP10" t="e">
        <f>Lists!M4+"$$8p!C6"</f>
        <v>#VALUE!</v>
      </c>
      <c r="HQ10" t="e">
        <f>Lists!A4+"$$8p!C7"</f>
        <v>#VALUE!</v>
      </c>
      <c r="HR10" t="e">
        <f>Lists!C4+"$$8p!C8"</f>
        <v>#VALUE!</v>
      </c>
      <c r="HS10" t="e">
        <f>Lists!E4+"$$8p!C9"</f>
        <v>#VALUE!</v>
      </c>
      <c r="HT10" t="e">
        <f>Lists!L5+"$$8p!C:"</f>
        <v>#VALUE!</v>
      </c>
      <c r="HU10" t="e">
        <f>Lists!M5+"$$8p!C;"</f>
        <v>#VALUE!</v>
      </c>
      <c r="HV10" t="e">
        <f>Lists!A5+"$$8p!C&lt;"</f>
        <v>#VALUE!</v>
      </c>
      <c r="HW10" t="e">
        <f>Lists!C5+"$$8p!C="</f>
        <v>#VALUE!</v>
      </c>
      <c r="HX10" t="e">
        <f>Lists!E5+"$$8p!C&gt;"</f>
        <v>#VALUE!</v>
      </c>
      <c r="HY10" t="e">
        <f>Lists!L6+"$$8p!C?"</f>
        <v>#VALUE!</v>
      </c>
      <c r="HZ10" t="e">
        <f>Lists!M6+"$$8p!C@"</f>
        <v>#VALUE!</v>
      </c>
      <c r="IA10" t="e">
        <f>Lists!A6+"$$8p!CA"</f>
        <v>#VALUE!</v>
      </c>
      <c r="IB10" t="e">
        <f>Lists!C6+"$$8p!CB"</f>
        <v>#VALUE!</v>
      </c>
      <c r="IC10" t="e">
        <f>Lists!E6+"$$8p!CC"</f>
        <v>#VALUE!</v>
      </c>
      <c r="ID10" t="e">
        <f>Lists!L7+"$$8p!CD"</f>
        <v>#VALUE!</v>
      </c>
      <c r="IE10" t="e">
        <f>Lists!M7+"$$8p!CE"</f>
        <v>#VALUE!</v>
      </c>
      <c r="IF10" t="e">
        <f>Lists!A7+"$$8p!CF"</f>
        <v>#VALUE!</v>
      </c>
      <c r="IG10" t="e">
        <f>Lists!C7+"$$8p!CG"</f>
        <v>#VALUE!</v>
      </c>
      <c r="IH10" t="e">
        <f>Lists!E7+"$$8p!CH"</f>
        <v>#VALUE!</v>
      </c>
      <c r="II10" t="e">
        <f>Lists!L8+"$$8p!CI"</f>
        <v>#VALUE!</v>
      </c>
      <c r="IJ10" t="e">
        <f>Lists!M8+"$$8p!CJ"</f>
        <v>#VALUE!</v>
      </c>
      <c r="IK10" t="e">
        <f>Lists!A8+"$$8p!CK"</f>
        <v>#VALUE!</v>
      </c>
      <c r="IL10" t="e">
        <f>Lists!C8+"$$8p!CL"</f>
        <v>#VALUE!</v>
      </c>
      <c r="IM10" t="e">
        <f>Lists!E8+"$$8p!CM"</f>
        <v>#VALUE!</v>
      </c>
      <c r="IN10" t="e">
        <f>Lists!L9+"$$8p!CN"</f>
        <v>#VALUE!</v>
      </c>
      <c r="IO10" t="e">
        <f>Lists!M9+"$$8p!CO"</f>
        <v>#VALUE!</v>
      </c>
      <c r="IP10" t="e">
        <f>Lists!A9+"$$8p!CP"</f>
        <v>#VALUE!</v>
      </c>
      <c r="IQ10" t="e">
        <f>Lists!C9+"$$8p!CQ"</f>
        <v>#VALUE!</v>
      </c>
      <c r="IR10" t="e">
        <f>Lists!E9+"$$8p!CR"</f>
        <v>#VALUE!</v>
      </c>
      <c r="IS10" t="e">
        <f>Lists!L10+"$$8p!CS"</f>
        <v>#VALUE!</v>
      </c>
      <c r="IT10" t="e">
        <f>Lists!M10+"$$8p!CT"</f>
        <v>#VALUE!</v>
      </c>
      <c r="IU10" t="e">
        <f>Lists!A10+"$$8p!CU"</f>
        <v>#VALUE!</v>
      </c>
      <c r="IV10" t="e">
        <f>Lists!C10+"$$8p!CV"</f>
        <v>#VALUE!</v>
      </c>
    </row>
    <row r="11" spans="1:256" x14ac:dyDescent="0.35">
      <c r="F11" t="e">
        <f>Lists!E10+"$$8p!CW"</f>
        <v>#VALUE!</v>
      </c>
      <c r="G11" t="e">
        <f>Lists!A11+"$$8p!CX"</f>
        <v>#VALUE!</v>
      </c>
      <c r="H11" t="e">
        <f>Lists!C11+"$$8p!CY"</f>
        <v>#VALUE!</v>
      </c>
      <c r="I11" t="e">
        <f>Lists!E11+"$$8p!CZ"</f>
        <v>#VALUE!</v>
      </c>
      <c r="J11" t="e">
        <f>Lists!A12+"$$8p!C["</f>
        <v>#VALUE!</v>
      </c>
      <c r="K11" t="e">
        <f>Lists!C12+"$$8p!C\"</f>
        <v>#VALUE!</v>
      </c>
      <c r="L11" t="e">
        <f>Lists!A13+"$$8p!C]"</f>
        <v>#VALUE!</v>
      </c>
      <c r="M11" t="e">
        <f>Lists!C13+"$$8p!C^"</f>
        <v>#VALUE!</v>
      </c>
      <c r="N11" t="e">
        <f>Lists!A14+"$$8p!C_"</f>
        <v>#VALUE!</v>
      </c>
      <c r="O11" t="e">
        <f>Lists!C14+"$$8p!C`"</f>
        <v>#VALUE!</v>
      </c>
      <c r="P11" t="e">
        <f>Lists!A15+"$$8p!Ca"</f>
        <v>#VALUE!</v>
      </c>
      <c r="Q11" t="e">
        <f>Lists!C15+"$$8p!Cb"</f>
        <v>#VALUE!</v>
      </c>
      <c r="R11" t="e">
        <f>Lists!A16+"$$8p!Cc"</f>
        <v>#VALUE!</v>
      </c>
      <c r="S11" t="e">
        <f>Lists!C16+"$$8p!Cd"</f>
        <v>#VALUE!</v>
      </c>
      <c r="T11" t="e">
        <f>Lists!A17+"$$8p!Ce"</f>
        <v>#VALUE!</v>
      </c>
      <c r="U11" t="e">
        <f>Lists!C17+"$$8p!Cf"</f>
        <v>#VALUE!</v>
      </c>
      <c r="V11" t="e">
        <f>Lists!A18+"$$8p!Cg"</f>
        <v>#VALUE!</v>
      </c>
      <c r="W11" t="e">
        <f>Lists!C18+"$$8p!Ch"</f>
        <v>#VALUE!</v>
      </c>
      <c r="X11" t="e">
        <f>Lists!A19+"$$8p!Ci"</f>
        <v>#VALUE!</v>
      </c>
      <c r="Y11" t="e">
        <f>Lists!C19+"$$8p!Cj"</f>
        <v>#VALUE!</v>
      </c>
      <c r="Z11" t="e">
        <f>Lists!A20+"$$8p!Ck"</f>
        <v>#VALUE!</v>
      </c>
      <c r="AA11" t="e">
        <f>Lists!C20+"$$8p!Cl"</f>
        <v>#VALUE!</v>
      </c>
      <c r="AB11" t="e">
        <f>Lists!A21+"$$8p!Cm"</f>
        <v>#VALUE!</v>
      </c>
      <c r="AC11" t="e">
        <f>Lists!A22+"$$8p!Cn"</f>
        <v>#VALUE!</v>
      </c>
      <c r="AD11" t="e">
        <f>Lists!A23+"$$8p!Co"</f>
        <v>#VALUE!</v>
      </c>
      <c r="AE11" t="e">
        <f>Lists!A24+"$$8p!Cp"</f>
        <v>#VALUE!</v>
      </c>
      <c r="AF11" t="e">
        <f>Lists!A25+"$$8p!Cq"</f>
        <v>#VALUE!</v>
      </c>
      <c r="AG11" t="e">
        <f>Lists!A26+"$$8p!Cr"</f>
        <v>#VALUE!</v>
      </c>
      <c r="AH11" t="e">
        <f>Lists!A27+"$$8p!Cs"</f>
        <v>#VALUE!</v>
      </c>
      <c r="AI11" t="e">
        <f>Lists!A:A*"$$8p!Ct"</f>
        <v>#VALUE!</v>
      </c>
      <c r="AJ11" t="e">
        <f>_xlfn.SINGLE(Lists!#REF!)*"$$8p!Cu"</f>
        <v>#REF!</v>
      </c>
      <c r="AK11" t="e">
        <f>Lists!B:B*"$$8p!Cv"</f>
        <v>#VALUE!</v>
      </c>
      <c r="AL11" t="e">
        <f>Lists!C:C*"$$8p!Cw"</f>
        <v>#VALUE!</v>
      </c>
      <c r="AM11" t="e">
        <f>_xlfn.SINGLE(Lists!#REF!)*"$$8p!Cx"</f>
        <v>#REF!</v>
      </c>
      <c r="AN11" t="e">
        <f>Lists!D:D*"$$8p!Cy"</f>
        <v>#VALUE!</v>
      </c>
      <c r="AO11" t="e">
        <f>Lists!E:E*"$$8p!Cz"</f>
        <v>#VALUE!</v>
      </c>
      <c r="AP11" t="e">
        <f>Lists!F:F*"$$8p!C{"</f>
        <v>#VALUE!</v>
      </c>
      <c r="AQ11" t="e">
        <f>Lists!G:G*"$$8p!C|"</f>
        <v>#VALUE!</v>
      </c>
      <c r="AR11" t="e">
        <f>Lists!H:H*"$$8p!C}"</f>
        <v>#VALUE!</v>
      </c>
      <c r="AS11" t="e">
        <f>Lists!I:I*"$$8p!C~"</f>
        <v>#VALUE!</v>
      </c>
      <c r="AT11" t="e">
        <f>Lists!J:J*"$$8p!D#"</f>
        <v>#VALUE!</v>
      </c>
      <c r="AU11" t="e">
        <f>Lists!K:K*"$$8p!D$"</f>
        <v>#VALUE!</v>
      </c>
      <c r="AV11" t="e">
        <f>Lists!L:L*"$$8p!D%"</f>
        <v>#VALUE!</v>
      </c>
      <c r="AW11" t="e">
        <f>Lists!M:M*"$$8p!D&amp;"</f>
        <v>#VALUE!</v>
      </c>
      <c r="AX11" t="e">
        <f>Lists!N:N*"$$8p!D'"</f>
        <v>#VALUE!</v>
      </c>
      <c r="AY11" t="e">
        <f>Lists!O:O*"$$8p!D("</f>
        <v>#VALUE!</v>
      </c>
      <c r="AZ11" t="e">
        <f>Lists!P:P*"$$8p!D)"</f>
        <v>#VALUE!</v>
      </c>
      <c r="BA11" t="e">
        <f>Lists!Q:Q*"$$8p!D."</f>
        <v>#VALUE!</v>
      </c>
      <c r="BB11" t="e">
        <f>Lists!R:R*"$$8p!D/"</f>
        <v>#VALUE!</v>
      </c>
      <c r="BC11" t="e">
        <f>Lists!S:S*"$$8p!D0"</f>
        <v>#VALUE!</v>
      </c>
      <c r="BD11" t="e">
        <f>Lists!T:T*"$$8p!D1"</f>
        <v>#VALUE!</v>
      </c>
      <c r="BE11" t="e">
        <f>Lists!U:U*"$$8p!D2"</f>
        <v>#VALUE!</v>
      </c>
      <c r="BF11" t="e">
        <f>Lists!V:V*"$$8p!D3"</f>
        <v>#VALUE!</v>
      </c>
      <c r="BG11" t="e">
        <f>Lists!W:W*"$$8p!D4"</f>
        <v>#VALUE!</v>
      </c>
      <c r="BH11" t="e">
        <f>Lists!X:X*"$$8p!D5"</f>
        <v>#VALUE!</v>
      </c>
      <c r="BI11" t="e">
        <f>Lists!Y:Y*"$$8p!D6"</f>
        <v>#VALUE!</v>
      </c>
      <c r="BJ11" t="e">
        <f>Lists!Z:Z*"$$8p!D7"</f>
        <v>#VALUE!</v>
      </c>
      <c r="BK11" t="e">
        <f>Lists!AA:AA*"$$8p!D8"</f>
        <v>#VALUE!</v>
      </c>
      <c r="BL11" t="e">
        <f>Lists!AB:AB*"$$8p!D9"</f>
        <v>#VALUE!</v>
      </c>
      <c r="BM11" t="e">
        <f>Lists!AC:AC*"$$8p!D:"</f>
        <v>#VALUE!</v>
      </c>
      <c r="BN11" t="e">
        <f>Lists!AD:AD*"$$8p!D;"</f>
        <v>#VALUE!</v>
      </c>
      <c r="BO11" t="e">
        <f>Lists!AE:AE*"$$8p!D&lt;"</f>
        <v>#VALUE!</v>
      </c>
      <c r="BP11" t="e">
        <f>Lists!AF:AF*"$$8p!D="</f>
        <v>#VALUE!</v>
      </c>
      <c r="BQ11" t="e">
        <f>Lists!AG:AG*"$$8p!D&gt;"</f>
        <v>#VALUE!</v>
      </c>
      <c r="BR11" t="e">
        <f>Lists!AH:AH*"$$8p!D?"</f>
        <v>#VALUE!</v>
      </c>
      <c r="BS11" t="e">
        <f>Lists!AI:AI*"$$8p!D@"</f>
        <v>#VALUE!</v>
      </c>
      <c r="BT11" t="e">
        <f>Lists!AJ:AJ*"$$8p!DA"</f>
        <v>#VALUE!</v>
      </c>
      <c r="BU11" t="e">
        <f>Lists!AK:AK*"$$8p!DB"</f>
        <v>#VALUE!</v>
      </c>
      <c r="BV11" t="e">
        <f>Lists!AL:AL*"$$8p!DC"</f>
        <v>#VALUE!</v>
      </c>
      <c r="BW11" t="e">
        <f>Lists!AM:AM*"$$8p!DD"</f>
        <v>#VALUE!</v>
      </c>
      <c r="BX11" t="e">
        <f>Lists!AN:AN*"$$8p!DE"</f>
        <v>#VALUE!</v>
      </c>
      <c r="BY11" t="e">
        <f>Lists!AO:AO*"$$8p!DF"</f>
        <v>#VALUE!</v>
      </c>
      <c r="BZ11" t="e">
        <f>Lists!AP:AP*"$$8p!DG"</f>
        <v>#VALUE!</v>
      </c>
      <c r="CA11" t="e">
        <f>Lists!AQ:AQ*"$$8p!DH"</f>
        <v>#VALUE!</v>
      </c>
      <c r="CB11" t="e">
        <f>Lists!AR:AR*"$$8p!DI"</f>
        <v>#VALUE!</v>
      </c>
      <c r="CC11" t="e">
        <f>Lists!AS:AS*"$$8p!DJ"</f>
        <v>#VALUE!</v>
      </c>
      <c r="CD11" t="e">
        <f>Lists!AT:AT*"$$8p!DK"</f>
        <v>#VALUE!</v>
      </c>
      <c r="CE11" t="e">
        <f>Lists!AU:AU*"$$8p!DL"</f>
        <v>#VALUE!</v>
      </c>
      <c r="CF11" t="e">
        <f>Lists!AV:AV*"$$8p!DM"</f>
        <v>#VALUE!</v>
      </c>
      <c r="CG11" t="e">
        <f>Lists!AW:AW*"$$8p!DN"</f>
        <v>#VALUE!</v>
      </c>
      <c r="CH11" t="e">
        <f>Lists!AX:AX*"$$8p!DO"</f>
        <v>#VALUE!</v>
      </c>
      <c r="CI11" t="e">
        <f>Lists!AY:AY*"$$8p!DP"</f>
        <v>#VALUE!</v>
      </c>
      <c r="CJ11" t="e">
        <f>Lists!AZ:AZ*"$$8p!DQ"</f>
        <v>#VALUE!</v>
      </c>
      <c r="CK11" t="e">
        <f>Lists!BA:BA*"$$8p!DR"</f>
        <v>#VALUE!</v>
      </c>
      <c r="CL11" t="e">
        <f>Lists!BB:BB*"$$8p!DS"</f>
        <v>#VALUE!</v>
      </c>
      <c r="CM11" t="e">
        <f>Lists!BC:BC*"$$8p!DT"</f>
        <v>#VALUE!</v>
      </c>
      <c r="CN11" t="e">
        <f>Lists!BD:BD*"$$8p!DU"</f>
        <v>#VALUE!</v>
      </c>
      <c r="CO11" t="e">
        <f>Lists!BE:BE*"$$8p!DV"</f>
        <v>#VALUE!</v>
      </c>
      <c r="CP11" t="e">
        <f>Lists!BF:BF*"$$8p!DW"</f>
        <v>#VALUE!</v>
      </c>
      <c r="CQ11" t="e">
        <f>Lists!BG:BG*"$$8p!DX"</f>
        <v>#VALUE!</v>
      </c>
      <c r="CR11" t="e">
        <f>Lists!BH:BH*"$$8p!DY"</f>
        <v>#VALUE!</v>
      </c>
      <c r="CS11" t="e">
        <f>Lists!BI:BI*"$$8p!DZ"</f>
        <v>#VALUE!</v>
      </c>
      <c r="CT11" t="e">
        <f>Lists!BJ:BJ*"$$8p!D["</f>
        <v>#VALUE!</v>
      </c>
      <c r="CU11" t="e">
        <f>Lists!BK:BK*"$$8p!D\"</f>
        <v>#VALUE!</v>
      </c>
      <c r="CV11" t="e">
        <f>Lists!BL:BL*"$$8p!D]"</f>
        <v>#VALUE!</v>
      </c>
      <c r="CW11" t="e">
        <f>Lists!BM:BM*"$$8p!D^"</f>
        <v>#VALUE!</v>
      </c>
      <c r="CX11" t="e">
        <f>Lists!BN:BN*"$$8p!D_"</f>
        <v>#VALUE!</v>
      </c>
      <c r="CY11" t="e">
        <f>Lists!BO:BO*"$$8p!D`"</f>
        <v>#VALUE!</v>
      </c>
      <c r="CZ11" t="e">
        <f>Lists!BP:BP*"$$8p!Da"</f>
        <v>#VALUE!</v>
      </c>
      <c r="DA11" t="e">
        <f>Lists!BQ:BQ*"$$8p!Db"</f>
        <v>#VALUE!</v>
      </c>
      <c r="DB11" t="e">
        <f>Lists!BR:BR*"$$8p!Dc"</f>
        <v>#VALUE!</v>
      </c>
      <c r="DC11" t="e">
        <f>Lists!BS:BS*"$$8p!Dd"</f>
        <v>#VALUE!</v>
      </c>
      <c r="DD11" t="e">
        <f>Lists!BT:BT*"$$8p!De"</f>
        <v>#VALUE!</v>
      </c>
      <c r="DE11" t="e">
        <f>Lists!BU:BU*"$$8p!Df"</f>
        <v>#VALUE!</v>
      </c>
      <c r="DF11" t="e">
        <f>Lists!BV:BV*"$$8p!Dg"</f>
        <v>#VALUE!</v>
      </c>
      <c r="DG11" t="e">
        <f>Lists!BW:BW*"$$8p!Dh"</f>
        <v>#VALUE!</v>
      </c>
      <c r="DH11" t="e">
        <f>Lists!BX:BX*"$$8p!Di"</f>
        <v>#VALUE!</v>
      </c>
      <c r="DI11" t="e">
        <f>Lists!BY:BY*"$$8p!Dj"</f>
        <v>#VALUE!</v>
      </c>
      <c r="DJ11" t="e">
        <f>Lists!BZ:BZ*"$$8p!Dk"</f>
        <v>#VALUE!</v>
      </c>
      <c r="DK11" t="e">
        <f>Lists!1:1-"$$8p!Dl"</f>
        <v>#VALUE!</v>
      </c>
      <c r="DL11" t="e">
        <f>Lists!2:2-"$$8p!Dm"</f>
        <v>#VALUE!</v>
      </c>
      <c r="DM11" t="e">
        <f>Lists!3:3-"$$8p!Dn"</f>
        <v>#VALUE!</v>
      </c>
      <c r="DN11" t="e">
        <f>Lists!4:4-"$$8p!Do"</f>
        <v>#VALUE!</v>
      </c>
      <c r="DO11" t="e">
        <f>Lists!5:5-"$$8p!Dp"</f>
        <v>#VALUE!</v>
      </c>
      <c r="DP11" t="e">
        <f>Lists!6:6-"$$8p!Dq"</f>
        <v>#VALUE!</v>
      </c>
      <c r="DQ11" t="e">
        <f>Lists!7:7-"$$8p!Dr"</f>
        <v>#VALUE!</v>
      </c>
      <c r="DR11" t="e">
        <f>Lists!8:8-"$$8p!Ds"</f>
        <v>#VALUE!</v>
      </c>
      <c r="DS11" t="e">
        <f>Lists!9:9-"$$8p!Dt"</f>
        <v>#VALUE!</v>
      </c>
      <c r="DT11" t="e">
        <f>Lists!10:10-"$$8p!Du"</f>
        <v>#VALUE!</v>
      </c>
      <c r="DU11" t="e">
        <f>Lists!11:11-"$$8p!Dv"</f>
        <v>#VALUE!</v>
      </c>
      <c r="DV11" t="e">
        <f>Lists!12:12-"$$8p!Dw"</f>
        <v>#VALUE!</v>
      </c>
      <c r="DW11" t="e">
        <f>Lists!13:13-"$$8p!Dx"</f>
        <v>#VALUE!</v>
      </c>
      <c r="DX11" t="e">
        <f>Lists!14:14-"$$8p!Dy"</f>
        <v>#VALUE!</v>
      </c>
      <c r="DY11" t="e">
        <f>Lists!15:15-"$$8p!Dz"</f>
        <v>#VALUE!</v>
      </c>
      <c r="DZ11" t="e">
        <f>Lists!16:16-"$$8p!D{"</f>
        <v>#VALUE!</v>
      </c>
      <c r="EA11" t="e">
        <f>Lists!17:17-"$$8p!D|"</f>
        <v>#VALUE!</v>
      </c>
      <c r="EB11" t="e">
        <f>Lists!18:18-"$$8p!D}"</f>
        <v>#VALUE!</v>
      </c>
      <c r="EC11" t="e">
        <f>Lists!19:19-"$$8p!D~"</f>
        <v>#VALUE!</v>
      </c>
      <c r="ED11" t="e">
        <f>Lists!20:20-"$$8p!E#"</f>
        <v>#VALUE!</v>
      </c>
      <c r="EE11" t="e">
        <f>Lists!21:21-"$$8p!E$"</f>
        <v>#VALUE!</v>
      </c>
      <c r="EF11" t="e">
        <f>Lists!22:22-"$$8p!E%"</f>
        <v>#VALUE!</v>
      </c>
      <c r="EG11" t="e">
        <f>Lists!23:23-"$$8p!E&amp;"</f>
        <v>#VALUE!</v>
      </c>
      <c r="EH11" t="e">
        <f>Lists!24:24-"$$8p!E'"</f>
        <v>#VALUE!</v>
      </c>
      <c r="EI11" t="e">
        <f>Lists!25:25-"$$8p!E("</f>
        <v>#VALUE!</v>
      </c>
      <c r="EJ11" t="e">
        <f>Lists!26:26-"$$8p!E)"</f>
        <v>#VALUE!</v>
      </c>
      <c r="EK11" t="e">
        <f>Lists!27:27-"$$8p!E."</f>
        <v>#VALUE!</v>
      </c>
      <c r="EL11" t="e">
        <f>Lists!28:28-"$$8p!E/"</f>
        <v>#VALUE!</v>
      </c>
      <c r="EM11" t="e">
        <f>Lists!29:29-"$$8p!E0"</f>
        <v>#VALUE!</v>
      </c>
      <c r="EN11" t="e">
        <f>Lists!30:30-"$$8p!E1"</f>
        <v>#VALUE!</v>
      </c>
      <c r="EO11" t="e">
        <f>Lists!31:31-"$$8p!E2"</f>
        <v>#VALUE!</v>
      </c>
      <c r="EP11" t="e">
        <f>Lists!32:32-"$$8p!E3"</f>
        <v>#VALUE!</v>
      </c>
      <c r="EQ11" t="e">
        <f>Lists!33:33-"$$8p!E4"</f>
        <v>#VALUE!</v>
      </c>
      <c r="ER11" t="e">
        <f>Lists!34:34-"$$8p!E5"</f>
        <v>#VALUE!</v>
      </c>
      <c r="ES11" t="e">
        <f>Lists!35:35-"$$8p!E6"</f>
        <v>#VALUE!</v>
      </c>
      <c r="ET11" t="e">
        <f>Lists!36:36-"$$8p!E7"</f>
        <v>#VALUE!</v>
      </c>
      <c r="EU11" t="e">
        <f>Lists!37:37-"$$8p!E8"</f>
        <v>#VALUE!</v>
      </c>
      <c r="EV11" t="e">
        <f>Lists!38:38-"$$8p!E9"</f>
        <v>#VALUE!</v>
      </c>
      <c r="EW11" t="e">
        <f>Lists!39:39-"$$8p!E:"</f>
        <v>#VALUE!</v>
      </c>
      <c r="EX11" t="e">
        <f>Lists!40:40-"$$8p!E;"</f>
        <v>#VALUE!</v>
      </c>
      <c r="EY11" t="e">
        <f>Lists!41:41-"$$8p!E&lt;"</f>
        <v>#VALUE!</v>
      </c>
      <c r="EZ11" t="e">
        <f>Lists!42:42-"$$8p!E="</f>
        <v>#VALUE!</v>
      </c>
      <c r="FA11" t="e">
        <f>Lists!43:43-"$$8p!E&gt;"</f>
        <v>#VALUE!</v>
      </c>
      <c r="FB11" t="e">
        <f>Lists!44:44-"$$8p!E?"</f>
        <v>#VALUE!</v>
      </c>
      <c r="FC11" t="e">
        <f>Lists!45:45-"$$8p!E@"</f>
        <v>#VALUE!</v>
      </c>
      <c r="FD11" t="e">
        <f>Lists!46:46-"$$8p!EA"</f>
        <v>#VALUE!</v>
      </c>
      <c r="FE11" t="e">
        <f>Lists!47:47-"$$8p!EB"</f>
        <v>#VALUE!</v>
      </c>
      <c r="FF11" t="e">
        <f>Lists!48:48-"$$8p!EC"</f>
        <v>#VALUE!</v>
      </c>
      <c r="FG11" t="e">
        <f>Lists!49:49-"$$8p!ED"</f>
        <v>#VALUE!</v>
      </c>
      <c r="FH11" t="e">
        <f>Lists!50:50-"$$8p!EE"</f>
        <v>#VALUE!</v>
      </c>
      <c r="FI11" t="e">
        <f>Lists!51:51-"$$8p!EF"</f>
        <v>#VALUE!</v>
      </c>
      <c r="FJ11" t="e">
        <f>Lists!52:52-"$$8p!EG"</f>
        <v>#VALUE!</v>
      </c>
      <c r="FK11" t="e">
        <f>Lists!53:53-"$$8p!EH"</f>
        <v>#VALUE!</v>
      </c>
      <c r="FL11" t="e">
        <f>Lists!54:54-"$$8p!EI"</f>
        <v>#VALUE!</v>
      </c>
      <c r="FM11" t="e">
        <f>Lists!55:55-"$$8p!EJ"</f>
        <v>#VALUE!</v>
      </c>
      <c r="FN11" t="e">
        <f>Lists!56:56-"$$8p!EK"</f>
        <v>#VALUE!</v>
      </c>
      <c r="FO11" t="e">
        <f>Lists!57:57-"$$8p!EL"</f>
        <v>#VALUE!</v>
      </c>
      <c r="FP11" t="e">
        <f>Lists!58:58-"$$8p!EM"</f>
        <v>#VALUE!</v>
      </c>
      <c r="FQ11" t="e">
        <f>Lists!59:59-"$$8p!EN"</f>
        <v>#VALUE!</v>
      </c>
      <c r="FR11" t="e">
        <f>Lists!60:60-"$$8p!EO"</f>
        <v>#VALUE!</v>
      </c>
      <c r="FS11" t="e">
        <f>Lists!61:61-"$$8p!EP"</f>
        <v>#VALUE!</v>
      </c>
      <c r="FT11" t="e">
        <f>Lists!62:62-"$$8p!EQ"</f>
        <v>#VALUE!</v>
      </c>
      <c r="FU11" t="e">
        <f>Lists!63:63-"$$8p!ER"</f>
        <v>#VALUE!</v>
      </c>
      <c r="FV11" t="e">
        <f>Lists!64:64-"$$8p!ES"</f>
        <v>#VALUE!</v>
      </c>
      <c r="FW11" t="e">
        <f>Lists!65:65-"$$8p!ET"</f>
        <v>#VALUE!</v>
      </c>
      <c r="FX11" t="e">
        <f>Lists!66:66-"$$8p!EU"</f>
        <v>#VALUE!</v>
      </c>
      <c r="FY11" t="e">
        <f>Lists!67:67-"$$8p!EV"</f>
        <v>#VALUE!</v>
      </c>
      <c r="FZ11" t="e">
        <f>Lists!68:68-"$$8p!EW"</f>
        <v>#VALUE!</v>
      </c>
      <c r="GA11" t="e">
        <f>Lists!69:69-"$$8p!EX"</f>
        <v>#VALUE!</v>
      </c>
      <c r="GB11" t="e">
        <f>Lists!70:70-"$$8p!EY"</f>
        <v>#VALUE!</v>
      </c>
      <c r="GC11" t="e">
        <f>Lists!71:71-"$$8p!EZ"</f>
        <v>#VALUE!</v>
      </c>
      <c r="GD11" t="e">
        <f>Lists!72:72-"$$8p!E["</f>
        <v>#VALUE!</v>
      </c>
      <c r="GE11" t="e">
        <f>Lists!73:73-"$$8p!E\"</f>
        <v>#VALUE!</v>
      </c>
      <c r="GF11" t="e">
        <f>Lists!74:74-"$$8p!E]"</f>
        <v>#VALUE!</v>
      </c>
      <c r="GG11" t="e">
        <f>Lists!75:75-"$$8p!E^"</f>
        <v>#VALUE!</v>
      </c>
      <c r="GH11" t="e">
        <f>Lists!76:76-"$$8p!E_"</f>
        <v>#VALUE!</v>
      </c>
      <c r="GI11" t="e">
        <f>Lists!77:77-"$$8p!E`"</f>
        <v>#VALUE!</v>
      </c>
      <c r="GJ11" t="e">
        <f>Lists!78:78-"$$8p!Ea"</f>
        <v>#VALUE!</v>
      </c>
      <c r="GK11" t="e">
        <f>Lists!79:79-"$$8p!Eb"</f>
        <v>#VALUE!</v>
      </c>
      <c r="GL11" t="e">
        <f>Lists!80:80-"$$8p!Ec"</f>
        <v>#VALUE!</v>
      </c>
      <c r="GM11" t="e">
        <f>Lists!81:81-"$$8p!Ed"</f>
        <v>#VALUE!</v>
      </c>
      <c r="GN11" t="e">
        <f>Lists!82:82-"$$8p!Ee"</f>
        <v>#VALUE!</v>
      </c>
      <c r="GO11" t="e">
        <f>Lists!83:83-"$$8p!Ef"</f>
        <v>#VALUE!</v>
      </c>
      <c r="GP11" t="e">
        <f>Lists!84:84-"$$8p!Eg"</f>
        <v>#VALUE!</v>
      </c>
      <c r="GQ11" t="e">
        <f>Lists!85:85-"$$8p!Eh"</f>
        <v>#VALUE!</v>
      </c>
      <c r="GR11" t="e">
        <f>Lists!86:86-"$$8p!Ei"</f>
        <v>#VALUE!</v>
      </c>
      <c r="GS11" t="e">
        <f>Lists!87:87-"$$8p!Ej"</f>
        <v>#VALUE!</v>
      </c>
      <c r="GT11" t="e">
        <f>Lists!88:88-"$$8p!Ek"</f>
        <v>#VALUE!</v>
      </c>
      <c r="GU11" t="e">
        <f>Lists!89:89-"$$8p!El"</f>
        <v>#VALUE!</v>
      </c>
      <c r="GV11" t="e">
        <f>Lists!90:90-"$$8p!Em"</f>
        <v>#VALUE!</v>
      </c>
      <c r="GW11" t="e">
        <f>Lists!91:91-"$$8p!En"</f>
        <v>#VALUE!</v>
      </c>
      <c r="GX11" t="e">
        <f>Lists!92:92-"$$8p!Eo"</f>
        <v>#VALUE!</v>
      </c>
      <c r="GY11" t="e">
        <f>Lists!93:93-"$$8p!Ep"</f>
        <v>#VALUE!</v>
      </c>
      <c r="GZ11" t="e">
        <f>Lists!94:94-"$$8p!Eq"</f>
        <v>#VALUE!</v>
      </c>
      <c r="HA11" t="e">
        <f>Lists!95:95-"$$8p!Er"</f>
        <v>#VALUE!</v>
      </c>
      <c r="HB11" t="e">
        <f>Lists!96:96-"$$8p!Es"</f>
        <v>#VALUE!</v>
      </c>
      <c r="HC11" t="e">
        <f>Lists!97:97-"$$8p!Et"</f>
        <v>#VALUE!</v>
      </c>
      <c r="HD11" t="e">
        <f>Lists!98:98-"$$8p!Eu"</f>
        <v>#VALUE!</v>
      </c>
      <c r="HE11" t="e">
        <f>Lists!99:99-"$$8p!Ev"</f>
        <v>#VALUE!</v>
      </c>
      <c r="HF11" t="e">
        <f>Lists!100:100-"$$8p!Ew"</f>
        <v>#VALUE!</v>
      </c>
      <c r="HG11" t="e">
        <f>Lists!101:101-"$$8p!Ex"</f>
        <v>#VALUE!</v>
      </c>
      <c r="HH11" t="e">
        <f>Lists!102:102-"$$8p!Ey"</f>
        <v>#VALUE!</v>
      </c>
      <c r="HI11" t="e">
        <f>Lists!103:103-"$$8p!Ez"</f>
        <v>#VALUE!</v>
      </c>
      <c r="HJ11" t="e">
        <f>Lists!104:104-"$$8p!E{"</f>
        <v>#VALUE!</v>
      </c>
      <c r="HK11" t="e">
        <f>Lists!105:105-"$$8p!E|"</f>
        <v>#VALUE!</v>
      </c>
      <c r="HL11" t="e">
        <f>Lists!106:106-"$$8p!E}"</f>
        <v>#VALUE!</v>
      </c>
      <c r="HM11" t="e">
        <f>Lists!107:107-"$$8p!E~"</f>
        <v>#VALUE!</v>
      </c>
      <c r="HN11" t="e">
        <f>Lists!108:108-"$$8p!F#"</f>
        <v>#VALUE!</v>
      </c>
      <c r="HO11" t="e">
        <f>Lists!109:109-"$$8p!F$"</f>
        <v>#VALUE!</v>
      </c>
      <c r="HP11" t="e">
        <f>Lists!110:110-"$$8p!F%"</f>
        <v>#VALUE!</v>
      </c>
      <c r="HQ11" t="e">
        <f>Lists!111:111-"$$8p!F&amp;"</f>
        <v>#VALUE!</v>
      </c>
      <c r="HR11" t="e">
        <f>Lists!112:112-"$$8p!F'"</f>
        <v>#VALUE!</v>
      </c>
      <c r="HS11" t="e">
        <f>Lists!113:113-"$$8p!F("</f>
        <v>#VALUE!</v>
      </c>
      <c r="HT11" t="e">
        <f>Lists!114:114-"$$8p!F)"</f>
        <v>#VALUE!</v>
      </c>
      <c r="HU11" t="e">
        <f>Lists!115:115-"$$8p!F."</f>
        <v>#VALUE!</v>
      </c>
      <c r="HV11" t="e">
        <f>Lists!116:116-"$$8p!F/"</f>
        <v>#VALUE!</v>
      </c>
      <c r="HW11" t="e">
        <f>Lists!117:117-"$$8p!F0"</f>
        <v>#VALUE!</v>
      </c>
      <c r="HX11" t="e">
        <f>Lists!118:118-"$$8p!F1"</f>
        <v>#VALUE!</v>
      </c>
      <c r="HY11" t="e">
        <f>Lists!119:119-"$$8p!F2"</f>
        <v>#VALUE!</v>
      </c>
      <c r="HZ11" t="e">
        <f>Lists!120:120-"$$8p!F3"</f>
        <v>#VALUE!</v>
      </c>
      <c r="IA11" t="e">
        <f>Lists!121:121-"$$8p!F4"</f>
        <v>#VALUE!</v>
      </c>
      <c r="IB11" t="e">
        <f>Lists!122:122-"$$8p!F5"</f>
        <v>#VALUE!</v>
      </c>
      <c r="IC11" t="e">
        <f>Lists!123:123-"$$8p!F6"</f>
        <v>#VALUE!</v>
      </c>
      <c r="ID11" t="e">
        <f>Lists!124:124-"$$8p!F7"</f>
        <v>#VALUE!</v>
      </c>
      <c r="IE11" t="e">
        <f>Lists!125:125-"$$8p!F8"</f>
        <v>#VALUE!</v>
      </c>
      <c r="IF11" t="e">
        <f>Lists!126:126-"$$8p!F9"</f>
        <v>#VALUE!</v>
      </c>
      <c r="IG11" t="e">
        <f>Lists!127:127-"$$8p!F:"</f>
        <v>#VALUE!</v>
      </c>
      <c r="IH11" t="e">
        <f>Lists!128:128-"$$8p!F;"</f>
        <v>#VALUE!</v>
      </c>
      <c r="II11" t="e">
        <f>Lists!129:129-"$$8p!F&lt;"</f>
        <v>#VALUE!</v>
      </c>
      <c r="IJ11" t="e">
        <f>Lists!130:130-"$$8p!F="</f>
        <v>#VALUE!</v>
      </c>
      <c r="IK11" t="e">
        <f>Lists!131:131-"$$8p!F&gt;"</f>
        <v>#VALUE!</v>
      </c>
      <c r="IL11" t="e">
        <f>Lists!132:132-"$$8p!F?"</f>
        <v>#VALUE!</v>
      </c>
      <c r="IM11" t="e">
        <f>Lists!133:133-"$$8p!F@"</f>
        <v>#VALUE!</v>
      </c>
      <c r="IN11" t="e">
        <f>Lists!134:134-"$$8p!FA"</f>
        <v>#VALUE!</v>
      </c>
      <c r="IO11" t="e">
        <f>Lists!135:135-"$$8p!FB"</f>
        <v>#VALUE!</v>
      </c>
      <c r="IP11" t="e">
        <f>Lists!136:136-"$$8p!FC"</f>
        <v>#VALUE!</v>
      </c>
      <c r="IQ11" t="e">
        <f>Lists!137:137-"$$8p!FD"</f>
        <v>#VALUE!</v>
      </c>
      <c r="IR11" t="e">
        <f>Lists!138:138-"$$8p!FE"</f>
        <v>#VALUE!</v>
      </c>
      <c r="IS11" t="e">
        <f>Lists!139:139-"$$8p!FF"</f>
        <v>#VALUE!</v>
      </c>
      <c r="IT11" t="e">
        <f>Lists!140:140-"$$8p!FG"</f>
        <v>#VALUE!</v>
      </c>
      <c r="IU11" t="e">
        <f>Lists!141:141-"$$8p!FH"</f>
        <v>#VALUE!</v>
      </c>
      <c r="IV11" t="e">
        <f>Lists!142:142-"$$8p!FI"</f>
        <v>#VALUE!</v>
      </c>
    </row>
    <row r="12" spans="1:256" x14ac:dyDescent="0.35">
      <c r="F12" t="e">
        <f>Lists!143:143-"$$8p!FJ"</f>
        <v>#VALUE!</v>
      </c>
      <c r="G12" t="e">
        <f>Lists!144:144-"$$8p!FK"</f>
        <v>#VALUE!</v>
      </c>
      <c r="H12" t="e">
        <f>Lists!145:145-"$$8p!FL"</f>
        <v>#VALUE!</v>
      </c>
      <c r="I12" t="e">
        <f>Lists!146:146-"$$8p!FM"</f>
        <v>#VALUE!</v>
      </c>
      <c r="J12" t="e">
        <f>Lists!147:147-"$$8p!FN"</f>
        <v>#VALUE!</v>
      </c>
      <c r="K12" t="e">
        <f>Lists!148:148-"$$8p!FO"</f>
        <v>#VALUE!</v>
      </c>
      <c r="L12" t="e">
        <f>Lists!149:149-"$$8p!FP"</f>
        <v>#VALUE!</v>
      </c>
      <c r="M12" t="e">
        <f>Lists!150:150-"$$8p!FQ"</f>
        <v>#VALUE!</v>
      </c>
      <c r="N12" t="e">
        <f>Lists!151:151-"$$8p!FR"</f>
        <v>#VALUE!</v>
      </c>
      <c r="O12" t="e">
        <f>Lists!152:152-"$$8p!FS"</f>
        <v>#VALUE!</v>
      </c>
      <c r="P12" t="e">
        <f>Lists!153:153-"$$8p!FT"</f>
        <v>#VALUE!</v>
      </c>
      <c r="Q12" t="e">
        <f>Lists!154:154-"$$8p!FU"</f>
        <v>#VALUE!</v>
      </c>
      <c r="R12" t="e">
        <f>Lists!155:155-"$$8p!FV"</f>
        <v>#VALUE!</v>
      </c>
      <c r="S12" t="e">
        <f>Lists!156:156-"$$8p!FW"</f>
        <v>#VALUE!</v>
      </c>
      <c r="T12" t="e">
        <f>Lists!157:157-"$$8p!FX"</f>
        <v>#VALUE!</v>
      </c>
      <c r="U12" t="e">
        <f>Lists!158:158-"$$8p!FY"</f>
        <v>#VALUE!</v>
      </c>
      <c r="V12" t="e">
        <f>Lists!159:159-"$$8p!FZ"</f>
        <v>#VALUE!</v>
      </c>
      <c r="W12" t="e">
        <f>Lists!160:160-"$$8p!F["</f>
        <v>#VALUE!</v>
      </c>
      <c r="X12" t="e">
        <f>Lists!161:161-"$$8p!F\"</f>
        <v>#VALUE!</v>
      </c>
      <c r="Y12" t="e">
        <f>Lists!162:162-"$$8p!F]"</f>
        <v>#VALUE!</v>
      </c>
      <c r="Z12" t="e">
        <f>Lists!163:163-"$$8p!F^"</f>
        <v>#VALUE!</v>
      </c>
      <c r="AA12" t="e">
        <f>Lists!164:164-"$$8p!F_"</f>
        <v>#VALUE!</v>
      </c>
      <c r="AB12" t="e">
        <f>Lists!165:165-"$$8p!F`"</f>
        <v>#VALUE!</v>
      </c>
      <c r="AC12" t="e">
        <f>Lists!166:166-"$$8p!Fa"</f>
        <v>#VALUE!</v>
      </c>
      <c r="AD12" t="e">
        <f>Lists!167:167-"$$8p!Fb"</f>
        <v>#VALUE!</v>
      </c>
      <c r="AE12" t="e">
        <f>Lists!168:168-"$$8p!Fc"</f>
        <v>#VALUE!</v>
      </c>
      <c r="AF12" t="e">
        <f>Lists!169:169-"$$8p!Fd"</f>
        <v>#VALUE!</v>
      </c>
      <c r="AG12" t="e">
        <f>Lists!170:170-"$$8p!Fe"</f>
        <v>#VALUE!</v>
      </c>
      <c r="AH12" t="e">
        <f>Lists!171:171-"$$8p!Ff"</f>
        <v>#VALUE!</v>
      </c>
      <c r="AI12" t="e">
        <f>Lists!172:172-"$$8p!Fg"</f>
        <v>#VALUE!</v>
      </c>
      <c r="AJ12" t="e">
        <f>Lists!173:173-"$$8p!Fh"</f>
        <v>#VALUE!</v>
      </c>
      <c r="AK12" t="e">
        <f>Lists!174:174-"$$8p!Fi"</f>
        <v>#VALUE!</v>
      </c>
      <c r="AL12" t="e">
        <f>Lists!175:175-"$$8p!Fj"</f>
        <v>#VALUE!</v>
      </c>
      <c r="AM12" t="e">
        <f>Lists!176:176-"$$8p!Fk"</f>
        <v>#VALUE!</v>
      </c>
      <c r="AN12" t="e">
        <f>Lists!177:177-"$$8p!Fl"</f>
        <v>#VALUE!</v>
      </c>
      <c r="AO12" t="e">
        <f>Lists!178:178-"$$8p!Fm"</f>
        <v>#VALUE!</v>
      </c>
      <c r="AP12" t="e">
        <f>Lists!179:179-"$$8p!Fn"</f>
        <v>#VALUE!</v>
      </c>
      <c r="AQ12" t="e">
        <f>Lists!180:180-"$$8p!Fo"</f>
        <v>#VALUE!</v>
      </c>
      <c r="AR12" t="e">
        <f>Lists!181:181-"$$8p!Fp"</f>
        <v>#VALUE!</v>
      </c>
      <c r="AS12" t="e">
        <f>Lists!182:182-"$$8p!Fq"</f>
        <v>#VALUE!</v>
      </c>
      <c r="AT12" t="e">
        <f>Lists!183:183-"$$8p!Fr"</f>
        <v>#VALUE!</v>
      </c>
      <c r="AU12" t="e">
        <f>Lists!184:184-"$$8p!Fs"</f>
        <v>#VALUE!</v>
      </c>
      <c r="AV12" t="e">
        <f>Lists!185:185-"$$8p!Ft"</f>
        <v>#VALUE!</v>
      </c>
      <c r="AW12" t="e">
        <f>Lists!186:186-"$$8p!Fu"</f>
        <v>#VALUE!</v>
      </c>
      <c r="AX12" t="e">
        <f>Lists!187:187-"$$8p!Fv"</f>
        <v>#VALUE!</v>
      </c>
      <c r="AY12" t="e">
        <f>Lists!188:188-"$$8p!Fw"</f>
        <v>#VALUE!</v>
      </c>
      <c r="AZ12" t="e">
        <f>Lists!189:189-"$$8p!Fx"</f>
        <v>#VALUE!</v>
      </c>
      <c r="BA12" t="e">
        <f>Lists!190:190-"$$8p!Fy"</f>
        <v>#VALUE!</v>
      </c>
      <c r="BB12" t="e">
        <f>Lists!191:191-"$$8p!Fz"</f>
        <v>#VALUE!</v>
      </c>
      <c r="BC12" t="e">
        <f>Lists!192:192-"$$8p!F{"</f>
        <v>#VALUE!</v>
      </c>
      <c r="BD12" t="e">
        <f>Lists!193:193-"$$8p!F|"</f>
        <v>#VALUE!</v>
      </c>
      <c r="BE12" t="e">
        <f>Lists!194:194-"$$8p!F}"</f>
        <v>#VALUE!</v>
      </c>
      <c r="BF12" t="e">
        <f>Lists!195:195-"$$8p!F~"</f>
        <v>#VALUE!</v>
      </c>
      <c r="BG12" t="e">
        <f>Lists!196:196-"$$8p!G#"</f>
        <v>#VALUE!</v>
      </c>
      <c r="BH12" t="e">
        <f>Lists!197:197-"$$8p!G$"</f>
        <v>#VALUE!</v>
      </c>
      <c r="BI12" t="e">
        <f>Lists!198:198-"$$8p!G%"</f>
        <v>#VALUE!</v>
      </c>
      <c r="BJ12" t="e">
        <f>Lists!199:199-"$$8p!G&amp;"</f>
        <v>#VALUE!</v>
      </c>
      <c r="BK12" t="e">
        <f>Lists!200:200-"$$8p!G'"</f>
        <v>#VALUE!</v>
      </c>
      <c r="BL12" t="e">
        <f>Lists!201:201-"$$8p!G("</f>
        <v>#VALUE!</v>
      </c>
      <c r="BM12" t="e">
        <f>Lists!202:202-"$$8p!G)"</f>
        <v>#VALUE!</v>
      </c>
      <c r="BN12" t="e">
        <f>Lists!203:203-"$$8p!G."</f>
        <v>#VALUE!</v>
      </c>
      <c r="BO12" t="e">
        <f>Lists!204:204-"$$8p!G/"</f>
        <v>#VALUE!</v>
      </c>
      <c r="BP12" t="e">
        <f>Lists!205:205-"$$8p!G0"</f>
        <v>#VALUE!</v>
      </c>
      <c r="BQ12" t="e">
        <f>Lists!206:206-"$$8p!G1"</f>
        <v>#VALUE!</v>
      </c>
      <c r="BR12" t="e">
        <f>Lists!207:207-"$$8p!G2"</f>
        <v>#VALUE!</v>
      </c>
      <c r="BS12" t="e">
        <f>Lists!208:208-"$$8p!G3"</f>
        <v>#VALUE!</v>
      </c>
      <c r="BT12" t="e">
        <f>Lists!209:209-"$$8p!G4"</f>
        <v>#VALUE!</v>
      </c>
      <c r="BU12" t="e">
        <f>Lists!210:210-"$$8p!G5"</f>
        <v>#VALUE!</v>
      </c>
      <c r="BV12" t="e">
        <f>Lists!211:211-"$$8p!G6"</f>
        <v>#VALUE!</v>
      </c>
      <c r="BW12" t="e">
        <f>Lists!212:212-"$$8p!G7"</f>
        <v>#VALUE!</v>
      </c>
      <c r="BX12" t="e">
        <f>Lists!213:213-"$$8p!G8"</f>
        <v>#VALUE!</v>
      </c>
      <c r="BY12" t="e">
        <f>Lists!214:214-"$$8p!G9"</f>
        <v>#VALUE!</v>
      </c>
      <c r="BZ12" t="e">
        <f>Lists!215:215-"$$8p!G:"</f>
        <v>#VALUE!</v>
      </c>
      <c r="CA12" t="e">
        <f>Lists!216:216-"$$8p!G;"</f>
        <v>#VALUE!</v>
      </c>
      <c r="CB12" t="e">
        <f>Lists!217:217-"$$8p!G&lt;"</f>
        <v>#VALUE!</v>
      </c>
      <c r="CC12" t="e">
        <f>Lists!218:218-"$$8p!G="</f>
        <v>#VALUE!</v>
      </c>
      <c r="CD12" t="e">
        <f>Lists!219:219-"$$8p!G&gt;"</f>
        <v>#VALUE!</v>
      </c>
      <c r="CE12" t="e">
        <f>Lists!220:220-"$$8p!G?"</f>
        <v>#VALUE!</v>
      </c>
      <c r="CF12" t="e">
        <f>Lists!221:221-"$$8p!G@"</f>
        <v>#VALUE!</v>
      </c>
      <c r="CG12" t="e">
        <f>Lists!222:222-"$$8p!GA"</f>
        <v>#VALUE!</v>
      </c>
      <c r="CH12" t="e">
        <f>Lists!223:223-"$$8p!GB"</f>
        <v>#VALUE!</v>
      </c>
      <c r="CI12" t="e">
        <f>Lists!224:224-"$$8p!GC"</f>
        <v>#VALUE!</v>
      </c>
      <c r="CJ12" t="e">
        <f>Lists!225:225-"$$8p!GD"</f>
        <v>#VALUE!</v>
      </c>
      <c r="CK12" t="e">
        <f>Lists!226:226-"$$8p!GE"</f>
        <v>#VALUE!</v>
      </c>
      <c r="CL12" t="e">
        <f>Lists!227:227-"$$8p!GF"</f>
        <v>#VALUE!</v>
      </c>
      <c r="CM12" t="e">
        <f>#REF!+"$$8p!GG"</f>
        <v>#REF!</v>
      </c>
      <c r="CN12" t="e">
        <f>#REF!+"$$8p!GH"</f>
        <v>#REF!</v>
      </c>
      <c r="CO12" t="e">
        <f>#REF!+"$$8p!GI"</f>
        <v>#REF!</v>
      </c>
      <c r="CP12" t="e">
        <f>#REF!+"$$8p!GJ"</f>
        <v>#REF!</v>
      </c>
      <c r="CQ12" t="e">
        <f>#REF!+"$$8p!GK"</f>
        <v>#REF!</v>
      </c>
      <c r="CR12" t="e">
        <f>#REF!+"$$8p!GL"</f>
        <v>#REF!</v>
      </c>
      <c r="CS12" t="e">
        <f>#REF!+"$$8p!GM"</f>
        <v>#REF!</v>
      </c>
      <c r="CT12" t="e">
        <f>#REF!+"$$8p!GN"</f>
        <v>#REF!</v>
      </c>
      <c r="CU12" t="e">
        <f>#REF!+"$$8p!GO"</f>
        <v>#REF!</v>
      </c>
      <c r="CV12" t="e">
        <f>#REF!+"$$8p!GP"</f>
        <v>#REF!</v>
      </c>
      <c r="CW12" t="e">
        <f>#REF!+"$$8p!GQ"</f>
        <v>#REF!</v>
      </c>
      <c r="CX12" t="e">
        <f>#REF!+"$$8p!GR"</f>
        <v>#REF!</v>
      </c>
      <c r="CY12" t="e">
        <f>#REF!+"$$8p!GS"</f>
        <v>#REF!</v>
      </c>
      <c r="CZ12" t="e">
        <f>#REF!+"$$8p!GT"</f>
        <v>#REF!</v>
      </c>
      <c r="DA12" t="e">
        <f>#REF!+"$$8p!GU"</f>
        <v>#REF!</v>
      </c>
      <c r="DB12" t="e">
        <f>#REF!+"$$8p!GV"</f>
        <v>#REF!</v>
      </c>
      <c r="DC12" t="e">
        <f>#REF!+"$$8p!GW"</f>
        <v>#REF!</v>
      </c>
      <c r="DD12" t="e">
        <f>#REF!+"$$8p!GX"</f>
        <v>#REF!</v>
      </c>
      <c r="DE12" t="e">
        <f>#REF!+"$$8p!GY"</f>
        <v>#REF!</v>
      </c>
      <c r="DF12" t="e">
        <f>#REF!+"$$8p!GZ"</f>
        <v>#REF!</v>
      </c>
      <c r="DG12" t="e">
        <f>#REF!+"$$8p!G["</f>
        <v>#REF!</v>
      </c>
      <c r="DH12" t="e">
        <f>#REF!+"$$8p!G\"</f>
        <v>#REF!</v>
      </c>
      <c r="DI12" t="e">
        <f>#REF!+"$$8p!G]"</f>
        <v>#REF!</v>
      </c>
      <c r="DJ12" t="e">
        <f>#REF!+"$$8p!G^"</f>
        <v>#REF!</v>
      </c>
      <c r="DK12" t="e">
        <f>#REF!+"$$8p!G_"</f>
        <v>#REF!</v>
      </c>
      <c r="DL12" t="e">
        <f>#REF!+"$$8p!G`"</f>
        <v>#REF!</v>
      </c>
      <c r="DM12" t="e">
        <f>#REF!+"$$8p!Ga"</f>
        <v>#REF!</v>
      </c>
      <c r="DN12" t="e">
        <f>#REF!+"$$8p!Gb"</f>
        <v>#REF!</v>
      </c>
      <c r="DO12" t="e">
        <f>#REF!+"$$8p!Gc"</f>
        <v>#REF!</v>
      </c>
      <c r="DP12" t="e">
        <f>#REF!*"$$8p!Gd"</f>
        <v>#REF!</v>
      </c>
      <c r="DQ12" t="e">
        <f>#REF!*"$$8p!Ge"</f>
        <v>#REF!</v>
      </c>
      <c r="DR12" t="e">
        <f>#REF!*"$$8p!Gf"</f>
        <v>#REF!</v>
      </c>
      <c r="DS12" t="e">
        <f>#REF!*"$$8p!Gg"</f>
        <v>#REF!</v>
      </c>
      <c r="DT12" t="e">
        <f>#REF!*"$$8p!Gh"</f>
        <v>#REF!</v>
      </c>
      <c r="DU12" t="e">
        <f>#REF!*"$$8p!Gi"</f>
        <v>#REF!</v>
      </c>
      <c r="DV12" t="e">
        <f>#REF!*"$$8p!Gj"</f>
        <v>#REF!</v>
      </c>
      <c r="DW12" t="e">
        <f>#REF!*"$$8p!Gk"</f>
        <v>#REF!</v>
      </c>
      <c r="DX12" t="e">
        <f>#REF!*"$$8p!Gl"</f>
        <v>#REF!</v>
      </c>
      <c r="DY12" t="e">
        <f>#REF!*"$$8p!Gm"</f>
        <v>#REF!</v>
      </c>
      <c r="DZ12" t="e">
        <f>#REF!*"$$8p!Gn"</f>
        <v>#REF!</v>
      </c>
      <c r="EA12" t="e">
        <f>#REF!*"$$8p!Go"</f>
        <v>#REF!</v>
      </c>
      <c r="EB12" t="e">
        <f>#REF!*"$$8p!Gp"</f>
        <v>#REF!</v>
      </c>
      <c r="EC12" t="e">
        <f>#REF!*"$$8p!Gq"</f>
        <v>#REF!</v>
      </c>
      <c r="ED12" t="e">
        <f>#REF!*"$$8p!Gr"</f>
        <v>#REF!</v>
      </c>
      <c r="EE12" t="e">
        <f>#REF!*"$$8p!Gs"</f>
        <v>#REF!</v>
      </c>
      <c r="EF12" t="e">
        <f>#REF!*"$$8p!Gt"</f>
        <v>#REF!</v>
      </c>
      <c r="EG12" t="e">
        <f>#REF!*"$$8p!Gu"</f>
        <v>#REF!</v>
      </c>
      <c r="EH12" t="e">
        <f>#REF!*"$$8p!Gv"</f>
        <v>#REF!</v>
      </c>
      <c r="EI12" t="e">
        <f>#REF!*"$$8p!Gw"</f>
        <v>#REF!</v>
      </c>
      <c r="EJ12" t="e">
        <f>#REF!*"$$8p!Gx"</f>
        <v>#REF!</v>
      </c>
      <c r="EK12" t="e">
        <f>#REF!*"$$8p!Gy"</f>
        <v>#REF!</v>
      </c>
      <c r="EL12" t="e">
        <f>#REF!*"$$8p!Gz"</f>
        <v>#REF!</v>
      </c>
      <c r="EM12" t="e">
        <f>#REF!*"$$8p!G{"</f>
        <v>#REF!</v>
      </c>
      <c r="EN12" t="e">
        <f>#REF!*"$$8p!G|"</f>
        <v>#REF!</v>
      </c>
      <c r="EO12" t="e">
        <f>#REF!*"$$8p!G}"</f>
        <v>#REF!</v>
      </c>
      <c r="EP12" t="e">
        <f>#REF!*"$$8p!G~"</f>
        <v>#REF!</v>
      </c>
      <c r="EQ12" t="e">
        <f>#REF!*"$$8p!H#"</f>
        <v>#REF!</v>
      </c>
      <c r="ER12" t="e">
        <f>#REF!*"$$8p!H$"</f>
        <v>#REF!</v>
      </c>
      <c r="ES12" t="e">
        <f>#REF!*"$$8p!H%"</f>
        <v>#REF!</v>
      </c>
      <c r="ET12" t="e">
        <f>#REF!*"$$8p!H&amp;"</f>
        <v>#REF!</v>
      </c>
      <c r="EU12" t="e">
        <f>#REF!*"$$8p!H'"</f>
        <v>#REF!</v>
      </c>
      <c r="EV12" t="e">
        <f>#REF!*"$$8p!H("</f>
        <v>#REF!</v>
      </c>
      <c r="EW12" t="e">
        <f>#REF!*"$$8p!H)"</f>
        <v>#REF!</v>
      </c>
      <c r="EX12" t="e">
        <f>#REF!*"$$8p!H."</f>
        <v>#REF!</v>
      </c>
      <c r="EY12" t="e">
        <f>#REF!*"$$8p!H/"</f>
        <v>#REF!</v>
      </c>
      <c r="EZ12" t="e">
        <f>#REF!*"$$8p!H0"</f>
        <v>#REF!</v>
      </c>
      <c r="FA12" t="e">
        <f>#REF!*"$$8p!H1"</f>
        <v>#REF!</v>
      </c>
      <c r="FB12" t="e">
        <f>#REF!*"$$8p!H2"</f>
        <v>#REF!</v>
      </c>
      <c r="FC12" t="e">
        <f>#REF!*"$$8p!H3"</f>
        <v>#REF!</v>
      </c>
      <c r="FD12" t="e">
        <f>#REF!*"$$8p!H4"</f>
        <v>#REF!</v>
      </c>
      <c r="FE12" t="e">
        <f>#REF!*"$$8p!H5"</f>
        <v>#REF!</v>
      </c>
      <c r="FF12" t="e">
        <f>#REF!*"$$8p!H6"</f>
        <v>#REF!</v>
      </c>
      <c r="FG12" t="e">
        <f>#REF!*"$$8p!H7"</f>
        <v>#REF!</v>
      </c>
      <c r="FH12" t="e">
        <f>#REF!*"$$8p!H8"</f>
        <v>#REF!</v>
      </c>
      <c r="FI12" t="e">
        <f>#REF!*"$$8p!H9"</f>
        <v>#REF!</v>
      </c>
      <c r="FJ12" t="e">
        <f>#REF!*"$$8p!H:"</f>
        <v>#REF!</v>
      </c>
      <c r="FK12" t="e">
        <f>#REF!*"$$8p!H;"</f>
        <v>#REF!</v>
      </c>
      <c r="FL12" t="e">
        <f>#REF!*"$$8p!H&lt;"</f>
        <v>#REF!</v>
      </c>
      <c r="FM12" t="e">
        <f>#REF!*"$$8p!H="</f>
        <v>#REF!</v>
      </c>
      <c r="FN12" t="e">
        <f>#REF!*"$$8p!H&gt;"</f>
        <v>#REF!</v>
      </c>
      <c r="FO12" t="e">
        <f>#REF!*"$$8p!H?"</f>
        <v>#REF!</v>
      </c>
      <c r="FP12" t="e">
        <f>#REF!*"$$8p!H@"</f>
        <v>#REF!</v>
      </c>
      <c r="FQ12" t="e">
        <f>#REF!*"$$8p!HA"</f>
        <v>#REF!</v>
      </c>
      <c r="FR12" t="e">
        <f>#REF!*"$$8p!HB"</f>
        <v>#REF!</v>
      </c>
      <c r="FS12" t="e">
        <f>#REF!*"$$8p!HC"</f>
        <v>#REF!</v>
      </c>
      <c r="FT12" t="e">
        <f>#REF!*"$$8p!HD"</f>
        <v>#REF!</v>
      </c>
      <c r="FU12" t="e">
        <f>#REF!*"$$8p!HE"</f>
        <v>#REF!</v>
      </c>
      <c r="FV12" t="e">
        <f>#REF!*"$$8p!HF"</f>
        <v>#REF!</v>
      </c>
      <c r="FW12" t="e">
        <f>#REF!*"$$8p!HG"</f>
        <v>#REF!</v>
      </c>
      <c r="FX12" t="e">
        <f>#REF!*"$$8p!HH"</f>
        <v>#REF!</v>
      </c>
      <c r="FY12" t="e">
        <f>#REF!*"$$8p!HI"</f>
        <v>#REF!</v>
      </c>
      <c r="FZ12" t="e">
        <f>#REF!*"$$8p!HJ"</f>
        <v>#REF!</v>
      </c>
      <c r="GA12" t="e">
        <f>#REF!*"$$8p!HK"</f>
        <v>#REF!</v>
      </c>
      <c r="GB12" t="e">
        <f>#REF!*"$$8p!HL"</f>
        <v>#REF!</v>
      </c>
      <c r="GC12" t="e">
        <f>#REF!*"$$8p!HM"</f>
        <v>#REF!</v>
      </c>
      <c r="GD12" t="e">
        <f>#REF!*"$$8p!HN"</f>
        <v>#REF!</v>
      </c>
      <c r="GE12" t="e">
        <f>#REF!*"$$8p!HO"</f>
        <v>#REF!</v>
      </c>
      <c r="GF12" t="e">
        <f>#REF!*"$$8p!HP"</f>
        <v>#REF!</v>
      </c>
      <c r="GG12" t="e">
        <f>#REF!*"$$8p!HQ"</f>
        <v>#REF!</v>
      </c>
      <c r="GH12" t="e">
        <f>#REF!*"$$8p!HR"</f>
        <v>#REF!</v>
      </c>
      <c r="GI12" t="e">
        <f>#REF!*"$$8p!HS"</f>
        <v>#REF!</v>
      </c>
      <c r="GJ12" t="e">
        <f>#REF!*"$$8p!HT"</f>
        <v>#REF!</v>
      </c>
      <c r="GK12" t="e">
        <f>#REF!*"$$8p!HU"</f>
        <v>#REF!</v>
      </c>
      <c r="GL12" t="e">
        <f>#REF!*"$$8p!HV"</f>
        <v>#REF!</v>
      </c>
      <c r="GM12" t="e">
        <f>#REF!*"$$8p!HW"</f>
        <v>#REF!</v>
      </c>
      <c r="GN12" t="e">
        <f>#REF!*"$$8p!HX"</f>
        <v>#REF!</v>
      </c>
      <c r="GO12" t="e">
        <f>#REF!*"$$8p!HY"</f>
        <v>#REF!</v>
      </c>
      <c r="GP12" t="e">
        <f>#REF!*"$$8p!HZ"</f>
        <v>#REF!</v>
      </c>
      <c r="GQ12" t="e">
        <f>#REF!-"$$8p!H["</f>
        <v>#REF!</v>
      </c>
      <c r="GR12" t="e">
        <f>#REF!-"$$8p!H\"</f>
        <v>#REF!</v>
      </c>
      <c r="GS12" t="e">
        <f>#REF!-"$$8p!H]"</f>
        <v>#REF!</v>
      </c>
      <c r="GT12" t="e">
        <f>#REF!-"$$8p!H^"</f>
        <v>#REF!</v>
      </c>
      <c r="GU12" t="e">
        <f>#REF!-"$$8p!H_"</f>
        <v>#REF!</v>
      </c>
      <c r="GV12" t="e">
        <f>#REF!-"$$8p!H`"</f>
        <v>#REF!</v>
      </c>
      <c r="GW12" t="e">
        <f>#REF!-"$$8p!Ha"</f>
        <v>#REF!</v>
      </c>
      <c r="GX12" t="e">
        <f>#REF!-"$$8p!Hb"</f>
        <v>#REF!</v>
      </c>
      <c r="GY12" t="e">
        <f>#REF!-"$$8p!Hc"</f>
        <v>#REF!</v>
      </c>
      <c r="GZ12" t="e">
        <f>#REF!-"$$8p!Hd"</f>
        <v>#REF!</v>
      </c>
      <c r="HA12" t="e">
        <f>#REF!-"$$8p!He"</f>
        <v>#REF!</v>
      </c>
      <c r="HB12" t="e">
        <f>#REF!-"$$8p!Hf"</f>
        <v>#REF!</v>
      </c>
      <c r="HC12" t="e">
        <f>#REF!-"$$8p!Hg"</f>
        <v>#REF!</v>
      </c>
      <c r="HD12" t="e">
        <f>#REF!-"$$8p!Hh"</f>
        <v>#REF!</v>
      </c>
      <c r="HE12" t="e">
        <f>#REF!-"$$8p!Hi"</f>
        <v>#REF!</v>
      </c>
      <c r="HF12" t="e">
        <f>#REF!-"$$8p!Hj"</f>
        <v>#REF!</v>
      </c>
      <c r="HG12" t="e">
        <f>#REF!-"$$8p!Hk"</f>
        <v>#REF!</v>
      </c>
      <c r="HH12" t="e">
        <f>#REF!-"$$8p!Hl"</f>
        <v>#REF!</v>
      </c>
      <c r="HI12" t="e">
        <f>#REF!-"$$8p!Hm"</f>
        <v>#REF!</v>
      </c>
      <c r="HJ12" t="e">
        <f>#REF!-"$$8p!Hn"</f>
        <v>#REF!</v>
      </c>
      <c r="HK12" t="e">
        <f>#REF!-"$$8p!Ho"</f>
        <v>#REF!</v>
      </c>
      <c r="HL12" t="e">
        <f>#REF!-"$$8p!Hp"</f>
        <v>#REF!</v>
      </c>
      <c r="HM12" t="e">
        <f>#REF!-"$$8p!Hq"</f>
        <v>#REF!</v>
      </c>
      <c r="HN12" t="e">
        <f>#REF!-"$$8p!Hr"</f>
        <v>#REF!</v>
      </c>
      <c r="HO12" t="e">
        <f>#REF!-"$$8p!Hs"</f>
        <v>#REF!</v>
      </c>
      <c r="HP12" t="e">
        <f>#REF!-"$$8p!Ht"</f>
        <v>#REF!</v>
      </c>
      <c r="HQ12" t="e">
        <f>#REF!-"$$8p!Hu"</f>
        <v>#REF!</v>
      </c>
      <c r="HR12" t="e">
        <f>#REF!-"$$8p!Hv"</f>
        <v>#REF!</v>
      </c>
      <c r="HS12" t="e">
        <f>#REF!-"$$8p!Hw"</f>
        <v>#REF!</v>
      </c>
      <c r="HT12" t="e">
        <f>#REF!-"$$8p!Hx"</f>
        <v>#REF!</v>
      </c>
      <c r="HU12" t="e">
        <f>#REF!-"$$8p!Hy"</f>
        <v>#REF!</v>
      </c>
      <c r="HV12" t="e">
        <f>#REF!-"$$8p!Hz"</f>
        <v>#REF!</v>
      </c>
      <c r="HW12" t="e">
        <f>#REF!-"$$8p!H{"</f>
        <v>#REF!</v>
      </c>
      <c r="HX12" t="e">
        <f>#REF!-"$$8p!H|"</f>
        <v>#REF!</v>
      </c>
      <c r="HY12" t="e">
        <f>#REF!-"$$8p!H}"</f>
        <v>#REF!</v>
      </c>
      <c r="HZ12" t="e">
        <f>#REF!-"$$8p!H~"</f>
        <v>#REF!</v>
      </c>
      <c r="IA12" t="e">
        <f>#REF!-"$$8p!I#"</f>
        <v>#REF!</v>
      </c>
      <c r="IB12" t="e">
        <f>#REF!-"$$8p!I$"</f>
        <v>#REF!</v>
      </c>
      <c r="IC12" t="e">
        <f>#REF!-"$$8p!I%"</f>
        <v>#REF!</v>
      </c>
      <c r="ID12" t="e">
        <f>#REF!-"$$8p!I&amp;"</f>
        <v>#REF!</v>
      </c>
      <c r="IE12" t="e">
        <f>#REF!-"$$8p!I'"</f>
        <v>#REF!</v>
      </c>
      <c r="IF12" t="e">
        <f>#REF!-"$$8p!I("</f>
        <v>#REF!</v>
      </c>
      <c r="IG12" t="e">
        <f>#REF!-"$$8p!I)"</f>
        <v>#REF!</v>
      </c>
      <c r="IH12" t="e">
        <f>#REF!-"$$8p!I."</f>
        <v>#REF!</v>
      </c>
      <c r="II12" t="e">
        <f>#REF!-"$$8p!I/"</f>
        <v>#REF!</v>
      </c>
      <c r="IJ12" t="e">
        <f>#REF!-"$$8p!I0"</f>
        <v>#REF!</v>
      </c>
      <c r="IK12" t="e">
        <f>#REF!-"$$8p!I1"</f>
        <v>#REF!</v>
      </c>
      <c r="IL12" t="e">
        <f>#REF!-"$$8p!I2"</f>
        <v>#REF!</v>
      </c>
      <c r="IM12" t="e">
        <f>#REF!-"$$8p!I3"</f>
        <v>#REF!</v>
      </c>
      <c r="IN12" t="e">
        <f>#REF!-"$$8p!I4"</f>
        <v>#REF!</v>
      </c>
      <c r="IO12" t="e">
        <f>#REF!-"$$8p!I5"</f>
        <v>#REF!</v>
      </c>
      <c r="IP12" t="e">
        <f>#REF!-"$$8p!I6"</f>
        <v>#REF!</v>
      </c>
      <c r="IQ12" t="e">
        <f>#REF!-"$$8p!I7"</f>
        <v>#REF!</v>
      </c>
      <c r="IR12" t="e">
        <f>#REF!-"$$8p!I8"</f>
        <v>#REF!</v>
      </c>
      <c r="IS12" t="e">
        <f>#REF!-"$$8p!I9"</f>
        <v>#REF!</v>
      </c>
      <c r="IT12" t="e">
        <f>#REF!-"$$8p!I:"</f>
        <v>#REF!</v>
      </c>
      <c r="IU12" t="e">
        <f>#REF!-"$$8p!I;"</f>
        <v>#REF!</v>
      </c>
      <c r="IV12" t="e">
        <f>#REF!-"$$8p!I&lt;"</f>
        <v>#REF!</v>
      </c>
    </row>
    <row r="13" spans="1:256" x14ac:dyDescent="0.35">
      <c r="F13" t="e">
        <f>#REF!-"$$8p!I="</f>
        <v>#REF!</v>
      </c>
      <c r="G13" t="e">
        <f>#REF!-"$$8p!I&gt;"</f>
        <v>#REF!</v>
      </c>
      <c r="H13" t="e">
        <f>#REF!-"$$8p!I?"</f>
        <v>#REF!</v>
      </c>
      <c r="I13" t="e">
        <f>#REF!-"$$8p!I@"</f>
        <v>#REF!</v>
      </c>
      <c r="J13" t="e">
        <f>#REF!-"$$8p!IA"</f>
        <v>#REF!</v>
      </c>
      <c r="K13" t="e">
        <f>#REF!-"$$8p!IB"</f>
        <v>#REF!</v>
      </c>
      <c r="L13" t="e">
        <f>#REF!-"$$8p!IC"</f>
        <v>#REF!</v>
      </c>
      <c r="M13" t="e">
        <f>#REF!-"$$8p!ID"</f>
        <v>#REF!</v>
      </c>
      <c r="N13" t="e">
        <f>#REF!-"$$8p!IE"</f>
        <v>#REF!</v>
      </c>
      <c r="O13" t="e">
        <f>#REF!-"$$8p!IF"</f>
        <v>#REF!</v>
      </c>
      <c r="P13" t="e">
        <f>#REF!-"$$8p!IG"</f>
        <v>#REF!</v>
      </c>
      <c r="Q13" t="e">
        <f>#REF!-"$$8p!IH"</f>
        <v>#REF!</v>
      </c>
      <c r="R13" t="e">
        <f>#REF!-"$$8p!II"</f>
        <v>#REF!</v>
      </c>
      <c r="S13" t="e">
        <f>#REF!-"$$8p!IJ"</f>
        <v>#REF!</v>
      </c>
      <c r="T13" t="e">
        <f>#REF!-"$$8p!IK"</f>
        <v>#REF!</v>
      </c>
      <c r="U13" t="e">
        <f>#REF!-"$$8p!IL"</f>
        <v>#REF!</v>
      </c>
      <c r="V13" t="e">
        <f>#REF!-"$$8p!IM"</f>
        <v>#REF!</v>
      </c>
      <c r="W13" t="e">
        <f>#REF!-"$$8p!IN"</f>
        <v>#REF!</v>
      </c>
      <c r="X13" t="e">
        <f>#REF!-"$$8p!IO"</f>
        <v>#REF!</v>
      </c>
      <c r="Y13" t="e">
        <f>#REF!-"$$8p!IP"</f>
        <v>#REF!</v>
      </c>
      <c r="Z13" t="e">
        <f>#REF!-"$$8p!IQ"</f>
        <v>#REF!</v>
      </c>
      <c r="AA13" t="e">
        <f>#REF!-"$$8p!IR"</f>
        <v>#REF!</v>
      </c>
      <c r="AB13" t="e">
        <f>#REF!-"$$8p!IS"</f>
        <v>#REF!</v>
      </c>
      <c r="AC13" t="e">
        <f>#REF!-"$$8p!IT"</f>
        <v>#REF!</v>
      </c>
      <c r="AD13" t="e">
        <f>#REF!-"$$8p!IU"</f>
        <v>#REF!</v>
      </c>
      <c r="AE13" t="e">
        <f>#REF!-"$$8p!IV"</f>
        <v>#REF!</v>
      </c>
      <c r="AF13" t="e">
        <f>#REF!-"$$8p!IW"</f>
        <v>#REF!</v>
      </c>
      <c r="AG13" t="e">
        <f>#REF!-"$$8p!IX"</f>
        <v>#REF!</v>
      </c>
      <c r="AH13" t="e">
        <f>#REF!-"$$8p!IY"</f>
        <v>#REF!</v>
      </c>
      <c r="AI13" t="e">
        <f>#REF!-"$$8p!IZ"</f>
        <v>#REF!</v>
      </c>
      <c r="AJ13" t="e">
        <f>#REF!-"$$8p!I["</f>
        <v>#REF!</v>
      </c>
      <c r="AK13" t="e">
        <f>#REF!-"$$8p!I\"</f>
        <v>#REF!</v>
      </c>
      <c r="AL13" t="e">
        <f>#REF!-"$$8p!I]"</f>
        <v>#REF!</v>
      </c>
      <c r="AM13" t="e">
        <f>#REF!-"$$8p!I^"</f>
        <v>#REF!</v>
      </c>
      <c r="AN13" t="e">
        <f>#REF!-"$$8p!I_"</f>
        <v>#REF!</v>
      </c>
      <c r="AO13" t="e">
        <f>#REF!-"$$8p!I`"</f>
        <v>#REF!</v>
      </c>
      <c r="AP13" t="e">
        <f>#REF!-"$$8p!Ia"</f>
        <v>#REF!</v>
      </c>
      <c r="AQ13" t="e">
        <f>#REF!-"$$8p!Ib"</f>
        <v>#REF!</v>
      </c>
      <c r="AR13" t="e">
        <f>#REF!-"$$8p!Ic"</f>
        <v>#REF!</v>
      </c>
      <c r="AS13" t="e">
        <f>#REF!-"$$8p!Id"</f>
        <v>#REF!</v>
      </c>
      <c r="AT13" t="e">
        <f>#REF!-"$$8p!Ie"</f>
        <v>#REF!</v>
      </c>
      <c r="AU13" t="e">
        <f>#REF!-"$$8p!If"</f>
        <v>#REF!</v>
      </c>
      <c r="AV13" t="e">
        <f>#REF!-"$$8p!Ig"</f>
        <v>#REF!</v>
      </c>
      <c r="AW13" t="e">
        <f>#REF!-"$$8p!Ih"</f>
        <v>#REF!</v>
      </c>
      <c r="AX13" t="e">
        <f>#REF!-"$$8p!Ii"</f>
        <v>#REF!</v>
      </c>
      <c r="AY13" t="e">
        <f>#REF!-"$$8p!Ij"</f>
        <v>#REF!</v>
      </c>
      <c r="AZ13" t="e">
        <f>#REF!-"$$8p!Ik"</f>
        <v>#REF!</v>
      </c>
      <c r="BA13" t="e">
        <f>#REF!-"$$8p!Il"</f>
        <v>#REF!</v>
      </c>
      <c r="BB13" t="e">
        <f>#REF!-"$$8p!Im"</f>
        <v>#REF!</v>
      </c>
      <c r="BC13" t="e">
        <f>#REF!-"$$8p!In"</f>
        <v>#REF!</v>
      </c>
      <c r="BD13" t="e">
        <f>#REF!-"$$8p!Io"</f>
        <v>#REF!</v>
      </c>
      <c r="BE13" t="e">
        <f>#REF!-"$$8p!Ip"</f>
        <v>#REF!</v>
      </c>
      <c r="BF13" t="e">
        <f>#REF!-"$$8p!Iq"</f>
        <v>#REF!</v>
      </c>
      <c r="BG13" t="e">
        <f>#REF!-"$$8p!Ir"</f>
        <v>#REF!</v>
      </c>
      <c r="BH13" t="e">
        <f>#REF!-"$$8p!Is"</f>
        <v>#REF!</v>
      </c>
      <c r="BI13" t="e">
        <f>#REF!-"$$8p!It"</f>
        <v>#REF!</v>
      </c>
      <c r="BJ13" t="e">
        <f>#REF!-"$$8p!Iu"</f>
        <v>#REF!</v>
      </c>
      <c r="BK13" t="e">
        <f>#REF!-"$$8p!Iv"</f>
        <v>#REF!</v>
      </c>
      <c r="BL13" t="e">
        <f>#REF!-"$$8p!Iw"</f>
        <v>#REF!</v>
      </c>
      <c r="BM13" t="e">
        <f>#REF!-"$$8p!Ix"</f>
        <v>#REF!</v>
      </c>
      <c r="BN13" t="e">
        <f>#REF!-"$$8p!Iy"</f>
        <v>#REF!</v>
      </c>
      <c r="BO13" t="e">
        <f>#REF!-"$$8p!Iz"</f>
        <v>#REF!</v>
      </c>
      <c r="BP13" t="e">
        <f>#REF!-"$$8p!I{"</f>
        <v>#REF!</v>
      </c>
      <c r="BQ13" t="e">
        <f>#REF!-"$$8p!I|"</f>
        <v>#REF!</v>
      </c>
      <c r="BR13" t="e">
        <f>#REF!-"$$8p!I}"</f>
        <v>#REF!</v>
      </c>
      <c r="BS13" t="e">
        <f>#REF!-"$$8p!I~"</f>
        <v>#REF!</v>
      </c>
      <c r="BT13" t="e">
        <f>#REF!-"$$8p!J#"</f>
        <v>#REF!</v>
      </c>
      <c r="BU13" t="e">
        <f>#REF!-"$$8p!J$"</f>
        <v>#REF!</v>
      </c>
      <c r="BV13" t="e">
        <f>#REF!-"$$8p!J%"</f>
        <v>#REF!</v>
      </c>
      <c r="BW13" t="e">
        <f>#REF!-"$$8p!J&amp;"</f>
        <v>#REF!</v>
      </c>
      <c r="BX13" t="e">
        <f>#REF!-"$$8p!J'"</f>
        <v>#REF!</v>
      </c>
      <c r="BY13" t="e">
        <f>#REF!-"$$8p!J("</f>
        <v>#REF!</v>
      </c>
      <c r="BZ13" t="e">
        <f>#REF!-"$$8p!J)"</f>
        <v>#REF!</v>
      </c>
      <c r="CA13" t="e">
        <f>#REF!-"$$8p!J."</f>
        <v>#REF!</v>
      </c>
      <c r="CB13" t="e">
        <f>#REF!-"$$8p!J/"</f>
        <v>#REF!</v>
      </c>
      <c r="CC13" t="e">
        <f>#REF!-"$$8p!J0"</f>
        <v>#REF!</v>
      </c>
      <c r="CD13" t="e">
        <f>#REF!-"$$8p!J1"</f>
        <v>#REF!</v>
      </c>
      <c r="CE13" t="e">
        <f>#REF!-"$$8p!J2"</f>
        <v>#REF!</v>
      </c>
      <c r="CF13" t="e">
        <f>#REF!-"$$8p!J3"</f>
        <v>#REF!</v>
      </c>
      <c r="CG13" t="e">
        <f>#REF!-"$$8p!J4"</f>
        <v>#REF!</v>
      </c>
      <c r="CH13" t="e">
        <f>#REF!-"$$8p!J5"</f>
        <v>#REF!</v>
      </c>
      <c r="CI13" t="e">
        <f>#REF!-"$$8p!J6"</f>
        <v>#REF!</v>
      </c>
      <c r="CJ13" t="e">
        <f>#REF!-"$$8p!J7"</f>
        <v>#REF!</v>
      </c>
      <c r="CK13" t="e">
        <f>#REF!-"$$8p!J8"</f>
        <v>#REF!</v>
      </c>
      <c r="CL13" t="e">
        <f>#REF!-"$$8p!J9"</f>
        <v>#REF!</v>
      </c>
      <c r="CM13" t="e">
        <f>#REF!-"$$8p!J:"</f>
        <v>#REF!</v>
      </c>
      <c r="CN13" t="e">
        <f>#REF!-"$$8p!J;"</f>
        <v>#REF!</v>
      </c>
      <c r="CO13" t="e">
        <f>#REF!-"$$8p!J&lt;"</f>
        <v>#REF!</v>
      </c>
      <c r="CP13" t="e">
        <f>#REF!-"$$8p!J="</f>
        <v>#REF!</v>
      </c>
      <c r="CQ13" t="e">
        <f>#REF!-"$$8p!J&gt;"</f>
        <v>#REF!</v>
      </c>
      <c r="CR13" t="e">
        <f>#REF!-"$$8p!J?"</f>
        <v>#REF!</v>
      </c>
      <c r="CS13" t="e">
        <f>#REF!-"$$8p!J@"</f>
        <v>#REF!</v>
      </c>
      <c r="CT13" t="e">
        <f>#REF!-"$$8p!JA"</f>
        <v>#REF!</v>
      </c>
      <c r="CU13" t="e">
        <f>#REF!-"$$8p!JB"</f>
        <v>#REF!</v>
      </c>
      <c r="CV13" t="e">
        <f>#REF!-"$$8p!JC"</f>
        <v>#REF!</v>
      </c>
      <c r="CW13" t="e">
        <f>#REF!-"$$8p!JD"</f>
        <v>#REF!</v>
      </c>
      <c r="CX13" t="e">
        <f>#REF!-"$$8p!JE"</f>
        <v>#REF!</v>
      </c>
      <c r="CY13" t="e">
        <f>#REF!-"$$8p!JF"</f>
        <v>#REF!</v>
      </c>
      <c r="CZ13" t="e">
        <f>#REF!-"$$8p!JG"</f>
        <v>#REF!</v>
      </c>
      <c r="DA13" t="e">
        <f>#REF!-"$$8p!JH"</f>
        <v>#REF!</v>
      </c>
      <c r="DB13" t="e">
        <f>#REF!-"$$8p!JI"</f>
        <v>#REF!</v>
      </c>
      <c r="DC13" t="e">
        <f>#REF!-"$$8p!JJ"</f>
        <v>#REF!</v>
      </c>
      <c r="DD13" t="e">
        <f>#REF!-"$$8p!JK"</f>
        <v>#REF!</v>
      </c>
      <c r="DE13" t="e">
        <f>#REF!-"$$8p!JL"</f>
        <v>#REF!</v>
      </c>
      <c r="DF13" t="e">
        <f>#REF!-"$$8p!JM"</f>
        <v>#REF!</v>
      </c>
      <c r="DG13" t="e">
        <f>#REF!-"$$8p!JN"</f>
        <v>#REF!</v>
      </c>
      <c r="DH13" t="e">
        <f>#REF!-"$$8p!JO"</f>
        <v>#REF!</v>
      </c>
      <c r="DI13" t="e">
        <f>#REF!-"$$8p!JP"</f>
        <v>#REF!</v>
      </c>
      <c r="DJ13" t="e">
        <f>#REF!-"$$8p!JQ"</f>
        <v>#REF!</v>
      </c>
      <c r="DK13" t="e">
        <f>#REF!-"$$8p!JR"</f>
        <v>#REF!</v>
      </c>
      <c r="DL13" t="e">
        <f>#REF!-"$$8p!JS"</f>
        <v>#REF!</v>
      </c>
      <c r="DM13" t="e">
        <f>#REF!-"$$8p!JT"</f>
        <v>#REF!</v>
      </c>
      <c r="DN13" t="e">
        <f>#REF!-"$$8p!JU"</f>
        <v>#REF!</v>
      </c>
      <c r="DO13" t="e">
        <f>#REF!-"$$8p!JV"</f>
        <v>#REF!</v>
      </c>
      <c r="DP13" t="e">
        <f>#REF!-"$$8p!JW"</f>
        <v>#REF!</v>
      </c>
      <c r="DQ13" t="e">
        <f>#REF!-"$$8p!JX"</f>
        <v>#REF!</v>
      </c>
      <c r="DR13" t="e">
        <f>#REF!-"$$8p!JY"</f>
        <v>#REF!</v>
      </c>
      <c r="DS13" t="e">
        <f>#REF!-"$$8p!JZ"</f>
        <v>#REF!</v>
      </c>
      <c r="DT13" t="e">
        <f>#REF!-"$$8p!J["</f>
        <v>#REF!</v>
      </c>
      <c r="DU13" t="e">
        <f>#REF!-"$$8p!J\"</f>
        <v>#REF!</v>
      </c>
      <c r="DV13" t="e">
        <f>#REF!-"$$8p!J]"</f>
        <v>#REF!</v>
      </c>
      <c r="DW13" t="e">
        <f>#REF!-"$$8p!J^"</f>
        <v>#REF!</v>
      </c>
      <c r="DX13" t="e">
        <f>#REF!-"$$8p!J_"</f>
        <v>#REF!</v>
      </c>
      <c r="DY13" t="e">
        <f>#REF!-"$$8p!J`"</f>
        <v>#REF!</v>
      </c>
      <c r="DZ13" t="e">
        <f>#REF!-"$$8p!Ja"</f>
        <v>#REF!</v>
      </c>
      <c r="EA13" t="e">
        <f>#REF!-"$$8p!Jb"</f>
        <v>#REF!</v>
      </c>
      <c r="EB13" t="e">
        <f>#REF!-"$$8p!Jc"</f>
        <v>#REF!</v>
      </c>
      <c r="EC13" t="e">
        <f>#REF!-"$$8p!Jd"</f>
        <v>#REF!</v>
      </c>
      <c r="ED13" t="e">
        <f>#REF!-"$$8p!Je"</f>
        <v>#REF!</v>
      </c>
      <c r="EE13" t="e">
        <f>#REF!-"$$8p!Jf"</f>
        <v>#REF!</v>
      </c>
      <c r="EF13" t="e">
        <f>#REF!-"$$8p!Jg"</f>
        <v>#REF!</v>
      </c>
      <c r="EG13" t="e">
        <f>#REF!-"$$8p!Jh"</f>
        <v>#REF!</v>
      </c>
      <c r="EH13" t="e">
        <f>#REF!-"$$8p!Ji"</f>
        <v>#REF!</v>
      </c>
      <c r="EI13" t="e">
        <f>#REF!-"$$8p!Jj"</f>
        <v>#REF!</v>
      </c>
      <c r="EJ13" t="e">
        <f>#REF!-"$$8p!Jk"</f>
        <v>#REF!</v>
      </c>
      <c r="EK13" t="e">
        <f>#REF!-"$$8p!Jl"</f>
        <v>#REF!</v>
      </c>
      <c r="EL13" t="e">
        <f>#REF!-"$$8p!Jm"</f>
        <v>#REF!</v>
      </c>
      <c r="EM13" t="e">
        <f>#REF!-"$$8p!Jn"</f>
        <v>#REF!</v>
      </c>
      <c r="EN13" t="e">
        <f>#REF!-"$$8p!Jo"</f>
        <v>#REF!</v>
      </c>
      <c r="EO13" t="e">
        <f>#REF!-"$$8p!Jp"</f>
        <v>#REF!</v>
      </c>
      <c r="EP13" t="e">
        <f>#REF!-"$$8p!Jq"</f>
        <v>#REF!</v>
      </c>
      <c r="EQ13" t="e">
        <f>#REF!-"$$8p!Jr"</f>
        <v>#REF!</v>
      </c>
      <c r="ER13" t="e">
        <f>#REF!-"$$8p!Js"</f>
        <v>#REF!</v>
      </c>
      <c r="ES13" t="e">
        <f>#REF!+"$$8p!Jt"</f>
        <v>#REF!</v>
      </c>
      <c r="ET13" t="e">
        <f>#REF!+"$$8p!Ju"</f>
        <v>#REF!</v>
      </c>
      <c r="EU13" t="e">
        <f>#REF!+"$$8p!Jv"</f>
        <v>#REF!</v>
      </c>
      <c r="EV13" t="e">
        <f>#REF!+"$$8p!Jw"</f>
        <v>#REF!</v>
      </c>
      <c r="EW13" t="e">
        <f>#REF!+"$$8p!Jx"</f>
        <v>#REF!</v>
      </c>
      <c r="EX13" t="e">
        <f>#REF!+"$$8p!Jy"</f>
        <v>#REF!</v>
      </c>
      <c r="EY13" t="e">
        <f>#REF!+"$$8p!Jz"</f>
        <v>#REF!</v>
      </c>
      <c r="EZ13" t="e">
        <f>#REF!+"$$8p!J{"</f>
        <v>#REF!</v>
      </c>
      <c r="FA13" t="e">
        <f>#REF!+"$$8p!J|"</f>
        <v>#REF!</v>
      </c>
      <c r="FB13" t="e">
        <f>#REF!+"$$8p!J}"</f>
        <v>#REF!</v>
      </c>
      <c r="FC13" t="e">
        <f>#REF!+"$$8p!J~"</f>
        <v>#REF!</v>
      </c>
      <c r="FD13" t="e">
        <f>#REF!+"$$8p!K#"</f>
        <v>#REF!</v>
      </c>
      <c r="FE13" t="e">
        <f>#REF!+"$$8p!K$"</f>
        <v>#REF!</v>
      </c>
      <c r="FF13" t="e">
        <f>#REF!+"$$8p!K%"</f>
        <v>#REF!</v>
      </c>
      <c r="FG13" t="e">
        <f>#REF!+"$$8p!K&amp;"</f>
        <v>#REF!</v>
      </c>
      <c r="FH13" t="e">
        <f>#REF!+"$$8p!K'"</f>
        <v>#REF!</v>
      </c>
      <c r="FI13" t="e">
        <f>#REF!+"$$8p!K("</f>
        <v>#REF!</v>
      </c>
      <c r="FJ13" t="e">
        <f>#REF!+"$$8p!K)"</f>
        <v>#REF!</v>
      </c>
      <c r="FK13" t="e">
        <f>#REF!+"$$8p!K."</f>
        <v>#REF!</v>
      </c>
      <c r="FL13" t="e">
        <f>#REF!+"$$8p!K/"</f>
        <v>#REF!</v>
      </c>
      <c r="FM13" t="e">
        <f>#REF!+"$$8p!K0"</f>
        <v>#REF!</v>
      </c>
      <c r="FN13" t="e">
        <f>#REF!+"$$8p!K1"</f>
        <v>#REF!</v>
      </c>
      <c r="FO13" t="e">
        <f>#REF!+"$$8p!K2"</f>
        <v>#REF!</v>
      </c>
      <c r="FP13" t="e">
        <f>#REF!+"$$8p!K3"</f>
        <v>#REF!</v>
      </c>
      <c r="FQ13" t="e">
        <f>#REF!+"$$8p!K4"</f>
        <v>#REF!</v>
      </c>
      <c r="FR13" t="e">
        <f>#REF!+"$$8p!K5"</f>
        <v>#REF!</v>
      </c>
      <c r="FS13" t="e">
        <f>#REF!+"$$8p!K6"</f>
        <v>#REF!</v>
      </c>
      <c r="FT13" t="e">
        <f>#REF!+"$$8p!K7"</f>
        <v>#REF!</v>
      </c>
      <c r="FU13" t="e">
        <f>#REF!+"$$8p!K8"</f>
        <v>#REF!</v>
      </c>
      <c r="FV13" t="e">
        <f>#REF!+"$$8p!K9"</f>
        <v>#REF!</v>
      </c>
      <c r="FW13" t="e">
        <f>#REF!+"$$8p!K:"</f>
        <v>#REF!</v>
      </c>
      <c r="FX13" t="e">
        <f>#REF!+"$$8p!K;"</f>
        <v>#REF!</v>
      </c>
      <c r="FY13" t="e">
        <f>#REF!+"$$8p!K&lt;"</f>
        <v>#REF!</v>
      </c>
      <c r="FZ13" t="e">
        <f>#REF!+"$$8p!K="</f>
        <v>#REF!</v>
      </c>
      <c r="GA13" t="e">
        <f>#REF!+"$$8p!K&gt;"</f>
        <v>#REF!</v>
      </c>
      <c r="GB13" t="e">
        <f>#REF!+"$$8p!K?"</f>
        <v>#REF!</v>
      </c>
      <c r="GC13" t="e">
        <f>#REF!+"$$8p!K@"</f>
        <v>#REF!</v>
      </c>
      <c r="GD13" t="e">
        <f>#REF!+"$$8p!KA"</f>
        <v>#REF!</v>
      </c>
      <c r="GE13" t="e">
        <f>#REF!+"$$8p!KB"</f>
        <v>#REF!</v>
      </c>
      <c r="GF13" t="e">
        <f>#REF!+"$$8p!KC"</f>
        <v>#REF!</v>
      </c>
      <c r="GG13" t="e">
        <f>#REF!+"$$8p!KD"</f>
        <v>#REF!</v>
      </c>
      <c r="GH13" t="e">
        <f>#REF!+"$$8p!KE"</f>
        <v>#REF!</v>
      </c>
      <c r="GI13" t="e">
        <f>#REF!+"$$8p!KF"</f>
        <v>#REF!</v>
      </c>
      <c r="GJ13" t="e">
        <f>#REF!+"$$8p!KG"</f>
        <v>#REF!</v>
      </c>
      <c r="GK13" t="e">
        <f>#REF!+"$$8p!KH"</f>
        <v>#REF!</v>
      </c>
      <c r="GL13" t="e">
        <f>#REF!+"$$8p!KI"</f>
        <v>#REF!</v>
      </c>
      <c r="GM13" t="e">
        <f>#REF!+"$$8p!KJ"</f>
        <v>#REF!</v>
      </c>
      <c r="GN13" t="e">
        <f>#REF!+"$$8p!KK"</f>
        <v>#REF!</v>
      </c>
      <c r="GO13" t="e">
        <f>#REF!+"$$8p!KL"</f>
        <v>#REF!</v>
      </c>
      <c r="GP13" t="e">
        <f>#REF!+"$$8p!KM"</f>
        <v>#REF!</v>
      </c>
      <c r="GQ13" t="e">
        <f>#REF!+"$$8p!KN"</f>
        <v>#REF!</v>
      </c>
      <c r="GR13" t="e">
        <f>#REF!+"$$8p!KO"</f>
        <v>#REF!</v>
      </c>
      <c r="GS13" t="e">
        <f>#REF!+"$$8p!KP"</f>
        <v>#REF!</v>
      </c>
      <c r="GT13" t="e">
        <f>#REF!+"$$8p!KQ"</f>
        <v>#REF!</v>
      </c>
      <c r="GU13" t="e">
        <f>#REF!+"$$8p!KR"</f>
        <v>#REF!</v>
      </c>
      <c r="GV13" t="e">
        <f>#REF!+"$$8p!KS"</f>
        <v>#REF!</v>
      </c>
      <c r="GW13" t="e">
        <f>#REF!+"$$8p!KT"</f>
        <v>#REF!</v>
      </c>
      <c r="GX13" t="e">
        <f>#REF!+"$$8p!KU"</f>
        <v>#REF!</v>
      </c>
      <c r="GY13" t="e">
        <f>#REF!+"$$8p!KV"</f>
        <v>#REF!</v>
      </c>
      <c r="GZ13" t="e">
        <f>#REF!+"$$8p!KW"</f>
        <v>#REF!</v>
      </c>
      <c r="HA13" t="e">
        <f>#REF!+"$$8p!KX"</f>
        <v>#REF!</v>
      </c>
      <c r="HB13" t="e">
        <f>#REF!+"$$8p!KY"</f>
        <v>#REF!</v>
      </c>
      <c r="HC13" t="e">
        <f>#REF!+"$$8p!KZ"</f>
        <v>#REF!</v>
      </c>
      <c r="HD13" t="e">
        <f>#REF!+"$$8p!K["</f>
        <v>#REF!</v>
      </c>
      <c r="HE13" t="e">
        <f>#REF!+"$$8p!K\"</f>
        <v>#REF!</v>
      </c>
      <c r="HF13" t="e">
        <f>#REF!+"$$8p!K]"</f>
        <v>#REF!</v>
      </c>
      <c r="HG13" t="e">
        <f>#REF!+"$$8p!K^"</f>
        <v>#REF!</v>
      </c>
      <c r="HH13" t="e">
        <f>#REF!+"$$8p!K_"</f>
        <v>#REF!</v>
      </c>
      <c r="HI13" t="e">
        <f>#REF!+"$$8p!K`"</f>
        <v>#REF!</v>
      </c>
      <c r="HJ13" t="e">
        <f>#REF!+"$$8p!Ka"</f>
        <v>#REF!</v>
      </c>
      <c r="HK13" t="e">
        <f>#REF!+"$$8p!Kb"</f>
        <v>#REF!</v>
      </c>
      <c r="HL13" t="e">
        <f>#REF!+"$$8p!Kc"</f>
        <v>#REF!</v>
      </c>
      <c r="HM13" t="e">
        <f>#REF!+"$$8p!Kd"</f>
        <v>#REF!</v>
      </c>
      <c r="HN13" t="e">
        <f>#REF!+"$$8p!Ke"</f>
        <v>#REF!</v>
      </c>
      <c r="HO13" t="e">
        <f>#REF!+"$$8p!Kf"</f>
        <v>#REF!</v>
      </c>
      <c r="HP13" t="e">
        <f>#REF!+"$$8p!Kg"</f>
        <v>#REF!</v>
      </c>
      <c r="HQ13" t="e">
        <f>#REF!+"$$8p!Kh"</f>
        <v>#REF!</v>
      </c>
      <c r="HR13" t="e">
        <f>#REF!+"$$8p!Ki"</f>
        <v>#REF!</v>
      </c>
      <c r="HS13" t="e">
        <f>#REF!+"$$8p!Kj"</f>
        <v>#REF!</v>
      </c>
      <c r="HT13" t="e">
        <f>#REF!+"$$8p!Kk"</f>
        <v>#REF!</v>
      </c>
      <c r="HU13" t="e">
        <f>#REF!+"$$8p!Kl"</f>
        <v>#REF!</v>
      </c>
      <c r="HV13" t="e">
        <f>#REF!+"$$8p!Km"</f>
        <v>#REF!</v>
      </c>
      <c r="HW13" t="e">
        <f>#REF!+"$$8p!Kn"</f>
        <v>#REF!</v>
      </c>
      <c r="HX13" t="e">
        <f>#REF!+"$$8p!Ko"</f>
        <v>#REF!</v>
      </c>
      <c r="HY13" t="e">
        <f>#REF!+"$$8p!Kp"</f>
        <v>#REF!</v>
      </c>
      <c r="HZ13" t="e">
        <f>#REF!+"$$8p!Kq"</f>
        <v>#REF!</v>
      </c>
      <c r="IA13" t="e">
        <f>#REF!+"$$8p!Kr"</f>
        <v>#REF!</v>
      </c>
      <c r="IB13" t="e">
        <f>#REF!+"$$8p!Ks"</f>
        <v>#REF!</v>
      </c>
      <c r="IC13" t="e">
        <f>#REF!+"$$8p!Kt"</f>
        <v>#REF!</v>
      </c>
      <c r="ID13" t="e">
        <f>#REF!+"$$8p!Ku"</f>
        <v>#REF!</v>
      </c>
      <c r="IE13" t="e">
        <f>#REF!+"$$8p!Kv"</f>
        <v>#REF!</v>
      </c>
      <c r="IF13" t="e">
        <f>#REF!+"$$8p!Kw"</f>
        <v>#REF!</v>
      </c>
      <c r="IG13" t="e">
        <f>#REF!+"$$8p!Kx"</f>
        <v>#REF!</v>
      </c>
      <c r="IH13" t="e">
        <f>#REF!+"$$8p!Ky"</f>
        <v>#REF!</v>
      </c>
      <c r="II13" t="e">
        <f>#REF!+"$$8p!Kz"</f>
        <v>#REF!</v>
      </c>
      <c r="IJ13" t="e">
        <f>#REF!+"$$8p!K{"</f>
        <v>#REF!</v>
      </c>
      <c r="IK13" t="e">
        <f>#REF!+"$$8p!K|"</f>
        <v>#REF!</v>
      </c>
      <c r="IL13" t="e">
        <f>#REF!+"$$8p!K}"</f>
        <v>#REF!</v>
      </c>
      <c r="IM13" t="e">
        <f>#REF!+"$$8p!K~"</f>
        <v>#REF!</v>
      </c>
      <c r="IN13" t="e">
        <f>#REF!+"$$8p!L#"</f>
        <v>#REF!</v>
      </c>
      <c r="IO13" t="e">
        <f>#REF!+"$$8p!L$"</f>
        <v>#REF!</v>
      </c>
      <c r="IP13" t="e">
        <f>#REF!+"$$8p!L%"</f>
        <v>#REF!</v>
      </c>
      <c r="IQ13" t="e">
        <f>#REF!+"$$8p!L&amp;"</f>
        <v>#REF!</v>
      </c>
      <c r="IR13" t="e">
        <f>#REF!+"$$8p!L'"</f>
        <v>#REF!</v>
      </c>
      <c r="IS13" t="e">
        <f>#REF!+"$$8p!L("</f>
        <v>#REF!</v>
      </c>
      <c r="IT13" t="e">
        <f>#REF!+"$$8p!L)"</f>
        <v>#REF!</v>
      </c>
      <c r="IU13" t="e">
        <f>#REF!+"$$8p!L."</f>
        <v>#REF!</v>
      </c>
      <c r="IV13" t="e">
        <f>#REF!+"$$8p!L/"</f>
        <v>#REF!</v>
      </c>
    </row>
    <row r="14" spans="1:256" x14ac:dyDescent="0.35">
      <c r="F14" t="e">
        <f>#REF!+"$$8p!L0"</f>
        <v>#REF!</v>
      </c>
      <c r="G14" t="e">
        <f>#REF!+"$$8p!L1"</f>
        <v>#REF!</v>
      </c>
      <c r="H14" t="e">
        <f>#REF!+"$$8p!L2"</f>
        <v>#REF!</v>
      </c>
      <c r="I14" t="e">
        <f>#REF!+"$$8p!L3"</f>
        <v>#REF!</v>
      </c>
      <c r="J14" t="e">
        <f>#REF!+"$$8p!L4"</f>
        <v>#REF!</v>
      </c>
      <c r="K14" t="e">
        <f>#REF!+"$$8p!L5"</f>
        <v>#REF!</v>
      </c>
      <c r="L14" t="e">
        <f>#REF!+"$$8p!L6"</f>
        <v>#REF!</v>
      </c>
      <c r="M14" t="e">
        <f>#REF!+"$$8p!L7"</f>
        <v>#REF!</v>
      </c>
      <c r="N14" t="e">
        <f>#REF!+"$$8p!L8"</f>
        <v>#REF!</v>
      </c>
      <c r="O14" t="e">
        <f>#REF!+"$$8p!L9"</f>
        <v>#REF!</v>
      </c>
      <c r="P14" t="e">
        <f>#REF!+"$$8p!L:"</f>
        <v>#REF!</v>
      </c>
      <c r="Q14" t="e">
        <f>#REF!+"$$8p!L;"</f>
        <v>#REF!</v>
      </c>
      <c r="R14" t="e">
        <f>#REF!+"$$8p!L&lt;"</f>
        <v>#REF!</v>
      </c>
      <c r="S14" t="e">
        <f>#REF!+"$$8p!L="</f>
        <v>#REF!</v>
      </c>
      <c r="T14" t="e">
        <f>#REF!+"$$8p!L&gt;"</f>
        <v>#REF!</v>
      </c>
      <c r="U14" t="e">
        <f>#REF!+"$$8p!L?"</f>
        <v>#REF!</v>
      </c>
      <c r="V14" t="e">
        <f>#REF!+"$$8p!L@"</f>
        <v>#REF!</v>
      </c>
      <c r="W14" t="e">
        <f>#REF!+"$$8p!LA"</f>
        <v>#REF!</v>
      </c>
      <c r="X14" t="e">
        <f>#REF!+"$$8p!LB"</f>
        <v>#REF!</v>
      </c>
      <c r="Y14" t="e">
        <f>#REF!+"$$8p!LC"</f>
        <v>#REF!</v>
      </c>
      <c r="Z14" t="e">
        <f>#REF!+"$$8p!LD"</f>
        <v>#REF!</v>
      </c>
      <c r="AA14" t="e">
        <f>#REF!+"$$8p!LE"</f>
        <v>#REF!</v>
      </c>
      <c r="AB14" t="e">
        <f>#REF!+"$$8p!LF"</f>
        <v>#REF!</v>
      </c>
      <c r="AC14" t="e">
        <f>#REF!+"$$8p!LG"</f>
        <v>#REF!</v>
      </c>
      <c r="AD14" t="e">
        <f>#REF!+"$$8p!LH"</f>
        <v>#REF!</v>
      </c>
      <c r="AE14" t="e">
        <f>#REF!+"$$8p!LI"</f>
        <v>#REF!</v>
      </c>
      <c r="AF14" t="e">
        <f>#REF!+"$$8p!LJ"</f>
        <v>#REF!</v>
      </c>
      <c r="AG14" t="e">
        <f>#REF!+"$$8p!LK"</f>
        <v>#REF!</v>
      </c>
      <c r="AH14" t="e">
        <f>#REF!+"$$8p!LL"</f>
        <v>#REF!</v>
      </c>
      <c r="AI14" t="e">
        <f>#REF!+"$$8p!LM"</f>
        <v>#REF!</v>
      </c>
      <c r="AJ14" t="e">
        <f>#REF!+"$$8p!LN"</f>
        <v>#REF!</v>
      </c>
      <c r="AK14" t="e">
        <f>#REF!+"$$8p!LO"</f>
        <v>#REF!</v>
      </c>
      <c r="AL14" t="e">
        <f>#REF!+"$$8p!LP"</f>
        <v>#REF!</v>
      </c>
      <c r="AM14" t="e">
        <f>#REF!+"$$8p!LQ"</f>
        <v>#REF!</v>
      </c>
      <c r="AN14" t="e">
        <f>#REF!+"$$8p!LR"</f>
        <v>#REF!</v>
      </c>
      <c r="AO14" t="e">
        <f>#REF!+"$$8p!LS"</f>
        <v>#REF!</v>
      </c>
      <c r="AP14" t="e">
        <f>#REF!+"$$8p!LT"</f>
        <v>#REF!</v>
      </c>
      <c r="AQ14" t="e">
        <f>#REF!+"$$8p!LU"</f>
        <v>#REF!</v>
      </c>
      <c r="AR14" t="e">
        <f>#REF!+"$$8p!LV"</f>
        <v>#REF!</v>
      </c>
      <c r="AS14" t="e">
        <f>#REF!+"$$8p!LW"</f>
        <v>#REF!</v>
      </c>
      <c r="AT14" t="e">
        <f>#REF!+"$$8p!LX"</f>
        <v>#REF!</v>
      </c>
      <c r="AU14" t="e">
        <f>#REF!+"$$8p!LY"</f>
        <v>#REF!</v>
      </c>
      <c r="AV14" t="e">
        <f>#REF!+"$$8p!LZ"</f>
        <v>#REF!</v>
      </c>
      <c r="AW14" t="e">
        <f>#REF!+"$$8p!L["</f>
        <v>#REF!</v>
      </c>
      <c r="AX14" t="e">
        <f>#REF!+"$$8p!L\"</f>
        <v>#REF!</v>
      </c>
      <c r="AY14" t="e">
        <f>#REF!+"$$8p!L]"</f>
        <v>#REF!</v>
      </c>
      <c r="AZ14" t="e">
        <f>#REF!+"$$8p!L^"</f>
        <v>#REF!</v>
      </c>
      <c r="BA14" t="e">
        <f>#REF!+"$$8p!L_"</f>
        <v>#REF!</v>
      </c>
      <c r="BB14" t="e">
        <f>#REF!+"$$8p!L`"</f>
        <v>#REF!</v>
      </c>
      <c r="BC14" t="e">
        <f>#REF!+"$$8p!La"</f>
        <v>#REF!</v>
      </c>
      <c r="BD14" t="e">
        <f>#REF!+"$$8p!Lb"</f>
        <v>#REF!</v>
      </c>
      <c r="BE14" t="e">
        <f>#REF!+"$$8p!Lc"</f>
        <v>#REF!</v>
      </c>
      <c r="BF14" t="e">
        <f>#REF!+"$$8p!Ld"</f>
        <v>#REF!</v>
      </c>
      <c r="BG14" t="e">
        <f>#REF!+"$$8p!Le"</f>
        <v>#REF!</v>
      </c>
      <c r="BH14" t="e">
        <f>#REF!+"$$8p!Lf"</f>
        <v>#REF!</v>
      </c>
      <c r="BI14" t="e">
        <f>#REF!+"$$8p!Lg"</f>
        <v>#REF!</v>
      </c>
      <c r="BJ14" t="e">
        <f>#REF!+"$$8p!Lh"</f>
        <v>#REF!</v>
      </c>
      <c r="BK14" t="e">
        <f>#REF!+"$$8p!Li"</f>
        <v>#REF!</v>
      </c>
      <c r="BL14" t="e">
        <f>#REF!+"$$8p!Lj"</f>
        <v>#REF!</v>
      </c>
      <c r="BM14" t="e">
        <f>#REF!+"$$8p!Lk"</f>
        <v>#REF!</v>
      </c>
      <c r="BN14" t="e">
        <f>#REF!+"$$8p!Ll"</f>
        <v>#REF!</v>
      </c>
      <c r="BO14" t="e">
        <f>#REF!+"$$8p!Lm"</f>
        <v>#REF!</v>
      </c>
      <c r="BP14" t="e">
        <f>#REF!+"$$8p!Ln"</f>
        <v>#REF!</v>
      </c>
      <c r="BQ14" t="e">
        <f>#REF!+"$$8p!Lo"</f>
        <v>#REF!</v>
      </c>
      <c r="BR14" t="e">
        <f>#REF!+"$$8p!Lp"</f>
        <v>#REF!</v>
      </c>
      <c r="BS14" t="e">
        <f>#REF!+"$$8p!Lq"</f>
        <v>#REF!</v>
      </c>
      <c r="BT14" t="e">
        <f>#REF!+"$$8p!Lr"</f>
        <v>#REF!</v>
      </c>
      <c r="BU14" t="e">
        <f>#REF!+"$$8p!Ls"</f>
        <v>#REF!</v>
      </c>
      <c r="BV14" t="e">
        <f>#REF!+"$$8p!Lt"</f>
        <v>#REF!</v>
      </c>
      <c r="BW14" t="e">
        <f>#REF!+"$$8p!Lu"</f>
        <v>#REF!</v>
      </c>
      <c r="BX14" t="e">
        <f>#REF!+"$$8p!Lv"</f>
        <v>#REF!</v>
      </c>
      <c r="BY14" t="e">
        <f>#REF!+"$$8p!Lw"</f>
        <v>#REF!</v>
      </c>
      <c r="BZ14" t="e">
        <f>#REF!+"$$8p!Lx"</f>
        <v>#REF!</v>
      </c>
      <c r="CA14" t="e">
        <f>#REF!+"$$8p!Ly"</f>
        <v>#REF!</v>
      </c>
      <c r="CB14" t="e">
        <f>#REF!+"$$8p!Lz"</f>
        <v>#REF!</v>
      </c>
      <c r="CC14" t="e">
        <f>#REF!+"$$8p!L{"</f>
        <v>#REF!</v>
      </c>
      <c r="CD14" t="e">
        <f>#REF!+"$$8p!L|"</f>
        <v>#REF!</v>
      </c>
      <c r="CE14" t="e">
        <f>#REF!+"$$8p!L}"</f>
        <v>#REF!</v>
      </c>
      <c r="CF14" t="e">
        <f>#REF!+"$$8p!L~"</f>
        <v>#REF!</v>
      </c>
      <c r="CG14" t="e">
        <f>#REF!+"$$8p!M#"</f>
        <v>#REF!</v>
      </c>
      <c r="CH14" t="e">
        <f>#REF!+"$$8p!M$"</f>
        <v>#REF!</v>
      </c>
      <c r="CI14" t="e">
        <f>#REF!+"$$8p!M%"</f>
        <v>#REF!</v>
      </c>
      <c r="CJ14" t="e">
        <f>#REF!+"$$8p!M&amp;"</f>
        <v>#REF!</v>
      </c>
      <c r="CK14" t="e">
        <f>#REF!+"$$8p!M'"</f>
        <v>#REF!</v>
      </c>
      <c r="CL14" t="e">
        <f>#REF!+"$$8p!M("</f>
        <v>#REF!</v>
      </c>
      <c r="CM14" t="e">
        <f>#REF!+"$$8p!M)"</f>
        <v>#REF!</v>
      </c>
      <c r="CN14" t="e">
        <f>#REF!+"$$8p!M."</f>
        <v>#REF!</v>
      </c>
      <c r="CO14" t="e">
        <f>#REF!+"$$8p!M/"</f>
        <v>#REF!</v>
      </c>
      <c r="CP14" t="e">
        <f>#REF!+"$$8p!M0"</f>
        <v>#REF!</v>
      </c>
      <c r="CQ14" t="e">
        <f>#REF!+"$$8p!M1"</f>
        <v>#REF!</v>
      </c>
      <c r="CR14" t="e">
        <f>#REF!+"$$8p!M2"</f>
        <v>#REF!</v>
      </c>
      <c r="CS14" t="e">
        <f>#REF!+"$$8p!M3"</f>
        <v>#REF!</v>
      </c>
      <c r="CT14" t="e">
        <f>#REF!+"$$8p!M4"</f>
        <v>#REF!</v>
      </c>
      <c r="CU14" t="e">
        <f>#REF!+"$$8p!M5"</f>
        <v>#REF!</v>
      </c>
      <c r="CV14" t="e">
        <f>#REF!+"$$8p!M6"</f>
        <v>#REF!</v>
      </c>
      <c r="CW14" t="e">
        <f>#REF!+"$$8p!M7"</f>
        <v>#REF!</v>
      </c>
      <c r="CX14" t="e">
        <f>#REF!+"$$8p!M8"</f>
        <v>#REF!</v>
      </c>
      <c r="CY14" t="e">
        <f>#REF!+"$$8p!M9"</f>
        <v>#REF!</v>
      </c>
      <c r="CZ14" t="e">
        <f>#REF!+"$$8p!M:"</f>
        <v>#REF!</v>
      </c>
      <c r="DA14" t="e">
        <f>#REF!+"$$8p!M;"</f>
        <v>#REF!</v>
      </c>
      <c r="DB14" t="e">
        <f>#REF!+"$$8p!M&lt;"</f>
        <v>#REF!</v>
      </c>
      <c r="DC14" t="e">
        <f>#REF!+"$$8p!M="</f>
        <v>#REF!</v>
      </c>
      <c r="DD14" t="e">
        <f>#REF!+"$$8p!M&gt;"</f>
        <v>#REF!</v>
      </c>
      <c r="DE14" t="e">
        <f>#REF!+"$$8p!M?"</f>
        <v>#REF!</v>
      </c>
      <c r="DF14" t="e">
        <f>#REF!+"$$8p!M@"</f>
        <v>#REF!</v>
      </c>
      <c r="DG14" t="e">
        <f>#REF!+"$$8p!MA"</f>
        <v>#REF!</v>
      </c>
      <c r="DH14" t="e">
        <f>#REF!+"$$8p!MB"</f>
        <v>#REF!</v>
      </c>
      <c r="DI14" t="e">
        <f>#REF!+"$$8p!MC"</f>
        <v>#REF!</v>
      </c>
      <c r="DJ14" t="e">
        <f>#REF!+"$$8p!MD"</f>
        <v>#REF!</v>
      </c>
      <c r="DK14" t="e">
        <f>#REF!+"$$8p!ME"</f>
        <v>#REF!</v>
      </c>
      <c r="DL14" t="e">
        <f>#REF!+"$$8p!MF"</f>
        <v>#REF!</v>
      </c>
      <c r="DM14" t="e">
        <f>#REF!+"$$8p!MG"</f>
        <v>#REF!</v>
      </c>
      <c r="DN14" t="e">
        <f>#REF!+"$$8p!MH"</f>
        <v>#REF!</v>
      </c>
      <c r="DO14" t="e">
        <f>#REF!+"$$8p!MI"</f>
        <v>#REF!</v>
      </c>
      <c r="DP14" t="e">
        <f>#REF!+"$$8p!MJ"</f>
        <v>#REF!</v>
      </c>
      <c r="DQ14" t="e">
        <f>#REF!+"$$8p!MK"</f>
        <v>#REF!</v>
      </c>
      <c r="DR14" t="e">
        <f>#REF!+"$$8p!ML"</f>
        <v>#REF!</v>
      </c>
      <c r="DS14" t="e">
        <f>#REF!+"$$8p!MM"</f>
        <v>#REF!</v>
      </c>
      <c r="DT14" t="e">
        <f>#REF!+"$$8p!MN"</f>
        <v>#REF!</v>
      </c>
      <c r="DU14" t="e">
        <f>#REF!+"$$8p!MO"</f>
        <v>#REF!</v>
      </c>
      <c r="DV14" t="e">
        <f>#REF!+"$$8p!MP"</f>
        <v>#REF!</v>
      </c>
      <c r="DW14" t="e">
        <f>#REF!+"$$8p!MQ"</f>
        <v>#REF!</v>
      </c>
      <c r="DX14" t="e">
        <f>#REF!+"$$8p!MR"</f>
        <v>#REF!</v>
      </c>
      <c r="DY14" t="e">
        <f>#REF!+"$$8p!MS"</f>
        <v>#REF!</v>
      </c>
      <c r="DZ14" t="e">
        <f>#REF!+"$$8p!MT"</f>
        <v>#REF!</v>
      </c>
      <c r="EA14" t="e">
        <f>#REF!+"$$8p!MU"</f>
        <v>#REF!</v>
      </c>
      <c r="EB14" t="e">
        <f>#REF!+"$$8p!MV"</f>
        <v>#REF!</v>
      </c>
      <c r="EC14" t="e">
        <f>#REF!+"$$8p!MW"</f>
        <v>#REF!</v>
      </c>
      <c r="ED14" t="e">
        <f>#REF!+"$$8p!MX"</f>
        <v>#REF!</v>
      </c>
      <c r="EE14" t="e">
        <f>#REF!+"$$8p!MY"</f>
        <v>#REF!</v>
      </c>
      <c r="EF14" t="e">
        <f>#REF!+"$$8p!MZ"</f>
        <v>#REF!</v>
      </c>
      <c r="EG14" t="e">
        <f>#REF!+"$$8p!M["</f>
        <v>#REF!</v>
      </c>
      <c r="EH14" t="e">
        <f>#REF!+"$$8p!M\"</f>
        <v>#REF!</v>
      </c>
      <c r="EI14" t="e">
        <f>#REF!+"$$8p!M]"</f>
        <v>#REF!</v>
      </c>
      <c r="EJ14" t="e">
        <f>#REF!+"$$8p!M^"</f>
        <v>#REF!</v>
      </c>
      <c r="EK14" t="e">
        <f>#REF!+"$$8p!M_"</f>
        <v>#REF!</v>
      </c>
      <c r="EL14" t="e">
        <f>#REF!+"$$8p!M`"</f>
        <v>#REF!</v>
      </c>
      <c r="EM14" t="e">
        <f>#REF!+"$$8p!Ma"</f>
        <v>#REF!</v>
      </c>
      <c r="EN14" t="e">
        <f>#REF!+"$$8p!Mb"</f>
        <v>#REF!</v>
      </c>
      <c r="EO14" t="e">
        <f>#REF!*"$$8p!Mc"</f>
        <v>#REF!</v>
      </c>
      <c r="EP14" t="e">
        <f>#REF!*"$$8p!Md"</f>
        <v>#REF!</v>
      </c>
      <c r="EQ14" t="e">
        <f>#REF!*"$$8p!Me"</f>
        <v>#REF!</v>
      </c>
      <c r="ER14" t="e">
        <f>#REF!*"$$8p!Mf"</f>
        <v>#REF!</v>
      </c>
      <c r="ES14" t="e">
        <f>#REF!*"$$8p!Mg"</f>
        <v>#REF!</v>
      </c>
      <c r="ET14" t="e">
        <f>#REF!*"$$8p!Mh"</f>
        <v>#REF!</v>
      </c>
      <c r="EU14" t="e">
        <f>#REF!*"$$8p!Mi"</f>
        <v>#REF!</v>
      </c>
      <c r="EV14" t="e">
        <f>#REF!*"$$8p!Mj"</f>
        <v>#REF!</v>
      </c>
      <c r="EW14" t="e">
        <f>#REF!*"$$8p!Mk"</f>
        <v>#REF!</v>
      </c>
      <c r="EX14" t="e">
        <f>#REF!*"$$8p!Ml"</f>
        <v>#REF!</v>
      </c>
      <c r="EY14" t="e">
        <f>#REF!*"$$8p!Mm"</f>
        <v>#REF!</v>
      </c>
      <c r="EZ14" t="e">
        <f>#REF!*"$$8p!Mn"</f>
        <v>#REF!</v>
      </c>
      <c r="FA14" t="e">
        <f>#REF!*"$$8p!Mo"</f>
        <v>#REF!</v>
      </c>
      <c r="FB14" t="e">
        <f>#REF!*"$$8p!Mp"</f>
        <v>#REF!</v>
      </c>
      <c r="FC14" t="e">
        <f>#REF!*"$$8p!Mq"</f>
        <v>#REF!</v>
      </c>
      <c r="FD14" t="e">
        <f>#REF!*"$$8p!Mr"</f>
        <v>#REF!</v>
      </c>
      <c r="FE14" t="e">
        <f>#REF!*"$$8p!Ms"</f>
        <v>#REF!</v>
      </c>
      <c r="FF14" t="e">
        <f>#REF!*"$$8p!Mt"</f>
        <v>#REF!</v>
      </c>
      <c r="FG14" t="e">
        <f>#REF!*"$$8p!Mu"</f>
        <v>#REF!</v>
      </c>
      <c r="FH14" t="e">
        <f>#REF!*"$$8p!Mv"</f>
        <v>#REF!</v>
      </c>
      <c r="FI14" t="e">
        <f>#REF!*"$$8p!Mw"</f>
        <v>#REF!</v>
      </c>
      <c r="FJ14" t="e">
        <f>#REF!*"$$8p!Mx"</f>
        <v>#REF!</v>
      </c>
      <c r="FK14" t="e">
        <f>#REF!*"$$8p!My"</f>
        <v>#REF!</v>
      </c>
      <c r="FL14" t="e">
        <f>#REF!*"$$8p!Mz"</f>
        <v>#REF!</v>
      </c>
      <c r="FM14" t="e">
        <f>#REF!*"$$8p!M{"</f>
        <v>#REF!</v>
      </c>
      <c r="FN14" t="e">
        <f>#REF!*"$$8p!M|"</f>
        <v>#REF!</v>
      </c>
      <c r="FO14" t="e">
        <f>#REF!*"$$8p!M}"</f>
        <v>#REF!</v>
      </c>
      <c r="FP14" t="e">
        <f>#REF!*"$$8p!M~"</f>
        <v>#REF!</v>
      </c>
      <c r="FQ14" t="e">
        <f>#REF!*"$$8p!N#"</f>
        <v>#REF!</v>
      </c>
      <c r="FR14" t="e">
        <f>#REF!*"$$8p!N$"</f>
        <v>#REF!</v>
      </c>
      <c r="FS14" t="e">
        <f>#REF!*"$$8p!N%"</f>
        <v>#REF!</v>
      </c>
      <c r="FT14" t="e">
        <f>#REF!*"$$8p!N&amp;"</f>
        <v>#REF!</v>
      </c>
      <c r="FU14" t="e">
        <f>#REF!*"$$8p!N'"</f>
        <v>#REF!</v>
      </c>
      <c r="FV14" t="e">
        <f>#REF!*"$$8p!N("</f>
        <v>#REF!</v>
      </c>
      <c r="FW14" t="e">
        <f>#REF!*"$$8p!N)"</f>
        <v>#REF!</v>
      </c>
      <c r="FX14" t="e">
        <f>#REF!*"$$8p!N."</f>
        <v>#REF!</v>
      </c>
      <c r="FY14" t="e">
        <f>#REF!*"$$8p!N/"</f>
        <v>#REF!</v>
      </c>
      <c r="FZ14" t="e">
        <f>#REF!*"$$8p!N0"</f>
        <v>#REF!</v>
      </c>
      <c r="GA14" t="e">
        <f>#REF!*"$$8p!N1"</f>
        <v>#REF!</v>
      </c>
      <c r="GB14" t="e">
        <f>#REF!*"$$8p!N2"</f>
        <v>#REF!</v>
      </c>
      <c r="GC14" t="e">
        <f>#REF!*"$$8p!N3"</f>
        <v>#REF!</v>
      </c>
      <c r="GD14" t="e">
        <f>#REF!*"$$8p!N4"</f>
        <v>#REF!</v>
      </c>
      <c r="GE14" t="e">
        <f>#REF!*"$$8p!N5"</f>
        <v>#REF!</v>
      </c>
      <c r="GF14" t="e">
        <f>#REF!*"$$8p!N6"</f>
        <v>#REF!</v>
      </c>
      <c r="GG14" t="e">
        <f>#REF!*"$$8p!N7"</f>
        <v>#REF!</v>
      </c>
      <c r="GH14" t="e">
        <f>#REF!*"$$8p!N8"</f>
        <v>#REF!</v>
      </c>
      <c r="GI14" t="e">
        <f>#REF!*"$$8p!N9"</f>
        <v>#REF!</v>
      </c>
      <c r="GJ14" t="e">
        <f>#REF!*"$$8p!N:"</f>
        <v>#REF!</v>
      </c>
      <c r="GK14" t="e">
        <f>#REF!*"$$8p!N;"</f>
        <v>#REF!</v>
      </c>
      <c r="GL14" t="e">
        <f>#REF!*"$$8p!N&lt;"</f>
        <v>#REF!</v>
      </c>
      <c r="GM14" t="e">
        <f>#REF!*"$$8p!N="</f>
        <v>#REF!</v>
      </c>
      <c r="GN14" t="e">
        <f>#REF!*"$$8p!N&gt;"</f>
        <v>#REF!</v>
      </c>
      <c r="GO14" t="e">
        <f>#REF!*"$$8p!N?"</f>
        <v>#REF!</v>
      </c>
      <c r="GP14" t="e">
        <f>#REF!*"$$8p!N@"</f>
        <v>#REF!</v>
      </c>
      <c r="GQ14" t="e">
        <f>#REF!*"$$8p!NA"</f>
        <v>#REF!</v>
      </c>
      <c r="GR14" t="e">
        <f>#REF!*"$$8p!NB"</f>
        <v>#REF!</v>
      </c>
      <c r="GS14" t="e">
        <f>#REF!*"$$8p!NC"</f>
        <v>#REF!</v>
      </c>
      <c r="GT14" t="e">
        <f>#REF!*"$$8p!ND"</f>
        <v>#REF!</v>
      </c>
      <c r="GU14" t="e">
        <f>#REF!*"$$8p!NE"</f>
        <v>#REF!</v>
      </c>
      <c r="GV14" t="e">
        <f>#REF!*"$$8p!NF"</f>
        <v>#REF!</v>
      </c>
      <c r="GW14" t="e">
        <f>#REF!*"$$8p!NG"</f>
        <v>#REF!</v>
      </c>
      <c r="GX14" t="e">
        <f>#REF!*"$$8p!NH"</f>
        <v>#REF!</v>
      </c>
      <c r="GY14" t="e">
        <f>#REF!-"$$8p!NI"</f>
        <v>#REF!</v>
      </c>
      <c r="GZ14" t="e">
        <f>#REF!-"$$8p!NJ"</f>
        <v>#REF!</v>
      </c>
      <c r="HA14" t="e">
        <f>#REF!-"$$8p!NK"</f>
        <v>#REF!</v>
      </c>
      <c r="HB14" t="e">
        <f>#REF!-"$$8p!NL"</f>
        <v>#REF!</v>
      </c>
      <c r="HC14" t="e">
        <f>#REF!-"$$8p!NM"</f>
        <v>#REF!</v>
      </c>
      <c r="HD14" t="e">
        <f>#REF!-"$$8p!NN"</f>
        <v>#REF!</v>
      </c>
      <c r="HE14" t="e">
        <f>#REF!-"$$8p!NO"</f>
        <v>#REF!</v>
      </c>
      <c r="HF14" t="e">
        <f>#REF!-"$$8p!NP"</f>
        <v>#REF!</v>
      </c>
      <c r="HG14" t="e">
        <f>#REF!-"$$8p!NQ"</f>
        <v>#REF!</v>
      </c>
      <c r="HH14" t="e">
        <f>#REF!-"$$8p!NR"</f>
        <v>#REF!</v>
      </c>
      <c r="HI14" t="e">
        <f>#REF!-"$$8p!NS"</f>
        <v>#REF!</v>
      </c>
      <c r="HJ14" t="e">
        <f>#REF!-"$$8p!NT"</f>
        <v>#REF!</v>
      </c>
      <c r="HK14" t="e">
        <f>#REF!-"$$8p!NU"</f>
        <v>#REF!</v>
      </c>
      <c r="HL14" t="e">
        <f>#REF!-"$$8p!NV"</f>
        <v>#REF!</v>
      </c>
      <c r="HM14" t="e">
        <f>#REF!-"$$8p!NW"</f>
        <v>#REF!</v>
      </c>
      <c r="HN14" t="e">
        <f>#REF!-"$$8p!NX"</f>
        <v>#REF!</v>
      </c>
      <c r="HO14" t="e">
        <f>#REF!-"$$8p!NY"</f>
        <v>#REF!</v>
      </c>
      <c r="HP14" t="e">
        <f>#REF!-"$$8p!NZ"</f>
        <v>#REF!</v>
      </c>
      <c r="HQ14" t="e">
        <f>#REF!-"$$8p!N["</f>
        <v>#REF!</v>
      </c>
      <c r="HR14" t="e">
        <f>#REF!-"$$8p!N\"</f>
        <v>#REF!</v>
      </c>
      <c r="HS14" t="e">
        <f>#REF!-"$$8p!N]"</f>
        <v>#REF!</v>
      </c>
      <c r="HT14" t="e">
        <f>#REF!-"$$8p!N^"</f>
        <v>#REF!</v>
      </c>
      <c r="HU14" t="e">
        <f>#REF!-"$$8p!N_"</f>
        <v>#REF!</v>
      </c>
      <c r="HV14" t="e">
        <f>#REF!-"$$8p!N`"</f>
        <v>#REF!</v>
      </c>
      <c r="HW14" t="e">
        <f>#REF!-"$$8p!Na"</f>
        <v>#REF!</v>
      </c>
      <c r="HX14" t="e">
        <f>#REF!-"$$8p!Nb"</f>
        <v>#REF!</v>
      </c>
      <c r="HY14" t="e">
        <f>#REF!-"$$8p!Nc"</f>
        <v>#REF!</v>
      </c>
      <c r="HZ14" t="e">
        <f>#REF!-"$$8p!Nd"</f>
        <v>#REF!</v>
      </c>
      <c r="IA14" t="e">
        <f>#REF!-"$$8p!Ne"</f>
        <v>#REF!</v>
      </c>
      <c r="IB14" t="e">
        <f>#REF!-"$$8p!Nf"</f>
        <v>#REF!</v>
      </c>
      <c r="IC14" t="e">
        <f>#REF!-"$$8p!Ng"</f>
        <v>#REF!</v>
      </c>
      <c r="ID14" t="e">
        <f>#REF!-"$$8p!Nh"</f>
        <v>#REF!</v>
      </c>
      <c r="IE14" t="e">
        <f>#REF!-"$$8p!Ni"</f>
        <v>#REF!</v>
      </c>
      <c r="IF14" t="e">
        <f>#REF!-"$$8p!Nj"</f>
        <v>#REF!</v>
      </c>
      <c r="IG14" t="e">
        <f>#REF!-"$$8p!Nk"</f>
        <v>#REF!</v>
      </c>
      <c r="IH14" t="e">
        <f>#REF!-"$$8p!Nl"</f>
        <v>#REF!</v>
      </c>
      <c r="II14" t="e">
        <f>#REF!-"$$8p!Nm"</f>
        <v>#REF!</v>
      </c>
      <c r="IJ14" t="e">
        <f>#REF!-"$$8p!Nn"</f>
        <v>#REF!</v>
      </c>
      <c r="IK14" t="e">
        <f>#REF!-"$$8p!No"</f>
        <v>#REF!</v>
      </c>
      <c r="IL14" t="e">
        <f>#REF!-"$$8p!Np"</f>
        <v>#REF!</v>
      </c>
      <c r="IM14" t="e">
        <f>#REF!-"$$8p!Nq"</f>
        <v>#REF!</v>
      </c>
      <c r="IN14" t="e">
        <f>#REF!-"$$8p!Nr"</f>
        <v>#REF!</v>
      </c>
      <c r="IO14" t="e">
        <f>#REF!-"$$8p!Ns"</f>
        <v>#REF!</v>
      </c>
      <c r="IP14" t="e">
        <f>#REF!-"$$8p!Nt"</f>
        <v>#REF!</v>
      </c>
      <c r="IQ14" t="e">
        <f>#REF!-"$$8p!Nu"</f>
        <v>#REF!</v>
      </c>
      <c r="IR14" t="e">
        <f>#REF!-"$$8p!Nv"</f>
        <v>#REF!</v>
      </c>
      <c r="IS14" t="e">
        <f>#REF!-"$$8p!Nw"</f>
        <v>#REF!</v>
      </c>
      <c r="IT14" t="e">
        <f>#REF!-"$$8p!Nx"</f>
        <v>#REF!</v>
      </c>
      <c r="IU14" t="e">
        <f>#REF!-"$$8p!Ny"</f>
        <v>#REF!</v>
      </c>
      <c r="IV14" t="e">
        <f>#REF!-"$$8p!Nz"</f>
        <v>#REF!</v>
      </c>
    </row>
    <row r="15" spans="1:256" x14ac:dyDescent="0.35">
      <c r="F15" t="e">
        <f>#REF!-"$$8p!N{"</f>
        <v>#REF!</v>
      </c>
      <c r="G15" t="e">
        <f>#REF!-"$$8p!N|"</f>
        <v>#REF!</v>
      </c>
      <c r="H15" t="e">
        <f>#REF!-"$$8p!N}"</f>
        <v>#REF!</v>
      </c>
      <c r="I15" t="e">
        <f>#REF!-"$$8p!N~"</f>
        <v>#REF!</v>
      </c>
      <c r="J15" t="e">
        <f>#REF!-"$$8p!O#"</f>
        <v>#REF!</v>
      </c>
      <c r="K15" t="e">
        <f>#REF!-"$$8p!O$"</f>
        <v>#REF!</v>
      </c>
      <c r="L15" t="e">
        <f>#REF!-"$$8p!O%"</f>
        <v>#REF!</v>
      </c>
      <c r="M15" t="e">
        <f>#REF!-"$$8p!O&amp;"</f>
        <v>#REF!</v>
      </c>
      <c r="N15" t="e">
        <f>#REF!-"$$8p!O'"</f>
        <v>#REF!</v>
      </c>
      <c r="O15" t="e">
        <f>#REF!-"$$8p!O("</f>
        <v>#REF!</v>
      </c>
      <c r="P15" t="e">
        <f>#REF!-"$$8p!O)"</f>
        <v>#REF!</v>
      </c>
      <c r="Q15" t="e">
        <f>#REF!-"$$8p!O."</f>
        <v>#REF!</v>
      </c>
      <c r="R15" t="e">
        <f>#REF!-"$$8p!O/"</f>
        <v>#REF!</v>
      </c>
      <c r="S15" t="e">
        <f>#REF!-"$$8p!O0"</f>
        <v>#REF!</v>
      </c>
      <c r="T15" t="e">
        <f>#REF!-"$$8p!O1"</f>
        <v>#REF!</v>
      </c>
      <c r="U15" t="e">
        <f>#REF!-"$$8p!O2"</f>
        <v>#REF!</v>
      </c>
      <c r="V15" t="e">
        <f>#REF!-"$$8p!O3"</f>
        <v>#REF!</v>
      </c>
      <c r="W15" t="e">
        <f>#REF!-"$$8p!O4"</f>
        <v>#REF!</v>
      </c>
      <c r="X15" t="e">
        <f>#REF!-"$$8p!O5"</f>
        <v>#REF!</v>
      </c>
      <c r="Y15" t="e">
        <f>#REF!-"$$8p!O6"</f>
        <v>#REF!</v>
      </c>
      <c r="Z15" t="e">
        <f>#REF!-"$$8p!O7"</f>
        <v>#REF!</v>
      </c>
      <c r="AA15" t="e">
        <f>#REF!-"$$8p!O8"</f>
        <v>#REF!</v>
      </c>
      <c r="AB15" t="e">
        <f>#REF!-"$$8p!O9"</f>
        <v>#REF!</v>
      </c>
      <c r="AC15" t="e">
        <f>#REF!-"$$8p!O:"</f>
        <v>#REF!</v>
      </c>
      <c r="AD15" t="e">
        <f>#REF!-"$$8p!O;"</f>
        <v>#REF!</v>
      </c>
      <c r="AE15" t="e">
        <f>#REF!-"$$8p!O&lt;"</f>
        <v>#REF!</v>
      </c>
      <c r="AF15" t="e">
        <f>#REF!-"$$8p!O="</f>
        <v>#REF!</v>
      </c>
      <c r="AG15" t="e">
        <f>#REF!-"$$8p!O&gt;"</f>
        <v>#REF!</v>
      </c>
      <c r="AH15" t="e">
        <f>#REF!-"$$8p!O?"</f>
        <v>#REF!</v>
      </c>
      <c r="AI15" t="e">
        <f>#REF!-"$$8p!O@"</f>
        <v>#REF!</v>
      </c>
      <c r="AJ15" t="e">
        <f>#REF!-"$$8p!OA"</f>
        <v>#REF!</v>
      </c>
      <c r="AK15" t="e">
        <f>#REF!-"$$8p!OB"</f>
        <v>#REF!</v>
      </c>
      <c r="AL15" t="e">
        <f>#REF!-"$$8p!OC"</f>
        <v>#REF!</v>
      </c>
      <c r="AM15" t="e">
        <f>#REF!-"$$8p!OD"</f>
        <v>#REF!</v>
      </c>
      <c r="AN15" t="e">
        <f>#REF!-"$$8p!OE"</f>
        <v>#REF!</v>
      </c>
      <c r="AO15" t="e">
        <f>#REF!-"$$8p!OF"</f>
        <v>#REF!</v>
      </c>
      <c r="AP15" t="e">
        <f>#REF!-"$$8p!OG"</f>
        <v>#REF!</v>
      </c>
      <c r="AQ15" t="e">
        <f>#REF!-"$$8p!OH"</f>
        <v>#REF!</v>
      </c>
      <c r="AR15" t="e">
        <f>#REF!-"$$8p!OI"</f>
        <v>#REF!</v>
      </c>
      <c r="AS15" t="e">
        <f>#REF!-"$$8p!OJ"</f>
        <v>#REF!</v>
      </c>
      <c r="AT15" t="e">
        <f>#REF!-"$$8p!OK"</f>
        <v>#REF!</v>
      </c>
      <c r="AU15" t="e">
        <f>#REF!-"$$8p!OL"</f>
        <v>#REF!</v>
      </c>
      <c r="AV15" t="e">
        <f>#REF!-"$$8p!OM"</f>
        <v>#REF!</v>
      </c>
      <c r="AW15" t="e">
        <f>#REF!-"$$8p!ON"</f>
        <v>#REF!</v>
      </c>
      <c r="AX15" t="e">
        <f>#REF!-"$$8p!OO"</f>
        <v>#REF!</v>
      </c>
      <c r="AY15" t="e">
        <f>#REF!-"$$8p!OP"</f>
        <v>#REF!</v>
      </c>
      <c r="AZ15" t="e">
        <f>#REF!-"$$8p!OQ"</f>
        <v>#REF!</v>
      </c>
      <c r="BA15" t="e">
        <f>#REF!-"$$8p!OR"</f>
        <v>#REF!</v>
      </c>
      <c r="BB15" t="e">
        <f>#REF!-"$$8p!OS"</f>
        <v>#REF!</v>
      </c>
      <c r="BC15" t="e">
        <f>#REF!-"$$8p!OT"</f>
        <v>#REF!</v>
      </c>
      <c r="BD15" t="e">
        <f>#REF!-"$$8p!OU"</f>
        <v>#REF!</v>
      </c>
      <c r="BE15" t="e">
        <f>#REF!-"$$8p!OV"</f>
        <v>#REF!</v>
      </c>
      <c r="BF15" t="e">
        <f>#REF!-"$$8p!OW"</f>
        <v>#REF!</v>
      </c>
      <c r="BG15" t="e">
        <f>#REF!-"$$8p!OX"</f>
        <v>#REF!</v>
      </c>
      <c r="BH15" t="e">
        <f>#REF!-"$$8p!OY"</f>
        <v>#REF!</v>
      </c>
      <c r="BI15" t="e">
        <f>#REF!-"$$8p!OZ"</f>
        <v>#REF!</v>
      </c>
      <c r="BJ15" t="e">
        <f>#REF!-"$$8p!O["</f>
        <v>#REF!</v>
      </c>
      <c r="BK15" t="e">
        <f>#REF!-"$$8p!O\"</f>
        <v>#REF!</v>
      </c>
      <c r="BL15" t="e">
        <f>#REF!-"$$8p!O]"</f>
        <v>#REF!</v>
      </c>
      <c r="BM15" t="e">
        <f>#REF!-"$$8p!O^"</f>
        <v>#REF!</v>
      </c>
      <c r="BN15" t="e">
        <f>#REF!-"$$8p!O_"</f>
        <v>#REF!</v>
      </c>
      <c r="BO15" t="e">
        <f>#REF!-"$$8p!O`"</f>
        <v>#REF!</v>
      </c>
      <c r="BP15" t="e">
        <f>#REF!-"$$8p!Oa"</f>
        <v>#REF!</v>
      </c>
      <c r="BQ15" t="e">
        <f>#REF!-"$$8p!Ob"</f>
        <v>#REF!</v>
      </c>
      <c r="BR15" t="e">
        <f>#REF!-"$$8p!Oc"</f>
        <v>#REF!</v>
      </c>
      <c r="BS15" t="e">
        <f>#REF!-"$$8p!Od"</f>
        <v>#REF!</v>
      </c>
      <c r="BT15" t="e">
        <f>#REF!-"$$8p!Oe"</f>
        <v>#REF!</v>
      </c>
      <c r="BU15" t="e">
        <f>#REF!-"$$8p!Of"</f>
        <v>#REF!</v>
      </c>
      <c r="BV15" t="e">
        <f>#REF!-"$$8p!Og"</f>
        <v>#REF!</v>
      </c>
      <c r="BW15" t="e">
        <f>#REF!-"$$8p!Oh"</f>
        <v>#REF!</v>
      </c>
      <c r="BX15" t="e">
        <f>#REF!-"$$8p!Oi"</f>
        <v>#REF!</v>
      </c>
      <c r="BY15" t="e">
        <f>#REF!-"$$8p!Oj"</f>
        <v>#REF!</v>
      </c>
      <c r="BZ15" t="e">
        <f>#REF!-"$$8p!Ok"</f>
        <v>#REF!</v>
      </c>
      <c r="CA15" t="e">
        <f>#REF!-"$$8p!Ol"</f>
        <v>#REF!</v>
      </c>
      <c r="CB15" t="e">
        <f>#REF!-"$$8p!Om"</f>
        <v>#REF!</v>
      </c>
      <c r="CC15" t="e">
        <f>#REF!-"$$8p!On"</f>
        <v>#REF!</v>
      </c>
      <c r="CD15" t="e">
        <f>#REF!-"$$8p!Oo"</f>
        <v>#REF!</v>
      </c>
      <c r="CE15" t="e">
        <f>#REF!-"$$8p!Op"</f>
        <v>#REF!</v>
      </c>
      <c r="CF15" t="e">
        <f>#REF!-"$$8p!Oq"</f>
        <v>#REF!</v>
      </c>
      <c r="CG15" t="e">
        <f>#REF!-"$$8p!Or"</f>
        <v>#REF!</v>
      </c>
      <c r="CH15" t="e">
        <f>#REF!-"$$8p!Os"</f>
        <v>#REF!</v>
      </c>
      <c r="CI15" t="e">
        <f>#REF!-"$$8p!Ot"</f>
        <v>#REF!</v>
      </c>
      <c r="CJ15" t="e">
        <f>#REF!-"$$8p!Ou"</f>
        <v>#REF!</v>
      </c>
      <c r="CK15" t="e">
        <f>#REF!-"$$8p!Ov"</f>
        <v>#REF!</v>
      </c>
      <c r="CL15" t="e">
        <f>#REF!-"$$8p!Ow"</f>
        <v>#REF!</v>
      </c>
      <c r="CM15" t="e">
        <f>#REF!-"$$8p!Ox"</f>
        <v>#REF!</v>
      </c>
      <c r="CN15" t="e">
        <f>#REF!-"$$8p!Oy"</f>
        <v>#REF!</v>
      </c>
      <c r="CO15" t="e">
        <f>#REF!-"$$8p!Oz"</f>
        <v>#REF!</v>
      </c>
      <c r="CP15" t="e">
        <f>#REF!-"$$8p!O{"</f>
        <v>#REF!</v>
      </c>
      <c r="CQ15" t="e">
        <f>#REF!-"$$8p!O|"</f>
        <v>#REF!</v>
      </c>
      <c r="CR15" t="e">
        <f>#REF!-"$$8p!O}"</f>
        <v>#REF!</v>
      </c>
      <c r="CS15" t="e">
        <f>#REF!-"$$8p!O~"</f>
        <v>#REF!</v>
      </c>
      <c r="CT15" t="e">
        <f>#REF!-"$$8p!P#"</f>
        <v>#REF!</v>
      </c>
      <c r="CU15" t="e">
        <f>#REF!-"$$8p!P$"</f>
        <v>#REF!</v>
      </c>
      <c r="CV15" t="e">
        <f>#REF!-"$$8p!P%"</f>
        <v>#REF!</v>
      </c>
      <c r="CW15" t="e">
        <f>#REF!-"$$8p!P&amp;"</f>
        <v>#REF!</v>
      </c>
      <c r="CX15" t="e">
        <f>#REF!-"$$8p!P'"</f>
        <v>#REF!</v>
      </c>
      <c r="CY15" t="e">
        <f>#REF!-"$$8p!P("</f>
        <v>#REF!</v>
      </c>
      <c r="CZ15" t="e">
        <f>#REF!-"$$8p!P)"</f>
        <v>#REF!</v>
      </c>
      <c r="DA15" t="e">
        <f>#REF!-"$$8p!P."</f>
        <v>#REF!</v>
      </c>
      <c r="DB15" t="e">
        <f>#REF!-"$$8p!P/"</f>
        <v>#REF!</v>
      </c>
      <c r="DC15" t="e">
        <f>#REF!-"$$8p!P0"</f>
        <v>#REF!</v>
      </c>
      <c r="DD15" t="e">
        <f>#REF!-"$$8p!P1"</f>
        <v>#REF!</v>
      </c>
      <c r="DE15" t="e">
        <f>#REF!-"$$8p!P2"</f>
        <v>#REF!</v>
      </c>
      <c r="DF15" t="e">
        <f>#REF!-"$$8p!P3"</f>
        <v>#REF!</v>
      </c>
      <c r="DG15" t="e">
        <f>#REF!-"$$8p!P4"</f>
        <v>#REF!</v>
      </c>
      <c r="DH15" t="e">
        <f>#REF!-"$$8p!P5"</f>
        <v>#REF!</v>
      </c>
      <c r="DI15" t="e">
        <f>#REF!-"$$8p!P6"</f>
        <v>#REF!</v>
      </c>
      <c r="DJ15" t="e">
        <f>#REF!-"$$8p!P7"</f>
        <v>#REF!</v>
      </c>
      <c r="DK15" t="e">
        <f>#REF!-"$$8p!P8"</f>
        <v>#REF!</v>
      </c>
      <c r="DL15" t="e">
        <f>#REF!-"$$8p!P9"</f>
        <v>#REF!</v>
      </c>
      <c r="DM15" t="e">
        <f>#REF!-"$$8p!P:"</f>
        <v>#REF!</v>
      </c>
      <c r="DN15" t="e">
        <f>#REF!-"$$8p!P;"</f>
        <v>#REF!</v>
      </c>
      <c r="DO15" t="e">
        <f>#REF!-"$$8p!P&lt;"</f>
        <v>#REF!</v>
      </c>
      <c r="DP15" t="e">
        <f>#REF!-"$$8p!P="</f>
        <v>#REF!</v>
      </c>
      <c r="DQ15" t="e">
        <f>#REF!-"$$8p!P&gt;"</f>
        <v>#REF!</v>
      </c>
      <c r="DR15" t="e">
        <f>#REF!-"$$8p!P?"</f>
        <v>#REF!</v>
      </c>
      <c r="DS15" t="e">
        <f>#REF!-"$$8p!P@"</f>
        <v>#REF!</v>
      </c>
      <c r="DT15" t="e">
        <f>#REF!-"$$8p!PA"</f>
        <v>#REF!</v>
      </c>
      <c r="DU15" t="e">
        <f>#REF!-"$$8p!PB"</f>
        <v>#REF!</v>
      </c>
      <c r="DV15" t="e">
        <f>#REF!-"$$8p!PC"</f>
        <v>#REF!</v>
      </c>
      <c r="DW15" t="e">
        <f>#REF!-"$$8p!PD"</f>
        <v>#REF!</v>
      </c>
      <c r="DX15" t="e">
        <f>#REF!-"$$8p!PE"</f>
        <v>#REF!</v>
      </c>
      <c r="DY15" t="e">
        <f>#REF!-"$$8p!PF"</f>
        <v>#REF!</v>
      </c>
      <c r="DZ15" t="e">
        <f>#REF!-"$$8p!PG"</f>
        <v>#REF!</v>
      </c>
      <c r="EA15" t="e">
        <f>#REF!-"$$8p!PH"</f>
        <v>#REF!</v>
      </c>
      <c r="EB15" t="e">
        <f>#REF!-"$$8p!PI"</f>
        <v>#REF!</v>
      </c>
      <c r="EC15" t="e">
        <f>#REF!-"$$8p!PJ"</f>
        <v>#REF!</v>
      </c>
      <c r="ED15" t="e">
        <f>#REF!-"$$8p!PK"</f>
        <v>#REF!</v>
      </c>
      <c r="EE15" t="e">
        <f>#REF!-"$$8p!PL"</f>
        <v>#REF!</v>
      </c>
      <c r="EF15" t="e">
        <f>#REF!-"$$8p!PM"</f>
        <v>#REF!</v>
      </c>
      <c r="EG15" t="e">
        <f>#REF!-"$$8p!PN"</f>
        <v>#REF!</v>
      </c>
      <c r="EH15" t="e">
        <f>#REF!-"$$8p!PO"</f>
        <v>#REF!</v>
      </c>
      <c r="EI15" t="e">
        <f>#REF!-"$$8p!PP"</f>
        <v>#REF!</v>
      </c>
      <c r="EJ15" t="e">
        <f>#REF!-"$$8p!PQ"</f>
        <v>#REF!</v>
      </c>
      <c r="EK15" t="e">
        <f>#REF!-"$$8p!PR"</f>
        <v>#REF!</v>
      </c>
      <c r="EL15" t="e">
        <f>#REF!-"$$8p!PS"</f>
        <v>#REF!</v>
      </c>
      <c r="EM15" t="e">
        <f>#REF!-"$$8p!PT"</f>
        <v>#REF!</v>
      </c>
      <c r="EN15" t="e">
        <f>#REF!-"$$8p!PU"</f>
        <v>#REF!</v>
      </c>
      <c r="EO15" t="e">
        <f>#REF!-"$$8p!PV"</f>
        <v>#REF!</v>
      </c>
      <c r="EP15" t="e">
        <f>#REF!-"$$8p!PW"</f>
        <v>#REF!</v>
      </c>
      <c r="EQ15" t="e">
        <f>#REF!-"$$8p!PX"</f>
        <v>#REF!</v>
      </c>
      <c r="ER15" t="e">
        <f>#REF!-"$$8p!PY"</f>
        <v>#REF!</v>
      </c>
      <c r="ES15" t="e">
        <f>#REF!-"$$8p!PZ"</f>
        <v>#REF!</v>
      </c>
      <c r="ET15" t="e">
        <f>#REF!-"$$8p!P["</f>
        <v>#REF!</v>
      </c>
      <c r="EU15" t="e">
        <f>#REF!-"$$8p!P\"</f>
        <v>#REF!</v>
      </c>
      <c r="EV15" t="e">
        <f>#REF!-"$$8p!P]"</f>
        <v>#REF!</v>
      </c>
      <c r="EW15" t="e">
        <f>#REF!-"$$8p!P^"</f>
        <v>#REF!</v>
      </c>
      <c r="EX15" t="e">
        <f>#REF!-"$$8p!P_"</f>
        <v>#REF!</v>
      </c>
      <c r="EY15" t="e">
        <f>#REF!-"$$8p!P`"</f>
        <v>#REF!</v>
      </c>
      <c r="EZ15" t="e">
        <f>#REF!-"$$8p!Pa"</f>
        <v>#REF!</v>
      </c>
      <c r="FA15" t="e">
        <f>#REF!-"$$8p!Pb"</f>
        <v>#REF!</v>
      </c>
      <c r="FB15" t="e">
        <f>#REF!-"$$8p!Pc"</f>
        <v>#REF!</v>
      </c>
      <c r="FC15" t="e">
        <f>#REF!-"$$8p!Pd"</f>
        <v>#REF!</v>
      </c>
      <c r="FD15" t="e">
        <f>#REF!-"$$8p!Pe"</f>
        <v>#REF!</v>
      </c>
      <c r="FE15" t="e">
        <f>#REF!-"$$8p!Pf"</f>
        <v>#REF!</v>
      </c>
      <c r="FF15" t="e">
        <f>#REF!-"$$8p!Pg"</f>
        <v>#REF!</v>
      </c>
      <c r="FG15" t="e">
        <f>#REF!-"$$8p!Ph"</f>
        <v>#REF!</v>
      </c>
      <c r="FH15" t="e">
        <f>#REF!-"$$8p!Pi"</f>
        <v>#REF!</v>
      </c>
      <c r="FI15" t="e">
        <f>#REF!-"$$8p!Pj"</f>
        <v>#REF!</v>
      </c>
      <c r="FJ15" t="e">
        <f>#REF!-"$$8p!Pk"</f>
        <v>#REF!</v>
      </c>
      <c r="FK15" t="e">
        <f>#REF!-"$$8p!Pl"</f>
        <v>#REF!</v>
      </c>
      <c r="FL15" t="e">
        <f>#REF!-"$$8p!Pm"</f>
        <v>#REF!</v>
      </c>
      <c r="FM15" t="e">
        <f>#REF!-"$$8p!Pn"</f>
        <v>#REF!</v>
      </c>
      <c r="FN15" t="e">
        <f>#REF!-"$$8p!Po"</f>
        <v>#REF!</v>
      </c>
      <c r="FO15" t="e">
        <f>#REF!-"$$8p!Pp"</f>
        <v>#REF!</v>
      </c>
      <c r="FP15" t="e">
        <f>#REF!-"$$8p!Pq"</f>
        <v>#REF!</v>
      </c>
      <c r="FQ15" t="e">
        <f>#REF!-"$$8p!Pr"</f>
        <v>#REF!</v>
      </c>
      <c r="FR15" t="e">
        <f>#REF!-"$$8p!Ps"</f>
        <v>#REF!</v>
      </c>
      <c r="FS15" t="e">
        <f>#REF!-"$$8p!Pt"</f>
        <v>#REF!</v>
      </c>
      <c r="FT15" t="e">
        <f>#REF!-"$$8p!Pu"</f>
        <v>#REF!</v>
      </c>
      <c r="FU15" t="e">
        <f>#REF!-"$$8p!Pv"</f>
        <v>#REF!</v>
      </c>
      <c r="FV15" t="e">
        <f>#REF!-"$$8p!Pw"</f>
        <v>#REF!</v>
      </c>
      <c r="FW15" t="e">
        <f>#REF!-"$$8p!Px"</f>
        <v>#REF!</v>
      </c>
      <c r="FX15" t="e">
        <f>#REF!-"$$8p!Py"</f>
        <v>#REF!</v>
      </c>
      <c r="FY15" t="e">
        <f>#REF!-"$$8p!Pz"</f>
        <v>#REF!</v>
      </c>
      <c r="FZ15" t="e">
        <f>#REF!-"$$8p!P{"</f>
        <v>#REF!</v>
      </c>
      <c r="GA15" t="e">
        <f>#REF!-"$$8p!P|"</f>
        <v>#REF!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8DE253CAE2E54E9C9C730C7543D9DA" ma:contentTypeVersion="10" ma:contentTypeDescription="Create a new document." ma:contentTypeScope="" ma:versionID="88345bee92b35de3557c56ce5f40a64e">
  <xsd:schema xmlns:xsd="http://www.w3.org/2001/XMLSchema" xmlns:xs="http://www.w3.org/2001/XMLSchema" xmlns:p="http://schemas.microsoft.com/office/2006/metadata/properties" xmlns:ns3="df8b6c14-bc9e-4de9-9ba6-b05182d6b3d3" targetNamespace="http://schemas.microsoft.com/office/2006/metadata/properties" ma:root="true" ma:fieldsID="3f5fd6b9457fe7c241b73002a376018c" ns3:_="">
    <xsd:import namespace="df8b6c14-bc9e-4de9-9ba6-b05182d6b3d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8b6c14-bc9e-4de9-9ba6-b05182d6b3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8A0FD4-ED30-4EC8-8D53-53B9AD0EB8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8b6c14-bc9e-4de9-9ba6-b05182d6b3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244D39A-89F6-44EC-9BC2-0C86DF434A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2126426-B7AA-4EC0-861F-AF88308FCA3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df8b6c14-bc9e-4de9-9ba6-b05182d6b3d3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Data Model </vt:lpstr>
      <vt:lpstr>Data Dictionnary</vt:lpstr>
      <vt:lpstr>Lists</vt:lpstr>
      <vt:lpstr>MCD</vt:lpstr>
      <vt:lpstr>MCD_181018</vt:lpstr>
      <vt:lpstr>MCD_031121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CLAUDE MOIGNO</dc:creator>
  <cp:lastModifiedBy>POSTE 01</cp:lastModifiedBy>
  <dcterms:created xsi:type="dcterms:W3CDTF">2021-05-21T07:43:37Z</dcterms:created>
  <dcterms:modified xsi:type="dcterms:W3CDTF">2021-11-03T14:52:53Z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01b303-ecb1-4a9d-936a-70858c2d9a3e_Enabled">
    <vt:lpwstr>true</vt:lpwstr>
  </property>
  <property fmtid="{D5CDD505-2E9C-101B-9397-08002B2CF9AE}" pid="3" name="MSIP_Label_a401b303-ecb1-4a9d-936a-70858c2d9a3e_SetDate">
    <vt:lpwstr>2021-05-21T07:45:25Z</vt:lpwstr>
  </property>
  <property fmtid="{D5CDD505-2E9C-101B-9397-08002B2CF9AE}" pid="4" name="MSIP_Label_a401b303-ecb1-4a9d-936a-70858c2d9a3e_Method">
    <vt:lpwstr>Privileged</vt:lpwstr>
  </property>
  <property fmtid="{D5CDD505-2E9C-101B-9397-08002B2CF9AE}" pid="5" name="MSIP_Label_a401b303-ecb1-4a9d-936a-70858c2d9a3e_Name">
    <vt:lpwstr>a401b303-ecb1-4a9d-936a-70858c2d9a3e</vt:lpwstr>
  </property>
  <property fmtid="{D5CDD505-2E9C-101B-9397-08002B2CF9AE}" pid="6" name="MSIP_Label_a401b303-ecb1-4a9d-936a-70858c2d9a3e_SiteId">
    <vt:lpwstr>c9a7d621-4bc4-4407-b730-f428e656aa9e</vt:lpwstr>
  </property>
  <property fmtid="{D5CDD505-2E9C-101B-9397-08002B2CF9AE}" pid="7" name="MSIP_Label_a401b303-ecb1-4a9d-936a-70858c2d9a3e_ActionId">
    <vt:lpwstr>d57cef59-bae0-467c-b96e-530069af47d3</vt:lpwstr>
  </property>
  <property fmtid="{D5CDD505-2E9C-101B-9397-08002B2CF9AE}" pid="8" name="MSIP_Label_a401b303-ecb1-4a9d-936a-70858c2d9a3e_ContentBits">
    <vt:lpwstr>0</vt:lpwstr>
  </property>
  <property fmtid="{D5CDD505-2E9C-101B-9397-08002B2CF9AE}" pid="9" name="ContentTypeId">
    <vt:lpwstr>0x010100C48DE253CAE2E54E9C9C730C7543D9DA</vt:lpwstr>
  </property>
  <property fmtid="{D5CDD505-2E9C-101B-9397-08002B2CF9AE}" pid="10" name="Offisync_UniqueId">
    <vt:lpwstr>1053673</vt:lpwstr>
  </property>
  <property fmtid="{D5CDD505-2E9C-101B-9397-08002B2CF9AE}" pid="11" name="Jive_VersionGuid">
    <vt:lpwstr>5c0d1845-893b-4472-94b5-ea1b854291a4</vt:lpwstr>
  </property>
  <property fmtid="{D5CDD505-2E9C-101B-9397-08002B2CF9AE}" pid="12" name="Offisync_ProviderInitializationData">
    <vt:lpwstr>https://sbc.safe.socgen</vt:lpwstr>
  </property>
  <property fmtid="{D5CDD505-2E9C-101B-9397-08002B2CF9AE}" pid="13" name="Offisync_UpdateToken">
    <vt:lpwstr>4</vt:lpwstr>
  </property>
  <property fmtid="{D5CDD505-2E9C-101B-9397-08002B2CF9AE}" pid="14" name="Offisync_ServerID">
    <vt:lpwstr>f652768b-7268-4b99-9af2-1a69b39202e2</vt:lpwstr>
  </property>
  <property fmtid="{D5CDD505-2E9C-101B-9397-08002B2CF9AE}" pid="15" name="Jive_LatestUserAccountName">
    <vt:lpwstr>diaeddine.benabdallah</vt:lpwstr>
  </property>
  <property fmtid="{D5CDD505-2E9C-101B-9397-08002B2CF9AE}" pid="16" name="Jive_PrevVersionNumber">
    <vt:lpwstr/>
  </property>
  <property fmtid="{D5CDD505-2E9C-101B-9397-08002B2CF9AE}" pid="17" name="Jive_VersionGuid_v2.5">
    <vt:lpwstr/>
  </property>
  <property fmtid="{D5CDD505-2E9C-101B-9397-08002B2CF9AE}" pid="18" name="Jive_LatestFileFullName">
    <vt:lpwstr/>
  </property>
  <property fmtid="{D5CDD505-2E9C-101B-9397-08002B2CF9AE}" pid="19" name="Jive_ModifiedButNotPublished">
    <vt:lpwstr>True</vt:lpwstr>
  </property>
  <property fmtid="{D5CDD505-2E9C-101B-9397-08002B2CF9AE}" pid="20" name="WorkbookGuid">
    <vt:lpwstr>ecedaec9-71e2-4b76-a7c9-53f019088cf5</vt:lpwstr>
  </property>
</Properties>
</file>