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D:\desktop\FMVA\300_Scenario &amp; Sensitivity Analysis in Excel\"/>
    </mc:Choice>
  </mc:AlternateContent>
  <xr:revisionPtr revIDLastSave="0" documentId="13_ncr:1_{50850139-0028-4196-9E13-8BDF179EECDE}" xr6:coauthVersionLast="36" xr6:coauthVersionMax="47" xr10:uidLastSave="{00000000-0000-0000-0000-000000000000}"/>
  <bookViews>
    <workbookView xWindow="36360" yWindow="3200" windowWidth="1980" windowHeight="560" tabRatio="590" activeTab="1" xr2:uid="{00000000-000D-0000-FFFF-FFFF00000000}"/>
  </bookViews>
  <sheets>
    <sheet name="Cover Page" sheetId="23" r:id="rId1"/>
    <sheet name="DCF &amp; Sensitivity Model" sheetId="21" r:id="rId2"/>
    <sheet name="Additional Assumptions" sheetId="22" r:id="rId3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Page'!$B$3:$O$25</definedName>
  </definedNames>
  <calcPr calcId="191029" iterate="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5" i="21" l="1"/>
  <c r="I71" i="21" s="1"/>
  <c r="E223" i="21" l="1"/>
  <c r="E224" i="21" s="1"/>
  <c r="E225" i="21" s="1"/>
  <c r="B208" i="21"/>
  <c r="B209" i="21" s="1"/>
  <c r="B210" i="21" s="1"/>
  <c r="B211" i="21" s="1"/>
  <c r="D206" i="21"/>
  <c r="E206" i="21" s="1"/>
  <c r="F206" i="21" s="1"/>
  <c r="G206" i="21" s="1"/>
  <c r="K63" i="21"/>
  <c r="M67" i="21"/>
  <c r="L67" i="21"/>
  <c r="K67" i="21"/>
  <c r="J67" i="21"/>
  <c r="I67" i="21"/>
  <c r="M66" i="21"/>
  <c r="L66" i="21"/>
  <c r="K66" i="21"/>
  <c r="J66" i="21"/>
  <c r="I66" i="21"/>
  <c r="M65" i="21"/>
  <c r="L65" i="21"/>
  <c r="K65" i="21"/>
  <c r="J65" i="21"/>
  <c r="I65" i="21"/>
  <c r="M64" i="21"/>
  <c r="L64" i="21"/>
  <c r="K64" i="21"/>
  <c r="J64" i="21"/>
  <c r="I64" i="21"/>
  <c r="M63" i="21"/>
  <c r="L63" i="21"/>
  <c r="J63" i="21"/>
  <c r="I63" i="21"/>
  <c r="M62" i="21"/>
  <c r="L62" i="21"/>
  <c r="K62" i="21"/>
  <c r="J62" i="21"/>
  <c r="I62" i="21"/>
  <c r="M61" i="21"/>
  <c r="L61" i="21"/>
  <c r="K61" i="21"/>
  <c r="J61" i="21"/>
  <c r="I61" i="21"/>
  <c r="M60" i="21"/>
  <c r="L60" i="21"/>
  <c r="K60" i="21"/>
  <c r="J60" i="21"/>
  <c r="I60" i="21"/>
  <c r="M59" i="21"/>
  <c r="L59" i="21"/>
  <c r="K59" i="21"/>
  <c r="J59" i="21"/>
  <c r="I59" i="21"/>
  <c r="M58" i="21"/>
  <c r="M76" i="21" s="1"/>
  <c r="L58" i="21"/>
  <c r="L76" i="21" s="1"/>
  <c r="K58" i="21"/>
  <c r="K76" i="21" s="1"/>
  <c r="J58" i="21"/>
  <c r="J76" i="21" s="1"/>
  <c r="I58" i="21"/>
  <c r="I76" i="21" s="1"/>
  <c r="M57" i="21"/>
  <c r="L57" i="21"/>
  <c r="K57" i="21"/>
  <c r="J57" i="21"/>
  <c r="I57" i="21"/>
  <c r="M56" i="21"/>
  <c r="L56" i="21"/>
  <c r="K56" i="21"/>
  <c r="J56" i="21"/>
  <c r="I56" i="21"/>
  <c r="J55" i="21"/>
  <c r="K55" i="21"/>
  <c r="L55" i="21"/>
  <c r="M55" i="21"/>
  <c r="D73" i="21"/>
  <c r="E73" i="21"/>
  <c r="F73" i="21"/>
  <c r="G73" i="21"/>
  <c r="H73" i="21"/>
  <c r="D79" i="21"/>
  <c r="E79" i="21"/>
  <c r="F79" i="21"/>
  <c r="G79" i="21"/>
  <c r="H79" i="21"/>
  <c r="H80" i="21" l="1"/>
  <c r="J71" i="21"/>
  <c r="K71" i="21" s="1"/>
  <c r="L71" i="21" s="1"/>
  <c r="M71" i="21" s="1"/>
  <c r="M72" i="21" s="1"/>
  <c r="I72" i="21"/>
  <c r="I73" i="21" s="1"/>
  <c r="I75" i="21"/>
  <c r="G80" i="21"/>
  <c r="F80" i="21"/>
  <c r="D80" i="21"/>
  <c r="E80" i="21"/>
  <c r="E2" i="21"/>
  <c r="F2" i="21" s="1"/>
  <c r="G2" i="21" s="1"/>
  <c r="H2" i="21" s="1"/>
  <c r="I2" i="21" s="1"/>
  <c r="D98" i="21"/>
  <c r="D102" i="21"/>
  <c r="D93" i="21"/>
  <c r="E98" i="21"/>
  <c r="E102" i="21"/>
  <c r="E93" i="21"/>
  <c r="F98" i="21"/>
  <c r="F102" i="21"/>
  <c r="F93" i="21"/>
  <c r="G98" i="21"/>
  <c r="G102" i="21"/>
  <c r="G93" i="21"/>
  <c r="H98" i="21"/>
  <c r="H102" i="21"/>
  <c r="H93" i="21"/>
  <c r="I100" i="21"/>
  <c r="H144" i="21"/>
  <c r="I141" i="21" s="1"/>
  <c r="H149" i="21"/>
  <c r="I147" i="21" s="1"/>
  <c r="I148" i="21"/>
  <c r="I121" i="21" s="1"/>
  <c r="H137" i="21"/>
  <c r="I142" i="21"/>
  <c r="I117" i="21" s="1"/>
  <c r="H114" i="21"/>
  <c r="H118" i="21"/>
  <c r="H123" i="21"/>
  <c r="J122" i="21"/>
  <c r="J148" i="21"/>
  <c r="J121" i="21" s="1"/>
  <c r="J142" i="21"/>
  <c r="J117" i="21" s="1"/>
  <c r="K122" i="21"/>
  <c r="K148" i="21"/>
  <c r="K121" i="21" s="1"/>
  <c r="K142" i="21"/>
  <c r="K117" i="21" s="1"/>
  <c r="L122" i="21"/>
  <c r="L148" i="21"/>
  <c r="L121" i="21" s="1"/>
  <c r="L142" i="21"/>
  <c r="L117" i="21" s="1"/>
  <c r="G175" i="21" s="1"/>
  <c r="M122" i="21"/>
  <c r="M148" i="21"/>
  <c r="M121" i="21" s="1"/>
  <c r="M142" i="21"/>
  <c r="M117" i="21" s="1"/>
  <c r="D114" i="21"/>
  <c r="E114" i="21"/>
  <c r="F114" i="21"/>
  <c r="G114" i="21"/>
  <c r="D118" i="21"/>
  <c r="E118" i="21"/>
  <c r="F118" i="21"/>
  <c r="G118" i="21"/>
  <c r="D123" i="21"/>
  <c r="E123" i="21"/>
  <c r="F123" i="21"/>
  <c r="G123" i="21"/>
  <c r="D137" i="21"/>
  <c r="D138" i="21" s="1"/>
  <c r="E137" i="21"/>
  <c r="F137" i="21"/>
  <c r="G137" i="21"/>
  <c r="D144" i="21"/>
  <c r="E144" i="21"/>
  <c r="F144" i="21"/>
  <c r="G144" i="21"/>
  <c r="D149" i="21"/>
  <c r="E149" i="21"/>
  <c r="F149" i="21"/>
  <c r="G149" i="21"/>
  <c r="C167" i="21"/>
  <c r="D167" i="21" s="1"/>
  <c r="C179" i="21"/>
  <c r="G192" i="21"/>
  <c r="G197" i="21" s="1"/>
  <c r="C194" i="21"/>
  <c r="G193" i="21" s="1"/>
  <c r="C193" i="21"/>
  <c r="G194" i="21" s="1"/>
  <c r="C189" i="21"/>
  <c r="K192" i="21"/>
  <c r="A222" i="21"/>
  <c r="A223" i="21"/>
  <c r="A224" i="21"/>
  <c r="A225" i="21"/>
  <c r="J75" i="21" l="1"/>
  <c r="J72" i="21"/>
  <c r="J73" i="21" s="1"/>
  <c r="K72" i="21"/>
  <c r="K73" i="21" s="1"/>
  <c r="L72" i="21"/>
  <c r="E103" i="21"/>
  <c r="E105" i="21" s="1"/>
  <c r="E3" i="21" s="1"/>
  <c r="I96" i="21"/>
  <c r="F103" i="21"/>
  <c r="F105" i="21" s="1"/>
  <c r="F3" i="21" s="1"/>
  <c r="D166" i="21"/>
  <c r="E166" i="21" s="1"/>
  <c r="F166" i="21" s="1"/>
  <c r="G166" i="21" s="1"/>
  <c r="H166" i="21" s="1"/>
  <c r="E167" i="21"/>
  <c r="F167" i="21" s="1"/>
  <c r="G167" i="21" s="1"/>
  <c r="H167" i="21" s="1"/>
  <c r="I167" i="21" s="1"/>
  <c r="M123" i="21"/>
  <c r="D83" i="21"/>
  <c r="F83" i="21"/>
  <c r="E125" i="21"/>
  <c r="E127" i="21" s="1"/>
  <c r="D125" i="21"/>
  <c r="D127" i="21" s="1"/>
  <c r="D103" i="21"/>
  <c r="D105" i="21" s="1"/>
  <c r="D3" i="21" s="1"/>
  <c r="G195" i="21"/>
  <c r="C180" i="21" s="1"/>
  <c r="E138" i="21"/>
  <c r="G83" i="21"/>
  <c r="H138" i="21"/>
  <c r="M118" i="21"/>
  <c r="H175" i="21"/>
  <c r="L123" i="21"/>
  <c r="I122" i="21"/>
  <c r="I123" i="21" s="1"/>
  <c r="H103" i="21"/>
  <c r="H105" i="21" s="1"/>
  <c r="H3" i="21" s="1"/>
  <c r="G125" i="21"/>
  <c r="G127" i="21" s="1"/>
  <c r="K123" i="21"/>
  <c r="H125" i="21"/>
  <c r="H127" i="21" s="1"/>
  <c r="I126" i="21" s="1"/>
  <c r="G103" i="21"/>
  <c r="G105" i="21" s="1"/>
  <c r="G3" i="21" s="1"/>
  <c r="I149" i="21"/>
  <c r="I150" i="21" s="1"/>
  <c r="F138" i="21"/>
  <c r="J123" i="21"/>
  <c r="F125" i="21"/>
  <c r="F127" i="21" s="1"/>
  <c r="H83" i="21"/>
  <c r="E83" i="21"/>
  <c r="E175" i="21"/>
  <c r="J118" i="21"/>
  <c r="F175" i="21"/>
  <c r="K118" i="21"/>
  <c r="I118" i="21"/>
  <c r="D175" i="21"/>
  <c r="I143" i="21"/>
  <c r="I1" i="22"/>
  <c r="J1" i="22" s="1"/>
  <c r="K1" i="22" s="1"/>
  <c r="L1" i="22" s="1"/>
  <c r="M1" i="22" s="1"/>
  <c r="J2" i="21"/>
  <c r="K2" i="21" s="1"/>
  <c r="L2" i="21" s="1"/>
  <c r="M2" i="21" s="1"/>
  <c r="L118" i="21"/>
  <c r="J100" i="21"/>
  <c r="I90" i="21"/>
  <c r="I134" i="21" s="1"/>
  <c r="G138" i="21"/>
  <c r="K75" i="21" l="1"/>
  <c r="I77" i="21"/>
  <c r="I78" i="21"/>
  <c r="D170" i="21" s="1"/>
  <c r="L73" i="21"/>
  <c r="L75" i="21"/>
  <c r="J91" i="21"/>
  <c r="J135" i="21" s="1"/>
  <c r="I91" i="21"/>
  <c r="I135" i="21" s="1"/>
  <c r="J147" i="21"/>
  <c r="J149" i="21" s="1"/>
  <c r="J150" i="21" s="1"/>
  <c r="I97" i="21"/>
  <c r="I98" i="21" s="1"/>
  <c r="J90" i="21"/>
  <c r="J134" i="21" s="1"/>
  <c r="I136" i="21"/>
  <c r="K100" i="21"/>
  <c r="I144" i="21"/>
  <c r="J78" i="21" l="1"/>
  <c r="E170" i="21" s="1"/>
  <c r="I79" i="21"/>
  <c r="I80" i="21" s="1"/>
  <c r="I82" i="21" s="1"/>
  <c r="I83" i="21" s="1"/>
  <c r="I112" i="21"/>
  <c r="D173" i="21" s="1"/>
  <c r="M75" i="21"/>
  <c r="M73" i="21"/>
  <c r="K90" i="21"/>
  <c r="K134" i="21" s="1"/>
  <c r="J96" i="21"/>
  <c r="J136" i="21" s="1"/>
  <c r="J137" i="21" s="1"/>
  <c r="I137" i="21"/>
  <c r="I138" i="21" s="1"/>
  <c r="I113" i="21" s="1"/>
  <c r="K147" i="21"/>
  <c r="K149" i="21" s="1"/>
  <c r="K150" i="21" s="1"/>
  <c r="J97" i="21"/>
  <c r="I92" i="21"/>
  <c r="J141" i="21"/>
  <c r="L100" i="21"/>
  <c r="K78" i="21" l="1"/>
  <c r="F170" i="21" s="1"/>
  <c r="J98" i="21"/>
  <c r="L90" i="21"/>
  <c r="L134" i="21" s="1"/>
  <c r="J138" i="21"/>
  <c r="J113" i="21" s="1"/>
  <c r="L147" i="21"/>
  <c r="L149" i="21" s="1"/>
  <c r="L150" i="21" s="1"/>
  <c r="K97" i="21"/>
  <c r="D176" i="21"/>
  <c r="D169" i="21"/>
  <c r="D171" i="21" s="1"/>
  <c r="D174" i="21" s="1"/>
  <c r="K91" i="21"/>
  <c r="K135" i="21" s="1"/>
  <c r="K96" i="21"/>
  <c r="K136" i="21" s="1"/>
  <c r="I111" i="21"/>
  <c r="I114" i="21" s="1"/>
  <c r="I125" i="21" s="1"/>
  <c r="I127" i="21" s="1"/>
  <c r="I101" i="21"/>
  <c r="J143" i="21"/>
  <c r="J77" i="21" s="1"/>
  <c r="J79" i="21" s="1"/>
  <c r="J80" i="21" s="1"/>
  <c r="M100" i="21"/>
  <c r="L78" i="21" l="1"/>
  <c r="G170" i="21" s="1"/>
  <c r="M147" i="21"/>
  <c r="M149" i="21" s="1"/>
  <c r="M150" i="21" s="1"/>
  <c r="E176" i="21"/>
  <c r="L97" i="21"/>
  <c r="D172" i="21"/>
  <c r="D177" i="21" s="1"/>
  <c r="D179" i="21" s="1"/>
  <c r="J144" i="21"/>
  <c r="J92" i="21" s="1"/>
  <c r="L91" i="21"/>
  <c r="L135" i="21" s="1"/>
  <c r="L96" i="21"/>
  <c r="L136" i="21" s="1"/>
  <c r="K137" i="21"/>
  <c r="K138" i="21" s="1"/>
  <c r="F176" i="21" s="1"/>
  <c r="K98" i="21"/>
  <c r="J112" i="21"/>
  <c r="E173" i="21" s="1"/>
  <c r="I102" i="21"/>
  <c r="I103" i="21" s="1"/>
  <c r="I89" i="21"/>
  <c r="I93" i="21" s="1"/>
  <c r="J126" i="21"/>
  <c r="D180" i="21" l="1"/>
  <c r="D183" i="21" s="1"/>
  <c r="M78" i="21"/>
  <c r="H170" i="21" s="1"/>
  <c r="M97" i="21"/>
  <c r="M90" i="21"/>
  <c r="M134" i="21" s="1"/>
  <c r="K141" i="21"/>
  <c r="K143" i="21" s="1"/>
  <c r="K77" i="21" s="1"/>
  <c r="K79" i="21" s="1"/>
  <c r="K80" i="21" s="1"/>
  <c r="K113" i="21"/>
  <c r="L98" i="21"/>
  <c r="L137" i="21"/>
  <c r="L138" i="21" s="1"/>
  <c r="G176" i="21" s="1"/>
  <c r="E169" i="21"/>
  <c r="E171" i="21" s="1"/>
  <c r="J82" i="21"/>
  <c r="J83" i="21" s="1"/>
  <c r="I105" i="21"/>
  <c r="I3" i="21" s="1"/>
  <c r="M91" i="21" l="1"/>
  <c r="M135" i="21" s="1"/>
  <c r="M96" i="21"/>
  <c r="M136" i="21" s="1"/>
  <c r="L113" i="21"/>
  <c r="K144" i="21"/>
  <c r="K92" i="21" s="1"/>
  <c r="D189" i="21"/>
  <c r="A183" i="21"/>
  <c r="K112" i="21"/>
  <c r="F173" i="21" s="1"/>
  <c r="J111" i="21"/>
  <c r="J114" i="21" s="1"/>
  <c r="J125" i="21" s="1"/>
  <c r="J127" i="21" s="1"/>
  <c r="J101" i="21"/>
  <c r="E172" i="21"/>
  <c r="E177" i="21" s="1"/>
  <c r="E179" i="21" s="1"/>
  <c r="E174" i="21"/>
  <c r="M137" i="21" l="1"/>
  <c r="M138" i="21" s="1"/>
  <c r="H176" i="21" s="1"/>
  <c r="M98" i="21"/>
  <c r="L141" i="21"/>
  <c r="L143" i="21" s="1"/>
  <c r="L77" i="21" s="1"/>
  <c r="L79" i="21" s="1"/>
  <c r="L80" i="21" s="1"/>
  <c r="F169" i="21"/>
  <c r="F171" i="21" s="1"/>
  <c r="K82" i="21"/>
  <c r="K83" i="21" s="1"/>
  <c r="J102" i="21"/>
  <c r="J103" i="21" s="1"/>
  <c r="J89" i="21"/>
  <c r="J93" i="21" s="1"/>
  <c r="K126" i="21"/>
  <c r="E180" i="21"/>
  <c r="M113" i="21" l="1"/>
  <c r="K111" i="21"/>
  <c r="K114" i="21" s="1"/>
  <c r="K125" i="21" s="1"/>
  <c r="K127" i="21" s="1"/>
  <c r="K101" i="21"/>
  <c r="L112" i="21"/>
  <c r="G173" i="21" s="1"/>
  <c r="J105" i="21"/>
  <c r="J3" i="21" s="1"/>
  <c r="E184" i="21"/>
  <c r="L144" i="21"/>
  <c r="F172" i="21"/>
  <c r="F177" i="21" s="1"/>
  <c r="F179" i="21" s="1"/>
  <c r="F174" i="21"/>
  <c r="L92" i="21" l="1"/>
  <c r="M141" i="21"/>
  <c r="A184" i="21"/>
  <c r="E189" i="21"/>
  <c r="K102" i="21"/>
  <c r="K103" i="21" s="1"/>
  <c r="L82" i="21"/>
  <c r="L83" i="21" s="1"/>
  <c r="G169" i="21"/>
  <c r="G171" i="21" s="1"/>
  <c r="F180" i="21"/>
  <c r="K89" i="21"/>
  <c r="K93" i="21" s="1"/>
  <c r="L126" i="21"/>
  <c r="K105" i="21" l="1"/>
  <c r="K3" i="21" s="1"/>
  <c r="L111" i="21"/>
  <c r="L114" i="21" s="1"/>
  <c r="L125" i="21" s="1"/>
  <c r="L127" i="21" s="1"/>
  <c r="L101" i="21"/>
  <c r="F185" i="21"/>
  <c r="M143" i="21"/>
  <c r="M77" i="21" s="1"/>
  <c r="M79" i="21" s="1"/>
  <c r="M80" i="21" s="1"/>
  <c r="G174" i="21"/>
  <c r="G172" i="21"/>
  <c r="G177" i="21" s="1"/>
  <c r="G179" i="21" s="1"/>
  <c r="M144" i="21" l="1"/>
  <c r="M92" i="21" s="1"/>
  <c r="G180" i="21"/>
  <c r="G186" i="21" s="1"/>
  <c r="L102" i="21"/>
  <c r="L103" i="21" s="1"/>
  <c r="M112" i="21"/>
  <c r="H173" i="21" s="1"/>
  <c r="A185" i="21"/>
  <c r="F189" i="21"/>
  <c r="L89" i="21"/>
  <c r="L93" i="21" s="1"/>
  <c r="M126" i="21"/>
  <c r="A186" i="21" l="1"/>
  <c r="G189" i="21"/>
  <c r="H169" i="21"/>
  <c r="H171" i="21" s="1"/>
  <c r="M82" i="21"/>
  <c r="M83" i="21" s="1"/>
  <c r="L105" i="21"/>
  <c r="L3" i="21" s="1"/>
  <c r="M111" i="21" l="1"/>
  <c r="M114" i="21" s="1"/>
  <c r="M125" i="21" s="1"/>
  <c r="M127" i="21" s="1"/>
  <c r="M89" i="21" s="1"/>
  <c r="M93" i="21" s="1"/>
  <c r="M101" i="21"/>
  <c r="M102" i="21" s="1"/>
  <c r="M103" i="21" s="1"/>
  <c r="H172" i="21"/>
  <c r="H177" i="21" s="1"/>
  <c r="H179" i="21" s="1"/>
  <c r="H174" i="21"/>
  <c r="M168" i="21" s="1"/>
  <c r="M169" i="21" l="1"/>
  <c r="I178" i="21" s="1"/>
  <c r="H180" i="21"/>
  <c r="H187" i="21" s="1"/>
  <c r="M105" i="21"/>
  <c r="M3" i="21" s="1"/>
  <c r="I179" i="21" l="1"/>
  <c r="C192" i="21" s="1"/>
  <c r="H188" i="21"/>
  <c r="A188" i="21" s="1"/>
  <c r="A187" i="21"/>
  <c r="I180" i="21" l="1"/>
  <c r="K195" i="21" s="1"/>
  <c r="C195" i="21"/>
  <c r="C197" i="21" s="1"/>
  <c r="H189" i="21"/>
  <c r="A189" i="21"/>
  <c r="K217" i="21" l="1"/>
  <c r="E217" i="21"/>
  <c r="B217" i="21"/>
  <c r="C222" i="21" s="1"/>
  <c r="H217" i="21"/>
  <c r="L5" i="21"/>
  <c r="B206" i="21"/>
  <c r="K193" i="21"/>
  <c r="K194" i="21" s="1"/>
  <c r="B183" i="21"/>
  <c r="B184" i="21"/>
  <c r="B185" i="21"/>
  <c r="B186" i="21"/>
  <c r="B188" i="21"/>
  <c r="B187" i="21"/>
  <c r="C225" i="21" l="1"/>
  <c r="D225" i="21"/>
  <c r="F225" i="21" s="1"/>
  <c r="C224" i="21"/>
  <c r="D224" i="21"/>
  <c r="F224" i="21" s="1"/>
  <c r="C223" i="21"/>
  <c r="D223" i="21"/>
  <c r="F223" i="21" s="1"/>
  <c r="D222" i="21"/>
  <c r="F222" i="21" s="1"/>
  <c r="B189" i="21"/>
  <c r="G222" i="21" l="1"/>
  <c r="H222" i="21" s="1"/>
  <c r="J222" i="21" s="1"/>
  <c r="G223" i="21"/>
  <c r="H223" i="21" s="1"/>
  <c r="G224" i="21"/>
  <c r="H224" i="21" s="1"/>
  <c r="G225" i="21"/>
  <c r="H225" i="21" s="1"/>
  <c r="J225" i="21" l="1"/>
  <c r="K225" i="21"/>
  <c r="K224" i="21"/>
  <c r="J224" i="21"/>
  <c r="J223" i="21"/>
  <c r="K223" i="21"/>
  <c r="K222" i="21" l="1"/>
</calcChain>
</file>

<file path=xl/sharedStrings.xml><?xml version="1.0" encoding="utf-8"?>
<sst xmlns="http://schemas.openxmlformats.org/spreadsheetml/2006/main" count="275" uniqueCount="176">
  <si>
    <t>Income Statement</t>
  </si>
  <si>
    <t>Reveneue</t>
  </si>
  <si>
    <t>Gross Profit</t>
  </si>
  <si>
    <t>Salaries and Benefits</t>
  </si>
  <si>
    <t>Rent and Overhead</t>
  </si>
  <si>
    <t>Depreciation &amp; Amortization</t>
  </si>
  <si>
    <t>Interest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</si>
  <si>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</si>
  <si>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</si>
  <si>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</si>
  <si>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</si>
  <si>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</si>
  <si>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</si>
  <si>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</si>
  <si>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Property &amp; Equipment</t>
  </si>
  <si>
    <t>PPE Opening</t>
  </si>
  <si>
    <t>Plus Capex</t>
  </si>
  <si>
    <t>Less Depreciation</t>
  </si>
  <si>
    <t>PPE Closing</t>
  </si>
  <si>
    <t>Inventory</t>
  </si>
  <si>
    <t>Total Assets</t>
  </si>
  <si>
    <t>Liabilities</t>
  </si>
  <si>
    <t>Accounts Payable</t>
  </si>
  <si>
    <t>Debt</t>
  </si>
  <si>
    <t>Debt Opening</t>
  </si>
  <si>
    <t>Issuance (repayment)</t>
  </si>
  <si>
    <t>Debt Closing</t>
  </si>
  <si>
    <t>Interest Expense</t>
  </si>
  <si>
    <t>Total Liabilities</t>
  </si>
  <si>
    <t>Shareholder's Equity</t>
  </si>
  <si>
    <t>Equity Capital</t>
  </si>
  <si>
    <t>Retained Earnings</t>
  </si>
  <si>
    <t>Total Liabilities &amp; Shareholder's Equity</t>
  </si>
  <si>
    <t>Operating Cash Flow</t>
  </si>
  <si>
    <t>Plus: Depreciation &amp; Amortization</t>
  </si>
  <si>
    <t>Cash from Operations</t>
  </si>
  <si>
    <t>Change in NWC</t>
  </si>
  <si>
    <t>Net Working Capital (NWC)</t>
  </si>
  <si>
    <t>Less: Changes in Working Capital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</si>
  <si>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</si>
  <si>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</si>
  <si>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</si>
  <si>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</si>
  <si>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</si>
  <si>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</si>
  <si>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</si>
  <si>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</si>
  <si>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</si>
  <si>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</si>
  <si>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Cash Flow Statement</t>
  </si>
  <si>
    <t>Check</t>
  </si>
  <si>
    <t>Supporting Schedules</t>
  </si>
  <si>
    <t>Working Capital Schedule</t>
  </si>
  <si>
    <t>Depreciation Schedule</t>
  </si>
  <si>
    <t>Debt &amp; Interest Schedule</t>
  </si>
  <si>
    <t>Cost of Goods Sold (COGS)</t>
  </si>
  <si>
    <t>Historical Results</t>
  </si>
  <si>
    <t>FINANCIAL STATEMENTS</t>
  </si>
  <si>
    <t>Cost of Goods Sold (% of Revenue)</t>
  </si>
  <si>
    <t>Salaries and Benefits (% of Revenue)</t>
  </si>
  <si>
    <t>Rent and Overhead ($000's)</t>
  </si>
  <si>
    <t>Depreciation &amp; Amortization (% of PP&amp;E)</t>
  </si>
  <si>
    <t>Revenue Growth (% Change)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</si>
  <si>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</si>
  <si>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</si>
  <si>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</si>
  <si>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</si>
  <si>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</si>
  <si>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</si>
  <si>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Equity Issued (Repaid) ($000's)</t>
  </si>
  <si>
    <t>Debt Issuance (Repayment) ($000's)</t>
  </si>
  <si>
    <t xml:space="preserve"> Forecast Period</t>
  </si>
  <si>
    <t>Balance Sheet Check</t>
  </si>
  <si>
    <t>Assumptions</t>
  </si>
  <si>
    <t>Expenses</t>
  </si>
  <si>
    <t>Total Expenses</t>
  </si>
  <si>
    <t>DCF Model</t>
  </si>
  <si>
    <t>EBT</t>
  </si>
  <si>
    <t>EBIT</t>
  </si>
  <si>
    <t>Less: Cash Taxes</t>
  </si>
  <si>
    <t>Less: Capex</t>
  </si>
  <si>
    <t>Less: Changes in NWC</t>
  </si>
  <si>
    <t>Plus: D&amp;A</t>
  </si>
  <si>
    <t>Terminal Value</t>
  </si>
  <si>
    <t>Perpetural Growth</t>
  </si>
  <si>
    <t>Tax Rate</t>
  </si>
  <si>
    <t>Discount Rate</t>
  </si>
  <si>
    <t>Perpetural Growth Rate</t>
  </si>
  <si>
    <t>EV/EBITDA Mulltiple</t>
  </si>
  <si>
    <t>Unlevered FCF</t>
  </si>
  <si>
    <t>(Entry)/Exit</t>
  </si>
  <si>
    <t>EV/EBITDA</t>
  </si>
  <si>
    <t>Average</t>
  </si>
  <si>
    <t>Transaction Date</t>
  </si>
  <si>
    <t>Discounted Cash Flow</t>
  </si>
  <si>
    <t>Net FCF</t>
  </si>
  <si>
    <t>Shares Outstanding</t>
  </si>
  <si>
    <t>IRR</t>
  </si>
  <si>
    <t>Entry</t>
  </si>
  <si>
    <t>Exit</t>
  </si>
  <si>
    <t>Date</t>
  </si>
  <si>
    <t>Current Price</t>
  </si>
  <si>
    <t>Market Cap</t>
  </si>
  <si>
    <t>Plus: Debt</t>
  </si>
  <si>
    <t>Less: Cash</t>
  </si>
  <si>
    <t>EV</t>
  </si>
  <si>
    <t>Enterprise Value</t>
  </si>
  <si>
    <t>Plus: Cash</t>
  </si>
  <si>
    <t>Less: Debt</t>
  </si>
  <si>
    <t>Equity Value</t>
  </si>
  <si>
    <t>Equity Value/Share</t>
  </si>
  <si>
    <t>Intrinsic Value</t>
  </si>
  <si>
    <t>Market Value</t>
  </si>
  <si>
    <t>Rate of Return</t>
  </si>
  <si>
    <t>Target Price Upside</t>
  </si>
  <si>
    <t>Sensitivity Analysis</t>
  </si>
  <si>
    <t>$/Share</t>
  </si>
  <si>
    <t>EBITDA</t>
  </si>
  <si>
    <t>Target Price</t>
  </si>
  <si>
    <t>Present Value</t>
  </si>
  <si>
    <t>Share Price Senstivity</t>
  </si>
  <si>
    <t>© Corporate Finance Institute. All rights reserved.</t>
  </si>
  <si>
    <t>Revenue Growth</t>
  </si>
  <si>
    <t>Exit Multiple</t>
  </si>
  <si>
    <t>Change</t>
  </si>
  <si>
    <t>Driver</t>
  </si>
  <si>
    <t>Rank</t>
  </si>
  <si>
    <t>Pos</t>
  </si>
  <si>
    <t>Neg</t>
  </si>
  <si>
    <t>Output</t>
  </si>
  <si>
    <t>Impact on Share Price By Change in Assumption</t>
  </si>
  <si>
    <t>Assumption</t>
  </si>
  <si>
    <t>Base Case</t>
  </si>
  <si>
    <t>Downside Case</t>
  </si>
  <si>
    <t>Upside Case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</si>
  <si>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</si>
  <si>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</si>
  <si>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</si>
  <si>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</si>
  <si>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</si>
  <si>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</si>
  <si>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DCF &amp; Sensitivity Model</t>
  </si>
  <si>
    <t>Additional Assumptions</t>
  </si>
  <si>
    <t>Scenario &amp; Sensitivity Analysis Model</t>
  </si>
  <si>
    <t>Revenue</t>
  </si>
  <si>
    <t>COGS</t>
  </si>
  <si>
    <t>-10% Δ</t>
  </si>
  <si>
    <t>+10% Δ</t>
  </si>
  <si>
    <t>ABS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</si>
  <si>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</si>
  <si>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</si>
  <si>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</si>
  <si>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</si>
  <si>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Live case</t>
  </si>
  <si>
    <t>live case</t>
  </si>
  <si>
    <t>cases</t>
  </si>
  <si>
    <t>share price</t>
  </si>
  <si>
    <t>note: we can see the revenue has a big impact</t>
  </si>
  <si>
    <t>（1）建立下拉列表</t>
  </si>
  <si>
    <t>（2）用choose公式分别点选index要引用的部分</t>
  </si>
  <si>
    <t>（3）改区域用同样的公式填充</t>
  </si>
  <si>
    <t>（4）分别选择增长幅度填充206行和C列</t>
  </si>
  <si>
    <t>（5）link the table data ，选中B206到G211整个表格，然后ALT A W T选择data table，分别选中横行的 I9和树行 C160，也就是你打算变化的</t>
  </si>
  <si>
    <t>Direct method</t>
  </si>
  <si>
    <t>Indirect Method</t>
  </si>
  <si>
    <t>从第6步另一个开始的方法（6）分别在A216：A219定范围，后面的四项也同样处理</t>
  </si>
  <si>
    <t>（7）设置 I71 与后面的增长率挂上联系，同样的方式后面的cost of goods sold也挂上联系</t>
  </si>
  <si>
    <t>（8）copyB217 到后面3个同样的</t>
  </si>
  <si>
    <t>（9）link the table A217 到B219，用data table进行连接，但是这次只填写竖列里的A217</t>
  </si>
  <si>
    <t>（10）计算 C222，用公式分别算出减少10%和增加10%的比例</t>
  </si>
  <si>
    <t>（11）E222进行排序</t>
  </si>
  <si>
    <t>（12）用abs公式得到正数</t>
  </si>
  <si>
    <t>（13）G222那里用small公式进行排序</t>
  </si>
  <si>
    <t>（14）H222用index公式</t>
  </si>
  <si>
    <t>（15）J223用vlookup公式</t>
  </si>
  <si>
    <t>（16）K223用vlookup公式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</si>
</sst>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7" formatCode="&quot;$&quot;#,##0.00_);\(&quot;$&quot;#,##0.00\)"/>
    <numFmt numFmtId="43" formatCode="_(* #,##0.00_);_(* \(#,##0.00\);_(* &quot;-&quot;??_);_(@_)"/>
    <numFmt numFmtId="164" formatCode="_-* #,##0.00_-;\-* #,##0.00_-;_-* &quot;-&quot;??_-;_-@_-"/>
    <numFmt numFmtId="165" formatCode="_-* #,##0_-;\(#,##0\)_-;_-* &quot;-&quot;_-;_-@_-"/>
    <numFmt numFmtId="166" formatCode="0.0000_ ;\-0.0000\ "/>
    <numFmt numFmtId="167" formatCode="0.0%"/>
    <numFmt numFmtId="168" formatCode="_-* #,##0_-;\-* #,##0_-;_-* &quot;-&quot;??_-;_-@_-"/>
    <numFmt numFmtId="169" formatCode="_(* #,##0_);_(* \(#,##0\);_(* &quot;-&quot;??_);_(@_)"/>
    <numFmt numFmtId="170" formatCode="0.0\x"/>
    <numFmt numFmtId="171" formatCode="_-* #,##0.00_-;\(#,##0.00\)_-;_-* &quot;-&quot;_-;_-@_-"/>
    <numFmt numFmtId="172" formatCode="&quot;+&quot;0.0%;&quot;-&quot;0.0%;0.0%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0"/>
      <name val="Arial Narrow"/>
      <family val="2"/>
    </font>
    <font>
      <b/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sz val="12"/>
      <color rgb="FF0000FF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b/>
      <sz val="16"/>
      <color theme="0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  <font>
      <b/>
      <sz val="22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rial Narrow"/>
      <family val="2"/>
    </font>
    <font>
      <b/>
      <sz val="11"/>
      <name val="Arial Narrow"/>
      <family val="2"/>
    </font>
    <font>
      <sz val="12"/>
      <color rgb="FFFF0000"/>
      <name val="Arial Narrow"/>
      <family val="2"/>
    </font>
    <font>
      <b/>
      <i/>
      <sz val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 applyNumberFormat="0" applyFill="0" applyBorder="0" applyAlignment="0" applyProtection="0"/>
    <xf numFmtId="0" fontId="2" fillId="0" borderId="0"/>
    <xf numFmtId="0" fontId="20" fillId="0" borderId="0" applyNumberFormat="0" applyFill="0" applyBorder="0" applyAlignment="0" applyProtection="0"/>
  </cellStyleXfs>
  <cellXfs count="177">
    <xf numFmtId="0" fontId="0" fillId="0" borderId="0" xfId="0"/>
    <xf numFmtId="165" fontId="6" fillId="0" borderId="0" xfId="1" applyNumberFormat="1" applyFont="1" applyFill="1" applyProtection="1">
      <protection locked="0"/>
    </xf>
    <xf numFmtId="169" fontId="3" fillId="0" borderId="0" xfId="1" applyNumberFormat="1" applyFont="1" applyFill="1" applyBorder="1" applyProtection="1">
      <protection locked="0"/>
    </xf>
    <xf numFmtId="167" fontId="10" fillId="0" borderId="2" xfId="2" applyNumberFormat="1" applyFont="1" applyFill="1" applyBorder="1" applyProtection="1">
      <protection locked="0"/>
    </xf>
    <xf numFmtId="167" fontId="11" fillId="0" borderId="2" xfId="2" applyNumberFormat="1" applyFont="1" applyFill="1" applyBorder="1" applyProtection="1">
      <protection locked="0"/>
    </xf>
    <xf numFmtId="169" fontId="3" fillId="0" borderId="0" xfId="1" applyNumberFormat="1" applyFont="1" applyProtection="1">
      <protection locked="0"/>
    </xf>
    <xf numFmtId="165" fontId="3" fillId="0" borderId="2" xfId="1" applyNumberFormat="1" applyFont="1" applyBorder="1" applyProtection="1">
      <protection locked="0"/>
    </xf>
    <xf numFmtId="165" fontId="3" fillId="0" borderId="0" xfId="1" applyNumberFormat="1" applyFont="1" applyFill="1" applyProtection="1">
      <protection locked="0"/>
    </xf>
    <xf numFmtId="165" fontId="3" fillId="0" borderId="0" xfId="1" applyNumberFormat="1" applyFont="1" applyBorder="1" applyProtection="1">
      <protection locked="0"/>
    </xf>
    <xf numFmtId="165" fontId="3" fillId="0" borderId="0" xfId="1" applyNumberFormat="1" applyFont="1" applyProtection="1">
      <protection locked="0"/>
    </xf>
    <xf numFmtId="171" fontId="6" fillId="3" borderId="0" xfId="1" applyNumberFormat="1" applyFont="1" applyFill="1" applyProtection="1">
      <protection locked="0"/>
    </xf>
    <xf numFmtId="165" fontId="6" fillId="0" borderId="0" xfId="1" applyNumberFormat="1" applyFont="1" applyProtection="1">
      <protection locked="0"/>
    </xf>
    <xf numFmtId="165" fontId="3" fillId="0" borderId="0" xfId="1" applyNumberFormat="1" applyFont="1" applyAlignment="1" applyProtection="1">
      <alignment horizontal="center"/>
      <protection locked="0"/>
    </xf>
    <xf numFmtId="165" fontId="10" fillId="0" borderId="0" xfId="1" applyNumberFormat="1" applyFont="1" applyProtection="1">
      <protection locked="0"/>
    </xf>
    <xf numFmtId="167" fontId="3" fillId="0" borderId="0" xfId="2" applyNumberFormat="1" applyFont="1" applyAlignment="1" applyProtection="1">
      <alignment horizontal="right"/>
      <protection locked="0"/>
    </xf>
    <xf numFmtId="167" fontId="3" fillId="0" borderId="0" xfId="2" applyNumberFormat="1" applyFont="1" applyProtection="1">
      <protection locked="0"/>
    </xf>
    <xf numFmtId="9" fontId="3" fillId="0" borderId="0" xfId="2" applyFont="1" applyBorder="1" applyProtection="1">
      <protection locked="0"/>
    </xf>
    <xf numFmtId="9" fontId="6" fillId="0" borderId="0" xfId="2" applyFont="1" applyBorder="1" applyAlignment="1" applyProtection="1">
      <alignment horizontal="centerContinuous"/>
      <protection locked="0"/>
    </xf>
    <xf numFmtId="0" fontId="3" fillId="0" borderId="0" xfId="0" applyFont="1" applyBorder="1" applyAlignment="1" applyProtection="1">
      <alignment horizontal="centerContinuous"/>
      <protection locked="0"/>
    </xf>
    <xf numFmtId="0" fontId="3" fillId="0" borderId="0" xfId="0" applyFont="1" applyProtection="1">
      <protection locked="0"/>
    </xf>
    <xf numFmtId="9" fontId="9" fillId="0" borderId="3" xfId="2" applyFont="1" applyBorder="1" applyProtection="1">
      <protection locked="0"/>
    </xf>
    <xf numFmtId="167" fontId="6" fillId="0" borderId="3" xfId="0" applyNumberFormat="1" applyFont="1" applyBorder="1" applyProtection="1">
      <protection locked="0"/>
    </xf>
    <xf numFmtId="0" fontId="6" fillId="0" borderId="5" xfId="0" applyFont="1" applyBorder="1" applyProtection="1">
      <protection locked="0"/>
    </xf>
    <xf numFmtId="170" fontId="9" fillId="0" borderId="6" xfId="1" applyNumberFormat="1" applyFont="1" applyBorder="1" applyAlignment="1" applyProtection="1">
      <alignment horizontal="center"/>
      <protection locked="0"/>
    </xf>
    <xf numFmtId="171" fontId="3" fillId="0" borderId="0" xfId="1" applyNumberFormat="1" applyFont="1" applyProtection="1">
      <protection locked="0"/>
    </xf>
    <xf numFmtId="0" fontId="3" fillId="0" borderId="5" xfId="0" applyFont="1" applyBorder="1" applyProtection="1">
      <protection locked="0"/>
    </xf>
    <xf numFmtId="170" fontId="8" fillId="0" borderId="6" xfId="1" applyNumberFormat="1" applyFont="1" applyBorder="1" applyAlignment="1" applyProtection="1">
      <alignment horizontal="center"/>
      <protection locked="0"/>
    </xf>
    <xf numFmtId="0" fontId="3" fillId="0" borderId="0" xfId="0" applyFont="1" applyBorder="1" applyProtection="1">
      <protection locked="0"/>
    </xf>
    <xf numFmtId="170" fontId="11" fillId="0" borderId="0" xfId="1" applyNumberFormat="1" applyFont="1" applyBorder="1" applyAlignment="1" applyProtection="1">
      <alignment horizontal="center"/>
      <protection locked="0"/>
    </xf>
    <xf numFmtId="9" fontId="3" fillId="0" borderId="0" xfId="2" applyFont="1" applyProtection="1">
      <protection locked="0"/>
    </xf>
    <xf numFmtId="165" fontId="6" fillId="0" borderId="0" xfId="1" applyNumberFormat="1" applyFont="1" applyBorder="1" applyAlignment="1" applyProtection="1">
      <alignment horizontal="center"/>
      <protection locked="0"/>
    </xf>
    <xf numFmtId="172" fontId="10" fillId="0" borderId="0" xfId="2" applyNumberFormat="1" applyFont="1" applyAlignment="1" applyProtection="1">
      <alignment horizontal="center"/>
      <protection locked="0"/>
    </xf>
    <xf numFmtId="39" fontId="11" fillId="0" borderId="0" xfId="0" applyNumberFormat="1" applyFont="1" applyAlignment="1" applyProtection="1">
      <alignment horizontal="center"/>
      <protection locked="0"/>
    </xf>
    <xf numFmtId="165" fontId="11" fillId="0" borderId="0" xfId="1" applyNumberFormat="1" applyFont="1" applyProtection="1">
      <protection locked="0"/>
    </xf>
    <xf numFmtId="172" fontId="3" fillId="0" borderId="0" xfId="2" applyNumberFormat="1" applyFont="1" applyAlignment="1" applyProtection="1">
      <alignment horizontal="center"/>
      <protection locked="0"/>
    </xf>
    <xf numFmtId="39" fontId="3" fillId="0" borderId="0" xfId="1" applyNumberFormat="1" applyFont="1" applyAlignment="1" applyProtection="1">
      <alignment horizontal="center"/>
      <protection locked="0"/>
    </xf>
    <xf numFmtId="167" fontId="6" fillId="0" borderId="0" xfId="2" applyNumberFormat="1" applyFont="1" applyProtection="1">
      <protection locked="0"/>
    </xf>
    <xf numFmtId="9" fontId="3" fillId="0" borderId="0" xfId="2" applyFont="1" applyBorder="1" applyAlignment="1" applyProtection="1">
      <alignment horizontal="center"/>
      <protection locked="0"/>
    </xf>
    <xf numFmtId="165" fontId="3" fillId="0" borderId="0" xfId="1" applyNumberFormat="1" applyFont="1" applyBorder="1" applyAlignment="1" applyProtection="1">
      <alignment horizontal="right"/>
      <protection locked="0"/>
    </xf>
    <xf numFmtId="9" fontId="3" fillId="0" borderId="0" xfId="2" applyFont="1" applyBorder="1" applyAlignment="1" applyProtection="1">
      <alignment horizontal="right"/>
      <protection locked="0"/>
    </xf>
    <xf numFmtId="165" fontId="3" fillId="0" borderId="0" xfId="1" applyNumberFormat="1" applyFont="1" applyBorder="1" applyAlignment="1" applyProtection="1">
      <alignment horizontal="left"/>
      <protection locked="0"/>
    </xf>
    <xf numFmtId="9" fontId="3" fillId="0" borderId="0" xfId="2" applyFont="1" applyAlignment="1" applyProtection="1">
      <alignment horizontal="center"/>
      <protection locked="0"/>
    </xf>
    <xf numFmtId="165" fontId="3" fillId="0" borderId="0" xfId="1" applyNumberFormat="1" applyFont="1" applyAlignment="1" applyProtection="1">
      <alignment horizontal="right"/>
      <protection locked="0"/>
    </xf>
    <xf numFmtId="0" fontId="16" fillId="0" borderId="0" xfId="0" applyFont="1" applyProtection="1">
      <protection locked="0"/>
    </xf>
    <xf numFmtId="165" fontId="4" fillId="0" borderId="0" xfId="1" applyNumberFormat="1" applyFont="1" applyAlignment="1" applyProtection="1">
      <protection locked="0"/>
    </xf>
    <xf numFmtId="165" fontId="7" fillId="0" borderId="0" xfId="1" applyNumberFormat="1" applyFont="1" applyAlignment="1" applyProtection="1">
      <alignment horizontal="right"/>
      <protection locked="0"/>
    </xf>
    <xf numFmtId="165" fontId="11" fillId="0" borderId="0" xfId="1" applyNumberFormat="1" applyFont="1" applyFill="1" applyProtection="1">
      <protection locked="0"/>
    </xf>
    <xf numFmtId="165" fontId="10" fillId="0" borderId="0" xfId="1" applyNumberFormat="1" applyFont="1" applyFill="1" applyProtection="1">
      <protection locked="0"/>
    </xf>
    <xf numFmtId="165" fontId="3" fillId="0" borderId="0" xfId="1" applyNumberFormat="1" applyFont="1" applyFill="1" applyBorder="1" applyProtection="1">
      <protection locked="0"/>
    </xf>
    <xf numFmtId="165" fontId="3" fillId="0" borderId="0" xfId="1" applyNumberFormat="1" applyFont="1" applyFill="1" applyBorder="1" applyAlignment="1" applyProtection="1">
      <alignment horizontal="center"/>
      <protection locked="0"/>
    </xf>
    <xf numFmtId="9" fontId="6" fillId="0" borderId="0" xfId="2" applyFont="1" applyFill="1" applyBorder="1" applyProtection="1">
      <protection locked="0"/>
    </xf>
    <xf numFmtId="10" fontId="3" fillId="0" borderId="0" xfId="2" applyNumberFormat="1" applyFont="1" applyFill="1" applyBorder="1" applyProtection="1">
      <protection locked="0"/>
    </xf>
    <xf numFmtId="165" fontId="6" fillId="0" borderId="2" xfId="1" applyNumberFormat="1" applyFont="1" applyBorder="1" applyProtection="1">
      <protection locked="0"/>
    </xf>
    <xf numFmtId="165" fontId="6" fillId="0" borderId="2" xfId="1" applyNumberFormat="1" applyFont="1" applyBorder="1" applyAlignment="1" applyProtection="1">
      <alignment horizontal="center"/>
      <protection locked="0"/>
    </xf>
    <xf numFmtId="165" fontId="8" fillId="0" borderId="2" xfId="1" applyNumberFormat="1" applyFont="1" applyFill="1" applyBorder="1" applyProtection="1">
      <protection locked="0"/>
    </xf>
    <xf numFmtId="165" fontId="3" fillId="0" borderId="0" xfId="1" applyNumberFormat="1" applyFont="1" applyBorder="1" applyAlignment="1" applyProtection="1">
      <alignment horizontal="center"/>
      <protection locked="0"/>
    </xf>
    <xf numFmtId="167" fontId="11" fillId="0" borderId="0" xfId="2" applyNumberFormat="1" applyFont="1" applyFill="1" applyBorder="1" applyProtection="1">
      <protection locked="0"/>
    </xf>
    <xf numFmtId="167" fontId="10" fillId="0" borderId="0" xfId="2" applyNumberFormat="1" applyFont="1" applyFill="1" applyBorder="1" applyProtection="1">
      <protection locked="0"/>
    </xf>
    <xf numFmtId="165" fontId="11" fillId="0" borderId="0" xfId="1" applyNumberFormat="1" applyFont="1" applyFill="1" applyBorder="1" applyProtection="1">
      <protection locked="0"/>
    </xf>
    <xf numFmtId="165" fontId="10" fillId="0" borderId="0" xfId="1" applyNumberFormat="1" applyFont="1" applyFill="1" applyBorder="1" applyProtection="1">
      <protection locked="0"/>
    </xf>
    <xf numFmtId="165" fontId="7" fillId="0" borderId="0" xfId="1" applyNumberFormat="1" applyFont="1" applyBorder="1" applyProtection="1">
      <protection locked="0"/>
    </xf>
    <xf numFmtId="165" fontId="7" fillId="0" borderId="0" xfId="1" applyNumberFormat="1" applyFont="1" applyBorder="1" applyAlignment="1" applyProtection="1">
      <alignment horizontal="center"/>
      <protection locked="0"/>
    </xf>
    <xf numFmtId="9" fontId="10" fillId="0" borderId="0" xfId="2" applyFont="1" applyFill="1" applyAlignment="1" applyProtection="1">
      <alignment horizontal="center"/>
      <protection locked="0"/>
    </xf>
    <xf numFmtId="165" fontId="6" fillId="0" borderId="0" xfId="1" applyNumberFormat="1" applyFont="1" applyBorder="1" applyProtection="1">
      <protection locked="0"/>
    </xf>
    <xf numFmtId="165" fontId="9" fillId="0" borderId="0" xfId="1" applyNumberFormat="1" applyFont="1" applyBorder="1" applyProtection="1">
      <protection locked="0"/>
    </xf>
    <xf numFmtId="165" fontId="8" fillId="0" borderId="0" xfId="1" applyNumberFormat="1" applyFont="1" applyBorder="1" applyProtection="1">
      <protection locked="0"/>
    </xf>
    <xf numFmtId="165" fontId="6" fillId="0" borderId="0" xfId="1" applyNumberFormat="1" applyFont="1" applyAlignment="1" applyProtection="1">
      <alignment horizontal="center"/>
      <protection locked="0"/>
    </xf>
    <xf numFmtId="165" fontId="9" fillId="0" borderId="0" xfId="1" applyNumberFormat="1" applyFont="1" applyProtection="1">
      <protection locked="0"/>
    </xf>
    <xf numFmtId="165" fontId="10" fillId="0" borderId="0" xfId="1" applyNumberFormat="1" applyFont="1" applyBorder="1" applyProtection="1">
      <protection locked="0"/>
    </xf>
    <xf numFmtId="165" fontId="8" fillId="0" borderId="2" xfId="1" applyNumberFormat="1" applyFont="1" applyBorder="1" applyProtection="1">
      <protection locked="0"/>
    </xf>
    <xf numFmtId="9" fontId="9" fillId="0" borderId="0" xfId="2" applyFont="1" applyBorder="1" applyProtection="1">
      <protection locked="0"/>
    </xf>
    <xf numFmtId="165" fontId="3" fillId="0" borderId="1" xfId="1" applyNumberFormat="1" applyFont="1" applyBorder="1" applyProtection="1">
      <protection locked="0"/>
    </xf>
    <xf numFmtId="165" fontId="3" fillId="0" borderId="1" xfId="1" applyNumberFormat="1" applyFont="1" applyBorder="1" applyAlignment="1" applyProtection="1">
      <alignment horizontal="center"/>
      <protection locked="0"/>
    </xf>
    <xf numFmtId="165" fontId="10" fillId="0" borderId="1" xfId="1" applyNumberFormat="1" applyFont="1" applyBorder="1" applyProtection="1">
      <protection locked="0"/>
    </xf>
    <xf numFmtId="165" fontId="11" fillId="0" borderId="1" xfId="1" applyNumberFormat="1" applyFont="1" applyBorder="1" applyProtection="1">
      <protection locked="0"/>
    </xf>
    <xf numFmtId="169" fontId="3" fillId="0" borderId="0" xfId="1" applyNumberFormat="1" applyFont="1" applyFill="1" applyProtection="1">
      <protection locked="0"/>
    </xf>
    <xf numFmtId="165" fontId="6" fillId="0" borderId="4" xfId="1" applyNumberFormat="1" applyFont="1" applyBorder="1" applyProtection="1">
      <protection locked="0"/>
    </xf>
    <xf numFmtId="165" fontId="6" fillId="0" borderId="4" xfId="1" applyNumberFormat="1" applyFont="1" applyBorder="1" applyAlignment="1" applyProtection="1">
      <alignment horizontal="center"/>
      <protection locked="0"/>
    </xf>
    <xf numFmtId="165" fontId="8" fillId="0" borderId="4" xfId="1" applyNumberFormat="1" applyFont="1" applyBorder="1" applyProtection="1">
      <protection locked="0"/>
    </xf>
    <xf numFmtId="0" fontId="0" fillId="0" borderId="0" xfId="0" applyProtection="1">
      <protection locked="0"/>
    </xf>
    <xf numFmtId="168" fontId="3" fillId="0" borderId="0" xfId="1" applyNumberFormat="1" applyFont="1" applyProtection="1">
      <protection locked="0"/>
    </xf>
    <xf numFmtId="165" fontId="6" fillId="0" borderId="3" xfId="1" applyNumberFormat="1" applyFont="1" applyBorder="1" applyProtection="1">
      <protection locked="0"/>
    </xf>
    <xf numFmtId="165" fontId="6" fillId="0" borderId="3" xfId="1" applyNumberFormat="1" applyFont="1" applyBorder="1" applyAlignment="1" applyProtection="1">
      <alignment horizontal="center"/>
      <protection locked="0"/>
    </xf>
    <xf numFmtId="165" fontId="8" fillId="0" borderId="3" xfId="1" applyNumberFormat="1" applyFont="1" applyBorder="1" applyProtection="1">
      <protection locked="0"/>
    </xf>
    <xf numFmtId="165" fontId="7" fillId="0" borderId="0" xfId="1" applyNumberFormat="1" applyFont="1" applyProtection="1">
      <protection locked="0"/>
    </xf>
    <xf numFmtId="166" fontId="7" fillId="0" borderId="0" xfId="1" applyNumberFormat="1" applyFont="1" applyProtection="1">
      <protection locked="0"/>
    </xf>
    <xf numFmtId="166" fontId="7" fillId="0" borderId="0" xfId="1" applyNumberFormat="1" applyFont="1" applyAlignment="1" applyProtection="1">
      <alignment horizontal="center"/>
      <protection locked="0"/>
    </xf>
    <xf numFmtId="165" fontId="3" fillId="0" borderId="2" xfId="1" applyNumberFormat="1" applyFont="1" applyBorder="1" applyAlignment="1" applyProtection="1">
      <alignment horizontal="center"/>
      <protection locked="0"/>
    </xf>
    <xf numFmtId="165" fontId="11" fillId="0" borderId="0" xfId="1" applyNumberFormat="1" applyFont="1" applyBorder="1" applyProtection="1">
      <protection locked="0"/>
    </xf>
    <xf numFmtId="165" fontId="11" fillId="0" borderId="2" xfId="1" applyNumberFormat="1" applyFont="1" applyBorder="1" applyProtection="1">
      <protection locked="0"/>
    </xf>
    <xf numFmtId="165" fontId="8" fillId="0" borderId="0" xfId="1" applyNumberFormat="1" applyFont="1" applyProtection="1">
      <protection locked="0"/>
    </xf>
    <xf numFmtId="165" fontId="10" fillId="0" borderId="2" xfId="1" applyNumberFormat="1" applyFont="1" applyBorder="1" applyProtection="1">
      <protection locked="0"/>
    </xf>
    <xf numFmtId="9" fontId="10" fillId="0" borderId="2" xfId="2" applyFont="1" applyBorder="1" applyAlignment="1" applyProtection="1">
      <alignment horizontal="right"/>
      <protection locked="0"/>
    </xf>
    <xf numFmtId="9" fontId="10" fillId="0" borderId="0" xfId="2" applyFont="1" applyAlignment="1" applyProtection="1">
      <alignment horizontal="right"/>
      <protection locked="0"/>
    </xf>
    <xf numFmtId="14" fontId="10" fillId="0" borderId="0" xfId="1" applyNumberFormat="1" applyFont="1" applyProtection="1">
      <protection locked="0"/>
    </xf>
    <xf numFmtId="164" fontId="10" fillId="0" borderId="0" xfId="1" applyFont="1" applyAlignment="1" applyProtection="1">
      <alignment horizontal="right"/>
      <protection locked="0"/>
    </xf>
    <xf numFmtId="168" fontId="10" fillId="0" borderId="0" xfId="1" applyNumberFormat="1" applyFont="1" applyAlignment="1" applyProtection="1">
      <alignment horizontal="right"/>
      <protection locked="0"/>
    </xf>
    <xf numFmtId="165" fontId="6" fillId="0" borderId="0" xfId="1" applyNumberFormat="1" applyFont="1" applyFill="1" applyAlignment="1" applyProtection="1">
      <alignment horizontal="right"/>
      <protection locked="0"/>
    </xf>
    <xf numFmtId="0" fontId="6" fillId="0" borderId="0" xfId="1" applyNumberFormat="1" applyFont="1" applyFill="1" applyProtection="1">
      <protection locked="0"/>
    </xf>
    <xf numFmtId="14" fontId="7" fillId="0" borderId="2" xfId="1" applyNumberFormat="1" applyFont="1" applyBorder="1" applyProtection="1">
      <protection locked="0"/>
    </xf>
    <xf numFmtId="165" fontId="3" fillId="2" borderId="2" xfId="1" applyNumberFormat="1" applyFont="1" applyFill="1" applyBorder="1" applyProtection="1">
      <protection locked="0"/>
    </xf>
    <xf numFmtId="14" fontId="7" fillId="0" borderId="0" xfId="1" applyNumberFormat="1" applyFont="1" applyBorder="1" applyProtection="1">
      <protection locked="0"/>
    </xf>
    <xf numFmtId="169" fontId="3" fillId="0" borderId="2" xfId="1" applyNumberFormat="1" applyFont="1" applyBorder="1" applyProtection="1">
      <protection locked="0"/>
    </xf>
    <xf numFmtId="9" fontId="3" fillId="0" borderId="2" xfId="2" applyFont="1" applyBorder="1" applyProtection="1">
      <protection locked="0"/>
    </xf>
    <xf numFmtId="164" fontId="3" fillId="0" borderId="2" xfId="2" applyNumberFormat="1" applyFont="1" applyBorder="1" applyProtection="1">
      <protection locked="0"/>
    </xf>
    <xf numFmtId="164" fontId="3" fillId="0" borderId="0" xfId="1" applyFont="1" applyProtection="1">
      <protection locked="0"/>
    </xf>
    <xf numFmtId="171" fontId="6" fillId="0" borderId="0" xfId="1" applyNumberFormat="1" applyFont="1" applyProtection="1">
      <protection locked="0"/>
    </xf>
    <xf numFmtId="165" fontId="3" fillId="0" borderId="0" xfId="1" applyNumberFormat="1" applyFont="1" applyProtection="1"/>
    <xf numFmtId="165" fontId="11" fillId="0" borderId="2" xfId="1" applyNumberFormat="1" applyFont="1" applyBorder="1" applyProtection="1"/>
    <xf numFmtId="169" fontId="3" fillId="0" borderId="0" xfId="1" applyNumberFormat="1" applyFont="1" applyProtection="1"/>
    <xf numFmtId="43" fontId="3" fillId="0" borderId="0" xfId="1" applyNumberFormat="1" applyFont="1" applyProtection="1"/>
    <xf numFmtId="165" fontId="11" fillId="0" borderId="0" xfId="1" applyNumberFormat="1" applyFont="1" applyFill="1" applyProtection="1"/>
    <xf numFmtId="165" fontId="3" fillId="0" borderId="2" xfId="1" applyNumberFormat="1" applyFont="1" applyBorder="1" applyProtection="1"/>
    <xf numFmtId="165" fontId="14" fillId="4" borderId="0" xfId="1" applyNumberFormat="1" applyFont="1" applyFill="1" applyAlignment="1" applyProtection="1">
      <alignment horizontal="centerContinuous"/>
      <protection locked="0"/>
    </xf>
    <xf numFmtId="165" fontId="12" fillId="4" borderId="0" xfId="1" applyNumberFormat="1" applyFont="1" applyFill="1" applyAlignment="1" applyProtection="1">
      <alignment horizontal="centerContinuous"/>
      <protection locked="0"/>
    </xf>
    <xf numFmtId="0" fontId="5" fillId="4" borderId="0" xfId="1" applyNumberFormat="1" applyFont="1" applyFill="1" applyAlignment="1" applyProtection="1">
      <protection locked="0"/>
    </xf>
    <xf numFmtId="165" fontId="14" fillId="5" borderId="0" xfId="1" applyNumberFormat="1" applyFont="1" applyFill="1" applyAlignment="1" applyProtection="1">
      <alignment horizontal="centerContinuous"/>
      <protection locked="0"/>
    </xf>
    <xf numFmtId="165" fontId="12" fillId="5" borderId="0" xfId="1" applyNumberFormat="1" applyFont="1" applyFill="1" applyAlignment="1" applyProtection="1">
      <alignment horizontal="centerContinuous"/>
      <protection locked="0"/>
    </xf>
    <xf numFmtId="0" fontId="5" fillId="5" borderId="0" xfId="1" applyNumberFormat="1" applyFont="1" applyFill="1" applyAlignment="1" applyProtection="1">
      <protection locked="0"/>
    </xf>
    <xf numFmtId="165" fontId="15" fillId="6" borderId="0" xfId="3" applyNumberFormat="1" applyFont="1" applyFill="1" applyBorder="1" applyProtection="1">
      <protection locked="0"/>
    </xf>
    <xf numFmtId="0" fontId="1" fillId="6" borderId="0" xfId="5" applyFont="1" applyFill="1"/>
    <xf numFmtId="0" fontId="1" fillId="0" borderId="0" xfId="5" applyFont="1" applyFill="1" applyBorder="1"/>
    <xf numFmtId="0" fontId="19" fillId="0" borderId="0" xfId="5" applyFont="1" applyFill="1" applyBorder="1" applyProtection="1">
      <protection locked="0"/>
    </xf>
    <xf numFmtId="0" fontId="17" fillId="0" borderId="0" xfId="5" applyFont="1" applyFill="1" applyBorder="1" applyAlignment="1">
      <alignment horizontal="right"/>
    </xf>
    <xf numFmtId="0" fontId="1" fillId="0" borderId="0" xfId="5" applyFont="1" applyFill="1" applyBorder="1" applyProtection="1">
      <protection locked="0"/>
    </xf>
    <xf numFmtId="0" fontId="17" fillId="0" borderId="0" xfId="5" applyFont="1" applyFill="1" applyBorder="1" applyProtection="1">
      <protection locked="0"/>
    </xf>
    <xf numFmtId="0" fontId="21" fillId="0" borderId="0" xfId="6" applyFont="1" applyFill="1" applyBorder="1" applyProtection="1">
      <protection locked="0"/>
    </xf>
    <xf numFmtId="0" fontId="23" fillId="0" borderId="2" xfId="4" applyFont="1" applyFill="1" applyBorder="1" applyProtection="1">
      <protection locked="0"/>
    </xf>
    <xf numFmtId="0" fontId="23" fillId="0" borderId="0" xfId="4" applyFont="1" applyFill="1" applyBorder="1" applyProtection="1">
      <protection locked="0"/>
    </xf>
    <xf numFmtId="165" fontId="14" fillId="5" borderId="0" xfId="1" applyNumberFormat="1" applyFont="1" applyFill="1" applyBorder="1" applyProtection="1">
      <protection locked="0"/>
    </xf>
    <xf numFmtId="165" fontId="12" fillId="5" borderId="0" xfId="1" applyNumberFormat="1" applyFont="1" applyFill="1" applyBorder="1" applyProtection="1">
      <protection locked="0"/>
    </xf>
    <xf numFmtId="0" fontId="14" fillId="5" borderId="0" xfId="0" applyFont="1" applyFill="1" applyBorder="1" applyProtection="1">
      <protection locked="0"/>
    </xf>
    <xf numFmtId="0" fontId="12" fillId="5" borderId="0" xfId="0" applyFont="1" applyFill="1" applyBorder="1" applyProtection="1">
      <protection locked="0"/>
    </xf>
    <xf numFmtId="167" fontId="14" fillId="5" borderId="0" xfId="2" applyNumberFormat="1" applyFont="1" applyFill="1" applyBorder="1" applyProtection="1">
      <protection locked="0"/>
    </xf>
    <xf numFmtId="9" fontId="14" fillId="5" borderId="0" xfId="2" quotePrefix="1" applyFont="1" applyFill="1" applyBorder="1" applyAlignment="1" applyProtection="1">
      <alignment horizontal="center"/>
      <protection locked="0"/>
    </xf>
    <xf numFmtId="165" fontId="14" fillId="5" borderId="0" xfId="1" applyNumberFormat="1" applyFont="1" applyFill="1" applyBorder="1" applyAlignment="1" applyProtection="1">
      <alignment horizontal="right"/>
      <protection locked="0"/>
    </xf>
    <xf numFmtId="167" fontId="14" fillId="5" borderId="0" xfId="2" applyNumberFormat="1" applyFont="1" applyFill="1" applyBorder="1" applyAlignment="1" applyProtection="1">
      <alignment horizontal="right"/>
      <protection locked="0"/>
    </xf>
    <xf numFmtId="0" fontId="14" fillId="5" borderId="0" xfId="0" applyFont="1" applyFill="1" applyBorder="1" applyAlignment="1" applyProtection="1">
      <alignment horizontal="left"/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4" fillId="5" borderId="0" xfId="0" applyFont="1" applyFill="1" applyBorder="1" applyAlignment="1" applyProtection="1">
      <alignment horizontal="right"/>
      <protection locked="0"/>
    </xf>
    <xf numFmtId="167" fontId="14" fillId="5" borderId="0" xfId="2" applyNumberFormat="1" applyFont="1" applyFill="1" applyBorder="1" applyAlignment="1" applyProtection="1">
      <alignment horizontal="centerContinuous"/>
      <protection locked="0"/>
    </xf>
    <xf numFmtId="171" fontId="3" fillId="7" borderId="0" xfId="1" applyNumberFormat="1" applyFont="1" applyFill="1" applyBorder="1" applyProtection="1">
      <protection locked="0"/>
    </xf>
    <xf numFmtId="171" fontId="3" fillId="2" borderId="0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0" fontId="1" fillId="0" borderId="0" xfId="7" applyFont="1" applyFill="1" applyBorder="1"/>
    <xf numFmtId="0" fontId="1" fillId="0" borderId="2" xfId="7" applyFont="1" applyFill="1" applyBorder="1"/>
    <xf numFmtId="0" fontId="22" fillId="0" borderId="0" xfId="8" applyFont="1" applyFill="1" applyBorder="1"/>
    <xf numFmtId="0" fontId="25" fillId="4" borderId="0" xfId="7" applyFont="1" applyFill="1" applyBorder="1"/>
    <xf numFmtId="0" fontId="1" fillId="4" borderId="0" xfId="7" applyFont="1" applyFill="1" applyBorder="1"/>
    <xf numFmtId="0" fontId="1" fillId="8" borderId="0" xfId="7" applyFont="1" applyFill="1"/>
    <xf numFmtId="0" fontId="25" fillId="4" borderId="0" xfId="7" applyFont="1" applyFill="1"/>
    <xf numFmtId="165" fontId="7" fillId="0" borderId="0" xfId="1" applyNumberFormat="1" applyFont="1" applyFill="1" applyBorder="1" applyAlignment="1" applyProtection="1">
      <alignment horizontal="right"/>
      <protection locked="0"/>
    </xf>
    <xf numFmtId="7" fontId="7" fillId="0" borderId="0" xfId="1" applyNumberFormat="1" applyFont="1" applyFill="1" applyBorder="1" applyAlignment="1" applyProtection="1">
      <alignment horizontal="right"/>
      <protection locked="0"/>
    </xf>
    <xf numFmtId="0" fontId="0" fillId="0" borderId="0" xfId="0" applyBorder="1"/>
    <xf numFmtId="0" fontId="24" fillId="0" borderId="0" xfId="0" applyFont="1" applyBorder="1"/>
    <xf numFmtId="165" fontId="13" fillId="0" borderId="0" xfId="1" applyNumberFormat="1" applyFont="1" applyFill="1" applyProtection="1">
      <protection locked="0"/>
    </xf>
    <xf numFmtId="165" fontId="3" fillId="0" borderId="0" xfId="1" applyNumberFormat="1" applyFont="1" applyFill="1" applyAlignment="1" applyProtection="1">
      <alignment horizontal="center"/>
      <protection locked="0"/>
    </xf>
    <xf numFmtId="165" fontId="15" fillId="0" borderId="0" xfId="1" applyNumberFormat="1" applyFont="1" applyFill="1" applyAlignment="1" applyProtection="1">
      <protection locked="0"/>
    </xf>
    <xf numFmtId="165" fontId="5" fillId="0" borderId="0" xfId="1" applyNumberFormat="1" applyFont="1" applyFill="1" applyAlignment="1" applyProtection="1">
      <protection locked="0"/>
    </xf>
    <xf numFmtId="165" fontId="5" fillId="0" borderId="0" xfId="1" applyNumberFormat="1" applyFont="1" applyFill="1" applyAlignment="1" applyProtection="1">
      <alignment horizontal="center"/>
      <protection locked="0"/>
    </xf>
    <xf numFmtId="0" fontId="24" fillId="0" borderId="0" xfId="0" applyFont="1"/>
    <xf numFmtId="1" fontId="10" fillId="0" borderId="0" xfId="2" applyNumberFormat="1" applyFont="1" applyFill="1" applyBorder="1" applyProtection="1">
      <protection locked="0"/>
    </xf>
    <xf numFmtId="165" fontId="7" fillId="0" borderId="7" xfId="1" applyNumberFormat="1" applyFont="1" applyFill="1" applyBorder="1" applyAlignment="1" applyProtection="1">
      <alignment horizontal="right"/>
      <protection locked="0"/>
    </xf>
    <xf numFmtId="165" fontId="3" fillId="7" borderId="8" xfId="1" applyNumberFormat="1" applyFont="1" applyFill="1" applyBorder="1" applyProtection="1">
      <protection locked="0"/>
    </xf>
    <xf numFmtId="165" fontId="7" fillId="0" borderId="0" xfId="1" applyNumberFormat="1" applyFont="1" applyFill="1" applyBorder="1" applyProtection="1">
      <protection locked="0"/>
    </xf>
    <xf numFmtId="7" fontId="3" fillId="0" borderId="0" xfId="1" applyNumberFormat="1" applyFont="1" applyFill="1" applyBorder="1" applyProtection="1">
      <protection locked="0"/>
    </xf>
    <xf numFmtId="165" fontId="15" fillId="8" borderId="0" xfId="3" applyNumberFormat="1" applyFont="1" applyFill="1" applyBorder="1" applyProtection="1">
      <protection locked="0"/>
    </xf>
    <xf numFmtId="165" fontId="3" fillId="8" borderId="0" xfId="1" applyNumberFormat="1" applyFont="1" applyFill="1" applyProtection="1">
      <protection locked="0"/>
    </xf>
    <xf numFmtId="165" fontId="26" fillId="8" borderId="0" xfId="3" applyNumberFormat="1" applyFont="1" applyFill="1" applyBorder="1" applyProtection="1">
      <protection locked="0"/>
    </xf>
    <xf numFmtId="171" fontId="11" fillId="0" borderId="0" xfId="0" applyNumberFormat="1" applyFont="1" applyProtection="1">
      <protection locked="0"/>
    </xf>
    <xf numFmtId="170" fontId="10" fillId="9" borderId="0" xfId="1" applyNumberFormat="1" applyFont="1" applyFill="1" applyAlignment="1" applyProtection="1">
      <alignment horizontal="right"/>
      <protection locked="0"/>
    </xf>
    <xf numFmtId="167" fontId="10" fillId="9" borderId="2" xfId="2" applyNumberFormat="1" applyFont="1" applyFill="1" applyBorder="1" applyProtection="1">
      <protection locked="0"/>
    </xf>
    <xf numFmtId="171" fontId="27" fillId="0" borderId="0" xfId="1" applyNumberFormat="1" applyFont="1" applyProtection="1">
      <protection locked="0"/>
    </xf>
    <xf numFmtId="165" fontId="28" fillId="10" borderId="7" xfId="1" applyNumberFormat="1" applyFont="1" applyFill="1" applyBorder="1" applyAlignment="1" applyProtection="1">
      <alignment horizontal="right"/>
      <protection locked="0"/>
    </xf>
    <xf numFmtId="165" fontId="29" fillId="10" borderId="0" xfId="1" applyNumberFormat="1" applyFont="1" applyFill="1" applyProtection="1">
      <protection locked="0"/>
    </xf>
    <xf numFmtId="165" fontId="28" fillId="10" borderId="7" xfId="1" applyNumberFormat="1" applyFont="1" applyFill="1" applyBorder="1" applyAlignment="1" applyProtection="1">
      <alignment horizontal="left"/>
      <protection locked="0"/>
    </xf>
    <xf numFmtId="165" fontId="30" fillId="10" borderId="0" xfId="1" applyNumberFormat="1" applyFont="1" applyFill="1" applyProtection="1">
      <protection locked="0"/>
    </xf>
  </cellXfs>
  <cellStyles count="9">
    <cellStyle name="Comma" xfId="1" builtinId="3"/>
    <cellStyle name="Comma 3" xfId="3" xr:uid="{E8278689-C658-4F6C-96F0-F602ADE096B3}"/>
    <cellStyle name="Hyperlink" xfId="4" builtinId="8"/>
    <cellStyle name="Hyperlink 2" xfId="6" xr:uid="{84650CAD-4978-45D6-812C-0F2494F66EA7}"/>
    <cellStyle name="Hyperlink 2 2" xfId="8" xr:uid="{FDBFB8DB-8D1E-4E75-A56E-6FD7E6D347FE}"/>
    <cellStyle name="Normal" xfId="0" builtinId="0"/>
    <cellStyle name="Normal 2" xfId="5" xr:uid="{BA70D887-E320-48E9-89B2-6E3D6AB9C8C3}"/>
    <cellStyle name="Normal 2 2" xfId="7" xr:uid="{1820F241-889A-47EB-8901-0E65BD9E4ED6}"/>
    <cellStyle name="Percent" xfId="2" builtinId="5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132E57"/>
      <color rgb="FF1E8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'DCF &amp; Sensitivity Model'!$J$221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'DCF &amp; Sensitivity Model'!$H$222:$H$225</c:f>
              <c:strCache>
                <c:ptCount val="4"/>
                <c:pt idx="0">
                  <c:v> Discount Rate </c:v>
                </c:pt>
                <c:pt idx="1">
                  <c:v> EV/EBITDA </c:v>
                </c:pt>
                <c:pt idx="2">
                  <c:v> COGS </c:v>
                </c:pt>
                <c:pt idx="3">
                  <c:v> Revenue </c:v>
                </c:pt>
              </c:strCache>
            </c:strRef>
          </c:cat>
          <c:val>
            <c:numRef>
              <c:f>'DCF &amp; Sensitivity Model'!$J$222:$J$225</c:f>
              <c:numCache>
                <c:formatCode>0%</c:formatCode>
                <c:ptCount val="4"/>
                <c:pt idx="0">
                  <c:v>-4.071295804624786E-2</c:v>
                </c:pt>
                <c:pt idx="1">
                  <c:v>6.6112422096584078E-2</c:v>
                </c:pt>
                <c:pt idx="2">
                  <c:v>-8.9457021208284582E-2</c:v>
                </c:pt>
                <c:pt idx="3">
                  <c:v>0.55861132402529945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B-4110-9DB1-0CA5F7B9B650}"/>
            </c:ext>
          </c:extLst>
        </c:ser>
        <c:ser>
          <c:idx val="1"/>
          <c:order val="1"/>
          <c:tx>
            <c:strRef>
              <c:f>'DCF &amp; Sensitivity Model'!$K$221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'DCF &amp; Sensitivity Model'!$H$222:$H$225</c:f>
              <c:strCache>
                <c:ptCount val="4"/>
                <c:pt idx="0">
                  <c:v> Discount Rate </c:v>
                </c:pt>
                <c:pt idx="1">
                  <c:v> EV/EBITDA </c:v>
                </c:pt>
                <c:pt idx="2">
                  <c:v> COGS </c:v>
                </c:pt>
                <c:pt idx="3">
                  <c:v> Revenue </c:v>
                </c:pt>
              </c:strCache>
            </c:strRef>
          </c:cat>
          <c:val>
            <c:numRef>
              <c:f>'DCF &amp; Sensitivity Model'!$K$222:$K$225</c:f>
              <c:numCache>
                <c:formatCode>0%</c:formatCode>
                <c:ptCount val="4"/>
                <c:pt idx="0">
                  <c:v>4.3344716322411214E-2</c:v>
                </c:pt>
                <c:pt idx="1">
                  <c:v>-6.6112422096583967E-2</c:v>
                </c:pt>
                <c:pt idx="2">
                  <c:v>8.9457021208284582E-2</c:v>
                </c:pt>
                <c:pt idx="3">
                  <c:v>-0.38398408234919601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B-4110-9DB1-0CA5F7B9B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21536944"/>
        <c:axId val="221540080"/>
      </c:barChart>
      <c:catAx>
        <c:axId val="22153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40080"/>
        <c:crosses val="autoZero"/>
        <c:auto val="1"/>
        <c:lblAlgn val="ctr"/>
        <c:lblOffset val="100"/>
        <c:noMultiLvlLbl val="0"/>
      </c:catAx>
      <c:valAx>
        <c:axId val="2215400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714375</xdr:colOff>
      <xdr:row>3</xdr:row>
      <xdr:rowOff>220208</xdr:rowOff>
    </xdr:from>
    <xdr:to>
      <xdr:col>4</xdr:col>
      <xdr:colOff>219710</xdr:colOff>
      <xdr:row>9</xdr:row>
      <xdr:rowOff>114299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26511-899E-4F55-A54A-A6141A305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725" y="963158"/>
          <a:ext cx="3076575" cy="13799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228</xdr:row>
      <xdr:rowOff>66675</xdr:rowOff>
    </xdr:from>
    <xdr:to>
      <xdr:col>8</xdr:col>
      <xdr:colOff>762000</xdr:colOff>
      <xdr:row>241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8F12-E4CB-4365-ACD6-E45CC9BFE880}">
  <dimension ref="B1:O46"/>
  <sheetViews>
    <sheetView showGridLines="0" topLeftCell="A7" zoomScaleNormal="100" workbookViewId="0"/>
  </sheetViews>
  <sheetFormatPr defaultColWidth="9.1796875" defaultRowHeight="14" x14ac:dyDescent="0.3"/>
  <cols>
    <col min="1" max="2" width="11" style="120" customWidth="1"/>
    <col min="3" max="3" width="29.1796875" style="120" customWidth="1"/>
    <col min="4" max="13" width="11" style="120" customWidth="1"/>
    <col min="14" max="14" width="13.36328125" style="120" customWidth="1"/>
    <col min="15" max="22" width="11" style="120" customWidth="1"/>
    <col min="23" max="25" width="9.1796875" style="120"/>
    <col min="26" max="26" width="9.1796875" style="120" customWidth="1"/>
    <col min="27" max="16384" width="9.1796875" style="120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</row>
    <row r="4" spans="2:15" ht="19.5" customHeight="1" x14ac:dyDescent="0.3"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</row>
    <row r="5" spans="2:15" ht="19.5" customHeight="1" x14ac:dyDescent="0.3"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</row>
    <row r="6" spans="2:15" ht="19.5" customHeight="1" x14ac:dyDescent="0.3"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</row>
    <row r="7" spans="2:15" ht="19.5" customHeight="1" x14ac:dyDescent="0.3"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</row>
    <row r="8" spans="2:15" ht="19.5" customHeight="1" x14ac:dyDescent="0.3"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</row>
    <row r="9" spans="2:15" ht="19.5" customHeight="1" x14ac:dyDescent="0.3"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</row>
    <row r="10" spans="2:15" ht="19.5" customHeight="1" x14ac:dyDescent="0.3"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</row>
    <row r="11" spans="2:15" ht="19.5" customHeight="1" x14ac:dyDescent="0.3"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</row>
    <row r="12" spans="2:15" ht="27" x14ac:dyDescent="0.5">
      <c r="B12" s="121"/>
      <c r="C12" s="122" t="s">
        <v>143</v>
      </c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3" t="s">
        <v>135</v>
      </c>
      <c r="O12" s="121"/>
    </row>
    <row r="13" spans="2:15" ht="19.5" customHeight="1" x14ac:dyDescent="0.3">
      <c r="B13" s="121"/>
      <c r="C13" s="124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</row>
    <row r="14" spans="2:15" ht="19.5" customHeight="1" x14ac:dyDescent="0.3">
      <c r="B14" s="121"/>
      <c r="C14" s="125" t="s">
        <v>136</v>
      </c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</row>
    <row r="15" spans="2:15" ht="19.5" customHeight="1" x14ac:dyDescent="0.35">
      <c r="B15" s="121"/>
      <c r="C15" s="127" t="s">
        <v>141</v>
      </c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</row>
    <row r="16" spans="2:15" ht="19.5" customHeight="1" x14ac:dyDescent="0.35">
      <c r="B16" s="121"/>
      <c r="C16" s="128" t="s">
        <v>142</v>
      </c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</row>
    <row r="17" spans="2:15" ht="19.5" customHeight="1" x14ac:dyDescent="0.3">
      <c r="B17" s="121"/>
      <c r="C17" s="126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</row>
    <row r="18" spans="2:15" ht="19.5" customHeight="1" x14ac:dyDescent="0.3">
      <c r="B18" s="121"/>
      <c r="C18" s="126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</row>
    <row r="19" spans="2:15" ht="19.5" customHeight="1" x14ac:dyDescent="0.3">
      <c r="B19" s="144"/>
      <c r="C19" s="144" t="s">
        <v>137</v>
      </c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</row>
    <row r="20" spans="2:15" ht="19.5" customHeight="1" x14ac:dyDescent="0.3">
      <c r="B20" s="144"/>
      <c r="C20" s="145" t="s">
        <v>138</v>
      </c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4"/>
    </row>
    <row r="21" spans="2:15" ht="19.5" customHeight="1" x14ac:dyDescent="0.3">
      <c r="B21" s="144"/>
      <c r="C21" s="144" t="s">
        <v>139</v>
      </c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</row>
    <row r="22" spans="2:15" ht="19.5" customHeight="1" x14ac:dyDescent="0.3">
      <c r="B22" s="144"/>
      <c r="C22" s="146" t="s">
        <v>140</v>
      </c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</row>
    <row r="23" spans="2:15" ht="19.5" customHeight="1" x14ac:dyDescent="0.3">
      <c r="B23" s="144"/>
      <c r="C23" s="146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</row>
    <row r="24" spans="2:15" ht="19.5" customHeight="1" x14ac:dyDescent="0.3">
      <c r="B24" s="144"/>
      <c r="C24" s="147" t="s">
        <v>149</v>
      </c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4"/>
    </row>
    <row r="25" spans="2:15" ht="19.5" customHeight="1" x14ac:dyDescent="0.3">
      <c r="B25" s="149"/>
      <c r="C25" s="150" t="s">
        <v>150</v>
      </c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49"/>
    </row>
    <row r="26" spans="2:15" ht="19.5" customHeight="1" x14ac:dyDescent="0.3">
      <c r="B26" s="149"/>
      <c r="C26" s="150" t="s">
        <v>151</v>
      </c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49"/>
    </row>
    <row r="27" spans="2:15" ht="19.5" customHeight="1" x14ac:dyDescent="0.3">
      <c r="B27" s="149"/>
      <c r="C27" s="150" t="s">
        <v>152</v>
      </c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49"/>
    </row>
    <row r="28" spans="2:15" ht="19.5" customHeight="1" x14ac:dyDescent="0.3">
      <c r="B28" s="149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49"/>
    </row>
    <row r="29" spans="2:15" ht="19.5" customHeight="1" x14ac:dyDescent="0.3">
      <c r="B29" s="149"/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</row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15" location="'DCF &amp; Sensitivity Model'!A1" display="DCF &amp; Sensitivity Model" xr:uid="{1EFC556B-C8F1-4867-8E2F-EE55105BBF96}"/>
    <hyperlink ref="C16" location="'Additional Assumptions'!A1" display="Additional Assumptions" xr:uid="{5B7CADF9-61CD-45CF-BDC5-3EE967D94BAC}"/>
    <hyperlink ref="C22" r:id="rId1" xr:uid="{B53F85B2-62C0-4F2D-AB0B-FDA3D8905595}"/>
  </hyperlinks>
  <pageMargins left="0.7" right="0.7" top="0.75" bottom="0.75" header="0.3" footer="0.3"/>
  <pageSetup scale="9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2"/>
  <sheetViews>
    <sheetView showGridLines="0" tabSelected="1" zoomScale="99" zoomScaleNormal="100" workbookViewId="0">
      <pane ySplit="4" topLeftCell="A220" activePane="bottomLeft" state="frozen"/>
      <selection pane="bottomLeft" activeCell="J223" sqref="J223"/>
    </sheetView>
  </sheetViews>
  <sheetFormatPr defaultColWidth="9.1796875" defaultRowHeight="15.5" outlineLevelRow="1" x14ac:dyDescent="0.35"/>
  <cols>
    <col min="1" max="1" width="12.81640625" style="9" customWidth="1"/>
    <col min="2" max="2" width="12.36328125" style="9" customWidth="1"/>
    <col min="3" max="3" width="11.1796875" style="12" customWidth="1"/>
    <col min="4" max="13" width="11.6328125" style="9" customWidth="1"/>
    <col min="14" max="16384" width="9.1796875" style="9"/>
  </cols>
  <sheetData>
    <row r="1" spans="1:16" x14ac:dyDescent="0.35">
      <c r="A1" s="155" t="s">
        <v>121</v>
      </c>
      <c r="B1" s="7"/>
      <c r="C1" s="156"/>
      <c r="D1" s="116" t="s">
        <v>56</v>
      </c>
      <c r="E1" s="117"/>
      <c r="F1" s="117"/>
      <c r="G1" s="117"/>
      <c r="H1" s="117"/>
      <c r="I1" s="113" t="s">
        <v>71</v>
      </c>
      <c r="J1" s="114"/>
      <c r="K1" s="114"/>
      <c r="L1" s="114"/>
      <c r="M1" s="114"/>
    </row>
    <row r="2" spans="1:16" ht="21" customHeight="1" x14ac:dyDescent="0.4">
      <c r="A2" s="157" t="s">
        <v>57</v>
      </c>
      <c r="B2" s="158"/>
      <c r="C2" s="159"/>
      <c r="D2" s="118">
        <v>2013</v>
      </c>
      <c r="E2" s="118">
        <f>+D2+1</f>
        <v>2014</v>
      </c>
      <c r="F2" s="118">
        <f t="shared" ref="F2:M2" si="0">+E2+1</f>
        <v>2015</v>
      </c>
      <c r="G2" s="118">
        <f t="shared" si="0"/>
        <v>2016</v>
      </c>
      <c r="H2" s="118">
        <f t="shared" si="0"/>
        <v>2017</v>
      </c>
      <c r="I2" s="115">
        <f t="shared" si="0"/>
        <v>2018</v>
      </c>
      <c r="J2" s="115">
        <f t="shared" si="0"/>
        <v>2019</v>
      </c>
      <c r="K2" s="115">
        <f t="shared" si="0"/>
        <v>2020</v>
      </c>
      <c r="L2" s="115">
        <f t="shared" si="0"/>
        <v>2021</v>
      </c>
      <c r="M2" s="115">
        <f t="shared" si="0"/>
        <v>2022</v>
      </c>
      <c r="N2" s="44"/>
      <c r="O2" s="44"/>
      <c r="P2" s="44"/>
    </row>
    <row r="3" spans="1:16" x14ac:dyDescent="0.35">
      <c r="A3" s="9" t="s">
        <v>72</v>
      </c>
      <c r="D3" s="45" t="str">
        <f t="shared" ref="D3:H3" si="1">IFERROR(IF(ABS(D105)&gt;1,"ERROR","OK"),"OK")</f>
        <v>OK</v>
      </c>
      <c r="E3" s="45" t="str">
        <f t="shared" si="1"/>
        <v>OK</v>
      </c>
      <c r="F3" s="45" t="str">
        <f t="shared" si="1"/>
        <v>OK</v>
      </c>
      <c r="G3" s="45" t="str">
        <f t="shared" si="1"/>
        <v>OK</v>
      </c>
      <c r="H3" s="45" t="str">
        <f t="shared" si="1"/>
        <v>OK</v>
      </c>
      <c r="I3" s="45" t="str">
        <f>IFERROR(IF(ABS(I105)&gt;1,"ERROR","OK"),"OK")</f>
        <v>OK</v>
      </c>
      <c r="J3" s="45" t="str">
        <f t="shared" ref="J3:M3" si="2">IFERROR(IF(ABS(J105)&gt;1,"ERROR","OK"),"OK")</f>
        <v>OK</v>
      </c>
      <c r="K3" s="45" t="str">
        <f t="shared" si="2"/>
        <v>OK</v>
      </c>
      <c r="L3" s="45" t="str">
        <f t="shared" si="2"/>
        <v>OK</v>
      </c>
      <c r="M3" s="45" t="str">
        <f t="shared" si="2"/>
        <v>OK</v>
      </c>
    </row>
    <row r="4" spans="1:16" x14ac:dyDescent="0.35">
      <c r="D4" s="45"/>
      <c r="E4" s="45"/>
      <c r="F4" s="45"/>
      <c r="G4" s="45"/>
      <c r="H4" s="151"/>
      <c r="I4" s="162"/>
      <c r="J4" s="173" t="s">
        <v>158</v>
      </c>
      <c r="K4" s="151"/>
      <c r="L4" s="152"/>
      <c r="M4" s="151"/>
    </row>
    <row r="5" spans="1:16" x14ac:dyDescent="0.35">
      <c r="H5" s="164" t="s">
        <v>154</v>
      </c>
      <c r="I5" s="163">
        <v>1</v>
      </c>
      <c r="J5" s="48"/>
      <c r="K5" s="164" t="s">
        <v>156</v>
      </c>
      <c r="L5" s="165">
        <f>C197</f>
        <v>34.853540947822779</v>
      </c>
      <c r="M5" s="48"/>
    </row>
    <row r="6" spans="1:16" ht="20" x14ac:dyDescent="0.4">
      <c r="A6" s="119" t="s">
        <v>73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</row>
    <row r="7" spans="1:16" outlineLevel="1" x14ac:dyDescent="0.35">
      <c r="D7" s="46"/>
      <c r="E7" s="46"/>
      <c r="F7" s="46"/>
      <c r="G7" s="46"/>
      <c r="H7" s="46"/>
      <c r="I7" s="47"/>
      <c r="J7" s="47"/>
      <c r="K7" s="47"/>
      <c r="L7" s="47"/>
      <c r="M7" s="47"/>
    </row>
    <row r="8" spans="1:16" outlineLevel="1" x14ac:dyDescent="0.35">
      <c r="D8" s="46"/>
      <c r="E8" s="46"/>
      <c r="F8" s="46"/>
      <c r="G8" s="46"/>
      <c r="H8" s="46"/>
      <c r="I8" s="47"/>
      <c r="J8" s="47"/>
      <c r="K8" s="47"/>
      <c r="L8" s="47"/>
      <c r="M8" s="47"/>
    </row>
    <row r="9" spans="1:16" outlineLevel="1" x14ac:dyDescent="0.35">
      <c r="A9" s="11" t="s">
        <v>132</v>
      </c>
      <c r="B9" s="48"/>
      <c r="C9" s="49"/>
      <c r="D9" s="48"/>
      <c r="E9" s="48"/>
      <c r="F9" s="48"/>
      <c r="G9" s="48"/>
      <c r="H9" s="50"/>
      <c r="I9" s="51"/>
      <c r="J9" s="51"/>
      <c r="K9" s="51"/>
      <c r="L9" s="51"/>
      <c r="M9" s="51"/>
    </row>
    <row r="10" spans="1:16" outlineLevel="1" x14ac:dyDescent="0.35">
      <c r="A10" s="6" t="s">
        <v>62</v>
      </c>
      <c r="B10" s="52"/>
      <c r="C10" s="53"/>
      <c r="D10" s="54"/>
      <c r="E10" s="4"/>
      <c r="F10" s="4"/>
      <c r="G10" s="4"/>
      <c r="H10" s="4"/>
      <c r="I10" s="171">
        <v>0.1</v>
      </c>
      <c r="J10" s="3">
        <v>0.1</v>
      </c>
      <c r="K10" s="3">
        <v>0.1</v>
      </c>
      <c r="L10" s="3">
        <v>0.1</v>
      </c>
      <c r="M10" s="3">
        <v>0.1</v>
      </c>
    </row>
    <row r="11" spans="1:16" outlineLevel="1" x14ac:dyDescent="0.35">
      <c r="A11" s="8" t="s">
        <v>58</v>
      </c>
      <c r="B11" s="8"/>
      <c r="C11" s="55"/>
      <c r="D11" s="56"/>
      <c r="E11" s="56"/>
      <c r="F11" s="56"/>
      <c r="G11" s="56"/>
      <c r="H11" s="56"/>
      <c r="I11" s="57">
        <v>0.42</v>
      </c>
      <c r="J11" s="57">
        <v>0.47</v>
      </c>
      <c r="K11" s="57">
        <v>0.5</v>
      </c>
      <c r="L11" s="57">
        <v>0.36</v>
      </c>
      <c r="M11" s="57">
        <v>0.35</v>
      </c>
    </row>
    <row r="12" spans="1:16" outlineLevel="1" x14ac:dyDescent="0.35">
      <c r="A12" s="8" t="s">
        <v>59</v>
      </c>
      <c r="B12" s="8"/>
      <c r="C12" s="55"/>
      <c r="D12" s="56"/>
      <c r="E12" s="56"/>
      <c r="F12" s="56"/>
      <c r="G12" s="56"/>
      <c r="H12" s="56"/>
      <c r="I12" s="57">
        <v>0.17</v>
      </c>
      <c r="J12" s="57">
        <v>0.17</v>
      </c>
      <c r="K12" s="57">
        <v>0.17</v>
      </c>
      <c r="L12" s="57">
        <v>0.17</v>
      </c>
      <c r="M12" s="57">
        <v>0.17</v>
      </c>
    </row>
    <row r="13" spans="1:16" outlineLevel="1" x14ac:dyDescent="0.35">
      <c r="A13" s="8" t="s">
        <v>60</v>
      </c>
      <c r="B13" s="8"/>
      <c r="C13" s="55"/>
      <c r="D13" s="58"/>
      <c r="E13" s="58"/>
      <c r="F13" s="58"/>
      <c r="G13" s="58"/>
      <c r="H13" s="58"/>
      <c r="I13" s="59">
        <v>15000</v>
      </c>
      <c r="J13" s="59">
        <v>15000</v>
      </c>
      <c r="K13" s="59">
        <v>15000</v>
      </c>
      <c r="L13" s="59">
        <v>15000</v>
      </c>
      <c r="M13" s="59">
        <v>15000</v>
      </c>
    </row>
    <row r="14" spans="1:16" outlineLevel="1" x14ac:dyDescent="0.35">
      <c r="A14" s="8" t="s">
        <v>61</v>
      </c>
      <c r="B14" s="8"/>
      <c r="C14" s="55"/>
      <c r="D14" s="56"/>
      <c r="E14" s="56"/>
      <c r="F14" s="56"/>
      <c r="G14" s="56"/>
      <c r="H14" s="56"/>
      <c r="I14" s="57">
        <v>0.35</v>
      </c>
      <c r="J14" s="57">
        <v>0.35</v>
      </c>
      <c r="K14" s="57">
        <v>0.35</v>
      </c>
      <c r="L14" s="57">
        <v>0.35</v>
      </c>
      <c r="M14" s="57">
        <v>0.35</v>
      </c>
    </row>
    <row r="15" spans="1:16" outlineLevel="1" x14ac:dyDescent="0.35">
      <c r="A15" s="8" t="s">
        <v>63</v>
      </c>
      <c r="B15" s="8"/>
      <c r="C15" s="55"/>
      <c r="D15" s="56"/>
      <c r="E15" s="56"/>
      <c r="F15" s="56"/>
      <c r="G15" s="56"/>
      <c r="H15" s="56"/>
      <c r="I15" s="57">
        <v>0.1</v>
      </c>
      <c r="J15" s="57">
        <v>0.1</v>
      </c>
      <c r="K15" s="57">
        <v>0.1</v>
      </c>
      <c r="L15" s="57">
        <v>0.1</v>
      </c>
      <c r="M15" s="57">
        <v>0.1</v>
      </c>
    </row>
    <row r="16" spans="1:16" outlineLevel="1" x14ac:dyDescent="0.35">
      <c r="A16" s="8" t="s">
        <v>64</v>
      </c>
      <c r="B16" s="60"/>
      <c r="C16" s="61"/>
      <c r="D16" s="56"/>
      <c r="E16" s="56"/>
      <c r="F16" s="56"/>
      <c r="G16" s="56"/>
      <c r="H16" s="56"/>
      <c r="I16" s="57">
        <v>0.28000000000000003</v>
      </c>
      <c r="J16" s="57">
        <v>0.28000000000000003</v>
      </c>
      <c r="K16" s="57">
        <v>0.28000000000000003</v>
      </c>
      <c r="L16" s="57">
        <v>0.28000000000000003</v>
      </c>
      <c r="M16" s="57">
        <v>0.28000000000000003</v>
      </c>
    </row>
    <row r="17" spans="1:13" outlineLevel="1" x14ac:dyDescent="0.35">
      <c r="A17" s="9" t="s">
        <v>65</v>
      </c>
      <c r="C17" s="62"/>
      <c r="D17" s="46"/>
      <c r="E17" s="46"/>
      <c r="F17" s="46"/>
      <c r="G17" s="46"/>
      <c r="H17" s="46"/>
      <c r="I17" s="47">
        <v>18</v>
      </c>
      <c r="J17" s="47">
        <v>18</v>
      </c>
      <c r="K17" s="47">
        <v>18</v>
      </c>
      <c r="L17" s="47">
        <v>18</v>
      </c>
      <c r="M17" s="47">
        <v>18</v>
      </c>
    </row>
    <row r="18" spans="1:13" outlineLevel="1" x14ac:dyDescent="0.35">
      <c r="A18" s="9" t="s">
        <v>66</v>
      </c>
      <c r="C18" s="62"/>
      <c r="D18" s="46"/>
      <c r="E18" s="46"/>
      <c r="F18" s="46"/>
      <c r="G18" s="46"/>
      <c r="H18" s="46"/>
      <c r="I18" s="47">
        <v>80</v>
      </c>
      <c r="J18" s="47">
        <v>90</v>
      </c>
      <c r="K18" s="47">
        <v>100</v>
      </c>
      <c r="L18" s="47">
        <v>100</v>
      </c>
      <c r="M18" s="47">
        <v>100</v>
      </c>
    </row>
    <row r="19" spans="1:13" outlineLevel="1" x14ac:dyDescent="0.35">
      <c r="A19" s="9" t="s">
        <v>67</v>
      </c>
      <c r="C19" s="62"/>
      <c r="D19" s="46"/>
      <c r="E19" s="46"/>
      <c r="F19" s="46"/>
      <c r="G19" s="46"/>
      <c r="H19" s="46"/>
      <c r="I19" s="47">
        <v>37</v>
      </c>
      <c r="J19" s="47">
        <v>37</v>
      </c>
      <c r="K19" s="47">
        <v>37</v>
      </c>
      <c r="L19" s="47">
        <v>37</v>
      </c>
      <c r="M19" s="47">
        <v>37</v>
      </c>
    </row>
    <row r="20" spans="1:13" outlineLevel="1" x14ac:dyDescent="0.35">
      <c r="A20" s="9" t="s">
        <v>68</v>
      </c>
      <c r="D20" s="46"/>
      <c r="E20" s="46"/>
      <c r="F20" s="46"/>
      <c r="G20" s="46"/>
      <c r="H20" s="46"/>
      <c r="I20" s="47">
        <v>15000</v>
      </c>
      <c r="J20" s="47">
        <v>15000</v>
      </c>
      <c r="K20" s="47">
        <v>15000</v>
      </c>
      <c r="L20" s="47">
        <v>15000</v>
      </c>
      <c r="M20" s="47">
        <v>15000</v>
      </c>
    </row>
    <row r="21" spans="1:13" outlineLevel="1" x14ac:dyDescent="0.35">
      <c r="A21" s="9" t="s">
        <v>70</v>
      </c>
      <c r="D21" s="46"/>
      <c r="E21" s="46"/>
      <c r="F21" s="46"/>
      <c r="G21" s="46"/>
      <c r="H21" s="46"/>
      <c r="I21" s="47">
        <v>0</v>
      </c>
      <c r="J21" s="47">
        <v>0</v>
      </c>
      <c r="K21" s="47">
        <v>-20000</v>
      </c>
      <c r="L21" s="47">
        <v>0</v>
      </c>
      <c r="M21" s="47">
        <v>0</v>
      </c>
    </row>
    <row r="22" spans="1:13" outlineLevel="1" x14ac:dyDescent="0.35">
      <c r="A22" s="9" t="s">
        <v>69</v>
      </c>
      <c r="D22" s="46"/>
      <c r="E22" s="46"/>
      <c r="F22" s="46"/>
      <c r="G22" s="46"/>
      <c r="H22" s="46"/>
      <c r="I22" s="47">
        <v>0</v>
      </c>
      <c r="J22" s="47">
        <v>0</v>
      </c>
      <c r="K22" s="47">
        <v>0</v>
      </c>
      <c r="L22" s="47">
        <v>0</v>
      </c>
      <c r="M22" s="47">
        <v>0</v>
      </c>
    </row>
    <row r="23" spans="1:13" outlineLevel="1" x14ac:dyDescent="0.35">
      <c r="D23" s="46"/>
      <c r="E23" s="46"/>
      <c r="F23" s="46"/>
      <c r="G23" s="46"/>
      <c r="H23" s="46"/>
      <c r="I23" s="47"/>
      <c r="J23" s="47"/>
      <c r="K23" s="47"/>
      <c r="L23" s="47"/>
      <c r="M23" s="47"/>
    </row>
    <row r="24" spans="1:13" outlineLevel="1" x14ac:dyDescent="0.35">
      <c r="A24" s="11" t="s">
        <v>133</v>
      </c>
      <c r="B24" s="48"/>
      <c r="C24" s="49"/>
      <c r="D24" s="48"/>
      <c r="E24" s="48"/>
      <c r="F24" s="48"/>
      <c r="G24" s="48"/>
      <c r="H24" s="50"/>
      <c r="I24" s="51"/>
      <c r="J24" s="51"/>
      <c r="K24" s="51"/>
      <c r="L24" s="51"/>
      <c r="M24" s="51"/>
    </row>
    <row r="25" spans="1:13" outlineLevel="1" x14ac:dyDescent="0.35">
      <c r="A25" s="6" t="s">
        <v>62</v>
      </c>
      <c r="B25" s="52"/>
      <c r="C25" s="53"/>
      <c r="D25" s="54"/>
      <c r="E25" s="4"/>
      <c r="F25" s="4"/>
      <c r="G25" s="4"/>
      <c r="H25" s="4"/>
      <c r="I25" s="3">
        <v>0.05</v>
      </c>
      <c r="J25" s="3">
        <v>4.4999999999999998E-2</v>
      </c>
      <c r="K25" s="3">
        <v>0.04</v>
      </c>
      <c r="L25" s="3">
        <v>3.5000000000000003E-2</v>
      </c>
      <c r="M25" s="3">
        <v>0.03</v>
      </c>
    </row>
    <row r="26" spans="1:13" outlineLevel="1" x14ac:dyDescent="0.35">
      <c r="A26" s="8" t="s">
        <v>58</v>
      </c>
      <c r="B26" s="8"/>
      <c r="C26" s="55"/>
      <c r="D26" s="56"/>
      <c r="E26" s="56"/>
      <c r="F26" s="56"/>
      <c r="G26" s="56"/>
      <c r="H26" s="56"/>
      <c r="I26" s="57">
        <v>0.37</v>
      </c>
      <c r="J26" s="57">
        <v>0.37</v>
      </c>
      <c r="K26" s="57">
        <v>0.36</v>
      </c>
      <c r="L26" s="57">
        <v>0.36</v>
      </c>
      <c r="M26" s="57">
        <v>0.35</v>
      </c>
    </row>
    <row r="27" spans="1:13" outlineLevel="1" x14ac:dyDescent="0.35">
      <c r="A27" s="8" t="s">
        <v>59</v>
      </c>
      <c r="B27" s="8"/>
      <c r="C27" s="55"/>
      <c r="D27" s="56"/>
      <c r="E27" s="56"/>
      <c r="F27" s="56"/>
      <c r="G27" s="56"/>
      <c r="H27" s="56"/>
      <c r="I27" s="57">
        <v>0.18</v>
      </c>
      <c r="J27" s="57">
        <v>0.18</v>
      </c>
      <c r="K27" s="57">
        <v>0.18</v>
      </c>
      <c r="L27" s="57">
        <v>0.18</v>
      </c>
      <c r="M27" s="57">
        <v>0.18</v>
      </c>
    </row>
    <row r="28" spans="1:13" outlineLevel="1" x14ac:dyDescent="0.35">
      <c r="A28" s="8" t="s">
        <v>60</v>
      </c>
      <c r="B28" s="8"/>
      <c r="C28" s="55"/>
      <c r="D28" s="58"/>
      <c r="E28" s="58"/>
      <c r="F28" s="58"/>
      <c r="G28" s="58"/>
      <c r="H28" s="58"/>
      <c r="I28" s="59">
        <v>10000</v>
      </c>
      <c r="J28" s="59">
        <v>10000</v>
      </c>
      <c r="K28" s="59">
        <v>10000</v>
      </c>
      <c r="L28" s="59">
        <v>10000</v>
      </c>
      <c r="M28" s="59">
        <v>10000</v>
      </c>
    </row>
    <row r="29" spans="1:13" outlineLevel="1" x14ac:dyDescent="0.35">
      <c r="A29" s="8" t="s">
        <v>61</v>
      </c>
      <c r="B29" s="8"/>
      <c r="C29" s="55"/>
      <c r="D29" s="56"/>
      <c r="E29" s="56"/>
      <c r="F29" s="56"/>
      <c r="G29" s="56"/>
      <c r="H29" s="56"/>
      <c r="I29" s="57">
        <v>0.4</v>
      </c>
      <c r="J29" s="57">
        <v>0.4</v>
      </c>
      <c r="K29" s="57">
        <v>0.4</v>
      </c>
      <c r="L29" s="57">
        <v>0.4</v>
      </c>
      <c r="M29" s="57">
        <v>0.4</v>
      </c>
    </row>
    <row r="30" spans="1:13" outlineLevel="1" x14ac:dyDescent="0.35">
      <c r="A30" s="8" t="s">
        <v>63</v>
      </c>
      <c r="B30" s="8"/>
      <c r="C30" s="55"/>
      <c r="D30" s="56"/>
      <c r="E30" s="56"/>
      <c r="F30" s="56"/>
      <c r="G30" s="56"/>
      <c r="H30" s="56"/>
      <c r="I30" s="57">
        <v>0.05</v>
      </c>
      <c r="J30" s="57">
        <v>0.05</v>
      </c>
      <c r="K30" s="57">
        <v>0.05</v>
      </c>
      <c r="L30" s="57">
        <v>0.05</v>
      </c>
      <c r="M30" s="57">
        <v>0.05</v>
      </c>
    </row>
    <row r="31" spans="1:13" outlineLevel="1" x14ac:dyDescent="0.35">
      <c r="A31" s="8" t="s">
        <v>64</v>
      </c>
      <c r="B31" s="60"/>
      <c r="C31" s="61"/>
      <c r="D31" s="56"/>
      <c r="E31" s="56"/>
      <c r="F31" s="56"/>
      <c r="G31" s="56"/>
      <c r="H31" s="56"/>
      <c r="I31" s="57">
        <v>0.28000000000000003</v>
      </c>
      <c r="J31" s="57">
        <v>0.28000000000000003</v>
      </c>
      <c r="K31" s="57">
        <v>0.28000000000000003</v>
      </c>
      <c r="L31" s="57">
        <v>0.28000000000000003</v>
      </c>
      <c r="M31" s="57">
        <v>0.28000000000000003</v>
      </c>
    </row>
    <row r="32" spans="1:13" outlineLevel="1" x14ac:dyDescent="0.35">
      <c r="A32" s="9" t="s">
        <v>65</v>
      </c>
      <c r="C32" s="62"/>
      <c r="D32" s="46"/>
      <c r="E32" s="46"/>
      <c r="F32" s="46"/>
      <c r="G32" s="46"/>
      <c r="H32" s="46"/>
      <c r="I32" s="47">
        <v>18</v>
      </c>
      <c r="J32" s="47">
        <v>18</v>
      </c>
      <c r="K32" s="47">
        <v>18</v>
      </c>
      <c r="L32" s="47">
        <v>18</v>
      </c>
      <c r="M32" s="47">
        <v>18</v>
      </c>
    </row>
    <row r="33" spans="1:13" outlineLevel="1" x14ac:dyDescent="0.35">
      <c r="A33" s="9" t="s">
        <v>66</v>
      </c>
      <c r="C33" s="62"/>
      <c r="D33" s="46"/>
      <c r="E33" s="46"/>
      <c r="F33" s="46"/>
      <c r="G33" s="46"/>
      <c r="H33" s="46"/>
      <c r="I33" s="47">
        <v>73</v>
      </c>
      <c r="J33" s="47">
        <v>73</v>
      </c>
      <c r="K33" s="47">
        <v>73</v>
      </c>
      <c r="L33" s="47">
        <v>73</v>
      </c>
      <c r="M33" s="47">
        <v>73</v>
      </c>
    </row>
    <row r="34" spans="1:13" outlineLevel="1" x14ac:dyDescent="0.35">
      <c r="A34" s="9" t="s">
        <v>67</v>
      </c>
      <c r="C34" s="62"/>
      <c r="D34" s="46"/>
      <c r="E34" s="46"/>
      <c r="F34" s="46"/>
      <c r="G34" s="46"/>
      <c r="H34" s="46"/>
      <c r="I34" s="47">
        <v>37</v>
      </c>
      <c r="J34" s="47">
        <v>37</v>
      </c>
      <c r="K34" s="47">
        <v>37</v>
      </c>
      <c r="L34" s="47">
        <v>37</v>
      </c>
      <c r="M34" s="47">
        <v>37</v>
      </c>
    </row>
    <row r="35" spans="1:13" outlineLevel="1" x14ac:dyDescent="0.35">
      <c r="A35" s="9" t="s">
        <v>68</v>
      </c>
      <c r="D35" s="46"/>
      <c r="E35" s="46"/>
      <c r="F35" s="46"/>
      <c r="G35" s="46"/>
      <c r="H35" s="46"/>
      <c r="I35" s="47">
        <v>20000</v>
      </c>
      <c r="J35" s="47">
        <v>20000</v>
      </c>
      <c r="K35" s="47">
        <v>20000</v>
      </c>
      <c r="L35" s="47">
        <v>20000</v>
      </c>
      <c r="M35" s="47">
        <v>20000</v>
      </c>
    </row>
    <row r="36" spans="1:13" outlineLevel="1" x14ac:dyDescent="0.35">
      <c r="A36" s="9" t="s">
        <v>70</v>
      </c>
      <c r="D36" s="46"/>
      <c r="E36" s="46"/>
      <c r="F36" s="46"/>
      <c r="G36" s="46"/>
      <c r="H36" s="46"/>
      <c r="I36" s="47">
        <v>0</v>
      </c>
      <c r="J36" s="47">
        <v>0</v>
      </c>
      <c r="K36" s="47">
        <v>-20000</v>
      </c>
      <c r="L36" s="47">
        <v>0</v>
      </c>
      <c r="M36" s="47">
        <v>0</v>
      </c>
    </row>
    <row r="37" spans="1:13" outlineLevel="1" x14ac:dyDescent="0.35">
      <c r="A37" s="9" t="s">
        <v>69</v>
      </c>
      <c r="D37" s="46"/>
      <c r="E37" s="46"/>
      <c r="F37" s="46"/>
      <c r="G37" s="46"/>
      <c r="H37" s="46"/>
      <c r="I37" s="47">
        <v>0</v>
      </c>
      <c r="J37" s="47">
        <v>0</v>
      </c>
      <c r="K37" s="47">
        <v>0</v>
      </c>
      <c r="L37" s="47">
        <v>0</v>
      </c>
      <c r="M37" s="47">
        <v>0</v>
      </c>
    </row>
    <row r="38" spans="1:13" outlineLevel="1" x14ac:dyDescent="0.35">
      <c r="D38" s="46"/>
      <c r="E38" s="46"/>
      <c r="F38" s="46"/>
      <c r="G38" s="46"/>
      <c r="H38" s="46"/>
      <c r="I38" s="47"/>
      <c r="J38" s="47"/>
      <c r="K38" s="47"/>
      <c r="L38" s="47"/>
      <c r="M38" s="47"/>
    </row>
    <row r="39" spans="1:13" outlineLevel="1" x14ac:dyDescent="0.35">
      <c r="A39" s="11" t="s">
        <v>134</v>
      </c>
      <c r="B39" s="48"/>
      <c r="C39" s="49"/>
      <c r="D39" s="48"/>
      <c r="E39" s="48"/>
      <c r="F39" s="48"/>
      <c r="G39" s="48"/>
      <c r="H39" s="50"/>
      <c r="I39" s="51"/>
      <c r="J39" s="51"/>
      <c r="K39" s="51"/>
      <c r="L39" s="51"/>
      <c r="M39" s="51"/>
    </row>
    <row r="40" spans="1:13" outlineLevel="1" x14ac:dyDescent="0.35">
      <c r="A40" s="6" t="s">
        <v>62</v>
      </c>
      <c r="B40" s="52"/>
      <c r="C40" s="53"/>
      <c r="D40" s="54"/>
      <c r="E40" s="4"/>
      <c r="F40" s="4"/>
      <c r="G40" s="4"/>
      <c r="H40" s="4"/>
      <c r="I40" s="3">
        <v>0.12</v>
      </c>
      <c r="J40" s="3">
        <v>0.12</v>
      </c>
      <c r="K40" s="3">
        <v>0.12</v>
      </c>
      <c r="L40" s="3">
        <v>0.12</v>
      </c>
      <c r="M40" s="3">
        <v>0.12</v>
      </c>
    </row>
    <row r="41" spans="1:13" outlineLevel="1" x14ac:dyDescent="0.35">
      <c r="A41" s="8" t="s">
        <v>58</v>
      </c>
      <c r="B41" s="8"/>
      <c r="C41" s="55"/>
      <c r="D41" s="56"/>
      <c r="E41" s="56"/>
      <c r="F41" s="56"/>
      <c r="G41" s="56"/>
      <c r="H41" s="56"/>
      <c r="I41" s="57">
        <v>0.37</v>
      </c>
      <c r="J41" s="57">
        <v>0.36</v>
      </c>
      <c r="K41" s="57">
        <v>0.35</v>
      </c>
      <c r="L41" s="57">
        <v>0.34</v>
      </c>
      <c r="M41" s="57">
        <v>0.34</v>
      </c>
    </row>
    <row r="42" spans="1:13" outlineLevel="1" x14ac:dyDescent="0.35">
      <c r="A42" s="8" t="s">
        <v>59</v>
      </c>
      <c r="B42" s="8"/>
      <c r="C42" s="55"/>
      <c r="D42" s="56"/>
      <c r="E42" s="56"/>
      <c r="F42" s="56"/>
      <c r="G42" s="56"/>
      <c r="H42" s="56"/>
      <c r="I42" s="57">
        <v>0.16</v>
      </c>
      <c r="J42" s="57">
        <v>0.16</v>
      </c>
      <c r="K42" s="57">
        <v>0.16</v>
      </c>
      <c r="L42" s="57">
        <v>0.16</v>
      </c>
      <c r="M42" s="57">
        <v>0.16</v>
      </c>
    </row>
    <row r="43" spans="1:13" outlineLevel="1" x14ac:dyDescent="0.35">
      <c r="A43" s="8" t="s">
        <v>60</v>
      </c>
      <c r="B43" s="8"/>
      <c r="C43" s="55"/>
      <c r="D43" s="58"/>
      <c r="E43" s="58"/>
      <c r="F43" s="58"/>
      <c r="G43" s="58"/>
      <c r="H43" s="58"/>
      <c r="I43" s="59">
        <v>10000</v>
      </c>
      <c r="J43" s="59">
        <v>10000</v>
      </c>
      <c r="K43" s="59">
        <v>10000</v>
      </c>
      <c r="L43" s="59">
        <v>10000</v>
      </c>
      <c r="M43" s="59">
        <v>10000</v>
      </c>
    </row>
    <row r="44" spans="1:13" outlineLevel="1" x14ac:dyDescent="0.35">
      <c r="A44" s="8" t="s">
        <v>61</v>
      </c>
      <c r="B44" s="8"/>
      <c r="C44" s="55"/>
      <c r="D44" s="56"/>
      <c r="E44" s="56"/>
      <c r="F44" s="56"/>
      <c r="G44" s="56"/>
      <c r="H44" s="56"/>
      <c r="I44" s="57">
        <v>0.4</v>
      </c>
      <c r="J44" s="57">
        <v>0.4</v>
      </c>
      <c r="K44" s="57">
        <v>0.4</v>
      </c>
      <c r="L44" s="57">
        <v>0.4</v>
      </c>
      <c r="M44" s="57">
        <v>0.4</v>
      </c>
    </row>
    <row r="45" spans="1:13" outlineLevel="1" x14ac:dyDescent="0.35">
      <c r="A45" s="8" t="s">
        <v>63</v>
      </c>
      <c r="B45" s="8"/>
      <c r="C45" s="55"/>
      <c r="D45" s="56"/>
      <c r="E45" s="56"/>
      <c r="F45" s="56"/>
      <c r="G45" s="56"/>
      <c r="H45" s="56"/>
      <c r="I45" s="57">
        <v>0.05</v>
      </c>
      <c r="J45" s="57">
        <v>0.05</v>
      </c>
      <c r="K45" s="57">
        <v>0.05</v>
      </c>
      <c r="L45" s="57">
        <v>0.05</v>
      </c>
      <c r="M45" s="57">
        <v>0.05</v>
      </c>
    </row>
    <row r="46" spans="1:13" outlineLevel="1" x14ac:dyDescent="0.35">
      <c r="A46" s="8" t="s">
        <v>64</v>
      </c>
      <c r="B46" s="60"/>
      <c r="C46" s="61"/>
      <c r="D46" s="56"/>
      <c r="E46" s="56"/>
      <c r="F46" s="56"/>
      <c r="G46" s="56"/>
      <c r="H46" s="56"/>
      <c r="I46" s="57">
        <v>0.28000000000000003</v>
      </c>
      <c r="J46" s="57">
        <v>0.28000000000000003</v>
      </c>
      <c r="K46" s="57">
        <v>0.28000000000000003</v>
      </c>
      <c r="L46" s="57">
        <v>0.28000000000000003</v>
      </c>
      <c r="M46" s="57">
        <v>0.28000000000000003</v>
      </c>
    </row>
    <row r="47" spans="1:13" outlineLevel="1" x14ac:dyDescent="0.35">
      <c r="A47" s="9" t="s">
        <v>65</v>
      </c>
      <c r="C47" s="62"/>
      <c r="D47" s="46"/>
      <c r="E47" s="46"/>
      <c r="F47" s="46"/>
      <c r="G47" s="46"/>
      <c r="H47" s="46"/>
      <c r="I47" s="47">
        <v>18</v>
      </c>
      <c r="J47" s="47">
        <v>18</v>
      </c>
      <c r="K47" s="47">
        <v>18</v>
      </c>
      <c r="L47" s="47">
        <v>18</v>
      </c>
      <c r="M47" s="47">
        <v>18</v>
      </c>
    </row>
    <row r="48" spans="1:13" outlineLevel="1" x14ac:dyDescent="0.35">
      <c r="A48" s="9" t="s">
        <v>66</v>
      </c>
      <c r="C48" s="62"/>
      <c r="D48" s="46"/>
      <c r="E48" s="46"/>
      <c r="F48" s="46"/>
      <c r="G48" s="46"/>
      <c r="H48" s="46"/>
      <c r="I48" s="47">
        <v>73</v>
      </c>
      <c r="J48" s="47">
        <v>73</v>
      </c>
      <c r="K48" s="47">
        <v>73</v>
      </c>
      <c r="L48" s="47">
        <v>73</v>
      </c>
      <c r="M48" s="47">
        <v>73</v>
      </c>
    </row>
    <row r="49" spans="1:13" outlineLevel="1" x14ac:dyDescent="0.35">
      <c r="A49" s="9" t="s">
        <v>67</v>
      </c>
      <c r="C49" s="62"/>
      <c r="D49" s="46"/>
      <c r="E49" s="46"/>
      <c r="F49" s="46"/>
      <c r="G49" s="46"/>
      <c r="H49" s="46"/>
      <c r="I49" s="47">
        <v>37</v>
      </c>
      <c r="J49" s="47">
        <v>37</v>
      </c>
      <c r="K49" s="47">
        <v>37</v>
      </c>
      <c r="L49" s="47">
        <v>37</v>
      </c>
      <c r="M49" s="47">
        <v>37</v>
      </c>
    </row>
    <row r="50" spans="1:13" outlineLevel="1" x14ac:dyDescent="0.35">
      <c r="A50" s="9" t="s">
        <v>68</v>
      </c>
      <c r="D50" s="46"/>
      <c r="E50" s="46"/>
      <c r="F50" s="46"/>
      <c r="G50" s="46"/>
      <c r="H50" s="46"/>
      <c r="I50" s="47">
        <v>15000</v>
      </c>
      <c r="J50" s="47">
        <v>15000</v>
      </c>
      <c r="K50" s="47">
        <v>15000</v>
      </c>
      <c r="L50" s="47">
        <v>15000</v>
      </c>
      <c r="M50" s="47">
        <v>15000</v>
      </c>
    </row>
    <row r="51" spans="1:13" outlineLevel="1" x14ac:dyDescent="0.35">
      <c r="A51" s="9" t="s">
        <v>70</v>
      </c>
      <c r="D51" s="46"/>
      <c r="E51" s="46"/>
      <c r="F51" s="46"/>
      <c r="G51" s="46"/>
      <c r="H51" s="46"/>
      <c r="I51" s="47">
        <v>0</v>
      </c>
      <c r="J51" s="47">
        <v>0</v>
      </c>
      <c r="K51" s="47">
        <v>-20000</v>
      </c>
      <c r="L51" s="47">
        <v>0</v>
      </c>
      <c r="M51" s="47">
        <v>0</v>
      </c>
    </row>
    <row r="52" spans="1:13" outlineLevel="1" x14ac:dyDescent="0.35">
      <c r="A52" s="9" t="s">
        <v>69</v>
      </c>
      <c r="D52" s="46"/>
      <c r="E52" s="46"/>
      <c r="F52" s="46"/>
      <c r="G52" s="46"/>
      <c r="H52" s="46"/>
      <c r="I52" s="47">
        <v>0</v>
      </c>
      <c r="J52" s="47">
        <v>0</v>
      </c>
      <c r="K52" s="47">
        <v>0</v>
      </c>
      <c r="L52" s="47">
        <v>0</v>
      </c>
      <c r="M52" s="47">
        <v>0</v>
      </c>
    </row>
    <row r="53" spans="1:13" outlineLevel="1" x14ac:dyDescent="0.35">
      <c r="D53" s="46"/>
      <c r="E53" s="46"/>
      <c r="F53" s="46"/>
      <c r="G53" s="46"/>
      <c r="H53" s="46"/>
      <c r="I53" s="47"/>
      <c r="J53" s="47"/>
      <c r="K53" s="47"/>
      <c r="L53" s="47"/>
      <c r="M53" s="47"/>
    </row>
    <row r="54" spans="1:13" outlineLevel="1" x14ac:dyDescent="0.35">
      <c r="A54" s="11" t="s">
        <v>153</v>
      </c>
      <c r="D54" s="46"/>
      <c r="E54" s="46"/>
      <c r="F54" s="46"/>
      <c r="G54" s="46"/>
      <c r="H54" s="46"/>
      <c r="I54" s="174" t="s">
        <v>159</v>
      </c>
      <c r="J54" s="47"/>
      <c r="K54" s="47"/>
      <c r="L54" s="174" t="s">
        <v>160</v>
      </c>
      <c r="M54" s="47"/>
    </row>
    <row r="55" spans="1:13" outlineLevel="1" x14ac:dyDescent="0.35">
      <c r="A55" s="6" t="s">
        <v>62</v>
      </c>
      <c r="B55" s="52"/>
      <c r="C55" s="53"/>
      <c r="D55" s="54"/>
      <c r="E55" s="4"/>
      <c r="F55" s="4"/>
      <c r="G55" s="4"/>
      <c r="H55" s="4"/>
      <c r="I55" s="4">
        <f>CHOOSE($I$5,I10,I25,I40)</f>
        <v>0.1</v>
      </c>
      <c r="J55" s="4">
        <f t="shared" ref="J55:M55" si="3">CHOOSE($I$5,J10,J25,J40)</f>
        <v>0.1</v>
      </c>
      <c r="K55" s="4">
        <f t="shared" si="3"/>
        <v>0.1</v>
      </c>
      <c r="L55" s="4">
        <f t="shared" si="3"/>
        <v>0.1</v>
      </c>
      <c r="M55" s="4">
        <f t="shared" si="3"/>
        <v>0.1</v>
      </c>
    </row>
    <row r="56" spans="1:13" outlineLevel="1" x14ac:dyDescent="0.35">
      <c r="A56" s="8" t="s">
        <v>58</v>
      </c>
      <c r="B56" s="8"/>
      <c r="C56" s="55"/>
      <c r="D56" s="56"/>
      <c r="E56" s="56"/>
      <c r="F56" s="56"/>
      <c r="G56" s="56"/>
      <c r="H56" s="56"/>
      <c r="I56" s="56">
        <f t="shared" ref="I56:M56" si="4">CHOOSE($I$5,I11,I26,I41)</f>
        <v>0.42</v>
      </c>
      <c r="J56" s="56">
        <f t="shared" si="4"/>
        <v>0.47</v>
      </c>
      <c r="K56" s="56">
        <f t="shared" si="4"/>
        <v>0.5</v>
      </c>
      <c r="L56" s="56">
        <f t="shared" si="4"/>
        <v>0.36</v>
      </c>
      <c r="M56" s="56">
        <f t="shared" si="4"/>
        <v>0.35</v>
      </c>
    </row>
    <row r="57" spans="1:13" outlineLevel="1" x14ac:dyDescent="0.35">
      <c r="A57" s="8" t="s">
        <v>59</v>
      </c>
      <c r="B57" s="8"/>
      <c r="C57" s="55"/>
      <c r="D57" s="56"/>
      <c r="E57" s="56"/>
      <c r="F57" s="56"/>
      <c r="G57" s="56"/>
      <c r="H57" s="56"/>
      <c r="I57" s="56">
        <f t="shared" ref="I57:M57" si="5">CHOOSE($I$5,I12,I27,I42)</f>
        <v>0.17</v>
      </c>
      <c r="J57" s="56">
        <f t="shared" si="5"/>
        <v>0.17</v>
      </c>
      <c r="K57" s="56">
        <f t="shared" si="5"/>
        <v>0.17</v>
      </c>
      <c r="L57" s="56">
        <f t="shared" si="5"/>
        <v>0.17</v>
      </c>
      <c r="M57" s="56">
        <f t="shared" si="5"/>
        <v>0.17</v>
      </c>
    </row>
    <row r="58" spans="1:13" outlineLevel="1" x14ac:dyDescent="0.35">
      <c r="A58" s="8" t="s">
        <v>60</v>
      </c>
      <c r="B58" s="8"/>
      <c r="C58" s="55"/>
      <c r="D58" s="58"/>
      <c r="E58" s="58"/>
      <c r="F58" s="58"/>
      <c r="G58" s="58"/>
      <c r="H58" s="58"/>
      <c r="I58" s="58">
        <f t="shared" ref="I58:M58" si="6">CHOOSE($I$5,I13,I28,I43)</f>
        <v>15000</v>
      </c>
      <c r="J58" s="58">
        <f t="shared" si="6"/>
        <v>15000</v>
      </c>
      <c r="K58" s="58">
        <f t="shared" si="6"/>
        <v>15000</v>
      </c>
      <c r="L58" s="58">
        <f t="shared" si="6"/>
        <v>15000</v>
      </c>
      <c r="M58" s="58">
        <f t="shared" si="6"/>
        <v>15000</v>
      </c>
    </row>
    <row r="59" spans="1:13" outlineLevel="1" x14ac:dyDescent="0.35">
      <c r="A59" s="8" t="s">
        <v>61</v>
      </c>
      <c r="B59" s="8"/>
      <c r="C59" s="55"/>
      <c r="D59" s="56"/>
      <c r="E59" s="56"/>
      <c r="F59" s="56"/>
      <c r="G59" s="56"/>
      <c r="H59" s="56"/>
      <c r="I59" s="56">
        <f t="shared" ref="I59:M59" si="7">CHOOSE($I$5,I14,I29,I44)</f>
        <v>0.35</v>
      </c>
      <c r="J59" s="56">
        <f t="shared" si="7"/>
        <v>0.35</v>
      </c>
      <c r="K59" s="56">
        <f t="shared" si="7"/>
        <v>0.35</v>
      </c>
      <c r="L59" s="56">
        <f t="shared" si="7"/>
        <v>0.35</v>
      </c>
      <c r="M59" s="56">
        <f t="shared" si="7"/>
        <v>0.35</v>
      </c>
    </row>
    <row r="60" spans="1:13" outlineLevel="1" x14ac:dyDescent="0.35">
      <c r="A60" s="8" t="s">
        <v>63</v>
      </c>
      <c r="B60" s="8"/>
      <c r="C60" s="55"/>
      <c r="D60" s="56"/>
      <c r="E60" s="56"/>
      <c r="F60" s="56"/>
      <c r="G60" s="56"/>
      <c r="H60" s="56"/>
      <c r="I60" s="56">
        <f t="shared" ref="I60:M60" si="8">CHOOSE($I$5,I15,I30,I45)</f>
        <v>0.1</v>
      </c>
      <c r="J60" s="56">
        <f t="shared" si="8"/>
        <v>0.1</v>
      </c>
      <c r="K60" s="56">
        <f t="shared" si="8"/>
        <v>0.1</v>
      </c>
      <c r="L60" s="56">
        <f t="shared" si="8"/>
        <v>0.1</v>
      </c>
      <c r="M60" s="56">
        <f t="shared" si="8"/>
        <v>0.1</v>
      </c>
    </row>
    <row r="61" spans="1:13" outlineLevel="1" x14ac:dyDescent="0.35">
      <c r="A61" s="8" t="s">
        <v>64</v>
      </c>
      <c r="B61" s="60"/>
      <c r="C61" s="61"/>
      <c r="D61" s="56"/>
      <c r="E61" s="56"/>
      <c r="F61" s="56"/>
      <c r="G61" s="56"/>
      <c r="H61" s="56"/>
      <c r="I61" s="56">
        <f t="shared" ref="I61:M61" si="9">CHOOSE($I$5,I16,I31,I46)</f>
        <v>0.28000000000000003</v>
      </c>
      <c r="J61" s="56">
        <f t="shared" si="9"/>
        <v>0.28000000000000003</v>
      </c>
      <c r="K61" s="56">
        <f t="shared" si="9"/>
        <v>0.28000000000000003</v>
      </c>
      <c r="L61" s="56">
        <f t="shared" si="9"/>
        <v>0.28000000000000003</v>
      </c>
      <c r="M61" s="56">
        <f t="shared" si="9"/>
        <v>0.28000000000000003</v>
      </c>
    </row>
    <row r="62" spans="1:13" outlineLevel="1" x14ac:dyDescent="0.35">
      <c r="A62" s="9" t="s">
        <v>65</v>
      </c>
      <c r="C62" s="62"/>
      <c r="D62" s="46"/>
      <c r="E62" s="46"/>
      <c r="F62" s="46"/>
      <c r="G62" s="46"/>
      <c r="H62" s="46"/>
      <c r="I62" s="46">
        <f t="shared" ref="I62:M62" si="10">CHOOSE($I$5,I17,I32,I47)</f>
        <v>18</v>
      </c>
      <c r="J62" s="46">
        <f t="shared" si="10"/>
        <v>18</v>
      </c>
      <c r="K62" s="46">
        <f t="shared" si="10"/>
        <v>18</v>
      </c>
      <c r="L62" s="46">
        <f t="shared" si="10"/>
        <v>18</v>
      </c>
      <c r="M62" s="46">
        <f t="shared" si="10"/>
        <v>18</v>
      </c>
    </row>
    <row r="63" spans="1:13" outlineLevel="1" x14ac:dyDescent="0.35">
      <c r="A63" s="9" t="s">
        <v>66</v>
      </c>
      <c r="C63" s="62"/>
      <c r="D63" s="46"/>
      <c r="E63" s="46"/>
      <c r="F63" s="46"/>
      <c r="G63" s="46"/>
      <c r="H63" s="46"/>
      <c r="I63" s="46">
        <f t="shared" ref="I63:M63" si="11">CHOOSE($I$5,I18,I33,I48)</f>
        <v>80</v>
      </c>
      <c r="J63" s="46">
        <f t="shared" si="11"/>
        <v>90</v>
      </c>
      <c r="K63" s="46">
        <f>CHOOSE($I$5,K18,K33,K48)</f>
        <v>100</v>
      </c>
      <c r="L63" s="46">
        <f t="shared" si="11"/>
        <v>100</v>
      </c>
      <c r="M63" s="46">
        <f t="shared" si="11"/>
        <v>100</v>
      </c>
    </row>
    <row r="64" spans="1:13" outlineLevel="1" x14ac:dyDescent="0.35">
      <c r="A64" s="9" t="s">
        <v>67</v>
      </c>
      <c r="C64" s="62"/>
      <c r="D64" s="46"/>
      <c r="E64" s="46"/>
      <c r="F64" s="46"/>
      <c r="G64" s="46"/>
      <c r="H64" s="46"/>
      <c r="I64" s="46">
        <f t="shared" ref="I64:M64" si="12">CHOOSE($I$5,I19,I34,I49)</f>
        <v>37</v>
      </c>
      <c r="J64" s="46">
        <f t="shared" si="12"/>
        <v>37</v>
      </c>
      <c r="K64" s="46">
        <f t="shared" si="12"/>
        <v>37</v>
      </c>
      <c r="L64" s="46">
        <f t="shared" si="12"/>
        <v>37</v>
      </c>
      <c r="M64" s="46">
        <f t="shared" si="12"/>
        <v>37</v>
      </c>
    </row>
    <row r="65" spans="1:13" outlineLevel="1" x14ac:dyDescent="0.35">
      <c r="A65" s="9" t="s">
        <v>68</v>
      </c>
      <c r="D65" s="46"/>
      <c r="E65" s="46"/>
      <c r="F65" s="46"/>
      <c r="G65" s="46"/>
      <c r="H65" s="46"/>
      <c r="I65" s="46">
        <f t="shared" ref="I65:M65" si="13">CHOOSE($I$5,I20,I35,I50)</f>
        <v>15000</v>
      </c>
      <c r="J65" s="46">
        <f t="shared" si="13"/>
        <v>15000</v>
      </c>
      <c r="K65" s="46">
        <f t="shared" si="13"/>
        <v>15000</v>
      </c>
      <c r="L65" s="46">
        <f t="shared" si="13"/>
        <v>15000</v>
      </c>
      <c r="M65" s="46">
        <f t="shared" si="13"/>
        <v>15000</v>
      </c>
    </row>
    <row r="66" spans="1:13" outlineLevel="1" x14ac:dyDescent="0.35">
      <c r="A66" s="9" t="s">
        <v>70</v>
      </c>
      <c r="D66" s="46"/>
      <c r="E66" s="46"/>
      <c r="F66" s="46"/>
      <c r="G66" s="46"/>
      <c r="H66" s="46"/>
      <c r="I66" s="46">
        <f t="shared" ref="I66:M66" si="14">CHOOSE($I$5,I21,I36,I51)</f>
        <v>0</v>
      </c>
      <c r="J66" s="46">
        <f t="shared" si="14"/>
        <v>0</v>
      </c>
      <c r="K66" s="46">
        <f t="shared" si="14"/>
        <v>-20000</v>
      </c>
      <c r="L66" s="46">
        <f t="shared" si="14"/>
        <v>0</v>
      </c>
      <c r="M66" s="46">
        <f t="shared" si="14"/>
        <v>0</v>
      </c>
    </row>
    <row r="67" spans="1:13" outlineLevel="1" x14ac:dyDescent="0.35">
      <c r="A67" s="9" t="s">
        <v>69</v>
      </c>
      <c r="D67" s="46"/>
      <c r="E67" s="46"/>
      <c r="F67" s="46"/>
      <c r="G67" s="46"/>
      <c r="H67" s="46"/>
      <c r="I67" s="46">
        <f t="shared" ref="I67:M67" si="15">CHOOSE($I$5,I22,I37,I52)</f>
        <v>0</v>
      </c>
      <c r="J67" s="46">
        <f t="shared" si="15"/>
        <v>0</v>
      </c>
      <c r="K67" s="46">
        <f t="shared" si="15"/>
        <v>0</v>
      </c>
      <c r="L67" s="46">
        <f t="shared" si="15"/>
        <v>0</v>
      </c>
      <c r="M67" s="46">
        <f t="shared" si="15"/>
        <v>0</v>
      </c>
    </row>
    <row r="68" spans="1:13" x14ac:dyDescent="0.35">
      <c r="D68" s="46"/>
      <c r="E68" s="46"/>
      <c r="F68" s="46"/>
      <c r="G68" s="46"/>
      <c r="H68" s="46"/>
      <c r="I68" s="47"/>
      <c r="J68" s="47"/>
      <c r="K68" s="47"/>
      <c r="L68" s="47"/>
      <c r="M68" s="47"/>
    </row>
    <row r="69" spans="1:13" ht="20" x14ac:dyDescent="0.4">
      <c r="A69" s="119" t="s">
        <v>0</v>
      </c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</row>
    <row r="70" spans="1:13" s="167" customFormat="1" ht="20" x14ac:dyDescent="0.4">
      <c r="A70" s="166"/>
      <c r="B70" s="166"/>
      <c r="C70" s="166"/>
      <c r="D70" s="166"/>
      <c r="E70" s="166"/>
      <c r="F70" s="166"/>
      <c r="G70" s="166"/>
      <c r="H70" s="166"/>
      <c r="I70" s="176" t="s">
        <v>166</v>
      </c>
      <c r="J70" s="168"/>
      <c r="K70" s="168"/>
      <c r="L70" s="168"/>
      <c r="M70" s="168"/>
    </row>
    <row r="71" spans="1:13" outlineLevel="1" x14ac:dyDescent="0.35">
      <c r="A71" s="11" t="s">
        <v>1</v>
      </c>
      <c r="B71" s="11"/>
      <c r="C71" s="66"/>
      <c r="D71" s="67">
        <v>102007</v>
      </c>
      <c r="E71" s="67">
        <v>118086</v>
      </c>
      <c r="F71" s="67">
        <v>131345</v>
      </c>
      <c r="G71" s="67">
        <v>142341</v>
      </c>
      <c r="H71" s="67">
        <v>150772</v>
      </c>
      <c r="I71" s="1">
        <f>(H71*((1+I55)))*(1+$A$217)</f>
        <v>165849.20000000001</v>
      </c>
      <c r="J71" s="1">
        <f t="shared" ref="J71:M71" si="16">(I71*((1+J55)))*(1+$A$217)</f>
        <v>182434.12000000002</v>
      </c>
      <c r="K71" s="1">
        <f t="shared" si="16"/>
        <v>200677.53200000004</v>
      </c>
      <c r="L71" s="1">
        <f t="shared" si="16"/>
        <v>220745.28520000007</v>
      </c>
      <c r="M71" s="1">
        <f t="shared" si="16"/>
        <v>242819.81372000009</v>
      </c>
    </row>
    <row r="72" spans="1:13" outlineLevel="1" x14ac:dyDescent="0.35">
      <c r="A72" s="8" t="s">
        <v>55</v>
      </c>
      <c r="B72" s="8"/>
      <c r="C72" s="55"/>
      <c r="D72" s="68">
        <v>39023</v>
      </c>
      <c r="E72" s="68">
        <v>48004</v>
      </c>
      <c r="F72" s="68">
        <v>49123</v>
      </c>
      <c r="G72" s="68">
        <v>52654</v>
      </c>
      <c r="H72" s="68">
        <v>56710</v>
      </c>
      <c r="I72" s="2">
        <f>(I71*(I56))*(1+$D$217)</f>
        <v>69656.664000000004</v>
      </c>
      <c r="J72" s="2">
        <f t="shared" ref="J72:M72" si="17">(J71*(J56))*(1+$D$217)</f>
        <v>85744.036400000012</v>
      </c>
      <c r="K72" s="2">
        <f t="shared" si="17"/>
        <v>100338.76600000002</v>
      </c>
      <c r="L72" s="2">
        <f t="shared" si="17"/>
        <v>79468.30267200002</v>
      </c>
      <c r="M72" s="2">
        <f t="shared" si="17"/>
        <v>84986.934802000033</v>
      </c>
    </row>
    <row r="73" spans="1:13" outlineLevel="1" x14ac:dyDescent="0.35">
      <c r="A73" s="52" t="s">
        <v>2</v>
      </c>
      <c r="B73" s="52"/>
      <c r="C73" s="53"/>
      <c r="D73" s="69">
        <f>D71-D72</f>
        <v>62984</v>
      </c>
      <c r="E73" s="69">
        <f t="shared" ref="E73:M73" si="18">E71-E72</f>
        <v>70082</v>
      </c>
      <c r="F73" s="69">
        <f t="shared" si="18"/>
        <v>82222</v>
      </c>
      <c r="G73" s="69">
        <f t="shared" si="18"/>
        <v>89687</v>
      </c>
      <c r="H73" s="69">
        <f t="shared" si="18"/>
        <v>94062</v>
      </c>
      <c r="I73" s="69">
        <f t="shared" si="18"/>
        <v>96192.536000000007</v>
      </c>
      <c r="J73" s="69">
        <f t="shared" si="18"/>
        <v>96690.083600000013</v>
      </c>
      <c r="K73" s="69">
        <f t="shared" si="18"/>
        <v>100338.76600000002</v>
      </c>
      <c r="L73" s="69">
        <f t="shared" si="18"/>
        <v>141276.98252800005</v>
      </c>
      <c r="M73" s="69">
        <f t="shared" si="18"/>
        <v>157832.87891800006</v>
      </c>
    </row>
    <row r="74" spans="1:13" outlineLevel="1" x14ac:dyDescent="0.35">
      <c r="A74" s="63" t="s">
        <v>74</v>
      </c>
      <c r="B74" s="63"/>
      <c r="C74" s="30"/>
      <c r="D74" s="70"/>
      <c r="E74" s="70"/>
      <c r="F74" s="70"/>
      <c r="G74" s="70"/>
      <c r="H74" s="70"/>
      <c r="I74" s="70"/>
      <c r="J74" s="70"/>
      <c r="K74" s="70"/>
      <c r="L74" s="65"/>
      <c r="M74" s="65"/>
    </row>
    <row r="75" spans="1:13" outlineLevel="1" x14ac:dyDescent="0.35">
      <c r="A75" s="9" t="s">
        <v>3</v>
      </c>
      <c r="D75" s="13">
        <v>26427</v>
      </c>
      <c r="E75" s="13">
        <v>22658</v>
      </c>
      <c r="F75" s="13">
        <v>23872</v>
      </c>
      <c r="G75" s="13">
        <v>23002</v>
      </c>
      <c r="H75" s="13">
        <v>25245</v>
      </c>
      <c r="I75" s="7">
        <f>I71*I57</f>
        <v>28194.364000000005</v>
      </c>
      <c r="J75" s="7">
        <f>J71*J57</f>
        <v>31013.800400000007</v>
      </c>
      <c r="K75" s="7">
        <f>K71*K57</f>
        <v>34115.180440000011</v>
      </c>
      <c r="L75" s="7">
        <f>L71*L57</f>
        <v>37526.698484000015</v>
      </c>
      <c r="M75" s="7">
        <f>M71*M57</f>
        <v>41279.368332400016</v>
      </c>
    </row>
    <row r="76" spans="1:13" outlineLevel="1" x14ac:dyDescent="0.35">
      <c r="A76" s="9" t="s">
        <v>4</v>
      </c>
      <c r="D76" s="13">
        <v>10963</v>
      </c>
      <c r="E76" s="13">
        <v>10125</v>
      </c>
      <c r="F76" s="13">
        <v>10087</v>
      </c>
      <c r="G76" s="13">
        <v>11020</v>
      </c>
      <c r="H76" s="13">
        <v>11412</v>
      </c>
      <c r="I76" s="7">
        <f>I58</f>
        <v>15000</v>
      </c>
      <c r="J76" s="7">
        <f>J58</f>
        <v>15000</v>
      </c>
      <c r="K76" s="7">
        <f>K58</f>
        <v>15000</v>
      </c>
      <c r="L76" s="7">
        <f>L58</f>
        <v>15000</v>
      </c>
      <c r="M76" s="7">
        <f>M58</f>
        <v>15000</v>
      </c>
    </row>
    <row r="77" spans="1:13" outlineLevel="1" x14ac:dyDescent="0.35">
      <c r="A77" s="9" t="s">
        <v>5</v>
      </c>
      <c r="D77" s="13">
        <v>19500</v>
      </c>
      <c r="E77" s="13">
        <v>18150</v>
      </c>
      <c r="F77" s="13">
        <v>17205</v>
      </c>
      <c r="G77" s="13">
        <v>16543.5</v>
      </c>
      <c r="H77" s="13">
        <v>16080.449999999999</v>
      </c>
      <c r="I77" s="7">
        <f>+I143</f>
        <v>13132.3675</v>
      </c>
      <c r="J77" s="7">
        <f t="shared" ref="J77:M77" si="19">+J143</f>
        <v>13786.038875</v>
      </c>
      <c r="K77" s="7">
        <f t="shared" si="19"/>
        <v>14210.925268750001</v>
      </c>
      <c r="L77" s="7">
        <f t="shared" si="19"/>
        <v>14487.101424687498</v>
      </c>
      <c r="M77" s="7">
        <f t="shared" si="19"/>
        <v>14666.615926046874</v>
      </c>
    </row>
    <row r="78" spans="1:13" outlineLevel="1" x14ac:dyDescent="0.35">
      <c r="A78" s="71" t="s">
        <v>6</v>
      </c>
      <c r="B78" s="71"/>
      <c r="C78" s="72"/>
      <c r="D78" s="73">
        <v>2500</v>
      </c>
      <c r="E78" s="73">
        <v>2500</v>
      </c>
      <c r="F78" s="73">
        <v>1500</v>
      </c>
      <c r="G78" s="73">
        <v>1500</v>
      </c>
      <c r="H78" s="73">
        <v>1500</v>
      </c>
      <c r="I78" s="74">
        <f>I150</f>
        <v>3000</v>
      </c>
      <c r="J78" s="74">
        <f t="shared" ref="J78:M78" si="20">J150</f>
        <v>3000</v>
      </c>
      <c r="K78" s="74">
        <f t="shared" si="20"/>
        <v>1000</v>
      </c>
      <c r="L78" s="74">
        <f t="shared" si="20"/>
        <v>1000</v>
      </c>
      <c r="M78" s="74">
        <f t="shared" si="20"/>
        <v>1000</v>
      </c>
    </row>
    <row r="79" spans="1:13" outlineLevel="1" x14ac:dyDescent="0.35">
      <c r="A79" s="63" t="s">
        <v>75</v>
      </c>
      <c r="B79" s="8"/>
      <c r="C79" s="55"/>
      <c r="D79" s="65">
        <f>SUM(D75:D78)</f>
        <v>59390</v>
      </c>
      <c r="E79" s="65">
        <f t="shared" ref="E79:M79" si="21">SUM(E75:E78)</f>
        <v>53433</v>
      </c>
      <c r="F79" s="65">
        <f t="shared" si="21"/>
        <v>52664</v>
      </c>
      <c r="G79" s="65">
        <f t="shared" si="21"/>
        <v>52065.5</v>
      </c>
      <c r="H79" s="65">
        <f t="shared" si="21"/>
        <v>54237.45</v>
      </c>
      <c r="I79" s="65">
        <f t="shared" si="21"/>
        <v>59326.731500000002</v>
      </c>
      <c r="J79" s="65">
        <f t="shared" si="21"/>
        <v>62799.839275000006</v>
      </c>
      <c r="K79" s="65">
        <f t="shared" si="21"/>
        <v>64326.105708750008</v>
      </c>
      <c r="L79" s="65">
        <f t="shared" si="21"/>
        <v>68013.799908687506</v>
      </c>
      <c r="M79" s="65">
        <f t="shared" si="21"/>
        <v>71945.984258446886</v>
      </c>
    </row>
    <row r="80" spans="1:13" outlineLevel="1" x14ac:dyDescent="0.35">
      <c r="A80" s="52" t="s">
        <v>7</v>
      </c>
      <c r="B80" s="52"/>
      <c r="C80" s="53"/>
      <c r="D80" s="69">
        <f>D73-D79</f>
        <v>3594</v>
      </c>
      <c r="E80" s="69">
        <f t="shared" ref="E80:M80" si="22">E73-E79</f>
        <v>16649</v>
      </c>
      <c r="F80" s="69">
        <f t="shared" si="22"/>
        <v>29558</v>
      </c>
      <c r="G80" s="69">
        <f t="shared" si="22"/>
        <v>37621.5</v>
      </c>
      <c r="H80" s="69">
        <f t="shared" si="22"/>
        <v>39824.550000000003</v>
      </c>
      <c r="I80" s="69">
        <f t="shared" si="22"/>
        <v>36865.804500000006</v>
      </c>
      <c r="J80" s="69">
        <f t="shared" si="22"/>
        <v>33890.244325000007</v>
      </c>
      <c r="K80" s="69">
        <f t="shared" si="22"/>
        <v>36012.660291250009</v>
      </c>
      <c r="L80" s="69">
        <f t="shared" si="22"/>
        <v>73263.182619312545</v>
      </c>
      <c r="M80" s="69">
        <f t="shared" si="22"/>
        <v>85886.894659553174</v>
      </c>
    </row>
    <row r="81" spans="1:13" outlineLevel="1" x14ac:dyDescent="0.35">
      <c r="A81" s="63"/>
      <c r="B81" s="63"/>
      <c r="C81" s="30"/>
      <c r="D81" s="64"/>
      <c r="E81" s="64"/>
      <c r="F81" s="64"/>
      <c r="G81" s="64"/>
      <c r="H81" s="64"/>
      <c r="I81" s="65"/>
      <c r="J81" s="65"/>
      <c r="K81" s="65"/>
      <c r="L81" s="65"/>
      <c r="M81" s="65"/>
    </row>
    <row r="82" spans="1:13" outlineLevel="1" x14ac:dyDescent="0.35">
      <c r="A82" s="8" t="s">
        <v>8</v>
      </c>
      <c r="B82" s="8"/>
      <c r="C82" s="55"/>
      <c r="D82" s="13">
        <v>1120.1708000000001</v>
      </c>
      <c r="E82" s="13">
        <v>4858.2165021220308</v>
      </c>
      <c r="F82" s="13">
        <v>8482.8061148686775</v>
      </c>
      <c r="G82" s="13">
        <v>10908.02097640469</v>
      </c>
      <c r="H82" s="13">
        <v>11597.665241419718</v>
      </c>
      <c r="I82" s="75">
        <f>I80*I61</f>
        <v>10322.425260000002</v>
      </c>
      <c r="J82" s="75">
        <f>J80*J61</f>
        <v>9489.2684110000027</v>
      </c>
      <c r="K82" s="75">
        <f>K80*K61</f>
        <v>10083.544881550004</v>
      </c>
      <c r="L82" s="75">
        <f>L80*L61</f>
        <v>20513.691133407516</v>
      </c>
      <c r="M82" s="75">
        <f>M80*M61</f>
        <v>24048.33050467489</v>
      </c>
    </row>
    <row r="83" spans="1:13" ht="16" outlineLevel="1" thickBot="1" x14ac:dyDescent="0.4">
      <c r="A83" s="76" t="s">
        <v>9</v>
      </c>
      <c r="B83" s="76"/>
      <c r="C83" s="77"/>
      <c r="D83" s="78">
        <f>D80-D82</f>
        <v>2473.8292000000001</v>
      </c>
      <c r="E83" s="78">
        <f t="shared" ref="E83:M83" si="23">E80-E82</f>
        <v>11790.783497877968</v>
      </c>
      <c r="F83" s="78">
        <f t="shared" si="23"/>
        <v>21075.193885131324</v>
      </c>
      <c r="G83" s="78">
        <f t="shared" si="23"/>
        <v>26713.479023595311</v>
      </c>
      <c r="H83" s="78">
        <f t="shared" si="23"/>
        <v>28226.884758580287</v>
      </c>
      <c r="I83" s="78">
        <f t="shared" si="23"/>
        <v>26543.379240000002</v>
      </c>
      <c r="J83" s="78">
        <f t="shared" si="23"/>
        <v>24400.975914000002</v>
      </c>
      <c r="K83" s="78">
        <f t="shared" si="23"/>
        <v>25929.115409700004</v>
      </c>
      <c r="L83" s="78">
        <f t="shared" si="23"/>
        <v>52749.491485905033</v>
      </c>
      <c r="M83" s="78">
        <f t="shared" si="23"/>
        <v>61838.564154878288</v>
      </c>
    </row>
    <row r="84" spans="1:13" ht="16" outlineLevel="1" collapsed="1" thickTop="1" x14ac:dyDescent="0.35">
      <c r="D84" s="13"/>
      <c r="E84" s="13"/>
      <c r="F84" s="13"/>
      <c r="G84" s="13"/>
      <c r="H84" s="13"/>
    </row>
    <row r="85" spans="1:13" x14ac:dyDescent="0.35">
      <c r="D85" s="13"/>
      <c r="E85" s="13"/>
      <c r="F85" s="13"/>
      <c r="G85" s="13"/>
      <c r="H85" s="13"/>
    </row>
    <row r="86" spans="1:13" ht="20" x14ac:dyDescent="0.4">
      <c r="A86" s="119" t="s">
        <v>10</v>
      </c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</row>
    <row r="87" spans="1:13" outlineLevel="1" x14ac:dyDescent="0.35">
      <c r="D87" s="13"/>
      <c r="E87" s="13"/>
      <c r="F87" s="13"/>
      <c r="G87" s="13"/>
      <c r="H87" s="13"/>
    </row>
    <row r="88" spans="1:13" outlineLevel="1" x14ac:dyDescent="0.35">
      <c r="A88" s="11" t="s">
        <v>11</v>
      </c>
      <c r="D88" s="13"/>
      <c r="E88" s="13"/>
      <c r="F88" s="13"/>
      <c r="G88" s="13"/>
      <c r="H88" s="13"/>
    </row>
    <row r="89" spans="1:13" outlineLevel="1" x14ac:dyDescent="0.35">
      <c r="A89" s="9" t="s">
        <v>12</v>
      </c>
      <c r="C89" s="79"/>
      <c r="D89" s="13">
        <v>67971.179200000013</v>
      </c>
      <c r="E89" s="13">
        <v>81209.912697877968</v>
      </c>
      <c r="F89" s="13">
        <v>83715.256583009294</v>
      </c>
      <c r="G89" s="13">
        <v>111069.33560660461</v>
      </c>
      <c r="H89" s="13">
        <v>139549.5203651849</v>
      </c>
      <c r="I89" s="9">
        <f>I127</f>
        <v>161049.87490792462</v>
      </c>
      <c r="J89" s="9">
        <f t="shared" ref="J89:M89" si="24">J127</f>
        <v>179174.62685528077</v>
      </c>
      <c r="K89" s="9">
        <f t="shared" si="24"/>
        <v>178546.75042468967</v>
      </c>
      <c r="L89" s="9">
        <f t="shared" si="24"/>
        <v>233395.99986148495</v>
      </c>
      <c r="M89" s="9">
        <f t="shared" si="24"/>
        <v>292860.04203131422</v>
      </c>
    </row>
    <row r="90" spans="1:13" outlineLevel="1" x14ac:dyDescent="0.35">
      <c r="A90" s="9" t="s">
        <v>13</v>
      </c>
      <c r="C90" s="79"/>
      <c r="D90" s="13">
        <v>5100.3500000000004</v>
      </c>
      <c r="E90" s="13">
        <v>5904.3</v>
      </c>
      <c r="F90" s="13">
        <v>6567.25</v>
      </c>
      <c r="G90" s="13">
        <v>7117.05</v>
      </c>
      <c r="H90" s="13">
        <v>7538.6</v>
      </c>
      <c r="I90" s="80">
        <f t="shared" ref="I90:M91" si="25">I71*I62/365</f>
        <v>8178.8646575342473</v>
      </c>
      <c r="J90" s="80">
        <f t="shared" si="25"/>
        <v>8996.7511232876732</v>
      </c>
      <c r="K90" s="80">
        <f t="shared" si="25"/>
        <v>9896.42623561644</v>
      </c>
      <c r="L90" s="80">
        <f t="shared" si="25"/>
        <v>10886.068859178085</v>
      </c>
      <c r="M90" s="80">
        <f t="shared" si="25"/>
        <v>11974.675745095894</v>
      </c>
    </row>
    <row r="91" spans="1:13" outlineLevel="1" x14ac:dyDescent="0.35">
      <c r="A91" s="9" t="s">
        <v>19</v>
      </c>
      <c r="C91" s="79"/>
      <c r="D91" s="13">
        <v>7804.6</v>
      </c>
      <c r="E91" s="13">
        <v>9600.8000000000011</v>
      </c>
      <c r="F91" s="13">
        <v>9824.6</v>
      </c>
      <c r="G91" s="13">
        <v>10530.800000000001</v>
      </c>
      <c r="H91" s="13">
        <v>11342</v>
      </c>
      <c r="I91" s="9">
        <f t="shared" si="25"/>
        <v>15267.21402739726</v>
      </c>
      <c r="J91" s="9">
        <f t="shared" si="25"/>
        <v>21142.365139726033</v>
      </c>
      <c r="K91" s="9">
        <f t="shared" si="25"/>
        <v>27490.072876712333</v>
      </c>
      <c r="L91" s="9">
        <f t="shared" si="25"/>
        <v>21772.137718356171</v>
      </c>
      <c r="M91" s="9">
        <f t="shared" si="25"/>
        <v>23284.091726575352</v>
      </c>
    </row>
    <row r="92" spans="1:13" outlineLevel="1" x14ac:dyDescent="0.35">
      <c r="A92" s="9" t="s">
        <v>14</v>
      </c>
      <c r="D92" s="13">
        <v>45500</v>
      </c>
      <c r="E92" s="13">
        <v>42350</v>
      </c>
      <c r="F92" s="13">
        <v>40145</v>
      </c>
      <c r="G92" s="13">
        <v>38601.5</v>
      </c>
      <c r="H92" s="13">
        <v>37521.050000000003</v>
      </c>
      <c r="I92" s="9">
        <f t="shared" ref="I92:M92" si="26">I144</f>
        <v>39388.682500000003</v>
      </c>
      <c r="J92" s="9">
        <f t="shared" si="26"/>
        <v>40602.643625000004</v>
      </c>
      <c r="K92" s="9">
        <f t="shared" si="26"/>
        <v>41391.718356249999</v>
      </c>
      <c r="L92" s="9">
        <f t="shared" si="26"/>
        <v>41904.616931562501</v>
      </c>
      <c r="M92" s="9">
        <f t="shared" si="26"/>
        <v>42238.001005515631</v>
      </c>
    </row>
    <row r="93" spans="1:13" ht="16" outlineLevel="1" thickBot="1" x14ac:dyDescent="0.4">
      <c r="A93" s="76" t="s">
        <v>20</v>
      </c>
      <c r="B93" s="76"/>
      <c r="C93" s="77"/>
      <c r="D93" s="78">
        <f>SUM(D89:D92)</f>
        <v>126376.12920000002</v>
      </c>
      <c r="E93" s="78">
        <f t="shared" ref="E93:H93" si="27">SUM(E89:E92)</f>
        <v>139065.01269787797</v>
      </c>
      <c r="F93" s="78">
        <f t="shared" si="27"/>
        <v>140252.1065830093</v>
      </c>
      <c r="G93" s="78">
        <f t="shared" si="27"/>
        <v>167318.68560660462</v>
      </c>
      <c r="H93" s="78">
        <f t="shared" si="27"/>
        <v>195951.17036518489</v>
      </c>
      <c r="I93" s="76">
        <f t="shared" ref="I93" si="28">SUM(I89:I92)</f>
        <v>223884.63609285612</v>
      </c>
      <c r="J93" s="76">
        <f t="shared" ref="J93:M93" si="29">SUM(J89:J92)</f>
        <v>249916.38674329448</v>
      </c>
      <c r="K93" s="76">
        <f t="shared" si="29"/>
        <v>257324.96789326845</v>
      </c>
      <c r="L93" s="76">
        <f t="shared" si="29"/>
        <v>307958.82337058167</v>
      </c>
      <c r="M93" s="76">
        <f t="shared" si="29"/>
        <v>370356.81050850108</v>
      </c>
    </row>
    <row r="94" spans="1:13" ht="16" outlineLevel="1" thickTop="1" x14ac:dyDescent="0.35">
      <c r="A94" s="63"/>
      <c r="B94" s="63"/>
      <c r="C94" s="30"/>
      <c r="D94" s="64"/>
      <c r="E94" s="64"/>
      <c r="F94" s="64"/>
      <c r="G94" s="64"/>
      <c r="H94" s="64"/>
      <c r="I94" s="63"/>
      <c r="J94" s="63"/>
      <c r="K94" s="63"/>
      <c r="L94" s="63"/>
      <c r="M94" s="63"/>
    </row>
    <row r="95" spans="1:13" outlineLevel="1" x14ac:dyDescent="0.35">
      <c r="A95" s="11" t="s">
        <v>21</v>
      </c>
      <c r="C95" s="79"/>
      <c r="D95" s="13"/>
      <c r="E95" s="13"/>
      <c r="F95" s="13"/>
      <c r="G95" s="13"/>
      <c r="H95" s="13"/>
    </row>
    <row r="96" spans="1:13" outlineLevel="1" x14ac:dyDescent="0.35">
      <c r="A96" s="9" t="s">
        <v>22</v>
      </c>
      <c r="C96" s="79"/>
      <c r="D96" s="13">
        <v>3902.3</v>
      </c>
      <c r="E96" s="13">
        <v>4800.4000000000005</v>
      </c>
      <c r="F96" s="13">
        <v>4912.3</v>
      </c>
      <c r="G96" s="13">
        <v>5265.4000000000005</v>
      </c>
      <c r="H96" s="13">
        <v>5671</v>
      </c>
      <c r="I96" s="9">
        <f>I72*I64/365</f>
        <v>7061.086487671233</v>
      </c>
      <c r="J96" s="9">
        <f>J72*J64/365</f>
        <v>8691.8612241095907</v>
      </c>
      <c r="K96" s="9">
        <f>K72*K64/365</f>
        <v>10171.326964383563</v>
      </c>
      <c r="L96" s="9">
        <f>L72*L64/365</f>
        <v>8055.6909557917834</v>
      </c>
      <c r="M96" s="9">
        <f>M72*M64/365</f>
        <v>8615.1139388328793</v>
      </c>
    </row>
    <row r="97" spans="1:13" outlineLevel="1" x14ac:dyDescent="0.35">
      <c r="A97" s="9" t="s">
        <v>23</v>
      </c>
      <c r="D97" s="13">
        <v>50000</v>
      </c>
      <c r="E97" s="13">
        <v>50000</v>
      </c>
      <c r="F97" s="13">
        <v>30000</v>
      </c>
      <c r="G97" s="13">
        <v>30000</v>
      </c>
      <c r="H97" s="13">
        <v>30000</v>
      </c>
      <c r="I97" s="9">
        <f t="shared" ref="I97:M97" si="30">I149</f>
        <v>30000</v>
      </c>
      <c r="J97" s="9">
        <f t="shared" si="30"/>
        <v>30000</v>
      </c>
      <c r="K97" s="9">
        <f t="shared" si="30"/>
        <v>10000</v>
      </c>
      <c r="L97" s="9">
        <f t="shared" si="30"/>
        <v>10000</v>
      </c>
      <c r="M97" s="9">
        <f t="shared" si="30"/>
        <v>10000</v>
      </c>
    </row>
    <row r="98" spans="1:13" outlineLevel="1" x14ac:dyDescent="0.35">
      <c r="A98" s="52" t="s">
        <v>28</v>
      </c>
      <c r="B98" s="52"/>
      <c r="C98" s="53"/>
      <c r="D98" s="69">
        <f>SUM(D96:D97)</f>
        <v>53902.3</v>
      </c>
      <c r="E98" s="69">
        <f t="shared" ref="E98:H98" si="31">SUM(E96:E97)</f>
        <v>54800.4</v>
      </c>
      <c r="F98" s="69">
        <f t="shared" si="31"/>
        <v>34912.300000000003</v>
      </c>
      <c r="G98" s="69">
        <f t="shared" si="31"/>
        <v>35265.4</v>
      </c>
      <c r="H98" s="69">
        <f t="shared" si="31"/>
        <v>35671</v>
      </c>
      <c r="I98" s="52">
        <f t="shared" ref="I98" si="32">SUM(I96:I97)</f>
        <v>37061.086487671229</v>
      </c>
      <c r="J98" s="52">
        <f t="shared" ref="J98:M98" si="33">SUM(J96:J97)</f>
        <v>38691.861224109591</v>
      </c>
      <c r="K98" s="52">
        <f t="shared" si="33"/>
        <v>20171.326964383563</v>
      </c>
      <c r="L98" s="52">
        <f t="shared" si="33"/>
        <v>18055.690955791782</v>
      </c>
      <c r="M98" s="52">
        <f t="shared" si="33"/>
        <v>18615.113938832881</v>
      </c>
    </row>
    <row r="99" spans="1:13" outlineLevel="1" x14ac:dyDescent="0.35">
      <c r="A99" s="11" t="s">
        <v>29</v>
      </c>
      <c r="D99" s="13"/>
      <c r="E99" s="13"/>
      <c r="F99" s="13"/>
      <c r="G99" s="13"/>
      <c r="H99" s="13"/>
    </row>
    <row r="100" spans="1:13" outlineLevel="1" x14ac:dyDescent="0.35">
      <c r="A100" s="9" t="s">
        <v>30</v>
      </c>
      <c r="D100" s="13">
        <v>70000</v>
      </c>
      <c r="E100" s="13">
        <v>70000</v>
      </c>
      <c r="F100" s="13">
        <v>70000</v>
      </c>
      <c r="G100" s="13">
        <v>70000</v>
      </c>
      <c r="H100" s="13">
        <v>70000</v>
      </c>
      <c r="I100" s="9">
        <f>H100+I67</f>
        <v>70000</v>
      </c>
      <c r="J100" s="9">
        <f>I100+J67</f>
        <v>70000</v>
      </c>
      <c r="K100" s="9">
        <f>J100+K67</f>
        <v>70000</v>
      </c>
      <c r="L100" s="9">
        <f>K100+L67</f>
        <v>70000</v>
      </c>
      <c r="M100" s="9">
        <f>L100+M67</f>
        <v>70000</v>
      </c>
    </row>
    <row r="101" spans="1:13" outlineLevel="1" x14ac:dyDescent="0.35">
      <c r="A101" s="9" t="s">
        <v>31</v>
      </c>
      <c r="D101" s="13">
        <v>2473.8292000000001</v>
      </c>
      <c r="E101" s="13">
        <v>14264.612697877968</v>
      </c>
      <c r="F101" s="13">
        <v>35339.806583009296</v>
      </c>
      <c r="G101" s="13">
        <v>62053.285606604608</v>
      </c>
      <c r="H101" s="13">
        <v>90280.170365184895</v>
      </c>
      <c r="I101" s="9">
        <f t="shared" ref="I101:M101" si="34">+H101+I83</f>
        <v>116823.5496051849</v>
      </c>
      <c r="J101" s="9">
        <f t="shared" si="34"/>
        <v>141224.52551918491</v>
      </c>
      <c r="K101" s="9">
        <f t="shared" si="34"/>
        <v>167153.64092888491</v>
      </c>
      <c r="L101" s="9">
        <f t="shared" si="34"/>
        <v>219903.13241478993</v>
      </c>
      <c r="M101" s="9">
        <f t="shared" si="34"/>
        <v>281741.69656966825</v>
      </c>
    </row>
    <row r="102" spans="1:13" outlineLevel="1" x14ac:dyDescent="0.35">
      <c r="A102" s="81" t="s">
        <v>29</v>
      </c>
      <c r="B102" s="81"/>
      <c r="C102" s="82"/>
      <c r="D102" s="83">
        <f>SUM(D100:D101)</f>
        <v>72473.829200000007</v>
      </c>
      <c r="E102" s="83">
        <f t="shared" ref="E102:H102" si="35">SUM(E100:E101)</f>
        <v>84264.612697877965</v>
      </c>
      <c r="F102" s="83">
        <f t="shared" si="35"/>
        <v>105339.8065830093</v>
      </c>
      <c r="G102" s="83">
        <f t="shared" si="35"/>
        <v>132053.28560660459</v>
      </c>
      <c r="H102" s="83">
        <f t="shared" si="35"/>
        <v>160280.17036518489</v>
      </c>
      <c r="I102" s="81">
        <f t="shared" ref="I102" si="36">SUM(I100:I101)</f>
        <v>186823.5496051849</v>
      </c>
      <c r="J102" s="81">
        <f t="shared" ref="J102:M102" si="37">SUM(J100:J101)</f>
        <v>211224.52551918491</v>
      </c>
      <c r="K102" s="81">
        <f t="shared" si="37"/>
        <v>237153.64092888491</v>
      </c>
      <c r="L102" s="81">
        <f t="shared" si="37"/>
        <v>289903.13241478993</v>
      </c>
      <c r="M102" s="81">
        <f t="shared" si="37"/>
        <v>351741.69656966825</v>
      </c>
    </row>
    <row r="103" spans="1:13" ht="16" outlineLevel="1" thickBot="1" x14ac:dyDescent="0.4">
      <c r="A103" s="76" t="s">
        <v>32</v>
      </c>
      <c r="B103" s="76"/>
      <c r="C103" s="77"/>
      <c r="D103" s="78">
        <f>D98+D102</f>
        <v>126376.12920000001</v>
      </c>
      <c r="E103" s="78">
        <f t="shared" ref="E103:H103" si="38">E98+E102</f>
        <v>139065.01269787797</v>
      </c>
      <c r="F103" s="78">
        <f t="shared" si="38"/>
        <v>140252.1065830093</v>
      </c>
      <c r="G103" s="78">
        <f t="shared" si="38"/>
        <v>167318.68560660459</v>
      </c>
      <c r="H103" s="78">
        <f t="shared" si="38"/>
        <v>195951.17036518489</v>
      </c>
      <c r="I103" s="76">
        <f t="shared" ref="I103:M103" si="39">I102+I98</f>
        <v>223884.63609285612</v>
      </c>
      <c r="J103" s="76">
        <f t="shared" si="39"/>
        <v>249916.38674329451</v>
      </c>
      <c r="K103" s="76">
        <f t="shared" si="39"/>
        <v>257324.96789326848</v>
      </c>
      <c r="L103" s="76">
        <f t="shared" si="39"/>
        <v>307958.82337058173</v>
      </c>
      <c r="M103" s="76">
        <f t="shared" si="39"/>
        <v>370356.81050850113</v>
      </c>
    </row>
    <row r="104" spans="1:13" ht="16" outlineLevel="1" thickTop="1" x14ac:dyDescent="0.35">
      <c r="D104" s="13"/>
      <c r="E104" s="13"/>
      <c r="F104" s="13"/>
      <c r="G104" s="13"/>
      <c r="H104" s="13"/>
    </row>
    <row r="105" spans="1:13" outlineLevel="1" x14ac:dyDescent="0.35">
      <c r="A105" s="84" t="s">
        <v>50</v>
      </c>
      <c r="B105" s="85"/>
      <c r="C105" s="86"/>
      <c r="D105" s="85">
        <f t="shared" ref="D105:M105" si="40">D103-D93</f>
        <v>0</v>
      </c>
      <c r="E105" s="85">
        <f t="shared" si="40"/>
        <v>0</v>
      </c>
      <c r="F105" s="85">
        <f t="shared" si="40"/>
        <v>0</v>
      </c>
      <c r="G105" s="85">
        <f t="shared" si="40"/>
        <v>0</v>
      </c>
      <c r="H105" s="85">
        <f t="shared" si="40"/>
        <v>0</v>
      </c>
      <c r="I105" s="85">
        <f t="shared" si="40"/>
        <v>0</v>
      </c>
      <c r="J105" s="85">
        <f t="shared" si="40"/>
        <v>0</v>
      </c>
      <c r="K105" s="85">
        <f t="shared" si="40"/>
        <v>0</v>
      </c>
      <c r="L105" s="85">
        <f t="shared" si="40"/>
        <v>0</v>
      </c>
      <c r="M105" s="85">
        <f t="shared" si="40"/>
        <v>0</v>
      </c>
    </row>
    <row r="106" spans="1:13" outlineLevel="1" x14ac:dyDescent="0.35">
      <c r="A106" s="85"/>
      <c r="B106" s="85"/>
      <c r="C106" s="86"/>
      <c r="D106" s="85"/>
      <c r="E106" s="85"/>
      <c r="F106" s="85"/>
      <c r="G106" s="85"/>
      <c r="H106" s="85"/>
      <c r="I106" s="85"/>
      <c r="J106" s="85"/>
      <c r="K106" s="85"/>
      <c r="L106" s="85"/>
      <c r="M106" s="85"/>
    </row>
    <row r="107" spans="1:13" x14ac:dyDescent="0.35">
      <c r="D107" s="13"/>
      <c r="E107" s="13"/>
      <c r="F107" s="13"/>
      <c r="G107" s="13"/>
      <c r="H107" s="13"/>
    </row>
    <row r="108" spans="1:13" ht="20" x14ac:dyDescent="0.4">
      <c r="A108" s="119" t="s">
        <v>49</v>
      </c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</row>
    <row r="109" spans="1:13" outlineLevel="1" x14ac:dyDescent="0.35">
      <c r="A109" s="11"/>
      <c r="D109" s="64"/>
      <c r="E109" s="13"/>
      <c r="F109" s="13"/>
      <c r="G109" s="13"/>
      <c r="H109" s="13"/>
    </row>
    <row r="110" spans="1:13" outlineLevel="1" x14ac:dyDescent="0.35">
      <c r="A110" s="11" t="s">
        <v>33</v>
      </c>
      <c r="D110" s="13"/>
      <c r="E110" s="13"/>
      <c r="F110" s="13"/>
      <c r="G110" s="13"/>
      <c r="H110" s="13"/>
    </row>
    <row r="111" spans="1:13" outlineLevel="1" x14ac:dyDescent="0.35">
      <c r="A111" s="9" t="s">
        <v>9</v>
      </c>
      <c r="D111" s="13">
        <v>2473.8292000000001</v>
      </c>
      <c r="E111" s="13">
        <v>11790.783497877968</v>
      </c>
      <c r="F111" s="13">
        <v>21075.193885131324</v>
      </c>
      <c r="G111" s="13">
        <v>26713.479023595311</v>
      </c>
      <c r="H111" s="13">
        <v>28226.884758580287</v>
      </c>
      <c r="I111" s="9">
        <f t="shared" ref="I111:M111" si="41">I83</f>
        <v>26543.379240000002</v>
      </c>
      <c r="J111" s="9">
        <f t="shared" si="41"/>
        <v>24400.975914000002</v>
      </c>
      <c r="K111" s="9">
        <f t="shared" si="41"/>
        <v>25929.115409700004</v>
      </c>
      <c r="L111" s="9">
        <f t="shared" si="41"/>
        <v>52749.491485905033</v>
      </c>
      <c r="M111" s="9">
        <f t="shared" si="41"/>
        <v>61838.564154878288</v>
      </c>
    </row>
    <row r="112" spans="1:13" outlineLevel="1" x14ac:dyDescent="0.35">
      <c r="A112" s="9" t="s">
        <v>34</v>
      </c>
      <c r="D112" s="13">
        <v>19500</v>
      </c>
      <c r="E112" s="13">
        <v>18150</v>
      </c>
      <c r="F112" s="13">
        <v>17205</v>
      </c>
      <c r="G112" s="13">
        <v>16543.5</v>
      </c>
      <c r="H112" s="13">
        <v>16080.449999999999</v>
      </c>
      <c r="I112" s="9">
        <f>I77</f>
        <v>13132.3675</v>
      </c>
      <c r="J112" s="9">
        <f t="shared" ref="J112:M112" si="42">J77</f>
        <v>13786.038875</v>
      </c>
      <c r="K112" s="9">
        <f t="shared" si="42"/>
        <v>14210.925268750001</v>
      </c>
      <c r="L112" s="9">
        <f t="shared" si="42"/>
        <v>14487.101424687498</v>
      </c>
      <c r="M112" s="9">
        <f t="shared" si="42"/>
        <v>14666.615926046874</v>
      </c>
    </row>
    <row r="113" spans="1:13" outlineLevel="1" x14ac:dyDescent="0.35">
      <c r="A113" s="9" t="s">
        <v>38</v>
      </c>
      <c r="D113" s="13">
        <v>9002.6500000000015</v>
      </c>
      <c r="E113" s="13">
        <v>1702.0499999999993</v>
      </c>
      <c r="F113" s="13">
        <v>774.84999999999854</v>
      </c>
      <c r="G113" s="13">
        <v>902.90000000000146</v>
      </c>
      <c r="H113" s="13">
        <v>827.14999999999782</v>
      </c>
      <c r="I113" s="9">
        <f>I138</f>
        <v>3175.3921972602766</v>
      </c>
      <c r="J113" s="9">
        <f t="shared" ref="J113:M113" si="43">J138</f>
        <v>5062.2628416438383</v>
      </c>
      <c r="K113" s="9">
        <f t="shared" si="43"/>
        <v>5767.9171090411</v>
      </c>
      <c r="L113" s="9">
        <f t="shared" si="43"/>
        <v>-2612.6565262027398</v>
      </c>
      <c r="M113" s="9">
        <f t="shared" si="43"/>
        <v>2041.1379110958951</v>
      </c>
    </row>
    <row r="114" spans="1:13" outlineLevel="1" x14ac:dyDescent="0.35">
      <c r="A114" s="52" t="s">
        <v>35</v>
      </c>
      <c r="B114" s="6"/>
      <c r="C114" s="87"/>
      <c r="D114" s="69">
        <f>D111+D112-D113</f>
        <v>12971.179199999999</v>
      </c>
      <c r="E114" s="69">
        <f t="shared" ref="E114:M114" si="44">E111+E112-E113</f>
        <v>28238.733497877969</v>
      </c>
      <c r="F114" s="69">
        <f t="shared" si="44"/>
        <v>37505.343885131326</v>
      </c>
      <c r="G114" s="69">
        <f t="shared" si="44"/>
        <v>42354.07902359531</v>
      </c>
      <c r="H114" s="69">
        <f t="shared" si="44"/>
        <v>43480.18475858029</v>
      </c>
      <c r="I114" s="69">
        <f t="shared" si="44"/>
        <v>36500.354542739726</v>
      </c>
      <c r="J114" s="69">
        <f t="shared" si="44"/>
        <v>33124.751947356162</v>
      </c>
      <c r="K114" s="69">
        <f t="shared" si="44"/>
        <v>34372.123569408912</v>
      </c>
      <c r="L114" s="69">
        <f t="shared" si="44"/>
        <v>69849.249436795275</v>
      </c>
      <c r="M114" s="69">
        <f t="shared" si="44"/>
        <v>74464.042169829263</v>
      </c>
    </row>
    <row r="115" spans="1:13" outlineLevel="1" x14ac:dyDescent="0.35">
      <c r="A115" s="63"/>
      <c r="B115" s="8"/>
      <c r="C115" s="55"/>
      <c r="D115" s="64"/>
      <c r="E115" s="64"/>
      <c r="F115" s="64"/>
      <c r="G115" s="64"/>
      <c r="H115" s="64"/>
      <c r="I115" s="63"/>
      <c r="J115" s="63"/>
      <c r="K115" s="63"/>
      <c r="L115" s="63"/>
      <c r="M115" s="63"/>
    </row>
    <row r="116" spans="1:13" outlineLevel="1" x14ac:dyDescent="0.35">
      <c r="A116" s="11" t="s">
        <v>39</v>
      </c>
      <c r="D116" s="68"/>
      <c r="E116" s="68"/>
      <c r="F116" s="68"/>
      <c r="G116" s="68"/>
      <c r="H116" s="68"/>
      <c r="I116" s="8"/>
      <c r="J116" s="8"/>
      <c r="K116" s="8"/>
      <c r="L116" s="8"/>
      <c r="M116" s="8"/>
    </row>
    <row r="117" spans="1:13" outlineLevel="1" x14ac:dyDescent="0.35">
      <c r="A117" s="9" t="s">
        <v>40</v>
      </c>
      <c r="D117" s="68">
        <v>15000</v>
      </c>
      <c r="E117" s="68">
        <v>15000</v>
      </c>
      <c r="F117" s="68">
        <v>15000</v>
      </c>
      <c r="G117" s="68">
        <v>15000</v>
      </c>
      <c r="H117" s="68">
        <v>15000</v>
      </c>
      <c r="I117" s="8">
        <f>I142</f>
        <v>15000</v>
      </c>
      <c r="J117" s="8">
        <f t="shared" ref="J117:M117" si="45">J142</f>
        <v>15000</v>
      </c>
      <c r="K117" s="8">
        <f t="shared" si="45"/>
        <v>15000</v>
      </c>
      <c r="L117" s="8">
        <f t="shared" si="45"/>
        <v>15000</v>
      </c>
      <c r="M117" s="8">
        <f t="shared" si="45"/>
        <v>15000</v>
      </c>
    </row>
    <row r="118" spans="1:13" outlineLevel="1" x14ac:dyDescent="0.35">
      <c r="A118" s="52" t="s">
        <v>41</v>
      </c>
      <c r="B118" s="6"/>
      <c r="C118" s="87"/>
      <c r="D118" s="69">
        <f>SUM(D117)</f>
        <v>15000</v>
      </c>
      <c r="E118" s="69">
        <f t="shared" ref="E118:H118" si="46">SUM(E117)</f>
        <v>15000</v>
      </c>
      <c r="F118" s="69">
        <f t="shared" si="46"/>
        <v>15000</v>
      </c>
      <c r="G118" s="69">
        <f t="shared" si="46"/>
        <v>15000</v>
      </c>
      <c r="H118" s="69">
        <f t="shared" si="46"/>
        <v>15000</v>
      </c>
      <c r="I118" s="52">
        <f t="shared" ref="I118:M118" si="47">I117</f>
        <v>15000</v>
      </c>
      <c r="J118" s="52">
        <f t="shared" si="47"/>
        <v>15000</v>
      </c>
      <c r="K118" s="52">
        <f t="shared" si="47"/>
        <v>15000</v>
      </c>
      <c r="L118" s="52">
        <f t="shared" si="47"/>
        <v>15000</v>
      </c>
      <c r="M118" s="52">
        <f t="shared" si="47"/>
        <v>15000</v>
      </c>
    </row>
    <row r="119" spans="1:13" outlineLevel="1" x14ac:dyDescent="0.35">
      <c r="A119" s="63"/>
      <c r="B119" s="8"/>
      <c r="C119" s="55"/>
      <c r="D119" s="64"/>
      <c r="E119" s="64"/>
      <c r="F119" s="64"/>
      <c r="G119" s="64"/>
      <c r="H119" s="64"/>
      <c r="I119" s="63"/>
      <c r="J119" s="63"/>
      <c r="K119" s="63"/>
      <c r="L119" s="63"/>
      <c r="M119" s="63"/>
    </row>
    <row r="120" spans="1:13" outlineLevel="1" x14ac:dyDescent="0.35">
      <c r="A120" s="11" t="s">
        <v>42</v>
      </c>
      <c r="D120" s="68"/>
      <c r="E120" s="68"/>
      <c r="F120" s="68"/>
      <c r="G120" s="68"/>
      <c r="H120" s="68"/>
      <c r="I120" s="8"/>
      <c r="J120" s="8"/>
      <c r="K120" s="8"/>
      <c r="L120" s="8"/>
      <c r="M120" s="8"/>
    </row>
    <row r="121" spans="1:13" outlineLevel="1" x14ac:dyDescent="0.35">
      <c r="A121" s="9" t="s">
        <v>43</v>
      </c>
      <c r="D121" s="68">
        <v>0</v>
      </c>
      <c r="E121" s="68">
        <v>0</v>
      </c>
      <c r="F121" s="68">
        <v>-20000</v>
      </c>
      <c r="G121" s="68">
        <v>0</v>
      </c>
      <c r="H121" s="68">
        <v>0</v>
      </c>
      <c r="I121" s="8">
        <f t="shared" ref="I121:M121" si="48">I148</f>
        <v>0</v>
      </c>
      <c r="J121" s="8">
        <f t="shared" si="48"/>
        <v>0</v>
      </c>
      <c r="K121" s="8">
        <f t="shared" si="48"/>
        <v>-20000</v>
      </c>
      <c r="L121" s="8">
        <f t="shared" si="48"/>
        <v>0</v>
      </c>
      <c r="M121" s="8">
        <f t="shared" si="48"/>
        <v>0</v>
      </c>
    </row>
    <row r="122" spans="1:13" outlineLevel="1" x14ac:dyDescent="0.35">
      <c r="A122" s="9" t="s">
        <v>44</v>
      </c>
      <c r="D122" s="68">
        <v>70000</v>
      </c>
      <c r="E122" s="68">
        <v>0</v>
      </c>
      <c r="F122" s="68">
        <v>0</v>
      </c>
      <c r="G122" s="68">
        <v>0</v>
      </c>
      <c r="H122" s="68">
        <v>0</v>
      </c>
      <c r="I122" s="8">
        <f>I67</f>
        <v>0</v>
      </c>
      <c r="J122" s="8">
        <f>J67</f>
        <v>0</v>
      </c>
      <c r="K122" s="8">
        <f>K67</f>
        <v>0</v>
      </c>
      <c r="L122" s="8">
        <f>L67</f>
        <v>0</v>
      </c>
      <c r="M122" s="8">
        <f>M67</f>
        <v>0</v>
      </c>
    </row>
    <row r="123" spans="1:13" outlineLevel="1" x14ac:dyDescent="0.35">
      <c r="A123" s="52" t="s">
        <v>45</v>
      </c>
      <c r="B123" s="6"/>
      <c r="C123" s="87"/>
      <c r="D123" s="69">
        <f>SUM(D121:D122)</f>
        <v>70000</v>
      </c>
      <c r="E123" s="69">
        <f t="shared" ref="E123:H123" si="49">SUM(E121:E122)</f>
        <v>0</v>
      </c>
      <c r="F123" s="69">
        <f t="shared" si="49"/>
        <v>-20000</v>
      </c>
      <c r="G123" s="69">
        <f t="shared" si="49"/>
        <v>0</v>
      </c>
      <c r="H123" s="69">
        <f t="shared" si="49"/>
        <v>0</v>
      </c>
      <c r="I123" s="52">
        <f t="shared" ref="I123:M123" si="50">SUM(I121:I122)</f>
        <v>0</v>
      </c>
      <c r="J123" s="52">
        <f t="shared" si="50"/>
        <v>0</v>
      </c>
      <c r="K123" s="52">
        <f t="shared" si="50"/>
        <v>-20000</v>
      </c>
      <c r="L123" s="52">
        <f t="shared" si="50"/>
        <v>0</v>
      </c>
      <c r="M123" s="52">
        <f t="shared" si="50"/>
        <v>0</v>
      </c>
    </row>
    <row r="124" spans="1:13" outlineLevel="1" x14ac:dyDescent="0.35">
      <c r="A124" s="63"/>
      <c r="B124" s="8"/>
      <c r="C124" s="55"/>
      <c r="D124" s="64"/>
      <c r="E124" s="64"/>
      <c r="F124" s="64"/>
      <c r="G124" s="64"/>
      <c r="H124" s="64"/>
      <c r="I124" s="63"/>
      <c r="J124" s="63"/>
      <c r="K124" s="63"/>
      <c r="L124" s="63"/>
      <c r="M124" s="63"/>
    </row>
    <row r="125" spans="1:13" outlineLevel="1" x14ac:dyDescent="0.35">
      <c r="A125" s="9" t="s">
        <v>46</v>
      </c>
      <c r="D125" s="88">
        <f>D114-D118+D123</f>
        <v>67971.179199999999</v>
      </c>
      <c r="E125" s="88">
        <f t="shared" ref="E125:M125" si="51">E114-E118+E123</f>
        <v>13238.733497877969</v>
      </c>
      <c r="F125" s="88">
        <f t="shared" si="51"/>
        <v>2505.3438851313258</v>
      </c>
      <c r="G125" s="88">
        <f t="shared" si="51"/>
        <v>27354.07902359531</v>
      </c>
      <c r="H125" s="88">
        <f t="shared" si="51"/>
        <v>28480.18475858029</v>
      </c>
      <c r="I125" s="88">
        <f t="shared" si="51"/>
        <v>21500.354542739726</v>
      </c>
      <c r="J125" s="88">
        <f t="shared" si="51"/>
        <v>18124.751947356162</v>
      </c>
      <c r="K125" s="88">
        <f t="shared" si="51"/>
        <v>-627.87643059108814</v>
      </c>
      <c r="L125" s="88">
        <f t="shared" si="51"/>
        <v>54849.249436795275</v>
      </c>
      <c r="M125" s="88">
        <f t="shared" si="51"/>
        <v>59464.042169829263</v>
      </c>
    </row>
    <row r="126" spans="1:13" outlineLevel="1" x14ac:dyDescent="0.35">
      <c r="A126" s="9" t="s">
        <v>47</v>
      </c>
      <c r="D126" s="68">
        <v>0</v>
      </c>
      <c r="E126" s="68">
        <v>67971.179200000013</v>
      </c>
      <c r="F126" s="68">
        <v>81209.912697877968</v>
      </c>
      <c r="G126" s="68">
        <v>83715.256583009294</v>
      </c>
      <c r="H126" s="68">
        <v>111069.33560660461</v>
      </c>
      <c r="I126" s="8">
        <f t="shared" ref="I126:M126" si="52">H127</f>
        <v>139549.5203651849</v>
      </c>
      <c r="J126" s="8">
        <f t="shared" si="52"/>
        <v>161049.87490792462</v>
      </c>
      <c r="K126" s="8">
        <f t="shared" si="52"/>
        <v>179174.62685528077</v>
      </c>
      <c r="L126" s="8">
        <f t="shared" si="52"/>
        <v>178546.75042468967</v>
      </c>
      <c r="M126" s="8">
        <f t="shared" si="52"/>
        <v>233395.99986148495</v>
      </c>
    </row>
    <row r="127" spans="1:13" outlineLevel="1" x14ac:dyDescent="0.35">
      <c r="A127" s="52" t="s">
        <v>48</v>
      </c>
      <c r="B127" s="6"/>
      <c r="C127" s="87"/>
      <c r="D127" s="69">
        <f>SUM(D125:D126)</f>
        <v>67971.179199999999</v>
      </c>
      <c r="E127" s="69">
        <f t="shared" ref="E127:M127" si="53">SUM(E125:E126)</f>
        <v>81209.912697877982</v>
      </c>
      <c r="F127" s="69">
        <f t="shared" si="53"/>
        <v>83715.256583009294</v>
      </c>
      <c r="G127" s="69">
        <f t="shared" si="53"/>
        <v>111069.33560660461</v>
      </c>
      <c r="H127" s="69">
        <f t="shared" si="53"/>
        <v>139549.5203651849</v>
      </c>
      <c r="I127" s="69">
        <f t="shared" si="53"/>
        <v>161049.87490792462</v>
      </c>
      <c r="J127" s="69">
        <f t="shared" si="53"/>
        <v>179174.62685528077</v>
      </c>
      <c r="K127" s="69">
        <f t="shared" si="53"/>
        <v>178546.75042468967</v>
      </c>
      <c r="L127" s="69">
        <f t="shared" si="53"/>
        <v>233395.99986148495</v>
      </c>
      <c r="M127" s="69">
        <f t="shared" si="53"/>
        <v>292860.04203131422</v>
      </c>
    </row>
    <row r="128" spans="1:13" outlineLevel="1" x14ac:dyDescent="0.35">
      <c r="A128" s="11"/>
      <c r="D128" s="64"/>
      <c r="E128" s="13"/>
      <c r="F128" s="13"/>
      <c r="G128" s="13"/>
      <c r="H128" s="13"/>
    </row>
    <row r="129" spans="1:13" outlineLevel="1" x14ac:dyDescent="0.35">
      <c r="A129" s="11"/>
      <c r="D129" s="64"/>
      <c r="E129" s="13"/>
      <c r="F129" s="13"/>
      <c r="G129" s="13"/>
      <c r="H129" s="13"/>
    </row>
    <row r="130" spans="1:13" x14ac:dyDescent="0.35">
      <c r="D130" s="13"/>
      <c r="E130" s="13"/>
      <c r="F130" s="13"/>
      <c r="G130" s="13"/>
      <c r="H130" s="13"/>
    </row>
    <row r="131" spans="1:13" ht="20" x14ac:dyDescent="0.4">
      <c r="A131" s="119" t="s">
        <v>51</v>
      </c>
      <c r="B131" s="119"/>
      <c r="C131" s="119"/>
      <c r="D131" s="119"/>
      <c r="E131" s="119"/>
      <c r="F131" s="119"/>
      <c r="G131" s="119"/>
      <c r="H131" s="119"/>
      <c r="I131" s="119"/>
      <c r="J131" s="119"/>
      <c r="K131" s="119"/>
      <c r="L131" s="119"/>
      <c r="M131" s="119"/>
    </row>
    <row r="132" spans="1:13" outlineLevel="1" x14ac:dyDescent="0.35">
      <c r="D132" s="13"/>
      <c r="E132" s="13"/>
      <c r="F132" s="13"/>
      <c r="G132" s="13"/>
      <c r="H132" s="13"/>
    </row>
    <row r="133" spans="1:13" outlineLevel="1" x14ac:dyDescent="0.35">
      <c r="A133" s="11" t="s">
        <v>52</v>
      </c>
      <c r="D133" s="13"/>
      <c r="E133" s="13"/>
      <c r="F133" s="13"/>
      <c r="G133" s="13"/>
      <c r="H133" s="13"/>
    </row>
    <row r="134" spans="1:13" outlineLevel="1" x14ac:dyDescent="0.35">
      <c r="A134" s="9" t="s">
        <v>13</v>
      </c>
      <c r="D134" s="13">
        <v>5100.3500000000004</v>
      </c>
      <c r="E134" s="13">
        <v>5904.3</v>
      </c>
      <c r="F134" s="13">
        <v>6567.25</v>
      </c>
      <c r="G134" s="13">
        <v>7117.05</v>
      </c>
      <c r="H134" s="13">
        <v>7538.6</v>
      </c>
      <c r="I134" s="107">
        <f t="shared" ref="I134:M135" si="54">I90</f>
        <v>8178.8646575342473</v>
      </c>
      <c r="J134" s="107">
        <f t="shared" si="54"/>
        <v>8996.7511232876732</v>
      </c>
      <c r="K134" s="107">
        <f t="shared" si="54"/>
        <v>9896.42623561644</v>
      </c>
      <c r="L134" s="107">
        <f t="shared" si="54"/>
        <v>10886.068859178085</v>
      </c>
      <c r="M134" s="107">
        <f t="shared" si="54"/>
        <v>11974.675745095894</v>
      </c>
    </row>
    <row r="135" spans="1:13" outlineLevel="1" x14ac:dyDescent="0.35">
      <c r="A135" s="9" t="s">
        <v>19</v>
      </c>
      <c r="D135" s="13">
        <v>7804.6</v>
      </c>
      <c r="E135" s="13">
        <v>9600.8000000000011</v>
      </c>
      <c r="F135" s="13">
        <v>9824.6</v>
      </c>
      <c r="G135" s="13">
        <v>10530.800000000001</v>
      </c>
      <c r="H135" s="13">
        <v>11342</v>
      </c>
      <c r="I135" s="107">
        <f t="shared" si="54"/>
        <v>15267.21402739726</v>
      </c>
      <c r="J135" s="107">
        <f t="shared" si="54"/>
        <v>21142.365139726033</v>
      </c>
      <c r="K135" s="107">
        <f t="shared" si="54"/>
        <v>27490.072876712333</v>
      </c>
      <c r="L135" s="107">
        <f t="shared" si="54"/>
        <v>21772.137718356171</v>
      </c>
      <c r="M135" s="107">
        <f t="shared" si="54"/>
        <v>23284.091726575352</v>
      </c>
    </row>
    <row r="136" spans="1:13" outlineLevel="1" x14ac:dyDescent="0.35">
      <c r="A136" s="9" t="s">
        <v>22</v>
      </c>
      <c r="D136" s="13">
        <v>3902.3</v>
      </c>
      <c r="E136" s="13">
        <v>4800.4000000000005</v>
      </c>
      <c r="F136" s="13">
        <v>4912.3</v>
      </c>
      <c r="G136" s="13">
        <v>5265.4000000000005</v>
      </c>
      <c r="H136" s="13">
        <v>5671</v>
      </c>
      <c r="I136" s="107">
        <f>I96</f>
        <v>7061.086487671233</v>
      </c>
      <c r="J136" s="107">
        <f t="shared" ref="J136:M136" si="55">J96</f>
        <v>8691.8612241095907</v>
      </c>
      <c r="K136" s="107">
        <f t="shared" si="55"/>
        <v>10171.326964383563</v>
      </c>
      <c r="L136" s="107">
        <f t="shared" si="55"/>
        <v>8055.6909557917834</v>
      </c>
      <c r="M136" s="107">
        <f t="shared" si="55"/>
        <v>8615.1139388328793</v>
      </c>
    </row>
    <row r="137" spans="1:13" outlineLevel="1" x14ac:dyDescent="0.35">
      <c r="A137" s="6" t="s">
        <v>37</v>
      </c>
      <c r="B137" s="6"/>
      <c r="C137" s="87"/>
      <c r="D137" s="89">
        <f>D134+D135-D136</f>
        <v>9002.6500000000015</v>
      </c>
      <c r="E137" s="89">
        <f t="shared" ref="E137:M137" si="56">E134+E135-E136</f>
        <v>10704.7</v>
      </c>
      <c r="F137" s="89">
        <f t="shared" si="56"/>
        <v>11479.55</v>
      </c>
      <c r="G137" s="89">
        <f t="shared" si="56"/>
        <v>12382.45</v>
      </c>
      <c r="H137" s="89">
        <f t="shared" si="56"/>
        <v>13209.599999999999</v>
      </c>
      <c r="I137" s="108">
        <f t="shared" si="56"/>
        <v>16384.992197260275</v>
      </c>
      <c r="J137" s="108">
        <f t="shared" si="56"/>
        <v>21447.255038904113</v>
      </c>
      <c r="K137" s="108">
        <f t="shared" si="56"/>
        <v>27215.172147945214</v>
      </c>
      <c r="L137" s="108">
        <f t="shared" si="56"/>
        <v>24602.515621742474</v>
      </c>
      <c r="M137" s="108">
        <f t="shared" si="56"/>
        <v>26643.653532838369</v>
      </c>
    </row>
    <row r="138" spans="1:13" outlineLevel="1" x14ac:dyDescent="0.35">
      <c r="A138" s="9" t="s">
        <v>36</v>
      </c>
      <c r="D138" s="33">
        <f>D137-C137</f>
        <v>9002.6500000000015</v>
      </c>
      <c r="E138" s="33">
        <f t="shared" ref="E138:M138" si="57">E137-D137</f>
        <v>1702.0499999999993</v>
      </c>
      <c r="F138" s="33">
        <f t="shared" si="57"/>
        <v>774.84999999999854</v>
      </c>
      <c r="G138" s="33">
        <f t="shared" si="57"/>
        <v>902.90000000000146</v>
      </c>
      <c r="H138" s="33">
        <f t="shared" si="57"/>
        <v>827.14999999999782</v>
      </c>
      <c r="I138" s="107">
        <f t="shared" si="57"/>
        <v>3175.3921972602766</v>
      </c>
      <c r="J138" s="107">
        <f t="shared" si="57"/>
        <v>5062.2628416438383</v>
      </c>
      <c r="K138" s="107">
        <f t="shared" si="57"/>
        <v>5767.9171090411</v>
      </c>
      <c r="L138" s="107">
        <f t="shared" si="57"/>
        <v>-2612.6565262027398</v>
      </c>
      <c r="M138" s="107">
        <f t="shared" si="57"/>
        <v>2041.1379110958951</v>
      </c>
    </row>
    <row r="139" spans="1:13" outlineLevel="1" x14ac:dyDescent="0.35">
      <c r="D139" s="13"/>
      <c r="E139" s="13"/>
      <c r="F139" s="13"/>
      <c r="G139" s="13"/>
      <c r="H139" s="13"/>
      <c r="I139" s="107"/>
      <c r="J139" s="107"/>
      <c r="K139" s="107"/>
      <c r="L139" s="107"/>
      <c r="M139" s="107"/>
    </row>
    <row r="140" spans="1:13" outlineLevel="1" x14ac:dyDescent="0.35">
      <c r="A140" s="11" t="s">
        <v>53</v>
      </c>
      <c r="D140" s="13"/>
      <c r="E140" s="13"/>
      <c r="F140" s="13"/>
      <c r="G140" s="13"/>
      <c r="H140" s="13"/>
      <c r="I140" s="107"/>
      <c r="J140" s="107"/>
      <c r="K140" s="107"/>
      <c r="L140" s="107"/>
      <c r="M140" s="107"/>
    </row>
    <row r="141" spans="1:13" outlineLevel="1" x14ac:dyDescent="0.35">
      <c r="A141" s="9" t="s">
        <v>15</v>
      </c>
      <c r="D141" s="13">
        <v>50000</v>
      </c>
      <c r="E141" s="13">
        <v>45500</v>
      </c>
      <c r="F141" s="13">
        <v>42350</v>
      </c>
      <c r="G141" s="13">
        <v>40145</v>
      </c>
      <c r="H141" s="13">
        <v>38601.5</v>
      </c>
      <c r="I141" s="107">
        <f t="shared" ref="I141:M141" si="58">H144</f>
        <v>37521.050000000003</v>
      </c>
      <c r="J141" s="107">
        <f t="shared" si="58"/>
        <v>39388.682500000003</v>
      </c>
      <c r="K141" s="107">
        <f t="shared" si="58"/>
        <v>40602.643625000004</v>
      </c>
      <c r="L141" s="107">
        <f t="shared" si="58"/>
        <v>41391.718356249999</v>
      </c>
      <c r="M141" s="107">
        <f t="shared" si="58"/>
        <v>41904.616931562501</v>
      </c>
    </row>
    <row r="142" spans="1:13" outlineLevel="1" x14ac:dyDescent="0.35">
      <c r="A142" s="9" t="s">
        <v>16</v>
      </c>
      <c r="D142" s="13">
        <v>15000</v>
      </c>
      <c r="E142" s="13">
        <v>15000</v>
      </c>
      <c r="F142" s="13">
        <v>15000</v>
      </c>
      <c r="G142" s="13">
        <v>15000</v>
      </c>
      <c r="H142" s="13">
        <v>15000</v>
      </c>
      <c r="I142" s="107">
        <f>I65</f>
        <v>15000</v>
      </c>
      <c r="J142" s="107">
        <f>J65</f>
        <v>15000</v>
      </c>
      <c r="K142" s="107">
        <f>K65</f>
        <v>15000</v>
      </c>
      <c r="L142" s="107">
        <f>L65</f>
        <v>15000</v>
      </c>
      <c r="M142" s="107">
        <f>M65</f>
        <v>15000</v>
      </c>
    </row>
    <row r="143" spans="1:13" outlineLevel="1" x14ac:dyDescent="0.35">
      <c r="A143" s="9" t="s">
        <v>17</v>
      </c>
      <c r="C143" s="79"/>
      <c r="D143" s="13">
        <v>19500</v>
      </c>
      <c r="E143" s="13">
        <v>18150</v>
      </c>
      <c r="F143" s="13">
        <v>17205</v>
      </c>
      <c r="G143" s="13">
        <v>16543.5</v>
      </c>
      <c r="H143" s="13">
        <v>16080.449999999999</v>
      </c>
      <c r="I143" s="109">
        <f>I141*I59</f>
        <v>13132.3675</v>
      </c>
      <c r="J143" s="110">
        <f>J141*J59</f>
        <v>13786.038875</v>
      </c>
      <c r="K143" s="110">
        <f>K141*K59</f>
        <v>14210.925268750001</v>
      </c>
      <c r="L143" s="110">
        <f>L141*L59</f>
        <v>14487.101424687498</v>
      </c>
      <c r="M143" s="110">
        <f>M141*M59</f>
        <v>14666.615926046874</v>
      </c>
    </row>
    <row r="144" spans="1:13" outlineLevel="1" x14ac:dyDescent="0.35">
      <c r="A144" s="6" t="s">
        <v>18</v>
      </c>
      <c r="B144" s="6"/>
      <c r="C144" s="87"/>
      <c r="D144" s="89">
        <f>D141+D142-D143</f>
        <v>45500</v>
      </c>
      <c r="E144" s="89">
        <f t="shared" ref="E144:M144" si="59">E141+E142-E143</f>
        <v>42350</v>
      </c>
      <c r="F144" s="89">
        <f t="shared" si="59"/>
        <v>40145</v>
      </c>
      <c r="G144" s="89">
        <f t="shared" si="59"/>
        <v>38601.5</v>
      </c>
      <c r="H144" s="89">
        <f t="shared" si="59"/>
        <v>37521.050000000003</v>
      </c>
      <c r="I144" s="108">
        <f t="shared" si="59"/>
        <v>39388.682500000003</v>
      </c>
      <c r="J144" s="108">
        <f t="shared" si="59"/>
        <v>40602.643625000004</v>
      </c>
      <c r="K144" s="108">
        <f t="shared" si="59"/>
        <v>41391.718356249999</v>
      </c>
      <c r="L144" s="108">
        <f t="shared" si="59"/>
        <v>41904.616931562501</v>
      </c>
      <c r="M144" s="108">
        <f t="shared" si="59"/>
        <v>42238.001005515631</v>
      </c>
    </row>
    <row r="145" spans="1:13" outlineLevel="1" x14ac:dyDescent="0.35">
      <c r="D145" s="13"/>
      <c r="E145" s="13"/>
      <c r="F145" s="13"/>
      <c r="G145" s="13"/>
      <c r="H145" s="13"/>
      <c r="I145" s="107"/>
      <c r="J145" s="107"/>
      <c r="K145" s="107"/>
      <c r="L145" s="107"/>
      <c r="M145" s="107"/>
    </row>
    <row r="146" spans="1:13" outlineLevel="1" x14ac:dyDescent="0.35">
      <c r="A146" s="11" t="s">
        <v>54</v>
      </c>
      <c r="D146" s="13"/>
      <c r="E146" s="13"/>
      <c r="F146" s="13"/>
      <c r="G146" s="13"/>
      <c r="H146" s="13"/>
      <c r="I146" s="107"/>
      <c r="J146" s="107"/>
      <c r="K146" s="107"/>
      <c r="L146" s="107"/>
      <c r="M146" s="107"/>
    </row>
    <row r="147" spans="1:13" outlineLevel="1" x14ac:dyDescent="0.35">
      <c r="A147" s="9" t="s">
        <v>24</v>
      </c>
      <c r="D147" s="13">
        <v>50000</v>
      </c>
      <c r="E147" s="13">
        <v>50000</v>
      </c>
      <c r="F147" s="13">
        <v>50000</v>
      </c>
      <c r="G147" s="13">
        <v>30000</v>
      </c>
      <c r="H147" s="13">
        <v>30000</v>
      </c>
      <c r="I147" s="107">
        <f t="shared" ref="I147:M147" si="60">H149</f>
        <v>30000</v>
      </c>
      <c r="J147" s="107">
        <f t="shared" si="60"/>
        <v>30000</v>
      </c>
      <c r="K147" s="107">
        <f t="shared" si="60"/>
        <v>30000</v>
      </c>
      <c r="L147" s="107">
        <f t="shared" si="60"/>
        <v>10000</v>
      </c>
      <c r="M147" s="107">
        <f t="shared" si="60"/>
        <v>10000</v>
      </c>
    </row>
    <row r="148" spans="1:13" outlineLevel="1" x14ac:dyDescent="0.35">
      <c r="A148" s="9" t="s">
        <v>25</v>
      </c>
      <c r="D148" s="13">
        <v>0</v>
      </c>
      <c r="E148" s="13">
        <v>0</v>
      </c>
      <c r="F148" s="13">
        <v>-20000</v>
      </c>
      <c r="G148" s="13">
        <v>0</v>
      </c>
      <c r="H148" s="13">
        <v>0</v>
      </c>
      <c r="I148" s="111">
        <f>I66</f>
        <v>0</v>
      </c>
      <c r="J148" s="111">
        <f>J66</f>
        <v>0</v>
      </c>
      <c r="K148" s="111">
        <f>K66</f>
        <v>-20000</v>
      </c>
      <c r="L148" s="111">
        <f>L66</f>
        <v>0</v>
      </c>
      <c r="M148" s="111">
        <f>M66</f>
        <v>0</v>
      </c>
    </row>
    <row r="149" spans="1:13" outlineLevel="1" x14ac:dyDescent="0.35">
      <c r="A149" s="6" t="s">
        <v>26</v>
      </c>
      <c r="B149" s="6"/>
      <c r="C149" s="87"/>
      <c r="D149" s="89">
        <f>SUM(D147:D148)</f>
        <v>50000</v>
      </c>
      <c r="E149" s="89">
        <f t="shared" ref="E149:H149" si="61">SUM(E147:E148)</f>
        <v>50000</v>
      </c>
      <c r="F149" s="89">
        <f t="shared" si="61"/>
        <v>30000</v>
      </c>
      <c r="G149" s="89">
        <f t="shared" si="61"/>
        <v>30000</v>
      </c>
      <c r="H149" s="89">
        <f t="shared" si="61"/>
        <v>30000</v>
      </c>
      <c r="I149" s="112">
        <f t="shared" ref="I149:M149" si="62">SUM(I147:I148)</f>
        <v>30000</v>
      </c>
      <c r="J149" s="112">
        <f t="shared" si="62"/>
        <v>30000</v>
      </c>
      <c r="K149" s="112">
        <f t="shared" si="62"/>
        <v>10000</v>
      </c>
      <c r="L149" s="112">
        <f t="shared" si="62"/>
        <v>10000</v>
      </c>
      <c r="M149" s="112">
        <f t="shared" si="62"/>
        <v>10000</v>
      </c>
    </row>
    <row r="150" spans="1:13" outlineLevel="1" x14ac:dyDescent="0.35">
      <c r="A150" s="9" t="s">
        <v>27</v>
      </c>
      <c r="C150" s="79"/>
      <c r="D150" s="13">
        <v>2500</v>
      </c>
      <c r="E150" s="13">
        <v>2500</v>
      </c>
      <c r="F150" s="13">
        <v>1500</v>
      </c>
      <c r="G150" s="13">
        <v>1500</v>
      </c>
      <c r="H150" s="13">
        <v>1500</v>
      </c>
      <c r="I150" s="107">
        <f>I149*I60</f>
        <v>3000</v>
      </c>
      <c r="J150" s="107">
        <f>J149*J60</f>
        <v>3000</v>
      </c>
      <c r="K150" s="107">
        <f>K149*K60</f>
        <v>1000</v>
      </c>
      <c r="L150" s="107">
        <f>L149*L60</f>
        <v>1000</v>
      </c>
      <c r="M150" s="107">
        <f>M149*M60</f>
        <v>1000</v>
      </c>
    </row>
    <row r="151" spans="1:13" outlineLevel="1" x14ac:dyDescent="0.35">
      <c r="D151" s="13"/>
      <c r="E151" s="13"/>
      <c r="F151" s="13"/>
      <c r="G151" s="13"/>
      <c r="H151" s="13"/>
    </row>
    <row r="152" spans="1:13" outlineLevel="1" x14ac:dyDescent="0.35">
      <c r="D152" s="13"/>
      <c r="E152" s="13"/>
      <c r="F152" s="13"/>
      <c r="G152" s="13"/>
      <c r="H152" s="13"/>
    </row>
    <row r="153" spans="1:13" x14ac:dyDescent="0.35">
      <c r="D153" s="13"/>
      <c r="E153" s="13"/>
      <c r="F153" s="13"/>
      <c r="G153" s="13"/>
      <c r="H153" s="13"/>
    </row>
    <row r="154" spans="1:13" ht="20" x14ac:dyDescent="0.4">
      <c r="A154" s="119" t="s">
        <v>76</v>
      </c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</row>
    <row r="155" spans="1:13" outlineLevel="1" x14ac:dyDescent="0.35">
      <c r="A155" s="11"/>
      <c r="D155" s="13"/>
      <c r="E155" s="13"/>
      <c r="F155" s="13"/>
      <c r="G155" s="13"/>
      <c r="H155" s="13"/>
    </row>
    <row r="156" spans="1:13" outlineLevel="1" x14ac:dyDescent="0.35">
      <c r="A156" s="90" t="s">
        <v>73</v>
      </c>
      <c r="B156" s="13"/>
      <c r="C156" s="13"/>
      <c r="D156" s="13"/>
    </row>
    <row r="157" spans="1:13" outlineLevel="1" x14ac:dyDescent="0.35">
      <c r="A157" s="89" t="s">
        <v>85</v>
      </c>
      <c r="B157" s="91"/>
      <c r="C157" s="92">
        <v>0.25</v>
      </c>
      <c r="D157" s="13"/>
    </row>
    <row r="158" spans="1:13" outlineLevel="1" x14ac:dyDescent="0.35">
      <c r="A158" s="33" t="s">
        <v>86</v>
      </c>
      <c r="C158" s="93">
        <v>0.12</v>
      </c>
    </row>
    <row r="159" spans="1:13" outlineLevel="1" x14ac:dyDescent="0.35">
      <c r="A159" s="9" t="s">
        <v>87</v>
      </c>
      <c r="C159" s="93">
        <v>0.04</v>
      </c>
      <c r="J159" s="79"/>
      <c r="K159" s="79"/>
      <c r="L159" s="79"/>
      <c r="M159" s="79"/>
    </row>
    <row r="160" spans="1:13" outlineLevel="1" x14ac:dyDescent="0.35">
      <c r="A160" s="9" t="s">
        <v>88</v>
      </c>
      <c r="C160" s="170">
        <v>8</v>
      </c>
      <c r="J160" s="79"/>
      <c r="K160" s="79"/>
      <c r="L160" s="79"/>
      <c r="M160" s="79"/>
    </row>
    <row r="161" spans="1:13" outlineLevel="1" x14ac:dyDescent="0.35">
      <c r="A161" s="9" t="s">
        <v>93</v>
      </c>
      <c r="C161" s="94">
        <v>43100</v>
      </c>
      <c r="J161" s="79"/>
      <c r="K161" s="79"/>
      <c r="L161" s="79"/>
      <c r="M161" s="79"/>
    </row>
    <row r="162" spans="1:13" outlineLevel="1" x14ac:dyDescent="0.35">
      <c r="A162" s="9" t="s">
        <v>101</v>
      </c>
      <c r="C162" s="95">
        <v>16</v>
      </c>
      <c r="J162" s="79"/>
      <c r="K162" s="79"/>
      <c r="L162" s="79"/>
      <c r="M162" s="79"/>
    </row>
    <row r="163" spans="1:13" outlineLevel="1" x14ac:dyDescent="0.35">
      <c r="A163" s="9" t="s">
        <v>96</v>
      </c>
      <c r="C163" s="96">
        <v>20000</v>
      </c>
    </row>
    <row r="164" spans="1:13" outlineLevel="1" x14ac:dyDescent="0.35">
      <c r="C164" s="96"/>
    </row>
    <row r="165" spans="1:13" outlineLevel="1" x14ac:dyDescent="0.35">
      <c r="C165" s="94"/>
    </row>
    <row r="166" spans="1:13" outlineLevel="1" x14ac:dyDescent="0.35">
      <c r="A166" s="1" t="s">
        <v>94</v>
      </c>
      <c r="B166" s="7"/>
      <c r="C166" s="97" t="s">
        <v>98</v>
      </c>
      <c r="D166" s="98">
        <f>YEAR(D167)</f>
        <v>2018</v>
      </c>
      <c r="E166" s="98">
        <f>+D166+1</f>
        <v>2019</v>
      </c>
      <c r="F166" s="98">
        <f t="shared" ref="F166:H166" si="63">+E166+1</f>
        <v>2020</v>
      </c>
      <c r="G166" s="98">
        <f t="shared" si="63"/>
        <v>2021</v>
      </c>
      <c r="H166" s="98">
        <f t="shared" si="63"/>
        <v>2022</v>
      </c>
      <c r="I166" s="97" t="s">
        <v>99</v>
      </c>
      <c r="K166" s="11" t="s">
        <v>83</v>
      </c>
    </row>
    <row r="167" spans="1:13" outlineLevel="1" x14ac:dyDescent="0.35">
      <c r="A167" s="6" t="s">
        <v>100</v>
      </c>
      <c r="B167" s="6"/>
      <c r="C167" s="99">
        <f>C161</f>
        <v>43100</v>
      </c>
      <c r="D167" s="99">
        <f>DATE(YEAR(C167+1),12,31)</f>
        <v>43465</v>
      </c>
      <c r="E167" s="99">
        <f t="shared" ref="E167:H167" si="64">DATE(YEAR(D167+1),12,31)</f>
        <v>43830</v>
      </c>
      <c r="F167" s="99">
        <f t="shared" si="64"/>
        <v>44196</v>
      </c>
      <c r="G167" s="99">
        <f t="shared" si="64"/>
        <v>44561</v>
      </c>
      <c r="H167" s="99">
        <f t="shared" si="64"/>
        <v>44926</v>
      </c>
      <c r="I167" s="99">
        <f>H167</f>
        <v>44926</v>
      </c>
      <c r="K167" s="6" t="s">
        <v>84</v>
      </c>
      <c r="L167" s="6"/>
      <c r="M167" s="100"/>
    </row>
    <row r="168" spans="1:13" outlineLevel="1" x14ac:dyDescent="0.35">
      <c r="C168" s="9"/>
      <c r="D168" s="101"/>
      <c r="K168" s="9" t="s">
        <v>91</v>
      </c>
      <c r="M168" s="5">
        <f>+H174*(C160*(1+$J$217))</f>
        <v>812428.08468480036</v>
      </c>
    </row>
    <row r="169" spans="1:13" outlineLevel="1" x14ac:dyDescent="0.35">
      <c r="A169" s="9" t="s">
        <v>77</v>
      </c>
      <c r="C169" s="9"/>
      <c r="D169" s="9">
        <f>I80</f>
        <v>36865.804500000006</v>
      </c>
      <c r="E169" s="9">
        <f t="shared" ref="E169:H169" si="65">J80</f>
        <v>33890.244325000007</v>
      </c>
      <c r="F169" s="9">
        <f t="shared" si="65"/>
        <v>36012.660291250009</v>
      </c>
      <c r="G169" s="9">
        <f t="shared" si="65"/>
        <v>73263.182619312545</v>
      </c>
      <c r="H169" s="9">
        <f t="shared" si="65"/>
        <v>85886.894659553174</v>
      </c>
      <c r="K169" s="9" t="s">
        <v>92</v>
      </c>
      <c r="M169" s="6">
        <f>AVERAGE(M167:M168)</f>
        <v>812428.08468480036</v>
      </c>
    </row>
    <row r="170" spans="1:13" outlineLevel="1" x14ac:dyDescent="0.35">
      <c r="A170" s="9" t="s">
        <v>6</v>
      </c>
      <c r="C170" s="9"/>
      <c r="D170" s="9">
        <f>I78</f>
        <v>3000</v>
      </c>
      <c r="E170" s="9">
        <f t="shared" ref="E170:H170" si="66">J78</f>
        <v>3000</v>
      </c>
      <c r="F170" s="9">
        <f t="shared" si="66"/>
        <v>1000</v>
      </c>
      <c r="G170" s="9">
        <f t="shared" si="66"/>
        <v>1000</v>
      </c>
      <c r="H170" s="9">
        <f t="shared" si="66"/>
        <v>1000</v>
      </c>
    </row>
    <row r="171" spans="1:13" outlineLevel="1" x14ac:dyDescent="0.35">
      <c r="A171" s="9" t="s">
        <v>78</v>
      </c>
      <c r="C171" s="9"/>
      <c r="D171" s="6">
        <f>SUM(D169:D170)</f>
        <v>39865.804500000006</v>
      </c>
      <c r="E171" s="6">
        <f t="shared" ref="E171:H171" si="67">SUM(E169:E170)</f>
        <v>36890.244325000007</v>
      </c>
      <c r="F171" s="6">
        <f t="shared" si="67"/>
        <v>37012.660291250009</v>
      </c>
      <c r="G171" s="6">
        <f t="shared" si="67"/>
        <v>74263.182619312545</v>
      </c>
      <c r="H171" s="6">
        <f t="shared" si="67"/>
        <v>86886.894659553174</v>
      </c>
    </row>
    <row r="172" spans="1:13" outlineLevel="1" x14ac:dyDescent="0.35">
      <c r="A172" s="9" t="s">
        <v>79</v>
      </c>
      <c r="C172" s="9"/>
      <c r="D172" s="5">
        <f>D171*$C$157</f>
        <v>9966.4511250000014</v>
      </c>
      <c r="E172" s="5">
        <f t="shared" ref="E172:H172" si="68">E171*$C$157</f>
        <v>9222.5610812500017</v>
      </c>
      <c r="F172" s="5">
        <f t="shared" si="68"/>
        <v>9253.1650728125023</v>
      </c>
      <c r="G172" s="5">
        <f t="shared" si="68"/>
        <v>18565.795654828136</v>
      </c>
      <c r="H172" s="5">
        <f t="shared" si="68"/>
        <v>21721.723664888294</v>
      </c>
    </row>
    <row r="173" spans="1:13" outlineLevel="1" x14ac:dyDescent="0.35">
      <c r="A173" s="9" t="s">
        <v>82</v>
      </c>
      <c r="C173" s="9"/>
      <c r="D173" s="5">
        <f>+I112</f>
        <v>13132.3675</v>
      </c>
      <c r="E173" s="5">
        <f t="shared" ref="E173:H173" si="69">+J112</f>
        <v>13786.038875</v>
      </c>
      <c r="F173" s="5">
        <f t="shared" si="69"/>
        <v>14210.925268750001</v>
      </c>
      <c r="G173" s="5">
        <f t="shared" si="69"/>
        <v>14487.101424687498</v>
      </c>
      <c r="H173" s="5">
        <f t="shared" si="69"/>
        <v>14666.615926046874</v>
      </c>
    </row>
    <row r="174" spans="1:13" outlineLevel="1" x14ac:dyDescent="0.35">
      <c r="A174" s="9" t="s">
        <v>117</v>
      </c>
      <c r="C174" s="9"/>
      <c r="D174" s="102">
        <f>D171+D173</f>
        <v>52998.172000000006</v>
      </c>
      <c r="E174" s="102">
        <f t="shared" ref="E174:H174" si="70">E171+E173</f>
        <v>50676.283200000005</v>
      </c>
      <c r="F174" s="102">
        <f t="shared" si="70"/>
        <v>51223.585560000007</v>
      </c>
      <c r="G174" s="102">
        <f t="shared" si="70"/>
        <v>88750.284044000044</v>
      </c>
      <c r="H174" s="102">
        <f t="shared" si="70"/>
        <v>101553.51058560004</v>
      </c>
    </row>
    <row r="175" spans="1:13" outlineLevel="1" x14ac:dyDescent="0.35">
      <c r="A175" s="9" t="s">
        <v>80</v>
      </c>
      <c r="C175" s="9"/>
      <c r="D175" s="9">
        <f>I117</f>
        <v>15000</v>
      </c>
      <c r="E175" s="9">
        <f t="shared" ref="E175:H175" si="71">J117</f>
        <v>15000</v>
      </c>
      <c r="F175" s="9">
        <f t="shared" si="71"/>
        <v>15000</v>
      </c>
      <c r="G175" s="9">
        <f t="shared" si="71"/>
        <v>15000</v>
      </c>
      <c r="H175" s="9">
        <f t="shared" si="71"/>
        <v>15000</v>
      </c>
    </row>
    <row r="176" spans="1:13" outlineLevel="1" x14ac:dyDescent="0.35">
      <c r="A176" s="9" t="s">
        <v>81</v>
      </c>
      <c r="C176" s="9"/>
      <c r="D176" s="9">
        <f>I138</f>
        <v>3175.3921972602766</v>
      </c>
      <c r="E176" s="9">
        <f t="shared" ref="E176:H176" si="72">J138</f>
        <v>5062.2628416438383</v>
      </c>
      <c r="F176" s="9">
        <f t="shared" si="72"/>
        <v>5767.9171090411</v>
      </c>
      <c r="G176" s="9">
        <f t="shared" si="72"/>
        <v>-2612.6565262027398</v>
      </c>
      <c r="H176" s="9">
        <f t="shared" si="72"/>
        <v>2041.1379110958951</v>
      </c>
    </row>
    <row r="177" spans="1:11" outlineLevel="1" x14ac:dyDescent="0.35">
      <c r="A177" s="9" t="s">
        <v>89</v>
      </c>
      <c r="C177" s="9"/>
      <c r="D177" s="6">
        <f>D171-D172+D173-D175-D176</f>
        <v>24856.32867773973</v>
      </c>
      <c r="E177" s="6">
        <f t="shared" ref="E177:H177" si="73">E171-E172+E173-E175-E176</f>
        <v>21391.459277106165</v>
      </c>
      <c r="F177" s="6">
        <f t="shared" si="73"/>
        <v>21202.503378146412</v>
      </c>
      <c r="G177" s="6">
        <f t="shared" si="73"/>
        <v>57797.144915374651</v>
      </c>
      <c r="H177" s="6">
        <f t="shared" si="73"/>
        <v>62790.649009615852</v>
      </c>
    </row>
    <row r="178" spans="1:11" outlineLevel="1" x14ac:dyDescent="0.35">
      <c r="A178" s="9" t="s">
        <v>90</v>
      </c>
      <c r="C178" s="7"/>
      <c r="I178" s="7">
        <f>M169</f>
        <v>812428.08468480036</v>
      </c>
    </row>
    <row r="179" spans="1:11" outlineLevel="1" x14ac:dyDescent="0.35">
      <c r="A179" s="9" t="s">
        <v>95</v>
      </c>
      <c r="C179" s="6">
        <f t="shared" ref="C179:I179" si="74">C178+C177</f>
        <v>0</v>
      </c>
      <c r="D179" s="6">
        <f t="shared" si="74"/>
        <v>24856.32867773973</v>
      </c>
      <c r="E179" s="6">
        <f t="shared" si="74"/>
        <v>21391.459277106165</v>
      </c>
      <c r="F179" s="6">
        <f t="shared" si="74"/>
        <v>21202.503378146412</v>
      </c>
      <c r="G179" s="6">
        <f t="shared" si="74"/>
        <v>57797.144915374651</v>
      </c>
      <c r="H179" s="6">
        <f t="shared" si="74"/>
        <v>62790.649009615852</v>
      </c>
      <c r="I179" s="6">
        <f t="shared" si="74"/>
        <v>812428.08468480036</v>
      </c>
    </row>
    <row r="180" spans="1:11" outlineLevel="1" x14ac:dyDescent="0.35">
      <c r="A180" s="9" t="s">
        <v>97</v>
      </c>
      <c r="C180" s="8">
        <f>-G195</f>
        <v>-210450.4796348151</v>
      </c>
      <c r="D180" s="8">
        <f>D179</f>
        <v>24856.32867773973</v>
      </c>
      <c r="E180" s="8">
        <f t="shared" ref="E180:I180" si="75">E179</f>
        <v>21391.459277106165</v>
      </c>
      <c r="F180" s="8">
        <f t="shared" ref="F180" si="76">F179</f>
        <v>21202.503378146412</v>
      </c>
      <c r="G180" s="8">
        <f t="shared" ref="G180" si="77">G179</f>
        <v>57797.144915374651</v>
      </c>
      <c r="H180" s="8">
        <f t="shared" si="75"/>
        <v>62790.649009615852</v>
      </c>
      <c r="I180" s="8">
        <f t="shared" si="75"/>
        <v>812428.08468480036</v>
      </c>
    </row>
    <row r="181" spans="1:11" outlineLevel="1" x14ac:dyDescent="0.35">
      <c r="C181" s="8"/>
      <c r="D181" s="8"/>
      <c r="E181" s="8"/>
      <c r="F181" s="8"/>
      <c r="G181" s="8"/>
      <c r="H181" s="8"/>
      <c r="I181" s="8"/>
    </row>
    <row r="182" spans="1:11" outlineLevel="1" x14ac:dyDescent="0.35">
      <c r="A182" s="11" t="s">
        <v>119</v>
      </c>
      <c r="C182" s="8"/>
      <c r="D182" s="8"/>
      <c r="E182" s="8"/>
      <c r="F182" s="8"/>
      <c r="G182" s="8"/>
      <c r="H182" s="8"/>
      <c r="I182" s="8"/>
    </row>
    <row r="183" spans="1:11" outlineLevel="1" x14ac:dyDescent="0.35">
      <c r="A183" s="8">
        <f>XNPV($C$158,$C183:$H183,$C$167:$H$167)</f>
        <v>22193.150605124756</v>
      </c>
      <c r="B183" s="29">
        <f>A183/$A$189</f>
        <v>3.777420607276432E-2</v>
      </c>
      <c r="C183" s="8">
        <v>0</v>
      </c>
      <c r="D183" s="8">
        <f>D180</f>
        <v>24856.32867773973</v>
      </c>
      <c r="E183" s="8">
        <v>0</v>
      </c>
      <c r="F183" s="8">
        <v>0</v>
      </c>
      <c r="G183" s="8">
        <v>0</v>
      </c>
      <c r="H183" s="8">
        <v>0</v>
      </c>
      <c r="I183" s="8"/>
    </row>
    <row r="184" spans="1:11" outlineLevel="1" x14ac:dyDescent="0.35">
      <c r="A184" s="8">
        <f t="shared" ref="A184:A188" si="78">XNPV($C$158,$C184:$H184,$C$167:$H$167)</f>
        <v>17053.140367591008</v>
      </c>
      <c r="B184" s="29">
        <f t="shared" ref="B184:B188" si="79">A184/$A$189</f>
        <v>2.9025569640590356E-2</v>
      </c>
      <c r="C184" s="8">
        <v>0</v>
      </c>
      <c r="D184" s="8">
        <v>0</v>
      </c>
      <c r="E184" s="8">
        <f>E180</f>
        <v>21391.459277106165</v>
      </c>
      <c r="F184" s="8">
        <v>0</v>
      </c>
      <c r="G184" s="8">
        <v>0</v>
      </c>
      <c r="H184" s="8">
        <v>0</v>
      </c>
      <c r="I184" s="8"/>
    </row>
    <row r="185" spans="1:11" outlineLevel="1" x14ac:dyDescent="0.35">
      <c r="A185" s="8">
        <f t="shared" si="78"/>
        <v>15086.8380759257</v>
      </c>
      <c r="B185" s="29">
        <f t="shared" si="79"/>
        <v>2.5678793453275939E-2</v>
      </c>
      <c r="C185" s="8">
        <v>0</v>
      </c>
      <c r="D185" s="8">
        <v>0</v>
      </c>
      <c r="E185" s="8">
        <v>0</v>
      </c>
      <c r="F185" s="8">
        <f>F180</f>
        <v>21202.503378146412</v>
      </c>
      <c r="G185" s="8">
        <v>0</v>
      </c>
      <c r="H185" s="8">
        <v>0</v>
      </c>
      <c r="I185" s="8"/>
    </row>
    <row r="186" spans="1:11" outlineLevel="1" x14ac:dyDescent="0.35">
      <c r="A186" s="8">
        <f t="shared" si="78"/>
        <v>36719.727612103517</v>
      </c>
      <c r="B186" s="29">
        <f t="shared" si="79"/>
        <v>6.2499398234835489E-2</v>
      </c>
      <c r="C186" s="8">
        <v>0</v>
      </c>
      <c r="D186" s="8">
        <v>0</v>
      </c>
      <c r="E186" s="8">
        <v>0</v>
      </c>
      <c r="F186" s="8">
        <v>0</v>
      </c>
      <c r="G186" s="8">
        <f>G180</f>
        <v>57797.144915374651</v>
      </c>
      <c r="H186" s="8">
        <v>0</v>
      </c>
      <c r="I186" s="8"/>
    </row>
    <row r="187" spans="1:11" outlineLevel="1" x14ac:dyDescent="0.35">
      <c r="A187" s="8">
        <f t="shared" si="78"/>
        <v>35618.03978991929</v>
      </c>
      <c r="B187" s="29">
        <f t="shared" si="79"/>
        <v>6.0624252899975632E-2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f>H180</f>
        <v>62790.649009615852</v>
      </c>
      <c r="I187" s="8"/>
    </row>
    <row r="188" spans="1:11" outlineLevel="1" x14ac:dyDescent="0.35">
      <c r="A188" s="8">
        <f t="shared" si="78"/>
        <v>460850.40214060643</v>
      </c>
      <c r="B188" s="29">
        <f t="shared" si="79"/>
        <v>0.78439777969855828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f>I178</f>
        <v>812428.08468480036</v>
      </c>
      <c r="I188" s="8"/>
    </row>
    <row r="189" spans="1:11" outlineLevel="1" x14ac:dyDescent="0.35">
      <c r="A189" s="52">
        <f>SUM(A183:A188)</f>
        <v>587521.29859127069</v>
      </c>
      <c r="B189" s="103">
        <f>SUM(B183:B188)</f>
        <v>1</v>
      </c>
      <c r="C189" s="6">
        <f>SUM(C183:C188)</f>
        <v>0</v>
      </c>
      <c r="D189" s="6">
        <f t="shared" ref="D189:H189" si="80">SUM(D183:D188)</f>
        <v>24856.32867773973</v>
      </c>
      <c r="E189" s="6">
        <f t="shared" si="80"/>
        <v>21391.459277106165</v>
      </c>
      <c r="F189" s="6">
        <f t="shared" si="80"/>
        <v>21202.503378146412</v>
      </c>
      <c r="G189" s="6">
        <f t="shared" si="80"/>
        <v>57797.144915374651</v>
      </c>
      <c r="H189" s="6">
        <f t="shared" si="80"/>
        <v>875218.73369441624</v>
      </c>
    </row>
    <row r="190" spans="1:11" outlineLevel="1" x14ac:dyDescent="0.35">
      <c r="A190" s="8"/>
      <c r="B190" s="16"/>
      <c r="C190" s="8"/>
      <c r="D190" s="8"/>
      <c r="E190" s="8"/>
      <c r="F190" s="8"/>
      <c r="G190" s="8"/>
      <c r="H190" s="8"/>
    </row>
    <row r="191" spans="1:11" outlineLevel="1" x14ac:dyDescent="0.35">
      <c r="A191" s="11" t="s">
        <v>111</v>
      </c>
      <c r="C191" s="8"/>
      <c r="E191" s="11" t="s">
        <v>112</v>
      </c>
      <c r="I191" s="11" t="s">
        <v>113</v>
      </c>
    </row>
    <row r="192" spans="1:11" outlineLevel="1" x14ac:dyDescent="0.35">
      <c r="A192" s="6" t="s">
        <v>106</v>
      </c>
      <c r="B192" s="6"/>
      <c r="C192" s="6">
        <f>XNPV(C158*(1+$G$217),C179:I179,C167:I167)</f>
        <v>587521.29859127069</v>
      </c>
      <c r="E192" s="6" t="s">
        <v>102</v>
      </c>
      <c r="F192" s="6"/>
      <c r="G192" s="6">
        <f>C162*C163</f>
        <v>320000</v>
      </c>
      <c r="I192" s="6" t="s">
        <v>101</v>
      </c>
      <c r="J192" s="6"/>
      <c r="K192" s="104">
        <f>C162</f>
        <v>16</v>
      </c>
    </row>
    <row r="193" spans="1:13" outlineLevel="1" x14ac:dyDescent="0.35">
      <c r="A193" s="9" t="s">
        <v>107</v>
      </c>
      <c r="C193" s="9">
        <f>+H89</f>
        <v>139549.5203651849</v>
      </c>
      <c r="E193" s="9" t="s">
        <v>103</v>
      </c>
      <c r="G193" s="9">
        <f>C194</f>
        <v>30000</v>
      </c>
      <c r="I193" s="9" t="s">
        <v>118</v>
      </c>
      <c r="K193" s="105">
        <f>C195/C163</f>
        <v>34.853540947822779</v>
      </c>
    </row>
    <row r="194" spans="1:13" outlineLevel="1" x14ac:dyDescent="0.35">
      <c r="A194" s="9" t="s">
        <v>108</v>
      </c>
      <c r="C194" s="9">
        <f>H97</f>
        <v>30000</v>
      </c>
      <c r="E194" s="9" t="s">
        <v>104</v>
      </c>
      <c r="G194" s="9">
        <f>+C193</f>
        <v>139549.5203651849</v>
      </c>
      <c r="I194" s="8" t="s">
        <v>114</v>
      </c>
      <c r="J194" s="8"/>
      <c r="K194" s="16">
        <f>K193/K192-1</f>
        <v>1.1783463092389237</v>
      </c>
    </row>
    <row r="195" spans="1:13" outlineLevel="1" x14ac:dyDescent="0.35">
      <c r="A195" s="9" t="s">
        <v>109</v>
      </c>
      <c r="C195" s="6">
        <f>C192+C193-C194</f>
        <v>697070.81895645557</v>
      </c>
      <c r="E195" s="9" t="s">
        <v>105</v>
      </c>
      <c r="G195" s="6">
        <f>G192+G193-G194</f>
        <v>210450.4796348151</v>
      </c>
      <c r="I195" s="9" t="s">
        <v>97</v>
      </c>
      <c r="K195" s="29">
        <f>XIRR(C180:I180,C167:I167)</f>
        <v>0.40537033677101142</v>
      </c>
    </row>
    <row r="196" spans="1:13" outlineLevel="1" x14ac:dyDescent="0.35">
      <c r="C196" s="9"/>
      <c r="G196" s="24"/>
    </row>
    <row r="197" spans="1:13" outlineLevel="1" x14ac:dyDescent="0.35">
      <c r="A197" s="11" t="s">
        <v>110</v>
      </c>
      <c r="C197" s="10">
        <f>C195/C163</f>
        <v>34.853540947822779</v>
      </c>
      <c r="E197" s="11" t="s">
        <v>110</v>
      </c>
      <c r="F197" s="11"/>
      <c r="G197" s="106">
        <f>G192/C163</f>
        <v>16</v>
      </c>
    </row>
    <row r="198" spans="1:13" outlineLevel="1" x14ac:dyDescent="0.35">
      <c r="C198" s="24"/>
    </row>
    <row r="199" spans="1:13" outlineLevel="1" x14ac:dyDescent="0.35">
      <c r="C199" s="29"/>
    </row>
    <row r="200" spans="1:13" x14ac:dyDescent="0.35">
      <c r="C200" s="9"/>
    </row>
    <row r="201" spans="1:13" ht="20" x14ac:dyDescent="0.4">
      <c r="A201" s="119" t="s">
        <v>115</v>
      </c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  <c r="L201" s="119"/>
      <c r="M201" s="119"/>
    </row>
    <row r="202" spans="1:13" outlineLevel="1" x14ac:dyDescent="0.35">
      <c r="A202" s="11"/>
      <c r="D202" s="13"/>
      <c r="E202" s="13"/>
      <c r="F202" s="13"/>
      <c r="G202" s="13"/>
      <c r="H202" s="13"/>
    </row>
    <row r="203" spans="1:13" outlineLevel="1" x14ac:dyDescent="0.35">
      <c r="A203" s="11" t="s">
        <v>163</v>
      </c>
      <c r="D203" s="13"/>
      <c r="E203" s="13"/>
      <c r="F203" s="13"/>
      <c r="G203" s="13"/>
      <c r="H203" s="13"/>
    </row>
    <row r="204" spans="1:13" outlineLevel="1" x14ac:dyDescent="0.35">
      <c r="A204" s="131" t="s">
        <v>120</v>
      </c>
      <c r="B204" s="131"/>
      <c r="C204" s="131"/>
      <c r="D204" s="132"/>
      <c r="E204" s="132"/>
      <c r="F204" s="132"/>
      <c r="G204" s="132"/>
      <c r="H204" s="14"/>
      <c r="I204" s="15"/>
    </row>
    <row r="205" spans="1:13" outlineLevel="1" x14ac:dyDescent="0.35">
      <c r="A205" s="16"/>
      <c r="B205" s="16"/>
      <c r="C205" s="17" t="s">
        <v>122</v>
      </c>
      <c r="D205" s="18"/>
      <c r="E205" s="18"/>
      <c r="F205" s="18"/>
      <c r="G205" s="18"/>
      <c r="H205" s="175" t="s">
        <v>161</v>
      </c>
      <c r="I205" s="15"/>
    </row>
    <row r="206" spans="1:13" outlineLevel="1" x14ac:dyDescent="0.35">
      <c r="A206" s="19"/>
      <c r="B206" s="169">
        <f>C197</f>
        <v>34.853540947822779</v>
      </c>
      <c r="C206" s="20">
        <v>0</v>
      </c>
      <c r="D206" s="21">
        <f>C206+5%</f>
        <v>0.05</v>
      </c>
      <c r="E206" s="21">
        <f t="shared" ref="E206:G206" si="81">D206+5%</f>
        <v>0.1</v>
      </c>
      <c r="F206" s="21">
        <f t="shared" si="81"/>
        <v>0.15000000000000002</v>
      </c>
      <c r="G206" s="21">
        <f t="shared" si="81"/>
        <v>0.2</v>
      </c>
      <c r="H206" s="14"/>
      <c r="I206" s="15"/>
    </row>
    <row r="207" spans="1:13" outlineLevel="1" x14ac:dyDescent="0.35">
      <c r="A207" s="22"/>
      <c r="B207" s="23">
        <v>6</v>
      </c>
      <c r="C207" s="24">
        <f t="dataTable" ref="C207:G211" dt2D="1" dtr="1" r1="I10" r2="C160" ca="1"/>
        <v>26.394779107343521</v>
      </c>
      <c r="D207" s="24">
        <v>27.743845014204357</v>
      </c>
      <c r="E207" s="24">
        <v>29.092910921065201</v>
      </c>
      <c r="F207" s="24">
        <v>30.44197682792603</v>
      </c>
      <c r="G207" s="24">
        <v>31.791042734786881</v>
      </c>
      <c r="H207" s="175" t="s">
        <v>162</v>
      </c>
      <c r="I207" s="15"/>
    </row>
    <row r="208" spans="1:13" outlineLevel="1" x14ac:dyDescent="0.35">
      <c r="A208" s="25"/>
      <c r="B208" s="26">
        <f>+B207+1</f>
        <v>7</v>
      </c>
      <c r="C208" s="24">
        <v>28.974571117031619</v>
      </c>
      <c r="D208" s="142">
        <v>30.473898525737809</v>
      </c>
      <c r="E208" s="142">
        <v>31.973225934443988</v>
      </c>
      <c r="F208" s="142">
        <v>33.472553343150174</v>
      </c>
      <c r="G208" s="24">
        <v>34.971880751856361</v>
      </c>
      <c r="H208" s="14"/>
      <c r="I208" s="15"/>
    </row>
    <row r="209" spans="1:14" outlineLevel="1" x14ac:dyDescent="0.35">
      <c r="A209" s="22" t="s">
        <v>123</v>
      </c>
      <c r="B209" s="26">
        <f t="shared" ref="B209:B211" si="82">+B208+1</f>
        <v>8</v>
      </c>
      <c r="C209" s="24">
        <v>31.554363126719714</v>
      </c>
      <c r="D209" s="142">
        <v>33.20395203727125</v>
      </c>
      <c r="E209" s="141">
        <v>34.853540947822779</v>
      </c>
      <c r="F209" s="142">
        <v>36.503129858374308</v>
      </c>
      <c r="G209" s="24">
        <v>38.152718768925837</v>
      </c>
      <c r="H209" s="14"/>
      <c r="I209" s="15"/>
    </row>
    <row r="210" spans="1:14" outlineLevel="1" x14ac:dyDescent="0.35">
      <c r="A210" s="25"/>
      <c r="B210" s="26">
        <f t="shared" si="82"/>
        <v>9</v>
      </c>
      <c r="C210" s="24">
        <v>34.134155136407813</v>
      </c>
      <c r="D210" s="142">
        <v>35.934005548804699</v>
      </c>
      <c r="E210" s="142">
        <v>37.73385596120157</v>
      </c>
      <c r="F210" s="142">
        <v>39.533706373598442</v>
      </c>
      <c r="G210" s="24">
        <v>41.33355678599532</v>
      </c>
      <c r="H210" s="14"/>
      <c r="I210" s="15"/>
    </row>
    <row r="211" spans="1:14" outlineLevel="1" x14ac:dyDescent="0.35">
      <c r="A211" s="25"/>
      <c r="B211" s="26">
        <f t="shared" si="82"/>
        <v>10</v>
      </c>
      <c r="C211" s="24">
        <v>36.713947146095911</v>
      </c>
      <c r="D211" s="24">
        <v>38.664059060338147</v>
      </c>
      <c r="E211" s="24">
        <v>40.614170974580361</v>
      </c>
      <c r="F211" s="24">
        <v>42.564282888822575</v>
      </c>
      <c r="G211" s="24">
        <v>44.514394803064796</v>
      </c>
      <c r="H211" s="14"/>
      <c r="I211" s="15"/>
      <c r="J211" s="19"/>
      <c r="K211" s="19"/>
      <c r="L211" s="19"/>
      <c r="M211" s="19"/>
      <c r="N211" s="19"/>
    </row>
    <row r="212" spans="1:14" outlineLevel="1" x14ac:dyDescent="0.35">
      <c r="A212" s="27"/>
      <c r="B212" s="28"/>
      <c r="C212" s="24"/>
      <c r="D212" s="24"/>
      <c r="E212" s="24"/>
      <c r="F212" s="24"/>
      <c r="G212" s="24"/>
      <c r="H212" s="14"/>
      <c r="I212" s="15"/>
      <c r="J212" s="19"/>
      <c r="K212" s="19"/>
      <c r="L212" s="19"/>
      <c r="M212" s="19"/>
      <c r="N212" s="19"/>
    </row>
    <row r="213" spans="1:14" outlineLevel="1" x14ac:dyDescent="0.35">
      <c r="A213" s="27"/>
      <c r="B213" s="28"/>
      <c r="C213" s="24"/>
      <c r="D213" s="24"/>
      <c r="E213" s="24"/>
      <c r="F213" s="24"/>
      <c r="G213" s="24"/>
      <c r="H213" s="14"/>
      <c r="I213" s="15"/>
      <c r="J213" s="19"/>
      <c r="K213" s="19"/>
      <c r="L213" s="19"/>
      <c r="M213" s="19"/>
      <c r="N213" s="19"/>
    </row>
    <row r="214" spans="1:14" outlineLevel="1" x14ac:dyDescent="0.35">
      <c r="A214" s="11" t="s">
        <v>164</v>
      </c>
      <c r="C214" s="175" t="s">
        <v>165</v>
      </c>
      <c r="G214" s="19"/>
      <c r="H214" s="14"/>
      <c r="I214" s="175" t="s">
        <v>167</v>
      </c>
      <c r="J214" s="19"/>
      <c r="K214" s="19"/>
      <c r="L214" s="175" t="s">
        <v>168</v>
      </c>
      <c r="M214" s="19"/>
      <c r="N214" s="19"/>
    </row>
    <row r="215" spans="1:14" outlineLevel="1" x14ac:dyDescent="0.35">
      <c r="A215" s="129" t="s">
        <v>144</v>
      </c>
      <c r="B215" s="130"/>
      <c r="D215" s="129" t="s">
        <v>145</v>
      </c>
      <c r="E215" s="130"/>
      <c r="F215" s="8"/>
      <c r="G215" s="129" t="s">
        <v>86</v>
      </c>
      <c r="H215" s="130"/>
      <c r="I215" s="8"/>
      <c r="J215" s="129" t="s">
        <v>91</v>
      </c>
      <c r="K215" s="130"/>
      <c r="M215" s="29"/>
      <c r="N215" s="29"/>
    </row>
    <row r="216" spans="1:14" outlineLevel="1" x14ac:dyDescent="0.35">
      <c r="A216" s="30" t="s">
        <v>124</v>
      </c>
      <c r="B216" s="30" t="s">
        <v>116</v>
      </c>
      <c r="D216" s="30" t="s">
        <v>124</v>
      </c>
      <c r="E216" s="30" t="s">
        <v>116</v>
      </c>
      <c r="G216" s="30" t="s">
        <v>124</v>
      </c>
      <c r="H216" s="30" t="s">
        <v>116</v>
      </c>
      <c r="J216" s="30" t="s">
        <v>124</v>
      </c>
      <c r="K216" s="30" t="s">
        <v>116</v>
      </c>
    </row>
    <row r="217" spans="1:14" outlineLevel="1" x14ac:dyDescent="0.35">
      <c r="A217" s="31">
        <v>0</v>
      </c>
      <c r="B217" s="32">
        <f>$C$197</f>
        <v>34.853540947822779</v>
      </c>
      <c r="D217" s="31">
        <v>0</v>
      </c>
      <c r="E217" s="32">
        <f>$C$197</f>
        <v>34.853540947822779</v>
      </c>
      <c r="G217" s="31">
        <v>0</v>
      </c>
      <c r="H217" s="32">
        <f>$C$197</f>
        <v>34.853540947822779</v>
      </c>
      <c r="J217" s="31">
        <v>0</v>
      </c>
      <c r="K217" s="32">
        <f>$C$197</f>
        <v>34.853540947822779</v>
      </c>
      <c r="L217" s="33"/>
    </row>
    <row r="218" spans="1:14" outlineLevel="1" x14ac:dyDescent="0.35">
      <c r="A218" s="34">
        <v>-0.1</v>
      </c>
      <c r="B218" s="35">
        <f t="dataTable" ref="B218:B219" dt2D="0" dtr="0" r1="A217"/>
        <v>21.470336010352923</v>
      </c>
      <c r="D218" s="34">
        <v>-0.1</v>
      </c>
      <c r="E218" s="35">
        <f t="dataTable" ref="E218:E219" dt2D="0" dtr="0" r1="D217" ca="1"/>
        <v>37.971434899575975</v>
      </c>
      <c r="G218" s="34">
        <v>-0.1</v>
      </c>
      <c r="H218" s="35">
        <f t="dataTable" ref="H218:H219" dt2D="0" dtr="0" r1="G217" ca="1"/>
        <v>36.364257793037702</v>
      </c>
      <c r="J218" s="34">
        <v>-0.1</v>
      </c>
      <c r="K218" s="35">
        <f t="dataTable" ref="K218:K219" dt2D="0" dtr="0" r1="J217" ca="1"/>
        <v>32.549288937119748</v>
      </c>
    </row>
    <row r="219" spans="1:14" outlineLevel="1" x14ac:dyDescent="0.35">
      <c r="A219" s="34">
        <v>0.1</v>
      </c>
      <c r="B219" s="35">
        <v>54.32312360365605</v>
      </c>
      <c r="D219" s="34">
        <v>0.1</v>
      </c>
      <c r="E219" s="35">
        <v>31.735646996069583</v>
      </c>
      <c r="G219" s="34">
        <v>0.1</v>
      </c>
      <c r="H219" s="35">
        <v>33.434550197450889</v>
      </c>
      <c r="I219" s="15"/>
      <c r="J219" s="34">
        <v>0.1</v>
      </c>
      <c r="K219" s="35">
        <v>37.157792958525818</v>
      </c>
    </row>
    <row r="220" spans="1:14" outlineLevel="1" x14ac:dyDescent="0.35">
      <c r="A220" s="36"/>
      <c r="B220" s="172" t="s">
        <v>157</v>
      </c>
      <c r="C220" s="14"/>
      <c r="D220" s="15"/>
      <c r="F220" s="36"/>
      <c r="G220" s="24"/>
      <c r="H220" s="14"/>
      <c r="I220" s="15"/>
    </row>
    <row r="221" spans="1:14" outlineLevel="1" x14ac:dyDescent="0.35">
      <c r="A221" s="133" t="s">
        <v>131</v>
      </c>
      <c r="B221" s="130"/>
      <c r="C221" s="134" t="s">
        <v>146</v>
      </c>
      <c r="D221" s="134" t="s">
        <v>147</v>
      </c>
      <c r="E221" s="135" t="s">
        <v>126</v>
      </c>
      <c r="F221" s="135" t="s">
        <v>148</v>
      </c>
      <c r="G221" s="136" t="s">
        <v>129</v>
      </c>
      <c r="H221" s="137" t="s">
        <v>125</v>
      </c>
      <c r="I221" s="138"/>
      <c r="J221" s="139" t="s">
        <v>127</v>
      </c>
      <c r="K221" s="139" t="s">
        <v>128</v>
      </c>
      <c r="L221" s="19"/>
      <c r="M221" s="19"/>
      <c r="N221" s="19"/>
    </row>
    <row r="222" spans="1:14" outlineLevel="1" x14ac:dyDescent="0.35">
      <c r="A222" s="8" t="str">
        <f>A215</f>
        <v>Revenue</v>
      </c>
      <c r="B222" s="8"/>
      <c r="C222" s="37">
        <f>B218/B217-1</f>
        <v>-0.38398408234919601</v>
      </c>
      <c r="D222" s="37">
        <f>B219/B217-1</f>
        <v>0.55861132402529945</v>
      </c>
      <c r="E222" s="38">
        <v>1</v>
      </c>
      <c r="F222" s="39">
        <f>ABS(D222)</f>
        <v>0.55861132402529945</v>
      </c>
      <c r="G222" s="39">
        <f>SMALL($F$222:$F$225,E222)</f>
        <v>4.071295804624786E-2</v>
      </c>
      <c r="H222" s="40" t="str">
        <f>INDEX($A$222:$G$225,MATCH(G222,$F$222:$F$225,0),MATCH($A$222,$A$222:$F$222,0))</f>
        <v>Discount Rate</v>
      </c>
      <c r="I222" s="16"/>
      <c r="J222" s="16">
        <f>VLOOKUP(H222,$A$222:$D$225,4,FALSE)</f>
        <v>-4.071295804624786E-2</v>
      </c>
      <c r="K222" s="29">
        <f>VLOOKUP(H222,$A$222:$D$225,3,FALSE)</f>
        <v>4.3344716322411214E-2</v>
      </c>
      <c r="N222" s="19"/>
    </row>
    <row r="223" spans="1:14" outlineLevel="1" x14ac:dyDescent="0.35">
      <c r="A223" s="9" t="str">
        <f>D215</f>
        <v>COGS</v>
      </c>
      <c r="C223" s="41">
        <f>E218/E217-1</f>
        <v>8.9457021208284582E-2</v>
      </c>
      <c r="D223" s="41">
        <f>E219/E217-1</f>
        <v>-8.9457021208284582E-2</v>
      </c>
      <c r="E223" s="42">
        <f>E222+1</f>
        <v>2</v>
      </c>
      <c r="F223" s="39">
        <f t="shared" ref="F223:F225" si="83">ABS(D223)</f>
        <v>8.9457021208284582E-2</v>
      </c>
      <c r="G223" s="39">
        <f>SMALL($F$222:$F$225,E223)</f>
        <v>6.6112422096584078E-2</v>
      </c>
      <c r="H223" s="40" t="str">
        <f>INDEX($A$222:$G$225,MATCH(G223,$F$222:$F$225,0),MATCH($A$222,$A$222:$F$222,0))</f>
        <v>EV/EBITDA</v>
      </c>
      <c r="I223" s="29"/>
      <c r="J223" s="16">
        <f t="shared" ref="J223:J225" si="84">VLOOKUP(H223,$A$222:$D$225,4,FALSE)</f>
        <v>6.6112422096584078E-2</v>
      </c>
      <c r="K223" s="29">
        <f t="shared" ref="K223:K225" si="85">VLOOKUP(H223,$A$222:$D$225,3,FALSE)</f>
        <v>-6.6112422096583967E-2</v>
      </c>
      <c r="N223" s="19"/>
    </row>
    <row r="224" spans="1:14" outlineLevel="1" x14ac:dyDescent="0.35">
      <c r="A224" s="9" t="str">
        <f>G215</f>
        <v>Discount Rate</v>
      </c>
      <c r="C224" s="41">
        <f>H218/H217-1</f>
        <v>4.3344716322411214E-2</v>
      </c>
      <c r="D224" s="41">
        <f>H219/H217-1</f>
        <v>-4.071295804624786E-2</v>
      </c>
      <c r="E224" s="42">
        <f t="shared" ref="E224:E225" si="86">E223+1</f>
        <v>3</v>
      </c>
      <c r="F224" s="39">
        <f t="shared" si="83"/>
        <v>4.071295804624786E-2</v>
      </c>
      <c r="G224" s="39">
        <f t="shared" ref="G223:G225" si="87">SMALL($F$222:$F$225,E224)</f>
        <v>8.9457021208284582E-2</v>
      </c>
      <c r="H224" s="40" t="str">
        <f t="shared" ref="H223:H225" si="88">INDEX($A$222:$G$225,MATCH(G224,$F$222:$F$225,0),MATCH($A$222,$A$222:$F$222,0))</f>
        <v>COGS</v>
      </c>
      <c r="I224" s="29"/>
      <c r="J224" s="16">
        <f t="shared" si="84"/>
        <v>-8.9457021208284582E-2</v>
      </c>
      <c r="K224" s="29">
        <f t="shared" si="85"/>
        <v>8.9457021208284582E-2</v>
      </c>
      <c r="N224" s="19"/>
    </row>
    <row r="225" spans="1:14" outlineLevel="1" x14ac:dyDescent="0.35">
      <c r="A225" s="9" t="str">
        <f>J215</f>
        <v>EV/EBITDA</v>
      </c>
      <c r="C225" s="41">
        <f>K218/K217-1</f>
        <v>-6.6112422096583967E-2</v>
      </c>
      <c r="D225" s="41">
        <f>K219/K217-1</f>
        <v>6.6112422096584078E-2</v>
      </c>
      <c r="E225" s="42">
        <f t="shared" si="86"/>
        <v>4</v>
      </c>
      <c r="F225" s="39">
        <f t="shared" si="83"/>
        <v>6.6112422096584078E-2</v>
      </c>
      <c r="G225" s="39">
        <f t="shared" si="87"/>
        <v>0.55861132402529945</v>
      </c>
      <c r="H225" s="40" t="str">
        <f t="shared" si="88"/>
        <v>Revenue</v>
      </c>
      <c r="I225" s="29"/>
      <c r="J225" s="16">
        <f t="shared" si="84"/>
        <v>0.55861132402529945</v>
      </c>
      <c r="K225" s="29">
        <f t="shared" si="85"/>
        <v>-0.38398408234919601</v>
      </c>
      <c r="N225" s="19"/>
    </row>
    <row r="226" spans="1:14" outlineLevel="1" x14ac:dyDescent="0.35">
      <c r="C226" s="175" t="s">
        <v>169</v>
      </c>
      <c r="G226" s="175" t="s">
        <v>171</v>
      </c>
      <c r="I226" s="175" t="s">
        <v>173</v>
      </c>
      <c r="K226" s="175" t="s">
        <v>175</v>
      </c>
      <c r="N226" s="19"/>
    </row>
    <row r="227" spans="1:14" outlineLevel="1" x14ac:dyDescent="0.35">
      <c r="C227" s="9"/>
      <c r="E227" s="175" t="s">
        <v>170</v>
      </c>
      <c r="G227" s="175" t="s">
        <v>172</v>
      </c>
      <c r="J227" s="175" t="s">
        <v>174</v>
      </c>
      <c r="N227" s="19"/>
    </row>
    <row r="228" spans="1:14" outlineLevel="1" x14ac:dyDescent="0.35">
      <c r="B228" s="140" t="s">
        <v>130</v>
      </c>
      <c r="C228" s="140"/>
      <c r="D228" s="140"/>
      <c r="E228" s="140"/>
      <c r="F228" s="140"/>
      <c r="G228" s="140"/>
      <c r="H228" s="140"/>
      <c r="I228" s="140"/>
      <c r="N228" s="19"/>
    </row>
    <row r="229" spans="1:14" outlineLevel="1" x14ac:dyDescent="0.35">
      <c r="C229" s="9"/>
      <c r="N229" s="19"/>
    </row>
    <row r="230" spans="1:14" outlineLevel="1" x14ac:dyDescent="0.35">
      <c r="C230" s="9"/>
      <c r="H230" s="19"/>
      <c r="I230" s="19"/>
      <c r="J230" s="19"/>
      <c r="K230" s="19"/>
      <c r="L230" s="19"/>
      <c r="M230" s="19"/>
      <c r="N230" s="19"/>
    </row>
    <row r="231" spans="1:14" outlineLevel="1" x14ac:dyDescent="0.35">
      <c r="C231" s="9"/>
      <c r="H231" s="19"/>
      <c r="I231" s="19"/>
      <c r="J231" s="19"/>
      <c r="K231" s="19"/>
      <c r="L231" s="19"/>
      <c r="M231" s="19"/>
      <c r="N231" s="19"/>
    </row>
    <row r="232" spans="1:14" outlineLevel="1" x14ac:dyDescent="0.35">
      <c r="C232" s="9"/>
      <c r="H232" s="19"/>
      <c r="I232" s="43"/>
      <c r="J232" s="43"/>
      <c r="K232" s="43"/>
      <c r="L232" s="43"/>
      <c r="M232" s="43"/>
      <c r="N232" s="43"/>
    </row>
    <row r="233" spans="1:14" outlineLevel="1" x14ac:dyDescent="0.35">
      <c r="C233" s="9"/>
      <c r="H233" s="19"/>
      <c r="I233" s="43"/>
      <c r="J233" s="43"/>
      <c r="K233" s="43"/>
      <c r="L233" s="43"/>
      <c r="M233" s="43"/>
      <c r="N233" s="43"/>
    </row>
    <row r="234" spans="1:14" outlineLevel="1" collapsed="1" x14ac:dyDescent="0.35">
      <c r="C234" s="9"/>
      <c r="H234" s="19"/>
      <c r="I234" s="43"/>
      <c r="J234" s="43"/>
      <c r="K234" s="43"/>
      <c r="L234" s="43"/>
      <c r="M234" s="43"/>
      <c r="N234" s="43"/>
    </row>
    <row r="235" spans="1:14" outlineLevel="1" x14ac:dyDescent="0.35">
      <c r="C235" s="9"/>
      <c r="H235" s="19"/>
    </row>
    <row r="236" spans="1:14" outlineLevel="1" x14ac:dyDescent="0.35">
      <c r="C236" s="9"/>
      <c r="H236" s="19"/>
    </row>
    <row r="237" spans="1:14" outlineLevel="1" x14ac:dyDescent="0.35">
      <c r="C237" s="9"/>
      <c r="H237" s="19"/>
    </row>
    <row r="238" spans="1:14" outlineLevel="1" x14ac:dyDescent="0.35">
      <c r="C238" s="9"/>
      <c r="H238" s="19"/>
    </row>
    <row r="239" spans="1:14" outlineLevel="1" x14ac:dyDescent="0.35">
      <c r="C239" s="9"/>
      <c r="H239" s="19"/>
    </row>
    <row r="240" spans="1:14" outlineLevel="1" x14ac:dyDescent="0.35">
      <c r="C240" s="9"/>
      <c r="H240" s="19"/>
    </row>
    <row r="241" spans="3:8" outlineLevel="1" x14ac:dyDescent="0.35">
      <c r="C241" s="9"/>
      <c r="H241" s="19"/>
    </row>
    <row r="242" spans="3:8" outlineLevel="1" x14ac:dyDescent="0.35">
      <c r="C242" s="9"/>
      <c r="H242" s="19"/>
    </row>
  </sheetData>
  <sheetProtection formatCells="0" formatColumns="0" formatRows="0" insertColumns="0" insertRows="0" insertHyperlinks="0" deleteColumns="0" deleteRows="0" sort="0" autoFilter="0" pivotTables="0"/>
  <sortState ref="K168:N170">
    <sortCondition ref="N168:N170"/>
  </sortState>
  <conditionalFormatting sqref="D3:M4">
    <cfRule type="containsText" dxfId="27" priority="27" operator="containsText" text="OK">
      <formula>NOT(ISERROR(SEARCH("OK",D3)))</formula>
    </cfRule>
    <cfRule type="containsText" dxfId="26" priority="28" operator="containsText" text="ERROR">
      <formula>NOT(ISERROR(SEARCH("ERROR",D3)))</formula>
    </cfRule>
  </conditionalFormatting>
  <conditionalFormatting sqref="H205">
    <cfRule type="containsText" dxfId="25" priority="25" operator="containsText" text="OK">
      <formula>NOT(ISERROR(SEARCH("OK",H205)))</formula>
    </cfRule>
    <cfRule type="containsText" dxfId="24" priority="26" operator="containsText" text="ERROR">
      <formula>NOT(ISERROR(SEARCH("ERROR",H205)))</formula>
    </cfRule>
  </conditionalFormatting>
  <conditionalFormatting sqref="H207">
    <cfRule type="containsText" dxfId="23" priority="23" operator="containsText" text="OK">
      <formula>NOT(ISERROR(SEARCH("OK",H207)))</formula>
    </cfRule>
    <cfRule type="containsText" dxfId="22" priority="24" operator="containsText" text="ERROR">
      <formula>NOT(ISERROR(SEARCH("ERROR",H207)))</formula>
    </cfRule>
  </conditionalFormatting>
  <conditionalFormatting sqref="C214">
    <cfRule type="containsText" dxfId="21" priority="21" operator="containsText" text="OK">
      <formula>NOT(ISERROR(SEARCH("OK",C214)))</formula>
    </cfRule>
    <cfRule type="containsText" dxfId="20" priority="22" operator="containsText" text="ERROR">
      <formula>NOT(ISERROR(SEARCH("ERROR",C214)))</formula>
    </cfRule>
  </conditionalFormatting>
  <conditionalFormatting sqref="I214">
    <cfRule type="containsText" dxfId="19" priority="19" operator="containsText" text="OK">
      <formula>NOT(ISERROR(SEARCH("OK",I214)))</formula>
    </cfRule>
    <cfRule type="containsText" dxfId="18" priority="20" operator="containsText" text="ERROR">
      <formula>NOT(ISERROR(SEARCH("ERROR",I214)))</formula>
    </cfRule>
  </conditionalFormatting>
  <conditionalFormatting sqref="L214">
    <cfRule type="containsText" dxfId="17" priority="17" operator="containsText" text="OK">
      <formula>NOT(ISERROR(SEARCH("OK",L214)))</formula>
    </cfRule>
    <cfRule type="containsText" dxfId="16" priority="18" operator="containsText" text="ERROR">
      <formula>NOT(ISERROR(SEARCH("ERROR",L214)))</formula>
    </cfRule>
  </conditionalFormatting>
  <conditionalFormatting sqref="C226">
    <cfRule type="containsText" dxfId="15" priority="15" operator="containsText" text="OK">
      <formula>NOT(ISERROR(SEARCH("OK",C226)))</formula>
    </cfRule>
    <cfRule type="containsText" dxfId="14" priority="16" operator="containsText" text="ERROR">
      <formula>NOT(ISERROR(SEARCH("ERROR",C226)))</formula>
    </cfRule>
  </conditionalFormatting>
  <conditionalFormatting sqref="E227">
    <cfRule type="containsText" dxfId="13" priority="13" operator="containsText" text="OK">
      <formula>NOT(ISERROR(SEARCH("OK",E227)))</formula>
    </cfRule>
    <cfRule type="containsText" dxfId="12" priority="14" operator="containsText" text="ERROR">
      <formula>NOT(ISERROR(SEARCH("ERROR",E227)))</formula>
    </cfRule>
  </conditionalFormatting>
  <conditionalFormatting sqref="G226">
    <cfRule type="containsText" dxfId="11" priority="11" operator="containsText" text="OK">
      <formula>NOT(ISERROR(SEARCH("OK",G226)))</formula>
    </cfRule>
    <cfRule type="containsText" dxfId="10" priority="12" operator="containsText" text="ERROR">
      <formula>NOT(ISERROR(SEARCH("ERROR",G226)))</formula>
    </cfRule>
  </conditionalFormatting>
  <conditionalFormatting sqref="G227">
    <cfRule type="containsText" dxfId="9" priority="9" operator="containsText" text="OK">
      <formula>NOT(ISERROR(SEARCH("OK",G227)))</formula>
    </cfRule>
    <cfRule type="containsText" dxfId="8" priority="10" operator="containsText" text="ERROR">
      <formula>NOT(ISERROR(SEARCH("ERROR",G227)))</formula>
    </cfRule>
  </conditionalFormatting>
  <conditionalFormatting sqref="I226">
    <cfRule type="containsText" dxfId="7" priority="7" operator="containsText" text="OK">
      <formula>NOT(ISERROR(SEARCH("OK",I226)))</formula>
    </cfRule>
    <cfRule type="containsText" dxfId="6" priority="8" operator="containsText" text="ERROR">
      <formula>NOT(ISERROR(SEARCH("ERROR",I226)))</formula>
    </cfRule>
  </conditionalFormatting>
  <conditionalFormatting sqref="J227">
    <cfRule type="containsText" dxfId="3" priority="3" operator="containsText" text="OK">
      <formula>NOT(ISERROR(SEARCH("OK",J227)))</formula>
    </cfRule>
    <cfRule type="containsText" dxfId="2" priority="4" operator="containsText" text="ERROR">
      <formula>NOT(ISERROR(SEARCH("ERROR",J227)))</formula>
    </cfRule>
  </conditionalFormatting>
  <conditionalFormatting sqref="K226">
    <cfRule type="containsText" dxfId="1" priority="1" operator="containsText" text="OK">
      <formula>NOT(ISERROR(SEARCH("OK",K226)))</formula>
    </cfRule>
    <cfRule type="containsText" dxfId="0" priority="2" operator="containsText" text="ERROR">
      <formula>NOT(ISERROR(SEARCH("ERROR",K226)))</formula>
    </cfRule>
  </conditionalFormatting>
  <pageMargins left="0.70866141732283472" right="0.70866141732283472" top="0.74803149606299213" bottom="0.74803149606299213" header="0.31496062992125984" footer="0.31496062992125984"/>
  <pageSetup scale="78" orientation="landscape" r:id="rId1"/>
  <ignoredErrors>
    <ignoredError sqref="I65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4A8E616-5A8D-4B6A-8A26-5C56BF90B59E}">
          <x14:formula1>
            <xm:f>'Additional Assumptions'!$O$4:$O$6</xm:f>
          </x14:formula1>
          <xm:sqref>I4</xm:sqref>
        </x14:dataValidation>
        <x14:dataValidation type="list" allowBlank="1" showInputMessage="1" showErrorMessage="1" xr:uid="{6601700C-B299-4D68-82B7-85B917418177}">
          <x14:formula1>
            <xm:f>'Additional Assumptions'!$P$4:$P$6</xm:f>
          </x14:formula1>
          <xm:sqref>I5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6"/>
  <sheetViews>
    <sheetView showGridLines="0" workbookViewId="0">
      <selection activeCell="S9" sqref="S9"/>
    </sheetView>
  </sheetViews>
  <sheetFormatPr defaultRowHeight="14.5" x14ac:dyDescent="0.35"/>
  <sheetData>
    <row r="1" spans="1:16" ht="18" x14ac:dyDescent="0.4">
      <c r="A1" s="115"/>
      <c r="B1" s="115"/>
      <c r="C1" s="115"/>
      <c r="D1" s="115"/>
      <c r="E1" s="115"/>
      <c r="F1" s="115"/>
      <c r="G1" s="115"/>
      <c r="H1" s="115"/>
      <c r="I1" s="115">
        <f>'DCF &amp; Sensitivity Model'!I2</f>
        <v>2018</v>
      </c>
      <c r="J1" s="115">
        <f t="shared" ref="J1:M1" si="0">+I1+1</f>
        <v>2019</v>
      </c>
      <c r="K1" s="115">
        <f t="shared" si="0"/>
        <v>2020</v>
      </c>
      <c r="L1" s="115">
        <f t="shared" si="0"/>
        <v>2021</v>
      </c>
      <c r="M1" s="115">
        <f t="shared" si="0"/>
        <v>2022</v>
      </c>
    </row>
    <row r="2" spans="1:16" ht="15.5" x14ac:dyDescent="0.35">
      <c r="A2" s="9"/>
      <c r="B2" s="9"/>
      <c r="C2" s="12"/>
      <c r="D2" s="46"/>
      <c r="E2" s="46"/>
      <c r="F2" s="46"/>
      <c r="G2" s="46"/>
      <c r="H2" s="46"/>
      <c r="I2" s="47"/>
      <c r="J2" s="47"/>
      <c r="K2" s="47"/>
      <c r="L2" s="47"/>
      <c r="M2" s="47"/>
      <c r="O2" s="153"/>
    </row>
    <row r="3" spans="1:16" ht="15.5" x14ac:dyDescent="0.35">
      <c r="A3" s="11" t="s">
        <v>132</v>
      </c>
      <c r="B3" s="48"/>
      <c r="C3" s="49"/>
      <c r="D3" s="48"/>
      <c r="E3" s="48"/>
      <c r="F3" s="48"/>
      <c r="G3" s="48"/>
      <c r="H3" s="50"/>
      <c r="I3" s="51"/>
      <c r="J3" s="51"/>
      <c r="K3" s="51"/>
      <c r="L3" s="51"/>
      <c r="M3" s="51"/>
      <c r="O3" s="154"/>
      <c r="P3" s="160" t="s">
        <v>155</v>
      </c>
    </row>
    <row r="4" spans="1:16" ht="15.5" x14ac:dyDescent="0.35">
      <c r="A4" s="6" t="s">
        <v>62</v>
      </c>
      <c r="B4" s="52"/>
      <c r="C4" s="53"/>
      <c r="D4" s="54"/>
      <c r="E4" s="4"/>
      <c r="F4" s="4"/>
      <c r="G4" s="4"/>
      <c r="H4" s="4"/>
      <c r="I4" s="3">
        <v>0.1</v>
      </c>
      <c r="J4" s="3">
        <v>0.1</v>
      </c>
      <c r="K4" s="3">
        <v>0.1</v>
      </c>
      <c r="L4" s="3">
        <v>0.1</v>
      </c>
      <c r="M4" s="3">
        <v>0.1</v>
      </c>
      <c r="O4" s="143"/>
      <c r="P4" s="161">
        <v>1</v>
      </c>
    </row>
    <row r="5" spans="1:16" ht="15.5" x14ac:dyDescent="0.35">
      <c r="A5" s="8" t="s">
        <v>58</v>
      </c>
      <c r="B5" s="8"/>
      <c r="C5" s="55"/>
      <c r="D5" s="56"/>
      <c r="E5" s="56"/>
      <c r="F5" s="56"/>
      <c r="G5" s="56"/>
      <c r="H5" s="56"/>
      <c r="I5" s="57">
        <v>0.42</v>
      </c>
      <c r="J5" s="57">
        <v>0.47</v>
      </c>
      <c r="K5" s="57">
        <v>0.5</v>
      </c>
      <c r="L5" s="57">
        <v>0.36</v>
      </c>
      <c r="M5" s="57">
        <v>0.35</v>
      </c>
      <c r="O5" s="143"/>
      <c r="P5" s="161">
        <v>2</v>
      </c>
    </row>
    <row r="6" spans="1:16" ht="15.5" x14ac:dyDescent="0.35">
      <c r="A6" s="8" t="s">
        <v>59</v>
      </c>
      <c r="B6" s="8"/>
      <c r="C6" s="55"/>
      <c r="D6" s="56"/>
      <c r="E6" s="56"/>
      <c r="F6" s="56"/>
      <c r="G6" s="56"/>
      <c r="H6" s="56"/>
      <c r="I6" s="57">
        <v>0.17</v>
      </c>
      <c r="J6" s="57">
        <v>0.17</v>
      </c>
      <c r="K6" s="57">
        <v>0.17</v>
      </c>
      <c r="L6" s="57">
        <v>0.17</v>
      </c>
      <c r="M6" s="57">
        <v>0.17</v>
      </c>
      <c r="O6" s="143"/>
      <c r="P6" s="161">
        <v>3</v>
      </c>
    </row>
    <row r="7" spans="1:16" ht="15.5" x14ac:dyDescent="0.35">
      <c r="A7" s="8" t="s">
        <v>60</v>
      </c>
      <c r="B7" s="8"/>
      <c r="C7" s="55"/>
      <c r="D7" s="58"/>
      <c r="E7" s="58"/>
      <c r="F7" s="58"/>
      <c r="G7" s="58"/>
      <c r="H7" s="58"/>
      <c r="I7" s="59">
        <v>15000</v>
      </c>
      <c r="J7" s="59">
        <v>15000</v>
      </c>
      <c r="K7" s="59">
        <v>15000</v>
      </c>
      <c r="L7" s="59">
        <v>15000</v>
      </c>
      <c r="M7" s="59">
        <v>15000</v>
      </c>
      <c r="O7" s="153"/>
    </row>
    <row r="8" spans="1:16" ht="15.5" x14ac:dyDescent="0.35">
      <c r="A8" s="8" t="s">
        <v>61</v>
      </c>
      <c r="B8" s="8"/>
      <c r="C8" s="55"/>
      <c r="D8" s="56"/>
      <c r="E8" s="56"/>
      <c r="F8" s="56"/>
      <c r="G8" s="56"/>
      <c r="H8" s="56"/>
      <c r="I8" s="57">
        <v>0.35</v>
      </c>
      <c r="J8" s="57">
        <v>0.35</v>
      </c>
      <c r="K8" s="57">
        <v>0.35</v>
      </c>
      <c r="L8" s="57">
        <v>0.35</v>
      </c>
      <c r="M8" s="57">
        <v>0.35</v>
      </c>
      <c r="O8" s="153"/>
    </row>
    <row r="9" spans="1:16" ht="15.5" x14ac:dyDescent="0.35">
      <c r="A9" s="8" t="s">
        <v>63</v>
      </c>
      <c r="B9" s="8"/>
      <c r="C9" s="55"/>
      <c r="D9" s="56"/>
      <c r="E9" s="56"/>
      <c r="F9" s="56"/>
      <c r="G9" s="56"/>
      <c r="H9" s="56"/>
      <c r="I9" s="57">
        <v>0.1</v>
      </c>
      <c r="J9" s="57">
        <v>0.1</v>
      </c>
      <c r="K9" s="57">
        <v>0.1</v>
      </c>
      <c r="L9" s="57">
        <v>0.1</v>
      </c>
      <c r="M9" s="57">
        <v>0.1</v>
      </c>
    </row>
    <row r="10" spans="1:16" ht="15.5" x14ac:dyDescent="0.35">
      <c r="A10" s="8" t="s">
        <v>64</v>
      </c>
      <c r="B10" s="60"/>
      <c r="C10" s="61"/>
      <c r="D10" s="56"/>
      <c r="E10" s="56"/>
      <c r="F10" s="56"/>
      <c r="G10" s="56"/>
      <c r="H10" s="56"/>
      <c r="I10" s="57">
        <v>0.28000000000000003</v>
      </c>
      <c r="J10" s="57">
        <v>0.28000000000000003</v>
      </c>
      <c r="K10" s="57">
        <v>0.28000000000000003</v>
      </c>
      <c r="L10" s="57">
        <v>0.28000000000000003</v>
      </c>
      <c r="M10" s="57">
        <v>0.28000000000000003</v>
      </c>
    </row>
    <row r="11" spans="1:16" ht="15.5" x14ac:dyDescent="0.35">
      <c r="A11" s="9" t="s">
        <v>65</v>
      </c>
      <c r="B11" s="9"/>
      <c r="C11" s="62"/>
      <c r="D11" s="46"/>
      <c r="E11" s="46"/>
      <c r="F11" s="46"/>
      <c r="G11" s="46"/>
      <c r="H11" s="46"/>
      <c r="I11" s="47">
        <v>18</v>
      </c>
      <c r="J11" s="47">
        <v>18</v>
      </c>
      <c r="K11" s="47">
        <v>18</v>
      </c>
      <c r="L11" s="47">
        <v>18</v>
      </c>
      <c r="M11" s="47">
        <v>18</v>
      </c>
    </row>
    <row r="12" spans="1:16" ht="15.5" x14ac:dyDescent="0.35">
      <c r="A12" s="9" t="s">
        <v>66</v>
      </c>
      <c r="B12" s="9"/>
      <c r="C12" s="62"/>
      <c r="D12" s="46"/>
      <c r="E12" s="46"/>
      <c r="F12" s="46"/>
      <c r="G12" s="46"/>
      <c r="H12" s="46"/>
      <c r="I12" s="47">
        <v>80</v>
      </c>
      <c r="J12" s="47">
        <v>90</v>
      </c>
      <c r="K12" s="47">
        <v>100</v>
      </c>
      <c r="L12" s="47">
        <v>100</v>
      </c>
      <c r="M12" s="47">
        <v>100</v>
      </c>
    </row>
    <row r="13" spans="1:16" ht="15.5" x14ac:dyDescent="0.35">
      <c r="A13" s="9" t="s">
        <v>67</v>
      </c>
      <c r="B13" s="9"/>
      <c r="C13" s="62"/>
      <c r="D13" s="46"/>
      <c r="E13" s="46"/>
      <c r="F13" s="46"/>
      <c r="G13" s="46"/>
      <c r="H13" s="46"/>
      <c r="I13" s="47">
        <v>37</v>
      </c>
      <c r="J13" s="47">
        <v>37</v>
      </c>
      <c r="K13" s="47">
        <v>37</v>
      </c>
      <c r="L13" s="47">
        <v>37</v>
      </c>
      <c r="M13" s="47">
        <v>37</v>
      </c>
    </row>
    <row r="14" spans="1:16" ht="15.5" x14ac:dyDescent="0.35">
      <c r="A14" s="9" t="s">
        <v>68</v>
      </c>
      <c r="B14" s="9"/>
      <c r="C14" s="12"/>
      <c r="D14" s="46"/>
      <c r="E14" s="46"/>
      <c r="F14" s="46"/>
      <c r="G14" s="46"/>
      <c r="H14" s="46"/>
      <c r="I14" s="47">
        <v>15000</v>
      </c>
      <c r="J14" s="47">
        <v>15000</v>
      </c>
      <c r="K14" s="47">
        <v>15000</v>
      </c>
      <c r="L14" s="47">
        <v>15000</v>
      </c>
      <c r="M14" s="47">
        <v>15000</v>
      </c>
    </row>
    <row r="15" spans="1:16" ht="15.5" x14ac:dyDescent="0.35">
      <c r="A15" s="9" t="s">
        <v>70</v>
      </c>
      <c r="B15" s="9"/>
      <c r="C15" s="12"/>
      <c r="D15" s="46"/>
      <c r="E15" s="46"/>
      <c r="F15" s="46"/>
      <c r="G15" s="46"/>
      <c r="H15" s="46"/>
      <c r="I15" s="47">
        <v>0</v>
      </c>
      <c r="J15" s="47">
        <v>0</v>
      </c>
      <c r="K15" s="47">
        <v>-20000</v>
      </c>
      <c r="L15" s="47">
        <v>0</v>
      </c>
      <c r="M15" s="47">
        <v>0</v>
      </c>
    </row>
    <row r="16" spans="1:16" ht="15.5" x14ac:dyDescent="0.35">
      <c r="A16" s="9" t="s">
        <v>69</v>
      </c>
      <c r="B16" s="9"/>
      <c r="C16" s="12"/>
      <c r="D16" s="46"/>
      <c r="E16" s="46"/>
      <c r="F16" s="46"/>
      <c r="G16" s="46"/>
      <c r="H16" s="46"/>
      <c r="I16" s="47">
        <v>0</v>
      </c>
      <c r="J16" s="47">
        <v>0</v>
      </c>
      <c r="K16" s="47">
        <v>0</v>
      </c>
      <c r="L16" s="47">
        <v>0</v>
      </c>
      <c r="M16" s="47">
        <v>0</v>
      </c>
    </row>
    <row r="17" spans="1:13" ht="15.5" x14ac:dyDescent="0.35">
      <c r="A17" s="9"/>
      <c r="B17" s="9"/>
      <c r="C17" s="12"/>
      <c r="D17" s="46"/>
      <c r="E17" s="46"/>
      <c r="F17" s="46"/>
      <c r="G17" s="46"/>
      <c r="H17" s="46"/>
      <c r="I17" s="47"/>
      <c r="J17" s="47"/>
      <c r="K17" s="47"/>
      <c r="L17" s="47"/>
      <c r="M17" s="47"/>
    </row>
    <row r="18" spans="1:13" ht="15.5" x14ac:dyDescent="0.35">
      <c r="A18" s="11" t="s">
        <v>133</v>
      </c>
      <c r="B18" s="48"/>
      <c r="C18" s="49"/>
      <c r="D18" s="48"/>
      <c r="E18" s="48"/>
      <c r="F18" s="48"/>
      <c r="G18" s="48"/>
      <c r="H18" s="50"/>
      <c r="I18" s="51"/>
      <c r="J18" s="51"/>
      <c r="K18" s="51"/>
      <c r="L18" s="51"/>
      <c r="M18" s="51"/>
    </row>
    <row r="19" spans="1:13" ht="15.5" x14ac:dyDescent="0.35">
      <c r="A19" s="6" t="s">
        <v>62</v>
      </c>
      <c r="B19" s="52"/>
      <c r="C19" s="53"/>
      <c r="D19" s="54"/>
      <c r="E19" s="4"/>
      <c r="F19" s="4"/>
      <c r="G19" s="4"/>
      <c r="H19" s="4"/>
      <c r="I19" s="3">
        <v>0.05</v>
      </c>
      <c r="J19" s="3">
        <v>4.4999999999999998E-2</v>
      </c>
      <c r="K19" s="3">
        <v>0.04</v>
      </c>
      <c r="L19" s="3">
        <v>3.5000000000000003E-2</v>
      </c>
      <c r="M19" s="3">
        <v>0.03</v>
      </c>
    </row>
    <row r="20" spans="1:13" ht="15.5" x14ac:dyDescent="0.35">
      <c r="A20" s="8" t="s">
        <v>58</v>
      </c>
      <c r="B20" s="8"/>
      <c r="C20" s="55"/>
      <c r="D20" s="56"/>
      <c r="E20" s="56"/>
      <c r="F20" s="56"/>
      <c r="G20" s="56"/>
      <c r="H20" s="56"/>
      <c r="I20" s="57">
        <v>0.37</v>
      </c>
      <c r="J20" s="57">
        <v>0.37</v>
      </c>
      <c r="K20" s="57">
        <v>0.36</v>
      </c>
      <c r="L20" s="57">
        <v>0.36</v>
      </c>
      <c r="M20" s="57">
        <v>0.35</v>
      </c>
    </row>
    <row r="21" spans="1:13" ht="15.5" x14ac:dyDescent="0.35">
      <c r="A21" s="8" t="s">
        <v>59</v>
      </c>
      <c r="B21" s="8"/>
      <c r="C21" s="55"/>
      <c r="D21" s="56"/>
      <c r="E21" s="56"/>
      <c r="F21" s="56"/>
      <c r="G21" s="56"/>
      <c r="H21" s="56"/>
      <c r="I21" s="57">
        <v>0.18</v>
      </c>
      <c r="J21" s="57">
        <v>0.18</v>
      </c>
      <c r="K21" s="57">
        <v>0.18</v>
      </c>
      <c r="L21" s="57">
        <v>0.18</v>
      </c>
      <c r="M21" s="57">
        <v>0.18</v>
      </c>
    </row>
    <row r="22" spans="1:13" ht="15.5" x14ac:dyDescent="0.35">
      <c r="A22" s="8" t="s">
        <v>60</v>
      </c>
      <c r="B22" s="8"/>
      <c r="C22" s="55"/>
      <c r="D22" s="58"/>
      <c r="E22" s="58"/>
      <c r="F22" s="58"/>
      <c r="G22" s="58"/>
      <c r="H22" s="58"/>
      <c r="I22" s="59">
        <v>10000</v>
      </c>
      <c r="J22" s="59">
        <v>10000</v>
      </c>
      <c r="K22" s="59">
        <v>10000</v>
      </c>
      <c r="L22" s="59">
        <v>10000</v>
      </c>
      <c r="M22" s="59">
        <v>10000</v>
      </c>
    </row>
    <row r="23" spans="1:13" ht="15.5" x14ac:dyDescent="0.35">
      <c r="A23" s="8" t="s">
        <v>61</v>
      </c>
      <c r="B23" s="8"/>
      <c r="C23" s="55"/>
      <c r="D23" s="56"/>
      <c r="E23" s="56"/>
      <c r="F23" s="56"/>
      <c r="G23" s="56"/>
      <c r="H23" s="56"/>
      <c r="I23" s="57">
        <v>0.4</v>
      </c>
      <c r="J23" s="57">
        <v>0.4</v>
      </c>
      <c r="K23" s="57">
        <v>0.4</v>
      </c>
      <c r="L23" s="57">
        <v>0.4</v>
      </c>
      <c r="M23" s="57">
        <v>0.4</v>
      </c>
    </row>
    <row r="24" spans="1:13" ht="15.5" x14ac:dyDescent="0.35">
      <c r="A24" s="8" t="s">
        <v>63</v>
      </c>
      <c r="B24" s="8"/>
      <c r="C24" s="55"/>
      <c r="D24" s="56"/>
      <c r="E24" s="56"/>
      <c r="F24" s="56"/>
      <c r="G24" s="56"/>
      <c r="H24" s="56"/>
      <c r="I24" s="57">
        <v>0.05</v>
      </c>
      <c r="J24" s="57">
        <v>0.05</v>
      </c>
      <c r="K24" s="57">
        <v>0.05</v>
      </c>
      <c r="L24" s="57">
        <v>0.05</v>
      </c>
      <c r="M24" s="57">
        <v>0.05</v>
      </c>
    </row>
    <row r="25" spans="1:13" ht="15.5" x14ac:dyDescent="0.35">
      <c r="A25" s="8" t="s">
        <v>64</v>
      </c>
      <c r="B25" s="60"/>
      <c r="C25" s="61"/>
      <c r="D25" s="56"/>
      <c r="E25" s="56"/>
      <c r="F25" s="56"/>
      <c r="G25" s="56"/>
      <c r="H25" s="56"/>
      <c r="I25" s="57">
        <v>0.28000000000000003</v>
      </c>
      <c r="J25" s="57">
        <v>0.28000000000000003</v>
      </c>
      <c r="K25" s="57">
        <v>0.28000000000000003</v>
      </c>
      <c r="L25" s="57">
        <v>0.28000000000000003</v>
      </c>
      <c r="M25" s="57">
        <v>0.28000000000000003</v>
      </c>
    </row>
    <row r="26" spans="1:13" ht="15.5" x14ac:dyDescent="0.35">
      <c r="A26" s="9" t="s">
        <v>65</v>
      </c>
      <c r="B26" s="9"/>
      <c r="C26" s="62"/>
      <c r="D26" s="46"/>
      <c r="E26" s="46"/>
      <c r="F26" s="46"/>
      <c r="G26" s="46"/>
      <c r="H26" s="46"/>
      <c r="I26" s="47">
        <v>18</v>
      </c>
      <c r="J26" s="47">
        <v>18</v>
      </c>
      <c r="K26" s="47">
        <v>18</v>
      </c>
      <c r="L26" s="47">
        <v>18</v>
      </c>
      <c r="M26" s="47">
        <v>18</v>
      </c>
    </row>
    <row r="27" spans="1:13" ht="15.5" x14ac:dyDescent="0.35">
      <c r="A27" s="9" t="s">
        <v>66</v>
      </c>
      <c r="B27" s="9"/>
      <c r="C27" s="62"/>
      <c r="D27" s="46"/>
      <c r="E27" s="46"/>
      <c r="F27" s="46"/>
      <c r="G27" s="46"/>
      <c r="H27" s="46"/>
      <c r="I27" s="47">
        <v>73</v>
      </c>
      <c r="J27" s="47">
        <v>73</v>
      </c>
      <c r="K27" s="47">
        <v>73</v>
      </c>
      <c r="L27" s="47">
        <v>73</v>
      </c>
      <c r="M27" s="47">
        <v>73</v>
      </c>
    </row>
    <row r="28" spans="1:13" ht="15.5" x14ac:dyDescent="0.35">
      <c r="A28" s="9" t="s">
        <v>67</v>
      </c>
      <c r="B28" s="9"/>
      <c r="C28" s="62"/>
      <c r="D28" s="46"/>
      <c r="E28" s="46"/>
      <c r="F28" s="46"/>
      <c r="G28" s="46"/>
      <c r="H28" s="46"/>
      <c r="I28" s="47">
        <v>37</v>
      </c>
      <c r="J28" s="47">
        <v>37</v>
      </c>
      <c r="K28" s="47">
        <v>37</v>
      </c>
      <c r="L28" s="47">
        <v>37</v>
      </c>
      <c r="M28" s="47">
        <v>37</v>
      </c>
    </row>
    <row r="29" spans="1:13" ht="15.5" x14ac:dyDescent="0.35">
      <c r="A29" s="9" t="s">
        <v>68</v>
      </c>
      <c r="B29" s="9"/>
      <c r="C29" s="12"/>
      <c r="D29" s="46"/>
      <c r="E29" s="46"/>
      <c r="F29" s="46"/>
      <c r="G29" s="46"/>
      <c r="H29" s="46"/>
      <c r="I29" s="47">
        <v>20000</v>
      </c>
      <c r="J29" s="47">
        <v>20000</v>
      </c>
      <c r="K29" s="47">
        <v>20000</v>
      </c>
      <c r="L29" s="47">
        <v>20000</v>
      </c>
      <c r="M29" s="47">
        <v>20000</v>
      </c>
    </row>
    <row r="30" spans="1:13" ht="15.5" x14ac:dyDescent="0.35">
      <c r="A30" s="9" t="s">
        <v>70</v>
      </c>
      <c r="B30" s="9"/>
      <c r="C30" s="12"/>
      <c r="D30" s="46"/>
      <c r="E30" s="46"/>
      <c r="F30" s="46"/>
      <c r="G30" s="46"/>
      <c r="H30" s="46"/>
      <c r="I30" s="47">
        <v>0</v>
      </c>
      <c r="J30" s="47">
        <v>0</v>
      </c>
      <c r="K30" s="47">
        <v>-20000</v>
      </c>
      <c r="L30" s="47">
        <v>0</v>
      </c>
      <c r="M30" s="47">
        <v>0</v>
      </c>
    </row>
    <row r="31" spans="1:13" ht="15.5" x14ac:dyDescent="0.35">
      <c r="A31" s="9" t="s">
        <v>69</v>
      </c>
      <c r="B31" s="9"/>
      <c r="C31" s="12"/>
      <c r="D31" s="46"/>
      <c r="E31" s="46"/>
      <c r="F31" s="46"/>
      <c r="G31" s="46"/>
      <c r="H31" s="46"/>
      <c r="I31" s="47">
        <v>0</v>
      </c>
      <c r="J31" s="47">
        <v>0</v>
      </c>
      <c r="K31" s="47">
        <v>0</v>
      </c>
      <c r="L31" s="47">
        <v>0</v>
      </c>
      <c r="M31" s="47">
        <v>0</v>
      </c>
    </row>
    <row r="32" spans="1:13" ht="15.5" x14ac:dyDescent="0.35">
      <c r="A32" s="9"/>
      <c r="B32" s="9"/>
      <c r="C32" s="12"/>
      <c r="D32" s="46"/>
      <c r="E32" s="46"/>
      <c r="F32" s="46"/>
      <c r="G32" s="46"/>
      <c r="H32" s="46"/>
      <c r="I32" s="47"/>
      <c r="J32" s="47"/>
      <c r="K32" s="47"/>
      <c r="L32" s="47"/>
      <c r="M32" s="47"/>
    </row>
    <row r="33" spans="1:13" ht="15.5" x14ac:dyDescent="0.35">
      <c r="A33" s="11" t="s">
        <v>134</v>
      </c>
      <c r="B33" s="48"/>
      <c r="C33" s="49"/>
      <c r="D33" s="48"/>
      <c r="E33" s="48"/>
      <c r="F33" s="48"/>
      <c r="G33" s="48"/>
      <c r="H33" s="50"/>
      <c r="I33" s="51"/>
      <c r="J33" s="51"/>
      <c r="K33" s="51"/>
      <c r="L33" s="51"/>
      <c r="M33" s="51"/>
    </row>
    <row r="34" spans="1:13" ht="15.5" x14ac:dyDescent="0.35">
      <c r="A34" s="6" t="s">
        <v>62</v>
      </c>
      <c r="B34" s="52"/>
      <c r="C34" s="53"/>
      <c r="D34" s="54"/>
      <c r="E34" s="4"/>
      <c r="F34" s="4"/>
      <c r="G34" s="4"/>
      <c r="H34" s="4"/>
      <c r="I34" s="3">
        <v>0.12</v>
      </c>
      <c r="J34" s="3">
        <v>0.12</v>
      </c>
      <c r="K34" s="3">
        <v>0.12</v>
      </c>
      <c r="L34" s="3">
        <v>0.12</v>
      </c>
      <c r="M34" s="3">
        <v>0.12</v>
      </c>
    </row>
    <row r="35" spans="1:13" ht="15.5" x14ac:dyDescent="0.35">
      <c r="A35" s="8" t="s">
        <v>58</v>
      </c>
      <c r="B35" s="8"/>
      <c r="C35" s="55"/>
      <c r="D35" s="56"/>
      <c r="E35" s="56"/>
      <c r="F35" s="56"/>
      <c r="G35" s="56"/>
      <c r="H35" s="56"/>
      <c r="I35" s="57">
        <v>0.37</v>
      </c>
      <c r="J35" s="57">
        <v>0.36</v>
      </c>
      <c r="K35" s="57">
        <v>0.35</v>
      </c>
      <c r="L35" s="57">
        <v>0.34</v>
      </c>
      <c r="M35" s="57">
        <v>0.34</v>
      </c>
    </row>
    <row r="36" spans="1:13" ht="15.5" x14ac:dyDescent="0.35">
      <c r="A36" s="8" t="s">
        <v>59</v>
      </c>
      <c r="B36" s="8"/>
      <c r="C36" s="55"/>
      <c r="D36" s="56"/>
      <c r="E36" s="56"/>
      <c r="F36" s="56"/>
      <c r="G36" s="56"/>
      <c r="H36" s="56"/>
      <c r="I36" s="57">
        <v>0.16</v>
      </c>
      <c r="J36" s="57">
        <v>0.16</v>
      </c>
      <c r="K36" s="57">
        <v>0.16</v>
      </c>
      <c r="L36" s="57">
        <v>0.16</v>
      </c>
      <c r="M36" s="57">
        <v>0.16</v>
      </c>
    </row>
    <row r="37" spans="1:13" ht="15.5" x14ac:dyDescent="0.35">
      <c r="A37" s="8" t="s">
        <v>60</v>
      </c>
      <c r="B37" s="8"/>
      <c r="C37" s="55"/>
      <c r="D37" s="58"/>
      <c r="E37" s="58"/>
      <c r="F37" s="58"/>
      <c r="G37" s="58"/>
      <c r="H37" s="58"/>
      <c r="I37" s="59">
        <v>10000</v>
      </c>
      <c r="J37" s="59">
        <v>10000</v>
      </c>
      <c r="K37" s="59">
        <v>10000</v>
      </c>
      <c r="L37" s="59">
        <v>10000</v>
      </c>
      <c r="M37" s="59">
        <v>10000</v>
      </c>
    </row>
    <row r="38" spans="1:13" ht="15.5" x14ac:dyDescent="0.35">
      <c r="A38" s="8" t="s">
        <v>61</v>
      </c>
      <c r="B38" s="8"/>
      <c r="C38" s="55"/>
      <c r="D38" s="56"/>
      <c r="E38" s="56"/>
      <c r="F38" s="56"/>
      <c r="G38" s="56"/>
      <c r="H38" s="56"/>
      <c r="I38" s="57">
        <v>0.4</v>
      </c>
      <c r="J38" s="57">
        <v>0.4</v>
      </c>
      <c r="K38" s="57">
        <v>0.4</v>
      </c>
      <c r="L38" s="57">
        <v>0.4</v>
      </c>
      <c r="M38" s="57">
        <v>0.4</v>
      </c>
    </row>
    <row r="39" spans="1:13" ht="15.5" x14ac:dyDescent="0.35">
      <c r="A39" s="8" t="s">
        <v>63</v>
      </c>
      <c r="B39" s="8"/>
      <c r="C39" s="55"/>
      <c r="D39" s="56"/>
      <c r="E39" s="56"/>
      <c r="F39" s="56"/>
      <c r="G39" s="56"/>
      <c r="H39" s="56"/>
      <c r="I39" s="57">
        <v>0.05</v>
      </c>
      <c r="J39" s="57">
        <v>0.05</v>
      </c>
      <c r="K39" s="57">
        <v>0.05</v>
      </c>
      <c r="L39" s="57">
        <v>0.05</v>
      </c>
      <c r="M39" s="57">
        <v>0.05</v>
      </c>
    </row>
    <row r="40" spans="1:13" ht="15.5" x14ac:dyDescent="0.35">
      <c r="A40" s="8" t="s">
        <v>64</v>
      </c>
      <c r="B40" s="60"/>
      <c r="C40" s="61"/>
      <c r="D40" s="56"/>
      <c r="E40" s="56"/>
      <c r="F40" s="56"/>
      <c r="G40" s="56"/>
      <c r="H40" s="56"/>
      <c r="I40" s="57">
        <v>0.28000000000000003</v>
      </c>
      <c r="J40" s="57">
        <v>0.28000000000000003</v>
      </c>
      <c r="K40" s="57">
        <v>0.28000000000000003</v>
      </c>
      <c r="L40" s="57">
        <v>0.28000000000000003</v>
      </c>
      <c r="M40" s="57">
        <v>0.28000000000000003</v>
      </c>
    </row>
    <row r="41" spans="1:13" ht="15.5" x14ac:dyDescent="0.35">
      <c r="A41" s="9" t="s">
        <v>65</v>
      </c>
      <c r="B41" s="9"/>
      <c r="C41" s="62"/>
      <c r="D41" s="46"/>
      <c r="E41" s="46"/>
      <c r="F41" s="46"/>
      <c r="G41" s="46"/>
      <c r="H41" s="46"/>
      <c r="I41" s="47">
        <v>18</v>
      </c>
      <c r="J41" s="47">
        <v>18</v>
      </c>
      <c r="K41" s="47">
        <v>18</v>
      </c>
      <c r="L41" s="47">
        <v>18</v>
      </c>
      <c r="M41" s="47">
        <v>18</v>
      </c>
    </row>
    <row r="42" spans="1:13" ht="15.5" x14ac:dyDescent="0.35">
      <c r="A42" s="9" t="s">
        <v>66</v>
      </c>
      <c r="B42" s="9"/>
      <c r="C42" s="62"/>
      <c r="D42" s="46"/>
      <c r="E42" s="46"/>
      <c r="F42" s="46"/>
      <c r="G42" s="46"/>
      <c r="H42" s="46"/>
      <c r="I42" s="47">
        <v>73</v>
      </c>
      <c r="J42" s="47">
        <v>73</v>
      </c>
      <c r="K42" s="47">
        <v>73</v>
      </c>
      <c r="L42" s="47">
        <v>73</v>
      </c>
      <c r="M42" s="47">
        <v>73</v>
      </c>
    </row>
    <row r="43" spans="1:13" ht="15.5" x14ac:dyDescent="0.35">
      <c r="A43" s="9" t="s">
        <v>67</v>
      </c>
      <c r="B43" s="9"/>
      <c r="C43" s="62"/>
      <c r="D43" s="46"/>
      <c r="E43" s="46"/>
      <c r="F43" s="46"/>
      <c r="G43" s="46"/>
      <c r="H43" s="46"/>
      <c r="I43" s="47">
        <v>37</v>
      </c>
      <c r="J43" s="47">
        <v>37</v>
      </c>
      <c r="K43" s="47">
        <v>37</v>
      </c>
      <c r="L43" s="47">
        <v>37</v>
      </c>
      <c r="M43" s="47">
        <v>37</v>
      </c>
    </row>
    <row r="44" spans="1:13" ht="15.5" x14ac:dyDescent="0.35">
      <c r="A44" s="9" t="s">
        <v>68</v>
      </c>
      <c r="B44" s="9"/>
      <c r="C44" s="12"/>
      <c r="D44" s="46"/>
      <c r="E44" s="46"/>
      <c r="F44" s="46"/>
      <c r="G44" s="46"/>
      <c r="H44" s="46"/>
      <c r="I44" s="47">
        <v>15000</v>
      </c>
      <c r="J44" s="47">
        <v>15000</v>
      </c>
      <c r="K44" s="47">
        <v>15000</v>
      </c>
      <c r="L44" s="47">
        <v>15000</v>
      </c>
      <c r="M44" s="47">
        <v>15000</v>
      </c>
    </row>
    <row r="45" spans="1:13" ht="15.5" x14ac:dyDescent="0.35">
      <c r="A45" s="9" t="s">
        <v>70</v>
      </c>
      <c r="B45" s="9"/>
      <c r="C45" s="12"/>
      <c r="D45" s="46"/>
      <c r="E45" s="46"/>
      <c r="F45" s="46"/>
      <c r="G45" s="46"/>
      <c r="H45" s="46"/>
      <c r="I45" s="47">
        <v>0</v>
      </c>
      <c r="J45" s="47">
        <v>0</v>
      </c>
      <c r="K45" s="47">
        <v>-20000</v>
      </c>
      <c r="L45" s="47">
        <v>0</v>
      </c>
      <c r="M45" s="47">
        <v>0</v>
      </c>
    </row>
    <row r="46" spans="1:13" ht="15.5" x14ac:dyDescent="0.35">
      <c r="A46" s="9" t="s">
        <v>69</v>
      </c>
      <c r="B46" s="9"/>
      <c r="C46" s="12"/>
      <c r="D46" s="46"/>
      <c r="E46" s="46"/>
      <c r="F46" s="46"/>
      <c r="G46" s="46"/>
      <c r="H46" s="46"/>
      <c r="I46" s="47">
        <v>0</v>
      </c>
      <c r="J46" s="47">
        <v>0</v>
      </c>
      <c r="K46" s="47">
        <v>0</v>
      </c>
      <c r="L46" s="47">
        <v>0</v>
      </c>
      <c r="M46" s="47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 Page</vt:lpstr>
      <vt:lpstr>DCF &amp; Sensitivity Model</vt:lpstr>
      <vt:lpstr>Additional Assumptions</vt:lpstr>
      <vt:lpstr>'Cover Page'!Print_Area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Biting Xu (A)</cp:lastModifiedBy>
  <cp:lastPrinted>2014-12-13T23:43:21Z</cp:lastPrinted>
  <dcterms:created xsi:type="dcterms:W3CDTF">2014-11-08T22:00:02Z</dcterms:created>
  <dcterms:modified xsi:type="dcterms:W3CDTF">2023-08-24T07:21:08Z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(2)APw/hWzDepRAh2JHgHkcu+QBPry9YODiCUC06MJ2Cp7Fnbie/Uks/pCEDoHVQ+dFAfEchG+g
p8a2vT2dumTTpVThebuSrQrYGLin/ts3l1LoDF3DUplVs2+UTAkrJA0h0k54czS8Svy6gViq
ECdvosOLqWK0cAAbqYowNTSi2dydWL78zBh1rQ1ezzDoap6mUfUcXJmhuR36O3iwNiPXRFA2
2/iIy4umt3IKG0GpWo</vt:lpwstr>
  </property>
  <property fmtid="{D5CDD505-2E9C-101B-9397-08002B2CF9AE}" pid="3" name="_2015_ms_pID_7253431">
    <vt:lpwstr>cQ5zaz61yIwe1DYhwYY9qSehrrUAWX9pCTMeJRWfVD7Fveg2dYq2MF
IoOa8GhsfTu9KDNWi2z+PzJTuACF63f1BPEH3puG2/ItnoiARs9hmPF5GS9ibP800vGXMk64
rgCfo/G1EBJaZE07oZd6eOuIBpI8sGYrMAgymdT3/d9q1cCnKVG2HjInhXrtFOaLkawUqPyj
53GhDnBY1bpOjx3i</vt:lpwstr>
  </property>
</Properties>
</file>