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desktop\FMVA\500_Comparable Valuation\"/>
    </mc:Choice>
  </mc:AlternateContent>
  <xr:revisionPtr revIDLastSave="0" documentId="13_ncr:1_{D1B58483-2B9B-4568-A2D2-EFE47C3671B5}" xr6:coauthVersionLast="36" xr6:coauthVersionMax="47" xr10:uidLastSave="{00000000-0000-0000-0000-000000000000}"/>
  <bookViews>
    <workbookView xWindow="-100" yWindow="-100" windowWidth="23230" windowHeight="12700" firstSheet="1" activeTab="3" xr2:uid="{FED1C20F-AE0D-417B-A7E2-FF11FEC31890}"/>
  </bookViews>
  <sheets>
    <sheet name="_CIQHiddenCacheSheet" sheetId="19" state="veryHidden" r:id="rId1"/>
    <sheet name="Cover" sheetId="20" r:id="rId2"/>
    <sheet name="Summary" sheetId="2" r:id="rId3"/>
    <sheet name="Morrisons" sheetId="24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44750.5731597222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Cover!$B$2:$M$38</definedName>
    <definedName name="_xlnm.Print_Area" localSheetId="3">Morrisons!$B$3:$J$27,Morrisons!$B$30:$J$55,Morrisons!$B$58:$J$90,Morrisons!$B$93:$J$135,Morrisons!$B$138:$J$174</definedName>
    <definedName name="_xlnm.Print_Area" localSheetId="2">Summary!$B$1:$K$35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24" l="1"/>
  <c r="E114" i="24"/>
  <c r="H111" i="24"/>
  <c r="I15" i="2" l="1"/>
  <c r="K15" i="2"/>
  <c r="J15" i="2"/>
  <c r="H15" i="2"/>
  <c r="G15" i="2"/>
  <c r="F15" i="2"/>
  <c r="E15" i="2"/>
  <c r="D15" i="2"/>
  <c r="C15" i="2"/>
  <c r="B15" i="2"/>
  <c r="E52" i="24"/>
  <c r="E50" i="24"/>
  <c r="E48" i="24"/>
  <c r="E45" i="24"/>
  <c r="E44" i="24"/>
  <c r="J52" i="24"/>
  <c r="J51" i="24"/>
  <c r="J46" i="24"/>
  <c r="J44" i="24"/>
  <c r="J43" i="24"/>
  <c r="E43" i="24" l="1"/>
  <c r="E39" i="24"/>
  <c r="E37" i="24"/>
  <c r="E36" i="24"/>
  <c r="J24" i="24"/>
  <c r="J23" i="24"/>
  <c r="J22" i="24"/>
  <c r="J17" i="24"/>
  <c r="E22" i="24"/>
  <c r="E20" i="24"/>
  <c r="I23" i="24" l="1"/>
  <c r="I24" i="24"/>
  <c r="B141" i="24"/>
  <c r="B140" i="24"/>
  <c r="I123" i="24"/>
  <c r="J123" i="24" s="1"/>
  <c r="I109" i="24"/>
  <c r="J109" i="24" s="1"/>
  <c r="J13" i="2"/>
  <c r="K13" i="2" s="1"/>
  <c r="G13" i="2"/>
  <c r="I122" i="24" s="1"/>
  <c r="G109" i="24"/>
  <c r="F109" i="24"/>
  <c r="E109" i="24"/>
  <c r="G99" i="24"/>
  <c r="F99" i="24"/>
  <c r="E99" i="24"/>
  <c r="B96" i="24"/>
  <c r="B95" i="24"/>
  <c r="H13" i="2" l="1"/>
  <c r="J122" i="24" s="1"/>
  <c r="I108" i="24"/>
  <c r="E67" i="24"/>
  <c r="G67" i="24"/>
  <c r="F67" i="24"/>
  <c r="J108" i="24" l="1"/>
  <c r="B3" i="24"/>
  <c r="I22" i="24"/>
  <c r="B58" i="24"/>
  <c r="H62" i="24"/>
  <c r="H123" i="24" s="1"/>
  <c r="H63" i="24"/>
  <c r="H64" i="24"/>
  <c r="E65" i="24"/>
  <c r="F65" i="24"/>
  <c r="F68" i="24" s="1"/>
  <c r="F73" i="24" s="1"/>
  <c r="F76" i="24" s="1"/>
  <c r="G65" i="24"/>
  <c r="G68" i="24" s="1"/>
  <c r="G73" i="24" s="1"/>
  <c r="G76" i="24" s="1"/>
  <c r="H67" i="24"/>
  <c r="H70" i="24"/>
  <c r="H71" i="24"/>
  <c r="H72" i="24"/>
  <c r="H75" i="24"/>
  <c r="H78" i="24"/>
  <c r="H79" i="24"/>
  <c r="H85" i="24"/>
  <c r="B93" i="24"/>
  <c r="H101" i="24"/>
  <c r="H102" i="24"/>
  <c r="H103" i="24"/>
  <c r="E111" i="24"/>
  <c r="F111" i="24"/>
  <c r="G111" i="24"/>
  <c r="H113" i="24"/>
  <c r="H117" i="24"/>
  <c r="H118" i="24"/>
  <c r="B138" i="24"/>
  <c r="J148" i="24"/>
  <c r="F146" i="24" s="1"/>
  <c r="H6" i="2"/>
  <c r="H7" i="2"/>
  <c r="H109" i="24" l="1"/>
  <c r="H99" i="24"/>
  <c r="H65" i="24"/>
  <c r="E35" i="24"/>
  <c r="F155" i="24" s="1"/>
  <c r="H155" i="24" s="1"/>
  <c r="I155" i="24" s="1"/>
  <c r="E68" i="24"/>
  <c r="H68" i="24" s="1"/>
  <c r="G115" i="24"/>
  <c r="G119" i="24" s="1"/>
  <c r="G80" i="24"/>
  <c r="G83" i="24" s="1"/>
  <c r="F80" i="24"/>
  <c r="F83" i="24" s="1"/>
  <c r="F115" i="24"/>
  <c r="F119" i="24" s="1"/>
  <c r="G112" i="24"/>
  <c r="G114" i="24" s="1"/>
  <c r="F112" i="24"/>
  <c r="F114" i="24" s="1"/>
  <c r="F159" i="24" l="1"/>
  <c r="H159" i="24" s="1"/>
  <c r="I159" i="24" s="1"/>
  <c r="J159" i="24" s="1"/>
  <c r="F163" i="24"/>
  <c r="H163" i="24" s="1"/>
  <c r="I163" i="24" s="1"/>
  <c r="J163" i="24" s="1"/>
  <c r="F158" i="24"/>
  <c r="H158" i="24" s="1"/>
  <c r="I158" i="24" s="1"/>
  <c r="J158" i="24" s="1"/>
  <c r="F161" i="24"/>
  <c r="H161" i="24" s="1"/>
  <c r="I161" i="24" s="1"/>
  <c r="J161" i="24" s="1"/>
  <c r="F157" i="24"/>
  <c r="H157" i="24" s="1"/>
  <c r="I157" i="24" s="1"/>
  <c r="J157" i="24" s="1"/>
  <c r="I126" i="24"/>
  <c r="F156" i="24"/>
  <c r="H156" i="24" s="1"/>
  <c r="I156" i="24" s="1"/>
  <c r="J156" i="24" s="1"/>
  <c r="F160" i="24"/>
  <c r="H160" i="24" s="1"/>
  <c r="I160" i="24" s="1"/>
  <c r="J160" i="24" s="1"/>
  <c r="J126" i="24"/>
  <c r="E73" i="24"/>
  <c r="H73" i="24" s="1"/>
  <c r="F162" i="24"/>
  <c r="H162" i="24" s="1"/>
  <c r="I162" i="24" s="1"/>
  <c r="J162" i="24" s="1"/>
  <c r="H112" i="24"/>
  <c r="J155" i="24"/>
  <c r="E76" i="24" l="1"/>
  <c r="H76" i="24" s="1"/>
  <c r="I164" i="24"/>
  <c r="J169" i="24" s="1"/>
  <c r="J164" i="24"/>
  <c r="J170" i="24" s="1"/>
  <c r="H114" i="24"/>
  <c r="E115" i="24" l="1"/>
  <c r="E119" i="24" s="1"/>
  <c r="E80" i="24"/>
  <c r="H80" i="24" s="1"/>
  <c r="H83" i="24" s="1"/>
  <c r="J171" i="24"/>
  <c r="F147" i="24" s="1"/>
  <c r="F148" i="24" s="1"/>
  <c r="H115" i="24" l="1"/>
  <c r="H119" i="24" s="1"/>
  <c r="H126" i="24" s="1"/>
  <c r="E83" i="24"/>
  <c r="J125" i="24"/>
  <c r="H124" i="24"/>
  <c r="I124" i="24"/>
  <c r="I125" i="24"/>
  <c r="J124" i="24"/>
  <c r="H125" i="24"/>
  <c r="J28" i="2" l="1"/>
  <c r="J30" i="2"/>
  <c r="J31" i="2"/>
  <c r="J29" i="2"/>
  <c r="I28" i="2"/>
  <c r="I30" i="2"/>
  <c r="I31" i="2"/>
  <c r="I29" i="2"/>
  <c r="K30" i="2"/>
  <c r="K28" i="2"/>
  <c r="K29" i="2"/>
  <c r="K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Finance Institute</author>
  </authors>
  <commentList>
    <comment ref="F7" authorId="0" shapeId="0" xr:uid="{B1785F2A-90AE-4CDB-86B1-E608C9DCBC7A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made June 14, but became public June 19.</t>
        </r>
      </text>
    </comment>
    <comment ref="F10" authorId="0" shapeId="0" xr:uid="{42BBF63E-848C-42AD-8911-50EDDBF01DDD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Based on June 19, 2021 public announcement.</t>
        </r>
      </text>
    </comment>
    <comment ref="I21" authorId="0" shapeId="0" xr:uid="{C2D46B14-25A9-49F3-A600-9520F131406E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2.30 but increased to 2.87 due to a competitive bidding process.</t>
        </r>
      </text>
    </comment>
    <comment ref="J21" authorId="0" shapeId="0" xr:uid="{06F70A52-C0EE-4FE4-8CE0-B764BDDA8CF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2.30 but increased to 2.87 due to a competitive bidding process.</t>
        </r>
      </text>
    </comment>
    <comment ref="J43" authorId="0" shapeId="0" xr:uid="{A9136B32-06DF-48D4-92D5-15CACAD1312E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Use balance sheet values.</t>
        </r>
      </text>
    </comment>
    <comment ref="J44" authorId="0" shapeId="0" xr:uid="{EE033255-11F8-467B-A24E-94777F40B2A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Use balance sheet values.</t>
        </r>
      </text>
    </comment>
    <comment ref="E49" authorId="0" shapeId="0" xr:uid="{DD2FA4F4-57EA-416F-A85B-A4224B455CEA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Investment Property</t>
        </r>
      </text>
    </comment>
    <comment ref="E67" authorId="0" shapeId="0" xr:uid="{29A8CE2C-5BE7-4DB6-BBF8-4B92EA669412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Net of Other Operating Income, plus Loss on disposal and closure</t>
        </r>
      </text>
    </comment>
    <comment ref="F67" authorId="0" shapeId="0" xr:uid="{D370FB1C-FC2F-4429-91E6-CA3683EC36F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Net of Other Operating Income, plus Loss on disposal and closure</t>
        </r>
      </text>
    </comment>
    <comment ref="G67" authorId="0" shapeId="0" xr:uid="{3F4C436D-EAC8-47E1-9A72-E19E404AAC53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Net of Other Operating Income</t>
        </r>
      </text>
    </comment>
    <comment ref="E101" authorId="0" shapeId="0" xr:uid="{84C216E8-9164-4322-A193-3C2203B1108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1" authorId="0" shapeId="0" xr:uid="{CB646B90-A299-42DE-82AA-6D06C5EEDDCC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1" authorId="0" shapeId="0" xr:uid="{626F7E0F-A164-4508-BD2E-F69DDE555D0D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02" authorId="0" shapeId="0" xr:uid="{165FDA7E-34D0-45AC-BBBA-30BCA4B28C5F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2" authorId="0" shapeId="0" xr:uid="{5EF02290-C161-4CBE-897A-B0604E69806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2" authorId="0" shapeId="0" xr:uid="{ED70AF2D-F4C1-4440-BC73-4DC7CEB27FB1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03" authorId="0" shapeId="0" xr:uid="{0DAA573A-AA1A-487C-B9E5-DBD03410B19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3" authorId="0" shapeId="0" xr:uid="{8796DCE4-BE1B-4F56-AE5F-001C60AD8D4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3" authorId="0" shapeId="0" xr:uid="{486ABEC4-C776-4729-A5FE-311F72BFDDD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13" authorId="0" shapeId="0" xr:uid="{9475BA5A-F592-4B79-BC09-66129B0FE201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Note 5.6</t>
        </r>
      </text>
    </comment>
    <comment ref="F113" authorId="0" shapeId="0" xr:uid="{CEE218FD-C02F-4AB4-B5CC-55824D4C6D29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15</t>
        </r>
      </text>
    </comment>
    <comment ref="G113" authorId="0" shapeId="0" xr:uid="{55FAE4E9-06ED-4AE0-A601-D94D9C5B308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15</t>
        </r>
      </text>
    </comment>
    <comment ref="F145" authorId="0" shapeId="0" xr:uid="{B795ED93-6248-4F84-BE36-4E4D3BA0D1C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18</t>
        </r>
      </text>
    </comment>
    <comment ref="F146" authorId="0" shapeId="0" xr:uid="{C4A97822-0A0E-4B45-89BC-CAE1F4390102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There is no dilutive info in the Interim Report so we will need to use the Annual Report.</t>
        </r>
      </text>
    </comment>
    <comment ref="J146" authorId="0" shapeId="0" xr:uid="{A1ECB154-ECD6-4C16-965E-8A7535667F1F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2021 Annual Report, Note 9.3</t>
        </r>
      </text>
    </comment>
    <comment ref="J147" authorId="0" shapeId="0" xr:uid="{77C9783C-ECB8-4BC0-AEDB-591F5EB6613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2021 Annual Report, Note 9.4</t>
        </r>
      </text>
    </comment>
    <comment ref="E155" authorId="0" shapeId="0" xr:uid="{1B1F58F1-5FF8-426A-8E97-14ECAB9D7E4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Note 9.2</t>
        </r>
      </text>
    </comment>
  </commentList>
</comments>
</file>

<file path=xl/sharedStrings.xml><?xml version="1.0" encoding="utf-8"?>
<sst xmlns="http://schemas.openxmlformats.org/spreadsheetml/2006/main" count="303" uniqueCount="235">
  <si>
    <t>Strictly Confidential</t>
  </si>
  <si>
    <t>https://corporatefinanceinstitute.com/</t>
  </si>
  <si>
    <t>Price</t>
  </si>
  <si>
    <t>Net Debt</t>
  </si>
  <si>
    <t>Average</t>
  </si>
  <si>
    <t>Median</t>
  </si>
  <si>
    <t>Share</t>
  </si>
  <si>
    <t>Value</t>
  </si>
  <si>
    <t>Revenue</t>
  </si>
  <si>
    <t>Current Trading Multiples</t>
  </si>
  <si>
    <t>Exercise</t>
  </si>
  <si>
    <t>Number</t>
  </si>
  <si>
    <t>Proceeds</t>
  </si>
  <si>
    <t>Outstanding</t>
  </si>
  <si>
    <t>Total</t>
  </si>
  <si>
    <t>Table of Contents</t>
  </si>
  <si>
    <t>Unvested</t>
  </si>
  <si>
    <t xml:space="preserve"> </t>
  </si>
  <si>
    <t>Exercised</t>
  </si>
  <si>
    <t>Warrants</t>
  </si>
  <si>
    <t>BAABTAVMT0NBTAFI/////wFQjgAAABRDSVEuLklRX0NPTVBBTllfTkFNRQUAAAAAAAAACAAAABQoSW52YWxpZCBJZGVudGlmaWVyKZA0JXU36dgIoVLouDrp2AgnQ0lRLi5JUV9DQVNIX09QRVJfRVNULkZZMjAyMi4yMDIwLTExLTI0BQAAAAAAAAAIAAAAFChJbnZhbGlkIElkZW50aWZpZXIpkDQldTfp2AiDx+i4OunYCClDSVEuLklRX05JX1JFUE9SVEVEX0VTVC5GWTIwMjIuMjAyMC0xMS0yNAUAAAAAAAAACAAAABQoSW52YWxpZCBJZGVudGlmaWVyKZA0JXU36dgId+7ouDrp2AgkQ0lRLi5JUV9FQklUREFfRVNULkZZMjAyMi4yMDIwLTExLTI0BQAAAAAAAAAIAAAAFChJbnZhbGlkIElkZW50aWZpZXIpelsldTfp2AiDx+i4OunYCCFDSVEuLklRX0NPTlZFUlQuLjIwMjAtMTEtMjQuLi5VU0QFAAAAAAAAAAgAAAAUKEludmFsaWQgSWRlbnRpZmllcil6WyV1N+nYCIPH6Lg66dgIJUNJUS4uSVFfUkVWRU5VRV9FU1QuRlkyMDIyLjIwMjAtMTEtMjQFAAAAAAAAAAgAAAAUKEludmFsaWQgSWRlbnRpZmllcil6WyV1N+nYCI+g6Lg66dgIHkNJUS4uSVFfVE9UQUxfREVCVC4uMjAyMC0xMS0yNAUAAAAAAAAACAAAABQoSW52YWxpZCBJZGVudGlmaWVyKXpbJXU36dgIj6DouDrp2AggQ0lRLi5JUV9MQVNUU0FMRVBSSUNFLjIwMjAtMTEtMjQFAAAAAAAAAAgAAAAUKEludmFsaWQgSWRlbnRpZmllcil6WyV1N+nY</t>
  </si>
  <si>
    <t>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+nYCI+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+nYCI+g6Lg66dgIKUNJUS4uSVFfTklfUkVQT1JURURfRVNULkZZMjAyMS4yMDIwLTExLTI0BQAAAAAAAAAIAAAAFChJbnZhbGlkIElkZW50aWZpZXIpkDQldTfp2AiDx+i4OunYCClDSVEuTllTRTpTTkFQLklRX0xBU1RTQUxFUFJJQ0UuMjAyMC0xMS0yNAEAAADzz1oNAgAAAAU0NC4yOQDR</t>
  </si>
  <si>
    <t>D+S4OunYCI+g6Lg66dgII0NJUS5OQVNEQVFHUzpFWFBFLklRX0NPTVBBTllfVElDS0VSAQAAAMNxiwEDAAAADU5hc2RhcUdTOkVYUEUA0Q/kuDrp2AiuK+i4OunYCB5DSVEuTllTRTpXTVQuSVFfQ09NUEFOWV9USUNLRVIBAAAA38YEAAMAAAAITllTRTpXTVQA0Q/kuDrp2AihUui4OunYCB1DSVEuTllTRTpTTkFQLklRX0NPTVBBTllfTkFNRQEAAADzz1oNAwAAAAlTbmFwIEluYy4A0Q/kuDrp2Aiaeei4OunYCCFDSVEuTkFTREFRR1M6RkIuSVFfQ09NUEFOWV9USUNLRVIBAAAAF9s8AQMAAAALTmFzZGFxR1M6RkIA0Q/kuDrp2Aiaeei4OunYCCVDSVEuTkFTREFRR1M6R09PRy5MLklRX0NPTVBBTllfVElDS0VSAQAAAKhxAAADAAAAD05hc2RhcUdTOkdPT0cuTADRD+S4OunYCIPH6Lg66dgII0NJUS5OQVNEQVFHUzpFQkFZLklRX0NPTVBBTllfVElDS0VSAQAAANZsAAADAAAADU5hc2RhcUdTOkVCQVkA0Q/kuDrp2AiDx+i4OunYCB9DSVEuTllTRTpUV1RSLklRX0NPTVBBTllfVElDS0VSAQAAALO/JAIDAAAACU5ZU0U6VFdUUgDRD+S4OunYCI+g6Lg66dgII0NJUS5OQVNEQVFHUzpBTVpOLklRX0NPTVBBTllfVElDS0VSAQAAAD1JAAADAAAADU5hc2RhcUdTOkFNWk4A0Q/kuDrp2Ah37ui4OunYCCdDSVEuTllTRTpTTkFQLklRX0NBU0hfRVFVSVYuLjIwMjAtMTEtMjQBAAAA889aDQIAAAAGODI0LjA3AQgA</t>
  </si>
  <si>
    <t>AAAFAAAAATEBAAAACjIwNjUyOTczNzgDAAAAAzE2MAIAAAAEMTA5NgQAAAABMAcAAAAKMTEvMjQvMjAyMAgAAAAJOS8zMC8yMDIwCQAAAAEw0Q/kuDrp2Aiaeei4OunYCCdDSVEuTllTRTpTTkFQLklRX1RPVEFMX0RFQlQuLjIwMjAtMTEtMjQBAAAA889aDQIAAAAIMTk3OC4zNDUBCAAAAAUAAAABMQEAAAAKMjA2NTI5NzM3OAMAAAADMTYwAgAAAAQ0MTczBAAAAAEwBwAAAAoxMS8yNC8yMDIwCAAAAAk5LzMwLzIwMjAJAAAAATDRD+S4OunYCJp56Lg66dgIKkNJUS5OWVNFOlNOQVAuSVFfQ09OVkVSVC4uMjAyMC0xMS0yNC4uLlVTRAEAAADzz1oNAgAAAAgxNjUwLjI0NgEIAAAABQAAAAEyAQAAAAoyMDY1Mjk3Mzc4AwAAAAMxNjACAAAABTIxODM2BAAAAAEwBwAAAAoxMS8yNC8yMDIwCAAAAAk5LzMwLzIwMjAJAAAAATDRD+S4OunYCI+g6Lg66dgIKUNJUS5OWVNFOlNOQVAuSVFfVE9UQUxfRVFVSVRZLi4yMDIwLTExLTI0AQAAAPPPWg0CAAAACDIxOTguNzcxAQgAAAAFAAAAATEBAAAACjIwNjUyOTczNzgDAAAAAzE2MAIAAAAEMTI3NQQAAAABMAcAAAAKMTEvMjQvMjAyMAgAAAAJOS8zMC8yMDIwCQAAAAEw0Q/kuDrp2AiPoOi4OunYCDZDSVEuTllTRTpTTkFQLklRX1RPVEFMX09VVFNUQU5ESU5HX0JTX0RBVEUuLjIwMjAtMTEtMjQBAAAA889aDQIAAAAIMTQ4NC43MTYBBAAAAAUAAAABNQEAAAAKMjA2</t>
  </si>
  <si>
    <t>NTI5NzM3OAIAAAAFMjQxNTIGAAAAATDRD+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/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+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</t>
  </si>
  <si>
    <t>0Q/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</t>
  </si>
  <si>
    <t>Lk5ZU0U6U05BUC5JUV9DQVNIX09QRVJfRVNULkZZMjAyMi4yMDIwLTExLTI0AQAAAPPPWg0CAAAACTkzMy45MzYzNgEOAAAABQAAAAEzAQAAAAEwAgAAAAoxMDAzNjMxNTU4AwAAAAYxMDQwNzYEAAAAATIGAAAAATAHAAAAAzE2MAgAAAABMAkAAAABMQoAAAABMAsAAAALMTIxNTI1MzY1OTgMAAAAATENAAAACjExLzI1LzIwMjAQAAAACjExLzI0LzIwMjDRD+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+S4OunYCHfu6Lg66dgIKUNJUS5OWVNFOlRXVFIuSVFfTEFTVFNBTEVQUklDRS4yMDIwLTExLTI0AQAAALO/JAICAAAABTQ1LjIzABo46XU36dgIj6DouDrp2AgtQ0lRLk5BU0RBUUdTOkVCQVkuSVFfTEFTVFNBTEVQUklDRS4yMDIwLTExLTI0AQAAANZsAAACAAAABTUwLjUzABo46XU36dgIbBXpuDrp2AgtQ0lRLk5BU0RBUUdTOkFNWk4uSVFfTEFTVFNBTEVQUklDRS4yMDIwLTExLTI0AQAAAD1JAAACAAAABzMxMTguMDYAGjjpdTfp2AhkPOm4OunYCC9DSVEu</t>
  </si>
  <si>
    <t>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+nYCIPH6Lg66dgIIUNJUS5OQVNEQVFHUzpBTVpOLklRX0NPTVBBTllfTkFNRQEAAAA9SQAAAwAAABBBbWF6b24uY29tLCBJbmMuANEP5Lg66dgIZDzpuDrp2AgdQ0lRLk5ZU0U6VFdUUi5JUV9DT01QQU5ZX05BTUUBAAAAs78kAgMAAAANVHdpdHRlciwgSW5jLgDRD+S4OunYCGwV6bg66dgIIUNJUS5OQVNEQVFHUzpFWFBFLklRX0NPTVBBTllfTkFNRQEAAADDcYsBAwAAABNFeHBlZGlhIEdyb3VwLCBJbmMuANEP5Lg66dgIoVLouDrp2AgcQ0lRLk5ZU0U6V01ULklRX0NPTVBBTllfTkFNRQEAAADfxgQAAwAAAAxXYWxtYXJ0IEluYy4A0Q/kuDrp2Aiaeei4OunYCB9DSVEuTkFTREFRR1M6RkIuSVFfQ09NUEFOWV9OQU1FAQAAABfbPAEDAAAADkZhY2Vib29rLCBJ</t>
  </si>
  <si>
    <t>bmMuANEP5Lg66dgIj6DouDrp2AgjQ0lRLk5BU0RBUUdTOkdPT0cuTC5JUV9DT01QQU5ZX05BTUUBAAAAqHEAAAMAAAANQWxwaGFiZXQgSW5jLgDRD+S4OunYCHfu6Lg66dgIIUNJUS5OQVNEQVFHUzpFQkFZLklRX0NPTVBBTllfTkFNRQEAAADWbAAAAwAAAAllQmF5IEluYy4A0Q/kuDrp2Ah37ui4OunYCC5DSVEuTkFTREFRR1M6QU1aTi5JUV9DT05WRVJULi4yMDIwLTExLTI0Li4uVVNEAQAAAD1JAAADAAAAAAAaOOl1N+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/JAICAAAACDQzNDguNTU0AQgAAAAFAAAAATEBAAAACjIwNjczNDc2NDUDAAAAAzE2MAIAAAAENDE3MwQAAAABMAcAAAAKMTEvMjQvMjAyMAgAAAAJOS8zMC8yMDIwCQAAAAEwGjjpdTfp2AiDx+i4OunYCCtDSVEuTkFTREFRR1M6QU1aTi5JUV9UT1RBTF9ERUJULi4yMDIwLTExLTI0AQAAAD1JAAACAAAABTk2ODE0AQgAAAAFAAAAATEBAAAACjIwNjcyMzk3OTQDAAAAAzE2MAIAAAAENDE3MwQAAAAB</t>
  </si>
  <si>
    <t>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+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</t>
  </si>
  <si>
    <t>MTYwAgAAAAQxMDk2BAAAAAEwBwAAAAoxMS8yNC8yMDIwCAAAAAk5LzMwLzIwMjAJAAAAATAaOOl1N+nYCGwV6bg66dgIOENJUS5OQVNEQVFHUzpGQi5JUV9UT1RBTF9PVVRTVEFORElOR19CU19EQVRFLi4yMDIwLTExLTI0AQAAABfbPAECAAAABDI4NTABBAAAAAUAAAABNQEAAAAKMjA2NzIzOTczMQIAAAAFMjQxNTIGAAAAATAaOOl1N+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+nYCGwV6bg66dgIOkNJUS5OQVNEQVFHUzpFQkFZLklRX1RPVEFMX09VVFNUQU5ESU5HX0JTX0RBVEUuLjIwMjAtMTEtMjQBAAAA1mwAAAIAAAADNjg5AQQA</t>
  </si>
  <si>
    <t>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+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</t>
  </si>
  <si>
    <t>AAABMQEAAAAKMjA2ODM3MzYzMAMAAAADMTYwAgAAAAQxMDk2BAAAAAEwBwAAAAoxMS8yNC8yMDIwCAAAAAk5LzMwLzIwMjAJAAAAATAaOOl1N+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+nYCGwV6bg66dgIKENJUS5OWVNFOldNVC5JUV9UT1RBTF9FUVVJVFkuLjIwMjAtMTEtMjQBAAAA38YEAAIAAAAFODc1MDQB</t>
  </si>
  <si>
    <t>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+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+7ouDrp2Ag6Q0lRLk5BU0RBUUdTOkVYUEUuSVFfVE9UQUxfT1VUU1RBTkRJTkdfQlNfREFURS4uMjAyMC0xMS0yNAEAAADDcYsBAgAAAAoxNDEuNDI5NjQ2AQQAAAAFAAAAATUBAAAACjIwNjgzNzM2MzACAAAABTI0MTUyBgAAAAEw</t>
  </si>
  <si>
    <t>GjjpdTfp2AiDx+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+nYCI+g6Lg66dgIL0NJUS5OQVNEQVFHUzpHT09HLkwuSVFfVE9UQUxfRVFVSVRZLi4yMDIwLTExLTI0AQAAAKhxAAACAAAABjIxMjkyMAEIAAAABQAAAAExAQAAAAoyMDY3MjM5ODU3AwAAAAMxNjACAAAABDEyNzUEAAAAATAHAAAACjExLzI0LzIwMjAIAAAACTkvMzAvMjAyMAkAAAABMBo46XU36dgId+7ouDrp2AgtQ0lRLk5BU0RBUUdTOkVYUEUuSVFfVE9UQUxfRVFVSVRZLi4yMDIwLTExLTI0AQAAAMNxiwECAAAABDQxMzQBCAAAAAUAAAABMQEAAAAKMjA2ODM3MzYzMAMAAAADMTYwAgAAAAQxMjc1BAAAAAEwBwAAAAoxMS8yNC8yMDIwCAAAAAk5LzMwLzIwMjAJAAAAATAaOOl1N+nYCHfu6Lg66dgILUNJUS5OQVNEQVFH</t>
  </si>
  <si>
    <t>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+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+nYCHfu6Lg66dgILUNJUS5OWVNFOlRXVFIuSVFfRUJJVERBX0VTVC5GWTIwMjEuMjAyMC0xMS0yNAEAAACzvyQCAgAAAAoxMzQxLjI2MTU4AQ4AAAAFAAAAATMBAAAAATACAAAACjEw</t>
  </si>
  <si>
    <t>MDE5Njk2MDMDAAAABjEwMDE4NwQAAAABMgYAAAABMAcAAAADMTYwCAAAAAEwCQAAAAExCgAAAAEwCwAAAAsxMjE2MTA3MzI5NwwAAAABMQ0AAAAKMTEvMjUvMjAyMBAAAAAKMTEvMjQvMjAyMBo46XU36dgId+7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+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</t>
  </si>
  <si>
    <t>AAEyBgAAAAEwBwAAAAMxNjAIAAAAATAJAAAAATEKAAAAATALAAAACzEyMTYxMDczMjEzDAAAAAExDQAAAAoxMS8yNS8yMDIwEAAAAAoxMS8yNC8yMDIwGjjpdTfp2AiDx+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</t>
  </si>
  <si>
    <t>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</t>
  </si>
  <si>
    <t>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</t>
  </si>
  <si>
    <t>CQAAAAExCgAAAAEwCwAAAAsxMjE2MjI0MjUxMQwAAAABMQ0AAAAKMTEvMjUvMjAyMBAAAAAKMTEvMjQvMjAyMBo46XU36dgId+7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</t>
  </si>
  <si>
    <t>MQoAAAABMAsAAAALMTIxMzA3MzA5NjYMAAAAATENAAAACjExLzI1LzIwMjAQAAAACjExLzI0LzIwMjAaOOl1N+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+i4OunYCC9DSVEuTkFTREFRR1M6RkIuSVFfRUJJVERBX0VTVC5GWTIwMjEuMjAyMC0xMS0yNAEAAAAX2zwBAgAAAAs1MTQzMy43NjgyMwEOAAAABQAAAAEzAQAAAAEwAgAAAAoxMDAxNTMzMTQzAwAAAAYxMDAxODcEAAAAATIGAAAAATAHAAAAAzE2MAgAAAABMAkAAAABMQoAAAABMAsAAAALMTIxNTU1</t>
  </si>
  <si>
    <t>NjkzMTIMAAAAATENAAAACjExLzI1LzIwMjAQAAAACjExLzI0LzIwMjAaOOl1N+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</t>
  </si>
  <si>
    <t>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</t>
  </si>
  <si>
    <t>EAAAAAoxMS8yNC8yMDIwGjjpdTfp2AhsFem4OunYCDFDSVEuTllTRTpXTVQuSVFfTklfUkVQT1JURURfRVNULkZZMjAyMS4yMDIwLTExLTI0AQAAAN/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+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</t>
  </si>
  <si>
    <t>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+nYCJp56Lg66dgIL0NJUS5OWVNFOldNVC5JUV9DQVNIX09QRVJfRVNULkZZMjAyMS4yMDIwLTExLTI0AQAAAN/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+nY</t>
  </si>
  <si>
    <t>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+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</t>
  </si>
  <si>
    <t>REFRR1M6R09PRy5MLklRX0NBU0hfT1BFUl9FU1QuRlkyMDIyLjIwMjAtMTEtMjQBAAAAqHEAAAIAAAAKODM0ODAuOTA5OQEOAAAABQAAAAEzAQAAAAEwAgAAAAoxMDAxNTA5OTI1AwAAAAYxMDQwNzYEAAAAATIGAAAAATAHAAAAAzE2MAgAAAABMAkAAAABMQoAAAABMAsAAAALMTIyMDc1MzYyNjgMAAAAATENAAAACjExLzI1LzIwMjAQAAAACjExLzI0LzIwMjAaOOl1N+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+nYCI+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</t>
  </si>
  <si>
    <t>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+nYCI+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</t>
  </si>
  <si>
    <t>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+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+nYCIPH6Lg66dgINENJUS5OQVNEQVFHUzpF</t>
  </si>
  <si>
    <t>WFBFLklRX0NBU0hfT1BFUl9FU1QuRlkyMDIyLjIwMjAtMTEtMjQBAAAAw3GLAQIAAAAKMjc5Mi4wODY2NwEOAAAABQAAAAEzAQAAAAEwAgAAAAoxMDAxNzMwNzA4AwAAAAYxMDQwNzYEAAAAATIGAAAAATAHAAAAAzE2MAgAAAABMAkAAAABMQoAAAABMAsAAAALMTIxNTk4OTk2OTYMAAAAATENAAAACjExLzI1LzIwMjAQAAAACjExLzI0LzIwMjAaOOl1N+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+7ouDrp2AgtQ0lRLk5ZU0U6V01ULklRX1JFVkVOVUVfRVNULkZZMjAyMS4yMDIwLTExLTI0AQAAAN/GBAACAAAADDU1MTQ5OS45NDA4NwEOAAAABQAAAAEzAQAAAAEwAgAAAAoxMDAxODE4NTkzAwAAAAYxMDAxODAEAAAAATIGAAAAATAHAAAAAzE2MAgAAAABMAkAAAABMQoAAAABMAsAAAALMTIxNjIzOTY4NTMMAAAAATENAAAACjExLzI1LzIwMjAQAAAACjExLzI0LzIwMjAaOOl1N+nYCHfu6Lg66dgINkNJUS5OQVNEQVFHUzpFQkFZLklRX05J</t>
  </si>
  <si>
    <t>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/JAICAAAACjE2NTYuODE0ODMBDgAAAAUAAAABMwEAAAABMAIAAAAKMTAwMTk2OTY1NQMAAAAGMTAwMTg3BAAAAAEyBgAAAAEwBwAAAAMxNjAIAAAAATAJAAAAATEKAAAAATALAAAACzEyMTYxMDczMTAzDAAAAAExDQAAAAoxMS8yNS8yMDIwEAAAAAoxMS8yNC8yMDIwGjjpdTfp2AiDx+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</t>
  </si>
  <si>
    <t>MjIuMjAyMC0xMS0yNAEAAAA9SQAAAgAAAAs4NzE0OS42Nzg1NwEOAAAABQAAAAEzAQAAAAEwAgAAAAoxMDAxMzA5NTIzAwAAAAYxMDQwNzYEAAAAATIGAAAAATAHAAAAAzE2MAgAAAABMAkAAAABMQoAAAABMAsAAAALMTIxNDgxNzIzNDQMAAAAATENAAAACjExLzI1LzIwMjAQAAAACjExLzI0LzIwMjAaOOl1N+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+nYCHfu6Lg66dgIMkNJUS5OWVNFOlRXVFIuSVFfTklfUkVQT1JURURfRVNULkZZMjAyMS4yMDIwLTExLTI0AQAAALO/JAICAAAACTIxNi40NTM5NAEOAAAABQAAAAEzAQAAAAEwAgAAAAoxMDAxOTY5NjAzAwAAAAYxMDAyNjQEAAAAATIGAAAAATAHAAAAAzE2MAgAAAABMAkAAAABMQoAAAABMAsAAAALMTIxNjEwNzMyNDMMAAAAATENAAAACjExLzI1LzIwMjAQAAAACjExLzI0LzIwMjAaOOl1N+nYCIPH6Lg66dgILENJUS5OWVNFOldNVC5JUV9FQklUREFfRVNULkZZMjAyMS4yMDIwLTExLTI0AQAA</t>
  </si>
  <si>
    <t>AN/GBAACAAAACzM0OTg2LjMwOTk5AQ4AAAAFAAAAATMBAAAAATACAAAACjEwMDE4MTg1OTMDAAAABjEwMDE4NwQAAAABMgYAAAABMAcAAAADMTYwCAAAAAEwCQAAAAExCgAAAAEwCwAAAAsxMjE2MDAxOTY3NAwAAAABMQ0AAAAKMTEvMjUvMjAyMBAAAAAKMTEvMjQvMjAyMBo46XU36dgId+7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+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+nYCIPH6Lg66dgI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</si>
  <si>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</si>
  <si>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</si>
  <si>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</si>
  <si>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</si>
  <si>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</si>
  <si>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</si>
  <si>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Basic Shares Outstanding</t>
  </si>
  <si>
    <t xml:space="preserve">Options </t>
  </si>
  <si>
    <t>Number of Additional Shares Issued</t>
  </si>
  <si>
    <t>Analysis Date</t>
  </si>
  <si>
    <t>Maximum</t>
  </si>
  <si>
    <t>Minimum</t>
  </si>
  <si>
    <t>Millions</t>
  </si>
  <si>
    <t xml:space="preserve">Fully Diluted Shares Outstanding </t>
  </si>
  <si>
    <t>Summary</t>
  </si>
  <si>
    <t>LTM</t>
  </si>
  <si>
    <t>Fiscal Year</t>
  </si>
  <si>
    <t>EV / EBITDA</t>
  </si>
  <si>
    <t>Stock Options - Tranche 1</t>
  </si>
  <si>
    <t>Stock Options - Tranche 2</t>
  </si>
  <si>
    <t>Stock Options - Tranche 3</t>
  </si>
  <si>
    <t>Stock Options - Tranche 4</t>
  </si>
  <si>
    <t>Latest</t>
  </si>
  <si>
    <t>(YYYY-MM-DD)</t>
  </si>
  <si>
    <t xml:space="preserve">Forecast metrics based on Consensus research estimates. Last twelve months (LTM) based on actuals. </t>
  </si>
  <si>
    <t>Restricted Stock Units (RSUs)</t>
  </si>
  <si>
    <t>Dilution From Unvested Stock Awards</t>
  </si>
  <si>
    <t>ITM?</t>
  </si>
  <si>
    <t>Shares Outstanding</t>
  </si>
  <si>
    <t>Options &amp; Warrants</t>
  </si>
  <si>
    <t>In-the-Money Options</t>
  </si>
  <si>
    <t>Less: Shares Repurchased by Treasury</t>
  </si>
  <si>
    <t>Current</t>
  </si>
  <si>
    <t>Previous</t>
  </si>
  <si>
    <t>Plus: Preferred Stock</t>
  </si>
  <si>
    <t>Plus: Net Debt</t>
  </si>
  <si>
    <t>Plus: Non-Controlling Interest</t>
  </si>
  <si>
    <t>Less: Cash &amp; Cash Equivalents</t>
  </si>
  <si>
    <t>Price / Earnings</t>
  </si>
  <si>
    <t>YTD</t>
  </si>
  <si>
    <t>EPS Denominator Adjustment</t>
  </si>
  <si>
    <t>Cost of Sales</t>
  </si>
  <si>
    <t>Gross Profit</t>
  </si>
  <si>
    <t>Finance Cost, net</t>
  </si>
  <si>
    <t>Taxes</t>
  </si>
  <si>
    <t>Weighted Average Diluted Shares</t>
  </si>
  <si>
    <t>Operating Income (EBIT)</t>
  </si>
  <si>
    <t>EBIT</t>
  </si>
  <si>
    <t>Earnings Before Tax (EBT)</t>
  </si>
  <si>
    <t>Tax Impact of Adjustments</t>
  </si>
  <si>
    <t>Amounts included in Operating (Income)/Expense (COGS, SG&amp;A)</t>
  </si>
  <si>
    <t>Amounts included in Non-operating (Income)/Expense</t>
  </si>
  <si>
    <t>Non-IFRS/Non-GAAP Metrics &amp; Analyst Estimates:</t>
  </si>
  <si>
    <t>Consolidated Net Income</t>
  </si>
  <si>
    <t>Stock Options - Tranche 5</t>
  </si>
  <si>
    <t>Stock Options - Tranche 6</t>
  </si>
  <si>
    <t>Selling, General &amp; Administrative</t>
  </si>
  <si>
    <t>Stock Options - Tranche 7</t>
  </si>
  <si>
    <t>Stock Options - Tranche 8</t>
  </si>
  <si>
    <t>Restricted &amp; Other Stock Awards</t>
  </si>
  <si>
    <t>All figures in GBP millions unless stated</t>
  </si>
  <si>
    <t>(Profit)/Loss from Discontinued Operations</t>
  </si>
  <si>
    <t>Performance Shares</t>
  </si>
  <si>
    <t>Other</t>
  </si>
  <si>
    <t>Diluted EPS  (GBP/sh)</t>
  </si>
  <si>
    <t>Less: Investments in Affiliates/JVs</t>
  </si>
  <si>
    <t>Less: Investments, Securities, Other</t>
  </si>
  <si>
    <t xml:space="preserve">Use the 'cumulative quarter' or 'semi-annual' amount like 6-months ending instead of 3-months ending. </t>
  </si>
  <si>
    <t>100 pence = 1 GBP</t>
  </si>
  <si>
    <t>EPS Numerator Adjustment (ex: 'other' EPS add-back)</t>
  </si>
  <si>
    <r>
      <t xml:space="preserve">EBITDA </t>
    </r>
    <r>
      <rPr>
        <b/>
        <vertAlign val="superscript"/>
        <sz val="10"/>
        <color rgb="FF000000"/>
        <rFont val="Open Sans"/>
        <family val="2"/>
      </rPr>
      <t>1</t>
    </r>
  </si>
  <si>
    <t>FY = Fiscal Year</t>
  </si>
  <si>
    <r>
      <t xml:space="preserve">Dilution From Options &amp; Dilutive Securities </t>
    </r>
    <r>
      <rPr>
        <vertAlign val="superscript"/>
        <sz val="10"/>
        <color theme="1"/>
        <rFont val="Open Sans"/>
        <family val="2"/>
      </rPr>
      <t>1</t>
    </r>
  </si>
  <si>
    <t xml:space="preserve">Using the Treasury Stock Method </t>
  </si>
  <si>
    <t>EBITDA</t>
  </si>
  <si>
    <t>Total Debt</t>
  </si>
  <si>
    <t>Current Borrowings</t>
  </si>
  <si>
    <t>Non-Current Borrowings</t>
  </si>
  <si>
    <t>Other Debt</t>
  </si>
  <si>
    <r>
      <t xml:space="preserve">YTD </t>
    </r>
    <r>
      <rPr>
        <b/>
        <vertAlign val="superscript"/>
        <sz val="10"/>
        <color rgb="FF000000"/>
        <rFont val="Open Sans"/>
        <family val="2"/>
      </rPr>
      <t>1</t>
    </r>
  </si>
  <si>
    <t>Enterprise Value / Revenue</t>
  </si>
  <si>
    <t>Enterprise Value / EBITDA</t>
  </si>
  <si>
    <t>This should reflect the Continuing Net Income attributable to the Company.</t>
  </si>
  <si>
    <t>na</t>
  </si>
  <si>
    <t>Finance, Other Non-Operating Income</t>
  </si>
  <si>
    <t xml:space="preserve">Normalization refers to non-recurring/adjusting items in a company's financials. Also may be called Non-IFRS, Non-GAAP or Non-underlying. </t>
  </si>
  <si>
    <t>Target</t>
  </si>
  <si>
    <t>Acquirer</t>
  </si>
  <si>
    <t>Announcement Date</t>
  </si>
  <si>
    <t>Projected or Actual Closing Date</t>
  </si>
  <si>
    <t>Deal Status</t>
  </si>
  <si>
    <t>Target Stock Price 1-Day Prior to Announcement</t>
  </si>
  <si>
    <t>Acquirer Stock Price 1-Day Prior to Announcement</t>
  </si>
  <si>
    <t>Wm Morrison Supermarkets PLC</t>
  </si>
  <si>
    <t>Clayton, Dubilier &amp; Rice</t>
  </si>
  <si>
    <t>Cash Offer per Share (if applicable)</t>
  </si>
  <si>
    <t>Implied Equity Offer Price per Share (if applicable)</t>
  </si>
  <si>
    <t>Total Offer Price per Share</t>
  </si>
  <si>
    <t>Consideration</t>
  </si>
  <si>
    <r>
      <t xml:space="preserve">Equity Offer Value Override </t>
    </r>
    <r>
      <rPr>
        <vertAlign val="superscript"/>
        <sz val="10"/>
        <color theme="1"/>
        <rFont val="Open Sans"/>
        <family val="2"/>
      </rPr>
      <t>1</t>
    </r>
  </si>
  <si>
    <t>Target Stock Price - 1 Day Prior</t>
  </si>
  <si>
    <t>Target Stock Price - 1 Week Prior</t>
  </si>
  <si>
    <t>Target Stock Price - 1 Month Prior</t>
  </si>
  <si>
    <t>Premium - 1 Day Prior</t>
  </si>
  <si>
    <t>Premium - 1 Week Prior</t>
  </si>
  <si>
    <t>Premium - 1 Month Prior</t>
  </si>
  <si>
    <t>Description</t>
  </si>
  <si>
    <t>CD&amp;R acquired 100% equity stake in Wm Morrison Supermarkets</t>
  </si>
  <si>
    <t>Completed</t>
  </si>
  <si>
    <t>Other Consideration per Share</t>
  </si>
  <si>
    <t>Cash</t>
  </si>
  <si>
    <t>Transaction Details and Premiums Paid Analysis</t>
  </si>
  <si>
    <t>Transaction Value</t>
  </si>
  <si>
    <t>Modeled Equity Offer Value</t>
  </si>
  <si>
    <t>If target is private then acquirer might only announce the equity offer value or the total transaction value. Set to zero otherwise.</t>
  </si>
  <si>
    <t>Total Transaction Value</t>
  </si>
  <si>
    <t>Modeled Transaction Value</t>
  </si>
  <si>
    <t xml:space="preserve">Not applicable since we have EBITDA estimates. </t>
  </si>
  <si>
    <r>
      <t xml:space="preserve">Normalization Adjustments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</si>
  <si>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Depreciation &amp; Amortization </t>
    </r>
    <r>
      <rPr>
        <vertAlign val="superscript"/>
        <sz val="10"/>
        <color theme="1"/>
        <rFont val="Open Sans"/>
        <family val="2"/>
      </rPr>
      <t>2</t>
    </r>
  </si>
  <si>
    <r>
      <t xml:space="preserve">Net Income to Company </t>
    </r>
    <r>
      <rPr>
        <vertAlign val="superscript"/>
        <sz val="10"/>
        <color theme="1"/>
        <rFont val="Open Sans"/>
        <family val="2"/>
      </rPr>
      <t>3</t>
    </r>
  </si>
  <si>
    <t xml:space="preserve">Some numbers might not match due to rounding. </t>
  </si>
  <si>
    <t>Prior to January 1, 2019, leases classified as operating may not have been capitalized on the balance sheet.</t>
  </si>
  <si>
    <t>Date</t>
  </si>
  <si>
    <t>Transaction</t>
  </si>
  <si>
    <t>Announcement</t>
  </si>
  <si>
    <t>Precedent Transaction Analysis</t>
  </si>
  <si>
    <t>Morrisons</t>
  </si>
  <si>
    <t>[x]</t>
  </si>
  <si>
    <t>Consideration Details</t>
  </si>
  <si>
    <r>
      <t xml:space="preserve">Plus: Lease Liabilities (Current and Non-Current) </t>
    </r>
    <r>
      <rPr>
        <vertAlign val="superscript"/>
        <sz val="10"/>
        <color theme="1"/>
        <rFont val="Open Sans"/>
        <family val="2"/>
      </rPr>
      <t>2</t>
    </r>
  </si>
  <si>
    <r>
      <t xml:space="preserve">Total Transaction Value Override </t>
    </r>
    <r>
      <rPr>
        <vertAlign val="superscript"/>
        <sz val="10"/>
        <color theme="1"/>
        <rFont val="Open Sans"/>
        <family val="2"/>
      </rPr>
      <t>1</t>
    </r>
  </si>
  <si>
    <t>Precedent Transactions Analysis</t>
  </si>
  <si>
    <t>(GBP/sh)</t>
  </si>
  <si>
    <t>(FD mm)</t>
  </si>
  <si>
    <t>Fully Diluted Shares Outstanding</t>
  </si>
  <si>
    <t>(FD)</t>
  </si>
  <si>
    <t>Equity Offer Value</t>
  </si>
  <si>
    <t>Market Capitalization</t>
  </si>
  <si>
    <t>Non-controlling Interest</t>
  </si>
  <si>
    <r>
      <t xml:space="preserve">Income from Equity Investments </t>
    </r>
    <r>
      <rPr>
        <vertAlign val="superscript"/>
        <sz val="10"/>
        <color theme="1"/>
        <rFont val="Open Sans"/>
        <family val="2"/>
      </rPr>
      <t>2</t>
    </r>
  </si>
  <si>
    <r>
      <t xml:space="preserve">Net Income to Company </t>
    </r>
    <r>
      <rPr>
        <b/>
        <vertAlign val="superscript"/>
        <sz val="10"/>
        <color theme="1"/>
        <rFont val="Open Sans"/>
        <family val="2"/>
      </rPr>
      <t>3</t>
    </r>
  </si>
  <si>
    <t xml:space="preserve">Income from Equity Investments may also include income from unconsolidated affiliates and joint ventures (JVs). </t>
  </si>
  <si>
    <t>Diluted EPS</t>
  </si>
  <si>
    <t>(mm)</t>
  </si>
  <si>
    <t>Income Statement</t>
  </si>
  <si>
    <t>Next Fiscal Year</t>
  </si>
  <si>
    <t>Amount</t>
  </si>
  <si>
    <t>Announced Synergies</t>
  </si>
  <si>
    <t>Premiums Paid Analysis based off of the original announcement date.</t>
  </si>
  <si>
    <r>
      <t xml:space="preserve">Premiums Paid Analysis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</si>
  <si>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Nominal Exchange Ratio (if applicable) </t>
    </r>
    <r>
      <rPr>
        <vertAlign val="superscript"/>
        <sz val="10"/>
        <color theme="1"/>
        <rFont val="Open Sans"/>
        <family val="2"/>
      </rPr>
      <t>1</t>
    </r>
  </si>
  <si>
    <t xml:space="preserve">The exchange ratio is multiplied by the acquirer's share price to obtain the per-share-value of the stock the target will receive. </t>
  </si>
  <si>
    <t>Final Offer</t>
  </si>
  <si>
    <t>Original Offer</t>
  </si>
  <si>
    <t>1.first</t>
  </si>
  <si>
    <t>2.F22 Total Offer Price per Share==IF(ISNUMBER(E20),E20+E21+E18,E21+E18)</t>
  </si>
  <si>
    <t xml:space="preserve">3.J17 link F10 </t>
  </si>
  <si>
    <t>4.J22</t>
  </si>
  <si>
    <t>解释：We could see the one day prior is a 61% premium, which is just very high.
CDR was actually in a bidding war. 
so we also calculated the original offer, which was two poungds20.
and there you can see that the original premium was in the 30% range. But again, there was a bidding war. CDR eventually won that bidding by paying 2.87. But of course, the premiums are roughly 60%. So now we've completed our premiums paid analysis.</t>
  </si>
  <si>
    <t>我们可以看到，前一天的溢价率高达 61%，这实在是太高了。</t>
  </si>
  <si>
    <t>实际上，CDR 当时正在进行竞价。</t>
  </si>
  <si>
    <t>所以我们也计算了最初的出价，当时是两个 20 磅。</t>
  </si>
  <si>
    <t>你可以看到，最初的溢价在 30% 左右。但这同样是一场竞价战。CDR 最终以 2.87 的价格赢得了竞标。当然，溢价率大约为 60%。至此，我们完成了溢价分析。</t>
  </si>
  <si>
    <t>5.F35 link 2: Total Offer Price per Share= E22 Total Offer Price per Share</t>
  </si>
  <si>
    <t xml:space="preserve">6. E36 Fully Diluted Shares Outstanding = F148 Fully Diluted Shares Outstanding </t>
  </si>
  <si>
    <t>7.E37 Equity Offer Value= E35 Total Offer Price per Share *E36Fully Diluted Shares Outstanding</t>
  </si>
  <si>
    <t xml:space="preserve">补充：7.sometimes if the target is private then the acquirer might only announce the equity offer value or the total transaction value. </t>
  </si>
  <si>
    <t>有时，如果目标公司是私营企业，那么收购方可能只公布股权收购价值或交易总价值。</t>
  </si>
  <si>
    <t>8.E39 Modeled Equity Offer Value=if E38有数字，那就是数字，没有就选E37</t>
  </si>
  <si>
    <t xml:space="preserve">9.link 8 E43 Market Capitalization= E39 </t>
  </si>
  <si>
    <t>10.J43 Current Borrowings</t>
  </si>
  <si>
    <t>11.J44 Non-Current Borrowings</t>
  </si>
  <si>
    <t>12. Alt =</t>
  </si>
  <si>
    <t>13. J51 Cash &amp; Cash Equivalents</t>
  </si>
  <si>
    <t>14. J52 Net Debt =Total Debt less Cash &amp; Cash Equivalents</t>
  </si>
  <si>
    <t>15. link 14</t>
  </si>
  <si>
    <t>16. fill</t>
  </si>
  <si>
    <t>17.alt =</t>
  </si>
  <si>
    <t xml:space="preserve">18. use if() function,下一部分到summary </t>
  </si>
  <si>
    <t>19.B15 date link date,后面的顺着填， 注意I15的公式=IFERROR(IF(OR(F15&lt;=0,F15=""),"na",$E15/F15),"na")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</si>
</sst>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#,##0.0_ ;\-#,##0.0\ "/>
    <numFmt numFmtId="167" formatCode="0.0%"/>
    <numFmt numFmtId="168" formatCode="_(#,##0_)_%;\(#,##0\)_%;_(&quot;–&quot;_)_%;_(@_)_%"/>
    <numFmt numFmtId="169" formatCode="#,##0_);\(#,##0\);\-"/>
    <numFmt numFmtId="170" formatCode="_(#,##0_);\(#,##0\);_(&quot;–&quot;_);_(@_)"/>
    <numFmt numFmtId="171" formatCode="0&quot;A&quot;"/>
    <numFmt numFmtId="172" formatCode="0&quot;E&quot;"/>
    <numFmt numFmtId="173" formatCode="_(#,##0.0_);\(#,##0.0\);_(&quot;–&quot;_);_(@_)"/>
    <numFmt numFmtId="174" formatCode="#,##0_ ;\-#,##0\ "/>
    <numFmt numFmtId="175" formatCode="@\⁽\³\⁾"/>
    <numFmt numFmtId="176" formatCode="@\⁽\¹\⁾"/>
    <numFmt numFmtId="177" formatCode="@\⁽\²\⁾"/>
    <numFmt numFmtId="178" formatCode="0.00\⁽\⁶\⁾"/>
    <numFmt numFmtId="179" formatCode="#,##0.0_);\(#,##0.0\);\-"/>
    <numFmt numFmtId="180" formatCode="_(0.0\x_);\(0.0\x\);_(&quot;–&quot;_);_(@_)"/>
    <numFmt numFmtId="181" formatCode="#,##0.00_);\(#,##0.00\);\-"/>
    <numFmt numFmtId="182" formatCode="#,##0.00_ ;\-#,##0.00\ "/>
    <numFmt numFmtId="183" formatCode="_(#,##0.00_);\(#,##0.00\);_(&quot;–&quot;_);_(@_)"/>
    <numFmt numFmtId="184" formatCode="yyyy/mm/dd;@"/>
    <numFmt numFmtId="185" formatCode="_(#,##0.0000_);\(#,##0.0000\);_(&quot;–&quot;_);_(@_)"/>
    <numFmt numFmtId="186" formatCode="_(#,##0.00000_);\(#,##0.00000\);_(&quot;–&quot;_);_(@_)"/>
    <numFmt numFmtId="187" formatCode="_(#,##0.00%_);\(#,##0.00%\);_(&quot;–&quot;_)_%;_(@_)_%"/>
    <numFmt numFmtId="188" formatCode="#,##0.0_);\(#,##0.0\)"/>
    <numFmt numFmtId="189" formatCode="&quot;Yes&quot;_);&quot;ERROR&quot;_);&quot;No&quot;_);&quot;ERROR&quot;_)"/>
    <numFmt numFmtId="190" formatCode="yyyy\-mm\-dd;@"/>
    <numFmt numFmtId="191" formatCode="_(0.000\x_);\(0.000\x\);_(&quot;–&quot;_);_(@_)"/>
    <numFmt numFmtId="192" formatCode=";;;_(@_)"/>
    <numFmt numFmtId="193" formatCode="_(#,##0.0%_);\(#,##0.0%\);_(&quot;–&quot;_)_%;_(@_)_%"/>
    <numFmt numFmtId="194" formatCode="0_);\(0\)"/>
    <numFmt numFmtId="195" formatCode="&quot;FY &quot;0000_)"/>
  </numFmts>
  <fonts count="6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i/>
      <sz val="10"/>
      <color theme="0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i/>
      <sz val="9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C00000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  <family val="2"/>
    </font>
    <font>
      <b/>
      <vertAlign val="superscript"/>
      <sz val="10"/>
      <color rgb="FF000000"/>
      <name val="Open Sans"/>
      <family val="2"/>
    </font>
    <font>
      <vertAlign val="superscript"/>
      <sz val="10"/>
      <color theme="1"/>
      <name val="Open Sans"/>
      <family val="2"/>
    </font>
    <font>
      <sz val="8"/>
      <color theme="1"/>
      <name val="Open Sans"/>
      <family val="2"/>
    </font>
    <font>
      <b/>
      <sz val="14"/>
      <color rgb="FFC32838"/>
      <name val="Open Sans"/>
      <family val="2"/>
    </font>
    <font>
      <sz val="10"/>
      <color rgb="FFC32838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color theme="1"/>
      <name val="Open Sans"/>
      <family val="2"/>
    </font>
    <font>
      <sz val="10"/>
      <name val="Bookman"/>
      <family val="1"/>
    </font>
    <font>
      <sz val="11"/>
      <color rgb="FFC32838"/>
      <name val="Calibri"/>
      <family val="2"/>
      <scheme val="minor"/>
    </font>
    <font>
      <i/>
      <sz val="8"/>
      <color theme="1"/>
      <name val="Open Sans"/>
      <family val="2"/>
    </font>
    <font>
      <b/>
      <sz val="10"/>
      <color theme="1"/>
      <name val="Open Sans"/>
    </font>
    <font>
      <b/>
      <sz val="9"/>
      <color theme="1"/>
      <name val="Open Sans"/>
    </font>
    <font>
      <b/>
      <sz val="9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3271D2"/>
      </left>
      <right/>
      <top style="hair">
        <color rgb="FF3271D2"/>
      </top>
      <bottom/>
      <diagonal/>
    </border>
    <border>
      <left style="hair">
        <color rgb="FF3271D2"/>
      </left>
      <right/>
      <top/>
      <bottom style="hair">
        <color rgb="FF3271D2"/>
      </bottom>
      <diagonal/>
    </border>
    <border>
      <left style="hair">
        <color rgb="FF3271D2"/>
      </left>
      <right/>
      <top/>
      <bottom/>
      <diagonal/>
    </border>
    <border>
      <left style="thin">
        <color rgb="FF3271D2"/>
      </left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 style="thin">
        <color rgb="FF3271D2"/>
      </right>
      <top/>
      <bottom/>
      <diagonal/>
    </border>
    <border>
      <left style="thin">
        <color rgb="FF3271D2"/>
      </left>
      <right style="thin">
        <color rgb="FF3271D2"/>
      </right>
      <top/>
      <bottom style="thin">
        <color rgb="FF3271D2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/>
      <right/>
      <top/>
      <bottom style="hair">
        <color rgb="FF3271D2"/>
      </bottom>
      <diagonal/>
    </border>
    <border>
      <left/>
      <right style="hair">
        <color rgb="FF3271D2"/>
      </right>
      <top/>
      <bottom/>
      <diagonal/>
    </border>
    <border>
      <left style="thin">
        <color rgb="FF3271D2"/>
      </left>
      <right/>
      <top/>
      <bottom style="thin">
        <color rgb="FF3271D2"/>
      </bottom>
      <diagonal/>
    </border>
    <border>
      <left/>
      <right/>
      <top style="thin">
        <color rgb="FF3271D2"/>
      </top>
      <bottom/>
      <diagonal/>
    </border>
    <border>
      <left/>
      <right/>
      <top/>
      <bottom style="thin">
        <color rgb="FF3271D2"/>
      </bottom>
      <diagonal/>
    </border>
    <border>
      <left/>
      <right style="thin">
        <color rgb="FF3271D2"/>
      </right>
      <top style="thin">
        <color rgb="FF3271D2"/>
      </top>
      <bottom/>
      <diagonal/>
    </border>
    <border>
      <left/>
      <right style="thin">
        <color rgb="FF3271D2"/>
      </right>
      <top/>
      <bottom/>
      <diagonal/>
    </border>
    <border>
      <left/>
      <right style="thin">
        <color rgb="FF3271D2"/>
      </right>
      <top/>
      <bottom style="thin">
        <color rgb="FF3271D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9" fontId="28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0" borderId="0"/>
    <xf numFmtId="164" fontId="28" fillId="0" borderId="0" applyFont="0" applyFill="0" applyBorder="0" applyAlignment="0" applyProtection="0"/>
    <xf numFmtId="0" fontId="30" fillId="0" borderId="0"/>
    <xf numFmtId="43" fontId="3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164" fontId="62" fillId="0" borderId="0" applyFont="0" applyFill="0" applyBorder="0" applyAlignment="0" applyProtection="0"/>
  </cellStyleXfs>
  <cellXfs count="379">
    <xf numFmtId="0" fontId="0" fillId="0" borderId="0" xfId="0"/>
    <xf numFmtId="0" fontId="35" fillId="0" borderId="0" xfId="2" applyNumberFormat="1" applyFont="1"/>
    <xf numFmtId="0" fontId="35" fillId="0" borderId="0" xfId="2" applyFont="1"/>
    <xf numFmtId="0" fontId="35" fillId="0" borderId="5" xfId="2" applyFont="1" applyBorder="1"/>
    <xf numFmtId="0" fontId="35" fillId="0" borderId="6" xfId="2" applyFont="1" applyBorder="1"/>
    <xf numFmtId="0" fontId="36" fillId="0" borderId="0" xfId="2" applyFont="1" applyProtection="1">
      <protection locked="0"/>
    </xf>
    <xf numFmtId="0" fontId="37" fillId="0" borderId="0" xfId="2" applyFont="1" applyAlignment="1">
      <alignment horizontal="right"/>
    </xf>
    <xf numFmtId="0" fontId="28" fillId="0" borderId="0" xfId="2" applyProtection="1">
      <protection locked="0"/>
    </xf>
    <xf numFmtId="0" fontId="38" fillId="0" borderId="0" xfId="2" applyFont="1"/>
    <xf numFmtId="0" fontId="37" fillId="0" borderId="1" xfId="2" applyFont="1" applyBorder="1" applyProtection="1">
      <protection locked="0"/>
    </xf>
    <xf numFmtId="0" fontId="27" fillId="0" borderId="0" xfId="2" applyFont="1"/>
    <xf numFmtId="0" fontId="28" fillId="0" borderId="0" xfId="2"/>
    <xf numFmtId="168" fontId="40" fillId="0" borderId="0" xfId="2" applyNumberFormat="1" applyFont="1"/>
    <xf numFmtId="168" fontId="29" fillId="0" borderId="0" xfId="3" applyNumberFormat="1" applyFill="1" applyBorder="1"/>
    <xf numFmtId="0" fontId="27" fillId="0" borderId="0" xfId="3" applyFont="1" applyFill="1" applyBorder="1"/>
    <xf numFmtId="0" fontId="41" fillId="2" borderId="0" xfId="2" applyFont="1" applyFill="1"/>
    <xf numFmtId="0" fontId="27" fillId="2" borderId="0" xfId="2" applyFont="1" applyFill="1"/>
    <xf numFmtId="168" fontId="42" fillId="2" borderId="0" xfId="2" applyNumberFormat="1" applyFont="1" applyFill="1"/>
    <xf numFmtId="0" fontId="34" fillId="2" borderId="0" xfId="2" applyFont="1" applyFill="1"/>
    <xf numFmtId="0" fontId="35" fillId="0" borderId="7" xfId="2" applyFont="1" applyBorder="1"/>
    <xf numFmtId="0" fontId="35" fillId="0" borderId="8" xfId="2" applyFont="1" applyBorder="1"/>
    <xf numFmtId="0" fontId="35" fillId="0" borderId="9" xfId="2" applyFont="1" applyBorder="1"/>
    <xf numFmtId="0" fontId="39" fillId="0" borderId="0" xfId="2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33" fillId="0" borderId="0" xfId="2" applyFont="1" applyFill="1" applyAlignment="1">
      <alignment horizontal="left"/>
    </xf>
    <xf numFmtId="0" fontId="27" fillId="0" borderId="0" xfId="0" applyFont="1"/>
    <xf numFmtId="0" fontId="33" fillId="0" borderId="0" xfId="0" applyFont="1"/>
    <xf numFmtId="0" fontId="39" fillId="0" borderId="0" xfId="2" applyFont="1" applyFill="1" applyAlignment="1">
      <alignment horizontal="center"/>
    </xf>
    <xf numFmtId="0" fontId="39" fillId="0" borderId="0" xfId="2" applyFont="1" applyFill="1" applyBorder="1" applyAlignment="1">
      <alignment horizontal="center"/>
    </xf>
    <xf numFmtId="0" fontId="39" fillId="0" borderId="0" xfId="2" applyFont="1"/>
    <xf numFmtId="0" fontId="44" fillId="0" borderId="10" xfId="4" applyFont="1" applyBorder="1" applyAlignment="1">
      <alignment horizontal="left"/>
    </xf>
    <xf numFmtId="0" fontId="45" fillId="0" borderId="0" xfId="2" applyFont="1" applyFill="1" applyBorder="1" applyAlignment="1">
      <alignment horizontal="center" vertical="center"/>
    </xf>
    <xf numFmtId="0" fontId="46" fillId="0" borderId="0" xfId="4" applyNumberFormat="1" applyFont="1" applyFill="1" applyBorder="1" applyAlignment="1">
      <alignment horizontal="centerContinuous"/>
    </xf>
    <xf numFmtId="0" fontId="27" fillId="0" borderId="0" xfId="0" applyFont="1" applyBorder="1"/>
    <xf numFmtId="0" fontId="27" fillId="0" borderId="0" xfId="2" applyFont="1" applyBorder="1"/>
    <xf numFmtId="0" fontId="33" fillId="0" borderId="0" xfId="0" applyFont="1" applyBorder="1"/>
    <xf numFmtId="0" fontId="39" fillId="0" borderId="0" xfId="2" applyFont="1" applyBorder="1"/>
    <xf numFmtId="37" fontId="39" fillId="0" borderId="0" xfId="2" applyNumberFormat="1" applyFont="1" applyBorder="1" applyAlignment="1">
      <alignment vertical="center"/>
    </xf>
    <xf numFmtId="0" fontId="47" fillId="0" borderId="0" xfId="2" applyNumberFormat="1" applyFont="1" applyFill="1" applyBorder="1" applyAlignment="1">
      <alignment horizontal="center"/>
    </xf>
    <xf numFmtId="0" fontId="47" fillId="0" borderId="0" xfId="2" applyNumberFormat="1" applyFont="1" applyFill="1" applyBorder="1" applyAlignment="1">
      <alignment horizontal="center" vertical="center"/>
    </xf>
    <xf numFmtId="168" fontId="48" fillId="0" borderId="0" xfId="0" applyNumberFormat="1" applyFont="1" applyAlignment="1">
      <alignment vertical="center"/>
    </xf>
    <xf numFmtId="0" fontId="27" fillId="0" borderId="0" xfId="0" applyFont="1" applyFill="1" applyBorder="1"/>
    <xf numFmtId="37" fontId="43" fillId="0" borderId="0" xfId="0" applyNumberFormat="1" applyFont="1" applyFill="1" applyBorder="1" applyAlignment="1">
      <alignment vertical="top"/>
    </xf>
    <xf numFmtId="37" fontId="43" fillId="0" borderId="0" xfId="0" applyNumberFormat="1" applyFont="1" applyFill="1" applyAlignment="1">
      <alignment vertical="top"/>
    </xf>
    <xf numFmtId="0" fontId="27" fillId="0" borderId="0" xfId="0" applyFont="1" applyFill="1"/>
    <xf numFmtId="37" fontId="34" fillId="0" borderId="0" xfId="0" applyNumberFormat="1" applyFont="1" applyFill="1" applyAlignment="1">
      <alignment vertical="top"/>
    </xf>
    <xf numFmtId="0" fontId="27" fillId="0" borderId="0" xfId="0" applyFont="1" applyAlignment="1">
      <alignment horizontal="right"/>
    </xf>
    <xf numFmtId="0" fontId="27" fillId="0" borderId="0" xfId="0" applyFont="1" applyAlignment="1">
      <alignment vertical="center"/>
    </xf>
    <xf numFmtId="167" fontId="47" fillId="0" borderId="0" xfId="1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Fill="1"/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right"/>
    </xf>
    <xf numFmtId="170" fontId="47" fillId="0" borderId="0" xfId="7" applyNumberFormat="1" applyFont="1" applyFill="1" applyBorder="1" applyAlignment="1" applyProtection="1">
      <protection locked="0"/>
    </xf>
    <xf numFmtId="170" fontId="50" fillId="0" borderId="0" xfId="7" applyNumberFormat="1" applyFont="1" applyFill="1" applyBorder="1" applyAlignment="1" applyProtection="1">
      <protection locked="0"/>
    </xf>
    <xf numFmtId="0" fontId="27" fillId="0" borderId="10" xfId="0" applyFont="1" applyBorder="1"/>
    <xf numFmtId="166" fontId="47" fillId="0" borderId="0" xfId="0" applyNumberFormat="1" applyFont="1" applyBorder="1" applyAlignment="1">
      <alignment horizontal="right" vertical="center"/>
    </xf>
    <xf numFmtId="37" fontId="49" fillId="0" borderId="0" xfId="6" applyNumberFormat="1" applyFont="1" applyFill="1" applyAlignment="1">
      <alignment vertical="center"/>
    </xf>
    <xf numFmtId="0" fontId="39" fillId="0" borderId="0" xfId="2" applyFont="1" applyBorder="1" applyAlignment="1">
      <alignment horizontal="center"/>
    </xf>
    <xf numFmtId="0" fontId="46" fillId="0" borderId="10" xfId="4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right"/>
    </xf>
    <xf numFmtId="176" fontId="27" fillId="0" borderId="0" xfId="0" applyNumberFormat="1" applyFont="1" applyBorder="1"/>
    <xf numFmtId="0" fontId="33" fillId="0" borderId="10" xfId="0" applyFont="1" applyBorder="1"/>
    <xf numFmtId="0" fontId="33" fillId="0" borderId="10" xfId="0" applyFont="1" applyBorder="1" applyAlignment="1">
      <alignment horizontal="right"/>
    </xf>
    <xf numFmtId="169" fontId="27" fillId="0" borderId="0" xfId="0" applyNumberFormat="1" applyFont="1"/>
    <xf numFmtId="180" fontId="47" fillId="0" borderId="0" xfId="0" applyNumberFormat="1" applyFont="1" applyAlignment="1">
      <alignment horizontal="right"/>
    </xf>
    <xf numFmtId="0" fontId="25" fillId="0" borderId="0" xfId="0" applyFont="1"/>
    <xf numFmtId="168" fontId="48" fillId="0" borderId="0" xfId="0" applyNumberFormat="1" applyFont="1" applyBorder="1" applyAlignment="1">
      <alignment vertical="center"/>
    </xf>
    <xf numFmtId="169" fontId="47" fillId="0" borderId="0" xfId="0" applyNumberFormat="1" applyFont="1" applyBorder="1" applyAlignment="1">
      <alignment horizontal="right"/>
    </xf>
    <xf numFmtId="180" fontId="39" fillId="0" borderId="0" xfId="2" applyNumberFormat="1" applyFont="1" applyBorder="1" applyAlignment="1">
      <alignment horizontal="right" vertical="center"/>
    </xf>
    <xf numFmtId="0" fontId="51" fillId="0" borderId="0" xfId="2" applyFont="1" applyBorder="1"/>
    <xf numFmtId="5" fontId="27" fillId="0" borderId="0" xfId="2" applyNumberFormat="1" applyFont="1" applyBorder="1" applyAlignment="1">
      <alignment vertical="center"/>
    </xf>
    <xf numFmtId="165" fontId="27" fillId="0" borderId="0" xfId="2" applyNumberFormat="1" applyFont="1" applyBorder="1" applyAlignment="1">
      <alignment vertical="center"/>
    </xf>
    <xf numFmtId="5" fontId="39" fillId="0" borderId="0" xfId="2" applyNumberFormat="1" applyFont="1" applyBorder="1"/>
    <xf numFmtId="0" fontId="24" fillId="0" borderId="0" xfId="0" applyFont="1" applyBorder="1" applyAlignment="1">
      <alignment vertical="center"/>
    </xf>
    <xf numFmtId="170" fontId="27" fillId="0" borderId="0" xfId="0" applyNumberFormat="1" applyFont="1" applyBorder="1"/>
    <xf numFmtId="169" fontId="50" fillId="0" borderId="0" xfId="7" applyNumberFormat="1" applyFont="1" applyFill="1" applyBorder="1" applyAlignment="1" applyProtection="1">
      <protection locked="0"/>
    </xf>
    <xf numFmtId="37" fontId="49" fillId="3" borderId="0" xfId="6" applyNumberFormat="1" applyFont="1" applyFill="1" applyAlignment="1">
      <alignment vertical="center"/>
    </xf>
    <xf numFmtId="37" fontId="49" fillId="3" borderId="0" xfId="0" applyNumberFormat="1" applyFont="1" applyFill="1" applyBorder="1" applyAlignment="1">
      <alignment vertical="center"/>
    </xf>
    <xf numFmtId="37" fontId="27" fillId="3" borderId="0" xfId="0" applyNumberFormat="1" applyFont="1" applyFill="1" applyBorder="1" applyAlignment="1">
      <alignment vertical="center"/>
    </xf>
    <xf numFmtId="171" fontId="32" fillId="3" borderId="0" xfId="0" applyNumberFormat="1" applyFont="1" applyFill="1" applyBorder="1" applyAlignment="1">
      <alignment horizontal="right"/>
    </xf>
    <xf numFmtId="172" fontId="48" fillId="3" borderId="0" xfId="0" applyNumberFormat="1" applyFont="1" applyFill="1" applyBorder="1" applyAlignment="1">
      <alignment horizontal="centerContinuous"/>
    </xf>
    <xf numFmtId="172" fontId="44" fillId="3" borderId="0" xfId="0" applyNumberFormat="1" applyFont="1" applyFill="1" applyBorder="1" applyAlignment="1">
      <alignment horizontal="centerContinuous"/>
    </xf>
    <xf numFmtId="37" fontId="44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center"/>
    </xf>
    <xf numFmtId="0" fontId="27" fillId="0" borderId="0" xfId="2" applyFont="1" applyFill="1" applyBorder="1"/>
    <xf numFmtId="0" fontId="33" fillId="0" borderId="0" xfId="2" applyFont="1" applyFill="1" applyBorder="1" applyAlignment="1">
      <alignment vertical="center"/>
    </xf>
    <xf numFmtId="165" fontId="33" fillId="0" borderId="0" xfId="2" applyNumberFormat="1" applyFont="1" applyFill="1" applyBorder="1" applyAlignment="1">
      <alignment vertical="center"/>
    </xf>
    <xf numFmtId="180" fontId="22" fillId="0" borderId="0" xfId="2" applyNumberFormat="1" applyFont="1" applyFill="1" applyBorder="1" applyAlignment="1">
      <alignment horizontal="right" vertical="center"/>
    </xf>
    <xf numFmtId="0" fontId="27" fillId="0" borderId="0" xfId="2" applyFont="1" applyFill="1"/>
    <xf numFmtId="0" fontId="44" fillId="0" borderId="10" xfId="4" applyNumberFormat="1" applyFont="1" applyBorder="1" applyAlignment="1">
      <alignment horizontal="right"/>
    </xf>
    <xf numFmtId="0" fontId="46" fillId="0" borderId="0" xfId="2" applyNumberFormat="1" applyFont="1" applyFill="1" applyBorder="1" applyAlignment="1">
      <alignment horizontal="right" vertical="center"/>
    </xf>
    <xf numFmtId="175" fontId="46" fillId="0" borderId="0" xfId="4" applyNumberFormat="1" applyFont="1" applyFill="1" applyBorder="1" applyAlignment="1">
      <alignment horizontal="centerContinuous"/>
    </xf>
    <xf numFmtId="0" fontId="46" fillId="0" borderId="12" xfId="4" applyNumberFormat="1" applyFont="1" applyFill="1" applyBorder="1" applyAlignment="1">
      <alignment horizontal="centerContinuous"/>
    </xf>
    <xf numFmtId="0" fontId="45" fillId="0" borderId="12" xfId="2" applyFont="1" applyFill="1" applyBorder="1" applyAlignment="1">
      <alignment horizontal="center" vertical="center"/>
    </xf>
    <xf numFmtId="0" fontId="44" fillId="0" borderId="10" xfId="4" applyFont="1" applyBorder="1" applyAlignment="1">
      <alignment horizontal="right"/>
    </xf>
    <xf numFmtId="174" fontId="45" fillId="0" borderId="0" xfId="2" applyNumberFormat="1" applyFont="1" applyAlignment="1">
      <alignment horizontal="right" vertical="center"/>
    </xf>
    <xf numFmtId="0" fontId="45" fillId="0" borderId="0" xfId="2" applyFont="1" applyAlignment="1">
      <alignment horizontal="right"/>
    </xf>
    <xf numFmtId="183" fontId="50" fillId="0" borderId="0" xfId="7" applyNumberFormat="1" applyFont="1" applyFill="1" applyBorder="1" applyAlignment="1" applyProtection="1">
      <alignment horizontal="right"/>
      <protection locked="0"/>
    </xf>
    <xf numFmtId="173" fontId="47" fillId="0" borderId="0" xfId="7" applyNumberFormat="1" applyFont="1" applyFill="1" applyBorder="1" applyAlignment="1" applyProtection="1">
      <alignment horizontal="right"/>
      <protection locked="0"/>
    </xf>
    <xf numFmtId="0" fontId="45" fillId="0" borderId="0" xfId="2" applyFont="1" applyBorder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4" fillId="0" borderId="0" xfId="0" applyFont="1" applyBorder="1" applyAlignment="1">
      <alignment horizontal="left" vertical="center" indent="1"/>
    </xf>
    <xf numFmtId="0" fontId="33" fillId="0" borderId="0" xfId="0" applyFont="1" applyBorder="1" applyAlignment="1">
      <alignment horizontal="right"/>
    </xf>
    <xf numFmtId="173" fontId="46" fillId="0" borderId="0" xfId="7" applyNumberFormat="1" applyFont="1" applyFill="1" applyBorder="1" applyAlignment="1" applyProtection="1">
      <alignment horizontal="right"/>
      <protection locked="0"/>
    </xf>
    <xf numFmtId="183" fontId="50" fillId="0" borderId="10" xfId="7" applyNumberFormat="1" applyFont="1" applyFill="1" applyBorder="1" applyAlignment="1" applyProtection="1">
      <alignment horizontal="right"/>
      <protection locked="0"/>
    </xf>
    <xf numFmtId="49" fontId="27" fillId="0" borderId="0" xfId="0" applyNumberFormat="1" applyFont="1" applyBorder="1" applyAlignment="1">
      <alignment horizontal="left" indent="1"/>
    </xf>
    <xf numFmtId="0" fontId="47" fillId="0" borderId="0" xfId="0" applyFont="1" applyFill="1" applyAlignment="1">
      <alignment horizontal="left" indent="1"/>
    </xf>
    <xf numFmtId="0" fontId="33" fillId="0" borderId="0" xfId="0" applyFont="1" applyBorder="1" applyAlignment="1">
      <alignment horizontal="left" indent="1"/>
    </xf>
    <xf numFmtId="0" fontId="22" fillId="0" borderId="0" xfId="0" applyFont="1" applyFill="1" applyAlignment="1">
      <alignment horizontal="left" indent="1"/>
    </xf>
    <xf numFmtId="0" fontId="50" fillId="0" borderId="0" xfId="0" applyFont="1" applyFill="1" applyAlignment="1">
      <alignment horizontal="left" indent="1"/>
    </xf>
    <xf numFmtId="0" fontId="50" fillId="0" borderId="10" xfId="0" applyFont="1" applyFill="1" applyBorder="1" applyAlignment="1">
      <alignment horizontal="left" indent="1"/>
    </xf>
    <xf numFmtId="0" fontId="33" fillId="0" borderId="0" xfId="0" applyFont="1" applyAlignment="1">
      <alignment horizontal="left" indent="1"/>
    </xf>
    <xf numFmtId="0" fontId="22" fillId="0" borderId="0" xfId="0" applyFont="1" applyBorder="1" applyAlignment="1">
      <alignment horizontal="left" indent="1"/>
    </xf>
    <xf numFmtId="0" fontId="22" fillId="0" borderId="0" xfId="0" applyFont="1" applyAlignment="1">
      <alignment horizontal="left" indent="1"/>
    </xf>
    <xf numFmtId="170" fontId="27" fillId="0" borderId="10" xfId="0" applyNumberFormat="1" applyFont="1" applyBorder="1" applyAlignment="1">
      <alignment horizontal="right"/>
    </xf>
    <xf numFmtId="0" fontId="23" fillId="0" borderId="0" xfId="0" applyFont="1" applyAlignment="1">
      <alignment horizontal="left" indent="1"/>
    </xf>
    <xf numFmtId="170" fontId="44" fillId="0" borderId="13" xfId="4" applyNumberFormat="1" applyFont="1" applyBorder="1" applyAlignment="1">
      <alignment horizontal="right"/>
    </xf>
    <xf numFmtId="0" fontId="20" fillId="0" borderId="0" xfId="0" applyFont="1" applyFill="1"/>
    <xf numFmtId="0" fontId="19" fillId="0" borderId="0" xfId="0" applyFont="1"/>
    <xf numFmtId="0" fontId="19" fillId="0" borderId="0" xfId="0" applyFont="1" applyBorder="1"/>
    <xf numFmtId="168" fontId="40" fillId="0" borderId="0" xfId="2" applyNumberFormat="1" applyFont="1" applyFill="1"/>
    <xf numFmtId="37" fontId="57" fillId="3" borderId="0" xfId="6" quotePrefix="1" applyNumberFormat="1" applyFont="1" applyFill="1" applyBorder="1" applyAlignment="1">
      <alignment vertical="center"/>
    </xf>
    <xf numFmtId="37" fontId="57" fillId="3" borderId="0" xfId="6" applyNumberFormat="1" applyFont="1" applyFill="1" applyAlignment="1">
      <alignment vertical="center"/>
    </xf>
    <xf numFmtId="170" fontId="27" fillId="0" borderId="0" xfId="0" applyNumberFormat="1" applyFont="1"/>
    <xf numFmtId="170" fontId="50" fillId="0" borderId="0" xfId="0" applyNumberFormat="1" applyFont="1" applyFill="1"/>
    <xf numFmtId="0" fontId="18" fillId="0" borderId="0" xfId="0" applyFont="1" applyFill="1"/>
    <xf numFmtId="0" fontId="58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Fill="1" applyBorder="1"/>
    <xf numFmtId="0" fontId="16" fillId="0" borderId="0" xfId="0" applyFont="1" applyBorder="1"/>
    <xf numFmtId="186" fontId="27" fillId="0" borderId="0" xfId="0" applyNumberFormat="1" applyFont="1"/>
    <xf numFmtId="0" fontId="15" fillId="0" borderId="0" xfId="0" applyFont="1" applyBorder="1"/>
    <xf numFmtId="187" fontId="50" fillId="0" borderId="0" xfId="7" applyNumberFormat="1" applyFont="1" applyFill="1" applyBorder="1" applyAlignment="1" applyProtection="1">
      <protection locked="0"/>
    </xf>
    <xf numFmtId="187" fontId="47" fillId="0" borderId="0" xfId="7" applyNumberFormat="1" applyFont="1" applyFill="1" applyBorder="1" applyAlignment="1" applyProtection="1">
      <protection locked="0"/>
    </xf>
    <xf numFmtId="0" fontId="14" fillId="0" borderId="0" xfId="0" applyFont="1" applyAlignment="1">
      <alignment horizontal="left" indent="1"/>
    </xf>
    <xf numFmtId="0" fontId="14" fillId="0" borderId="0" xfId="0" applyFont="1" applyFill="1" applyAlignment="1">
      <alignment horizontal="left" indent="1"/>
    </xf>
    <xf numFmtId="0" fontId="14" fillId="0" borderId="0" xfId="0" applyFont="1" applyFill="1" applyBorder="1"/>
    <xf numFmtId="0" fontId="15" fillId="0" borderId="0" xfId="0" applyFont="1" applyFill="1" applyBorder="1"/>
    <xf numFmtId="168" fontId="48" fillId="0" borderId="0" xfId="0" applyNumberFormat="1" applyFont="1" applyFill="1" applyAlignment="1">
      <alignment vertical="center"/>
    </xf>
    <xf numFmtId="173" fontId="47" fillId="0" borderId="0" xfId="7" applyNumberFormat="1" applyFont="1" applyFill="1" applyBorder="1" applyAlignment="1" applyProtection="1">
      <protection locked="0"/>
    </xf>
    <xf numFmtId="173" fontId="50" fillId="0" borderId="0" xfId="7" applyNumberFormat="1" applyFont="1" applyFill="1" applyBorder="1" applyAlignment="1" applyProtection="1">
      <protection locked="0"/>
    </xf>
    <xf numFmtId="37" fontId="49" fillId="3" borderId="0" xfId="6" quotePrefix="1" applyNumberFormat="1" applyFont="1" applyFill="1" applyBorder="1" applyAlignment="1">
      <alignment vertical="center"/>
    </xf>
    <xf numFmtId="0" fontId="33" fillId="0" borderId="0" xfId="0" applyFont="1" applyFill="1" applyBorder="1"/>
    <xf numFmtId="173" fontId="46" fillId="0" borderId="0" xfId="7" applyNumberFormat="1" applyFont="1" applyFill="1" applyBorder="1" applyAlignment="1" applyProtection="1">
      <protection locked="0"/>
    </xf>
    <xf numFmtId="173" fontId="46" fillId="0" borderId="14" xfId="7" applyNumberFormat="1" applyFont="1" applyFill="1" applyBorder="1" applyAlignment="1" applyProtection="1">
      <protection locked="0"/>
    </xf>
    <xf numFmtId="0" fontId="13" fillId="0" borderId="0" xfId="0" applyFont="1" applyFill="1" applyBorder="1"/>
    <xf numFmtId="0" fontId="13" fillId="0" borderId="0" xfId="0" applyFont="1" applyAlignment="1">
      <alignment horizontal="left" indent="1"/>
    </xf>
    <xf numFmtId="188" fontId="27" fillId="0" borderId="0" xfId="0" applyNumberFormat="1" applyFont="1"/>
    <xf numFmtId="179" fontId="50" fillId="0" borderId="0" xfId="7" applyNumberFormat="1" applyFont="1" applyFill="1" applyBorder="1" applyAlignment="1" applyProtection="1">
      <protection locked="0"/>
    </xf>
    <xf numFmtId="0" fontId="44" fillId="0" borderId="0" xfId="4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 applyAlignment="1">
      <alignment horizontal="left" indent="1"/>
    </xf>
    <xf numFmtId="185" fontId="50" fillId="0" borderId="0" xfId="7" applyNumberFormat="1" applyFont="1" applyFill="1" applyBorder="1" applyAlignment="1" applyProtection="1">
      <alignment horizontal="right"/>
      <protection locked="0"/>
    </xf>
    <xf numFmtId="185" fontId="50" fillId="0" borderId="10" xfId="7" applyNumberFormat="1" applyFont="1" applyFill="1" applyBorder="1" applyAlignment="1" applyProtection="1">
      <alignment horizontal="right"/>
      <protection locked="0"/>
    </xf>
    <xf numFmtId="0" fontId="11" fillId="0" borderId="0" xfId="0" applyFont="1" applyFill="1"/>
    <xf numFmtId="183" fontId="46" fillId="0" borderId="0" xfId="7" applyNumberFormat="1" applyFont="1" applyFill="1" applyBorder="1" applyAlignment="1" applyProtection="1">
      <alignment horizontal="right"/>
      <protection locked="0"/>
    </xf>
    <xf numFmtId="173" fontId="50" fillId="0" borderId="0" xfId="0" applyNumberFormat="1" applyFont="1" applyFill="1"/>
    <xf numFmtId="173" fontId="50" fillId="0" borderId="0" xfId="0" applyNumberFormat="1" applyFont="1" applyFill="1" applyBorder="1"/>
    <xf numFmtId="0" fontId="33" fillId="0" borderId="10" xfId="0" applyFont="1" applyFill="1" applyBorder="1"/>
    <xf numFmtId="184" fontId="47" fillId="0" borderId="0" xfId="0" applyNumberFormat="1" applyFont="1" applyFill="1" applyBorder="1" applyAlignment="1">
      <alignment horizontal="right"/>
    </xf>
    <xf numFmtId="184" fontId="27" fillId="0" borderId="0" xfId="0" applyNumberFormat="1" applyFont="1"/>
    <xf numFmtId="0" fontId="10" fillId="0" borderId="0" xfId="0" applyFont="1" applyFill="1"/>
    <xf numFmtId="0" fontId="21" fillId="0" borderId="0" xfId="0" applyFont="1" applyFill="1"/>
    <xf numFmtId="0" fontId="46" fillId="0" borderId="15" xfId="2" applyNumberFormat="1" applyFont="1" applyFill="1" applyBorder="1" applyAlignment="1">
      <alignment horizontal="centerContinuous" vertical="center"/>
    </xf>
    <xf numFmtId="0" fontId="45" fillId="0" borderId="15" xfId="2" applyFont="1" applyFill="1" applyBorder="1" applyAlignment="1">
      <alignment horizontal="center" vertical="center"/>
    </xf>
    <xf numFmtId="176" fontId="22" fillId="0" borderId="0" xfId="2" applyNumberFormat="1" applyFont="1" applyFill="1" applyBorder="1" applyAlignment="1">
      <alignment horizontal="right"/>
    </xf>
    <xf numFmtId="0" fontId="9" fillId="0" borderId="0" xfId="2" applyFont="1" applyFill="1" applyAlignment="1">
      <alignment horizontal="right"/>
    </xf>
    <xf numFmtId="170" fontId="44" fillId="0" borderId="13" xfId="4" applyNumberFormat="1" applyFont="1" applyFill="1" applyBorder="1" applyAlignment="1">
      <alignment horizontal="right"/>
    </xf>
    <xf numFmtId="0" fontId="0" fillId="0" borderId="0" xfId="0" applyBorder="1"/>
    <xf numFmtId="176" fontId="9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/>
    <xf numFmtId="170" fontId="50" fillId="0" borderId="0" xfId="0" applyNumberFormat="1" applyFont="1" applyBorder="1"/>
    <xf numFmtId="176" fontId="11" fillId="0" borderId="0" xfId="2" applyNumberFormat="1" applyFont="1" applyFill="1" applyAlignment="1">
      <alignment horizontal="right"/>
    </xf>
    <xf numFmtId="188" fontId="0" fillId="0" borderId="0" xfId="0" applyNumberFormat="1"/>
    <xf numFmtId="172" fontId="44" fillId="0" borderId="0" xfId="0" applyNumberFormat="1" applyFont="1" applyFill="1" applyBorder="1" applyAlignment="1">
      <alignment horizontal="centerContinuous"/>
    </xf>
    <xf numFmtId="173" fontId="27" fillId="4" borderId="10" xfId="0" applyNumberFormat="1" applyFont="1" applyFill="1" applyBorder="1" applyAlignment="1">
      <alignment horizontal="right"/>
    </xf>
    <xf numFmtId="173" fontId="47" fillId="4" borderId="0" xfId="7" applyNumberFormat="1" applyFont="1" applyFill="1" applyBorder="1" applyAlignment="1" applyProtection="1">
      <alignment horizontal="right"/>
      <protection locked="0"/>
    </xf>
    <xf numFmtId="173" fontId="39" fillId="4" borderId="0" xfId="7" applyNumberFormat="1" applyFont="1" applyFill="1" applyBorder="1" applyAlignment="1" applyProtection="1">
      <alignment horizontal="right"/>
      <protection locked="0"/>
    </xf>
    <xf numFmtId="173" fontId="50" fillId="4" borderId="0" xfId="7" applyNumberFormat="1" applyFont="1" applyFill="1" applyBorder="1" applyAlignment="1" applyProtection="1">
      <alignment horizontal="right"/>
      <protection locked="0"/>
    </xf>
    <xf numFmtId="173" fontId="46" fillId="4" borderId="11" xfId="7" applyNumberFormat="1" applyFont="1" applyFill="1" applyBorder="1" applyAlignment="1" applyProtection="1">
      <alignment horizontal="right"/>
      <protection locked="0"/>
    </xf>
    <xf numFmtId="173" fontId="47" fillId="4" borderId="11" xfId="7" applyNumberFormat="1" applyFont="1" applyFill="1" applyBorder="1" applyAlignment="1" applyProtection="1">
      <alignment horizontal="right"/>
      <protection locked="0"/>
    </xf>
    <xf numFmtId="173" fontId="50" fillId="4" borderId="0" xfId="0" applyNumberFormat="1" applyFont="1" applyFill="1"/>
    <xf numFmtId="168" fontId="53" fillId="0" borderId="0" xfId="8" applyNumberFormat="1" applyFont="1" applyFill="1" applyBorder="1" applyProtection="1">
      <protection locked="0"/>
    </xf>
    <xf numFmtId="0" fontId="7" fillId="0" borderId="0" xfId="0" applyFont="1" applyFill="1" applyBorder="1"/>
    <xf numFmtId="0" fontId="63" fillId="0" borderId="0" xfId="0" applyFont="1"/>
    <xf numFmtId="178" fontId="44" fillId="0" borderId="0" xfId="4" applyNumberFormat="1" applyFont="1" applyBorder="1" applyAlignment="1"/>
    <xf numFmtId="2" fontId="44" fillId="0" borderId="0" xfId="4" applyNumberFormat="1" applyFont="1" applyBorder="1" applyAlignment="1"/>
    <xf numFmtId="0" fontId="33" fillId="0" borderId="0" xfId="2" applyFont="1" applyBorder="1" applyAlignment="1"/>
    <xf numFmtId="0" fontId="33" fillId="0" borderId="0" xfId="2" applyFont="1" applyAlignment="1"/>
    <xf numFmtId="0" fontId="6" fillId="0" borderId="0" xfId="0" applyFont="1"/>
    <xf numFmtId="0" fontId="50" fillId="0" borderId="0" xfId="0" applyFont="1" applyAlignment="1">
      <alignment horizontal="right"/>
    </xf>
    <xf numFmtId="176" fontId="6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192" fontId="50" fillId="0" borderId="0" xfId="0" applyNumberFormat="1" applyFont="1" applyAlignment="1">
      <alignment horizontal="right" wrapText="1"/>
    </xf>
    <xf numFmtId="185" fontId="4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 indent="1"/>
    </xf>
    <xf numFmtId="0" fontId="6" fillId="0" borderId="0" xfId="0" applyFont="1" applyFill="1" applyAlignment="1">
      <alignment horizontal="left" indent="1"/>
    </xf>
    <xf numFmtId="0" fontId="5" fillId="0" borderId="0" xfId="0" applyFont="1"/>
    <xf numFmtId="176" fontId="5" fillId="0" borderId="0" xfId="2" applyNumberFormat="1" applyFont="1" applyAlignment="1">
      <alignment horizontal="right"/>
    </xf>
    <xf numFmtId="177" fontId="5" fillId="0" borderId="0" xfId="2" applyNumberFormat="1" applyFont="1" applyAlignment="1">
      <alignment horizontal="right"/>
    </xf>
    <xf numFmtId="175" fontId="5" fillId="0" borderId="0" xfId="2" applyNumberFormat="1" applyFont="1" applyAlignment="1">
      <alignment horizontal="right"/>
    </xf>
    <xf numFmtId="0" fontId="5" fillId="0" borderId="0" xfId="0" applyFont="1" applyBorder="1"/>
    <xf numFmtId="173" fontId="27" fillId="0" borderId="0" xfId="0" applyNumberFormat="1" applyFont="1" applyFill="1" applyBorder="1"/>
    <xf numFmtId="179" fontId="47" fillId="0" borderId="0" xfId="7" applyNumberFormat="1" applyFont="1" applyFill="1" applyProtection="1">
      <protection locked="0"/>
    </xf>
    <xf numFmtId="179" fontId="47" fillId="0" borderId="10" xfId="7" applyNumberFormat="1" applyFont="1" applyFill="1" applyBorder="1" applyProtection="1">
      <protection locked="0"/>
    </xf>
    <xf numFmtId="179" fontId="46" fillId="0" borderId="0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Border="1"/>
    <xf numFmtId="189" fontId="26" fillId="0" borderId="0" xfId="0" applyNumberFormat="1" applyFont="1" applyFill="1" applyAlignment="1">
      <alignment horizontal="right"/>
    </xf>
    <xf numFmtId="183" fontId="39" fillId="0" borderId="0" xfId="7" applyNumberFormat="1" applyFont="1" applyFill="1" applyBorder="1" applyAlignment="1" applyProtection="1">
      <alignment horizontal="right"/>
      <protection locked="0"/>
    </xf>
    <xf numFmtId="173" fontId="39" fillId="0" borderId="0" xfId="7" applyNumberFormat="1" applyFont="1" applyFill="1" applyBorder="1" applyAlignment="1" applyProtection="1">
      <alignment horizontal="right"/>
      <protection locked="0"/>
    </xf>
    <xf numFmtId="183" fontId="50" fillId="0" borderId="0" xfId="0" applyNumberFormat="1" applyFont="1" applyFill="1" applyBorder="1"/>
    <xf numFmtId="181" fontId="50" fillId="0" borderId="0" xfId="7" applyNumberFormat="1" applyFont="1" applyFill="1" applyBorder="1" applyAlignment="1" applyProtection="1">
      <alignment horizontal="right"/>
      <protection locked="0"/>
    </xf>
    <xf numFmtId="182" fontId="27" fillId="0" borderId="10" xfId="0" applyNumberFormat="1" applyFont="1" applyFill="1" applyBorder="1"/>
    <xf numFmtId="189" fontId="26" fillId="0" borderId="10" xfId="0" applyNumberFormat="1" applyFont="1" applyFill="1" applyBorder="1" applyAlignment="1">
      <alignment horizontal="right"/>
    </xf>
    <xf numFmtId="183" fontId="39" fillId="0" borderId="10" xfId="7" applyNumberFormat="1" applyFont="1" applyFill="1" applyBorder="1" applyAlignment="1" applyProtection="1">
      <alignment horizontal="right"/>
      <protection locked="0"/>
    </xf>
    <xf numFmtId="173" fontId="39" fillId="0" borderId="10" xfId="7" applyNumberFormat="1" applyFont="1" applyFill="1" applyBorder="1" applyAlignment="1" applyProtection="1">
      <alignment horizontal="right"/>
      <protection locked="0"/>
    </xf>
    <xf numFmtId="0" fontId="33" fillId="0" borderId="0" xfId="0" applyFont="1" applyFill="1" applyBorder="1" applyAlignment="1">
      <alignment horizontal="right"/>
    </xf>
    <xf numFmtId="0" fontId="27" fillId="0" borderId="0" xfId="0" applyFont="1" applyFill="1" applyAlignment="1">
      <alignment horizontal="right"/>
    </xf>
    <xf numFmtId="169" fontId="27" fillId="0" borderId="0" xfId="0" applyNumberFormat="1" applyFont="1" applyFill="1" applyAlignment="1">
      <alignment horizontal="right"/>
    </xf>
    <xf numFmtId="0" fontId="45" fillId="0" borderId="0" xfId="2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73" fontId="46" fillId="0" borderId="11" xfId="7" applyNumberFormat="1" applyFont="1" applyFill="1" applyBorder="1" applyAlignment="1" applyProtection="1">
      <alignment horizontal="right"/>
      <protection locked="0"/>
    </xf>
    <xf numFmtId="180" fontId="58" fillId="0" borderId="0" xfId="7" applyNumberFormat="1" applyFont="1" applyFill="1" applyBorder="1" applyAlignment="1" applyProtection="1">
      <protection locked="0"/>
    </xf>
    <xf numFmtId="188" fontId="25" fillId="0" borderId="0" xfId="0" applyNumberFormat="1" applyFont="1"/>
    <xf numFmtId="185" fontId="27" fillId="0" borderId="0" xfId="0" applyNumberFormat="1" applyFont="1"/>
    <xf numFmtId="0" fontId="33" fillId="0" borderId="0" xfId="0" applyFont="1" applyFill="1" applyAlignment="1">
      <alignment horizontal="right"/>
    </xf>
    <xf numFmtId="0" fontId="44" fillId="0" borderId="10" xfId="4" applyFont="1" applyFill="1" applyBorder="1" applyAlignment="1">
      <alignment horizontal="right"/>
    </xf>
    <xf numFmtId="173" fontId="50" fillId="0" borderId="0" xfId="7" applyNumberFormat="1" applyFont="1" applyFill="1" applyBorder="1" applyAlignment="1" applyProtection="1">
      <alignment horizontal="right"/>
      <protection locked="0"/>
    </xf>
    <xf numFmtId="173" fontId="50" fillId="0" borderId="10" xfId="0" applyNumberFormat="1" applyFont="1" applyFill="1" applyBorder="1"/>
    <xf numFmtId="173" fontId="46" fillId="0" borderId="0" xfId="5" applyNumberFormat="1" applyFont="1" applyFill="1" applyBorder="1" applyAlignment="1">
      <alignment horizontal="right"/>
    </xf>
    <xf numFmtId="170" fontId="27" fillId="0" borderId="0" xfId="0" applyNumberFormat="1" applyFont="1" applyFill="1" applyBorder="1"/>
    <xf numFmtId="0" fontId="0" fillId="0" borderId="0" xfId="0" applyFill="1"/>
    <xf numFmtId="185" fontId="47" fillId="0" borderId="0" xfId="7" applyNumberFormat="1" applyFont="1" applyFill="1" applyBorder="1" applyAlignment="1" applyProtection="1">
      <alignment horizontal="right"/>
      <protection locked="0"/>
    </xf>
    <xf numFmtId="180" fontId="47" fillId="0" borderId="0" xfId="0" applyNumberFormat="1" applyFont="1" applyFill="1" applyBorder="1" applyAlignment="1">
      <alignment horizontal="right"/>
    </xf>
    <xf numFmtId="180" fontId="47" fillId="0" borderId="0" xfId="0" applyNumberFormat="1" applyFont="1" applyFill="1" applyAlignment="1">
      <alignment horizontal="right"/>
    </xf>
    <xf numFmtId="173" fontId="33" fillId="0" borderId="0" xfId="0" applyNumberFormat="1" applyFont="1" applyFill="1" applyBorder="1"/>
    <xf numFmtId="173" fontId="33" fillId="0" borderId="14" xfId="0" applyNumberFormat="1" applyFont="1" applyFill="1" applyBorder="1"/>
    <xf numFmtId="191" fontId="50" fillId="4" borderId="0" xfId="0" applyNumberFormat="1" applyFont="1" applyFill="1" applyAlignment="1">
      <alignment horizontal="right"/>
    </xf>
    <xf numFmtId="193" fontId="27" fillId="4" borderId="0" xfId="0" applyNumberFormat="1" applyFont="1" applyFill="1" applyAlignment="1"/>
    <xf numFmtId="193" fontId="27" fillId="4" borderId="0" xfId="0" applyNumberFormat="1" applyFont="1" applyFill="1" applyAlignment="1">
      <alignment horizontal="right"/>
    </xf>
    <xf numFmtId="177" fontId="6" fillId="0" borderId="0" xfId="0" applyNumberFormat="1" applyFont="1" applyAlignment="1">
      <alignment horizontal="right"/>
    </xf>
    <xf numFmtId="0" fontId="4" fillId="0" borderId="0" xfId="0" applyFont="1"/>
    <xf numFmtId="184" fontId="47" fillId="0" borderId="0" xfId="0" applyNumberFormat="1" applyFont="1" applyFill="1" applyAlignment="1">
      <alignment horizontal="center"/>
    </xf>
    <xf numFmtId="170" fontId="4" fillId="0" borderId="15" xfId="0" applyNumberFormat="1" applyFont="1" applyBorder="1"/>
    <xf numFmtId="173" fontId="33" fillId="4" borderId="0" xfId="0" applyNumberFormat="1" applyFont="1" applyFill="1"/>
    <xf numFmtId="0" fontId="47" fillId="0" borderId="0" xfId="0" applyNumberFormat="1" applyFont="1" applyFill="1" applyBorder="1" applyAlignment="1">
      <alignment horizontal="left" indent="1"/>
    </xf>
    <xf numFmtId="0" fontId="44" fillId="0" borderId="0" xfId="4" applyFont="1" applyBorder="1" applyAlignment="1">
      <alignment horizontal="left"/>
    </xf>
    <xf numFmtId="0" fontId="4" fillId="0" borderId="0" xfId="0" applyFont="1" applyBorder="1"/>
    <xf numFmtId="170" fontId="4" fillId="0" borderId="0" xfId="0" applyNumberFormat="1" applyFont="1" applyBorder="1"/>
    <xf numFmtId="180" fontId="4" fillId="0" borderId="0" xfId="0" applyNumberFormat="1" applyFont="1" applyBorder="1"/>
    <xf numFmtId="180" fontId="4" fillId="0" borderId="15" xfId="0" applyNumberFormat="1" applyFont="1" applyBorder="1"/>
    <xf numFmtId="184" fontId="47" fillId="4" borderId="0" xfId="0" applyNumberFormat="1" applyFont="1" applyFill="1" applyAlignment="1">
      <alignment horizontal="center"/>
    </xf>
    <xf numFmtId="0" fontId="4" fillId="4" borderId="0" xfId="0" applyFont="1" applyFill="1"/>
    <xf numFmtId="170" fontId="4" fillId="4" borderId="15" xfId="0" applyNumberFormat="1" applyFont="1" applyFill="1" applyBorder="1"/>
    <xf numFmtId="0" fontId="4" fillId="4" borderId="0" xfId="0" applyFont="1" applyFill="1" applyBorder="1"/>
    <xf numFmtId="180" fontId="4" fillId="4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190" fontId="50" fillId="0" borderId="0" xfId="0" applyNumberFormat="1" applyFont="1" applyFill="1"/>
    <xf numFmtId="0" fontId="2" fillId="0" borderId="0" xfId="0" applyFont="1" applyFill="1" applyBorder="1" applyAlignment="1">
      <alignment horizontal="left" indent="1"/>
    </xf>
    <xf numFmtId="185" fontId="50" fillId="0" borderId="0" xfId="0" applyNumberFormat="1" applyFont="1" applyFill="1"/>
    <xf numFmtId="185" fontId="27" fillId="4" borderId="0" xfId="0" applyNumberFormat="1" applyFont="1" applyFill="1"/>
    <xf numFmtId="0" fontId="13" fillId="0" borderId="0" xfId="0" applyFont="1" applyBorder="1"/>
    <xf numFmtId="170" fontId="64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Fill="1" applyBorder="1"/>
    <xf numFmtId="175" fontId="5" fillId="0" borderId="0" xfId="2" applyNumberFormat="1" applyFont="1" applyFill="1" applyAlignment="1">
      <alignment horizontal="right"/>
    </xf>
    <xf numFmtId="177" fontId="1" fillId="0" borderId="0" xfId="2" applyNumberFormat="1" applyFont="1" applyAlignment="1">
      <alignment horizontal="right"/>
    </xf>
    <xf numFmtId="0" fontId="27" fillId="0" borderId="0" xfId="0" applyFont="1" applyAlignment="1">
      <alignment horizontal="left" indent="1"/>
    </xf>
    <xf numFmtId="0" fontId="6" fillId="0" borderId="0" xfId="0" applyFont="1" applyAlignment="1">
      <alignment horizontal="left" vertical="center" indent="1"/>
    </xf>
    <xf numFmtId="176" fontId="6" fillId="0" borderId="0" xfId="0" applyNumberFormat="1" applyFont="1" applyBorder="1" applyAlignment="1">
      <alignment horizontal="right"/>
    </xf>
    <xf numFmtId="0" fontId="0" fillId="0" borderId="10" xfId="0" applyBorder="1"/>
    <xf numFmtId="177" fontId="6" fillId="0" borderId="10" xfId="0" applyNumberFormat="1" applyFont="1" applyBorder="1" applyAlignment="1">
      <alignment horizontal="right"/>
    </xf>
    <xf numFmtId="192" fontId="50" fillId="0" borderId="17" xfId="0" applyNumberFormat="1" applyFont="1" applyBorder="1" applyAlignment="1">
      <alignment horizontal="right"/>
    </xf>
    <xf numFmtId="170" fontId="46" fillId="0" borderId="18" xfId="4" applyNumberFormat="1" applyFont="1" applyBorder="1" applyAlignment="1">
      <alignment horizontal="right" vertical="center"/>
    </xf>
    <xf numFmtId="184" fontId="50" fillId="0" borderId="19" xfId="0" applyNumberFormat="1" applyFont="1" applyFill="1" applyBorder="1" applyAlignment="1">
      <alignment horizontal="right"/>
    </xf>
    <xf numFmtId="0" fontId="46" fillId="0" borderId="20" xfId="4" applyFont="1" applyFill="1" applyBorder="1" applyAlignment="1">
      <alignment horizontal="right" vertical="center"/>
    </xf>
    <xf numFmtId="170" fontId="46" fillId="0" borderId="20" xfId="4" applyNumberFormat="1" applyFont="1" applyBorder="1" applyAlignment="1">
      <alignment horizontal="right" vertical="center"/>
    </xf>
    <xf numFmtId="170" fontId="33" fillId="0" borderId="18" xfId="0" applyNumberFormat="1" applyFont="1" applyFill="1" applyBorder="1" applyAlignment="1">
      <alignment horizontal="right"/>
    </xf>
    <xf numFmtId="170" fontId="46" fillId="0" borderId="20" xfId="4" applyNumberFormat="1" applyFont="1" applyFill="1" applyBorder="1" applyAlignment="1">
      <alignment horizontal="right" vertical="center"/>
    </xf>
    <xf numFmtId="170" fontId="46" fillId="0" borderId="18" xfId="4" applyNumberFormat="1" applyFont="1" applyFill="1" applyBorder="1" applyAlignment="1">
      <alignment horizontal="right" vertical="center"/>
    </xf>
    <xf numFmtId="0" fontId="33" fillId="0" borderId="21" xfId="0" applyFont="1" applyBorder="1" applyAlignment="1">
      <alignment horizontal="right"/>
    </xf>
    <xf numFmtId="170" fontId="33" fillId="0" borderId="22" xfId="0" applyNumberFormat="1" applyFont="1" applyBorder="1" applyAlignment="1">
      <alignment horizontal="right"/>
    </xf>
    <xf numFmtId="184" fontId="47" fillId="0" borderId="23" xfId="0" applyNumberFormat="1" applyFont="1" applyFill="1" applyBorder="1" applyAlignment="1">
      <alignment horizontal="right"/>
    </xf>
    <xf numFmtId="169" fontId="50" fillId="0" borderId="10" xfId="7" applyNumberFormat="1" applyFont="1" applyFill="1" applyBorder="1" applyAlignment="1" applyProtection="1">
      <protection locked="0"/>
    </xf>
    <xf numFmtId="175" fontId="5" fillId="0" borderId="10" xfId="2" applyNumberFormat="1" applyFont="1" applyFill="1" applyBorder="1" applyAlignment="1">
      <alignment horizontal="right"/>
    </xf>
    <xf numFmtId="173" fontId="50" fillId="0" borderId="10" xfId="7" applyNumberFormat="1" applyFont="1" applyFill="1" applyBorder="1" applyAlignment="1" applyProtection="1">
      <protection locked="0"/>
    </xf>
    <xf numFmtId="173" fontId="27" fillId="0" borderId="10" xfId="0" applyNumberFormat="1" applyFont="1" applyFill="1" applyBorder="1"/>
    <xf numFmtId="173" fontId="1" fillId="0" borderId="0" xfId="0" applyNumberFormat="1" applyFont="1" applyFill="1" applyBorder="1"/>
    <xf numFmtId="184" fontId="47" fillId="0" borderId="19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left" indent="1"/>
    </xf>
    <xf numFmtId="0" fontId="13" fillId="0" borderId="11" xfId="0" applyFont="1" applyBorder="1" applyAlignment="1">
      <alignment horizontal="left" indent="1"/>
    </xf>
    <xf numFmtId="0" fontId="13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33" fillId="0" borderId="0" xfId="0" applyFont="1" applyFill="1" applyBorder="1" applyAlignment="1">
      <alignment horizontal="left" indent="1"/>
    </xf>
    <xf numFmtId="0" fontId="16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27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 indent="1"/>
    </xf>
    <xf numFmtId="184" fontId="47" fillId="0" borderId="26" xfId="0" applyNumberFormat="1" applyFont="1" applyFill="1" applyBorder="1" applyAlignment="1">
      <alignment horizontal="right"/>
    </xf>
    <xf numFmtId="0" fontId="33" fillId="0" borderId="27" xfId="0" applyFont="1" applyFill="1" applyBorder="1"/>
    <xf numFmtId="0" fontId="44" fillId="0" borderId="0" xfId="4" applyFont="1" applyBorder="1" applyAlignment="1">
      <alignment horizontal="right"/>
    </xf>
    <xf numFmtId="0" fontId="33" fillId="0" borderId="24" xfId="0" applyFont="1" applyBorder="1" applyAlignment="1">
      <alignment horizontal="right"/>
    </xf>
    <xf numFmtId="170" fontId="33" fillId="0" borderId="25" xfId="0" applyNumberFormat="1" applyFont="1" applyBorder="1" applyAlignment="1">
      <alignment horizontal="right"/>
    </xf>
    <xf numFmtId="184" fontId="47" fillId="0" borderId="28" xfId="0" applyNumberFormat="1" applyFont="1" applyFill="1" applyBorder="1" applyAlignment="1">
      <alignment horizontal="right"/>
    </xf>
    <xf numFmtId="37" fontId="44" fillId="0" borderId="0" xfId="0" applyNumberFormat="1" applyFont="1" applyAlignment="1">
      <alignment horizontal="left" vertical="center"/>
    </xf>
    <xf numFmtId="184" fontId="50" fillId="0" borderId="0" xfId="0" applyNumberFormat="1" applyFont="1" applyFill="1" applyAlignment="1">
      <alignment horizontal="right"/>
    </xf>
    <xf numFmtId="195" fontId="44" fillId="0" borderId="10" xfId="4" applyNumberFormat="1" applyFont="1" applyBorder="1" applyAlignment="1">
      <alignment horizontal="center"/>
    </xf>
    <xf numFmtId="195" fontId="44" fillId="0" borderId="16" xfId="4" applyNumberFormat="1" applyFont="1" applyBorder="1" applyAlignment="1">
      <alignment horizontal="center"/>
    </xf>
    <xf numFmtId="184" fontId="47" fillId="0" borderId="29" xfId="0" applyNumberFormat="1" applyFont="1" applyFill="1" applyBorder="1" applyAlignment="1">
      <alignment horizontal="right"/>
    </xf>
    <xf numFmtId="195" fontId="44" fillId="0" borderId="0" xfId="4" applyNumberFormat="1" applyFont="1" applyBorder="1" applyAlignment="1">
      <alignment horizontal="right"/>
    </xf>
    <xf numFmtId="184" fontId="47" fillId="0" borderId="31" xfId="0" applyNumberFormat="1" applyFont="1" applyFill="1" applyBorder="1" applyAlignment="1">
      <alignment horizontal="right"/>
    </xf>
    <xf numFmtId="195" fontId="44" fillId="0" borderId="32" xfId="4" applyNumberFormat="1" applyFont="1" applyBorder="1" applyAlignment="1">
      <alignment horizontal="right"/>
    </xf>
    <xf numFmtId="184" fontId="47" fillId="0" borderId="30" xfId="0" applyNumberFormat="1" applyFont="1" applyFill="1" applyBorder="1" applyAlignment="1">
      <alignment horizontal="right"/>
    </xf>
    <xf numFmtId="184" fontId="47" fillId="0" borderId="33" xfId="0" applyNumberFormat="1" applyFont="1" applyFill="1" applyBorder="1" applyAlignment="1">
      <alignment horizontal="right"/>
    </xf>
    <xf numFmtId="0" fontId="0" fillId="0" borderId="10" xfId="0" applyFill="1" applyBorder="1"/>
    <xf numFmtId="0" fontId="46" fillId="0" borderId="0" xfId="4" applyNumberFormat="1" applyFont="1" applyFill="1" applyBorder="1" applyAlignment="1">
      <alignment horizontal="left" vertical="center"/>
    </xf>
    <xf numFmtId="0" fontId="46" fillId="0" borderId="32" xfId="4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0" fillId="0" borderId="0" xfId="0" applyFont="1" applyFill="1" applyAlignment="1">
      <alignment horizontal="left" indent="1"/>
    </xf>
    <xf numFmtId="0" fontId="18" fillId="0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21" fillId="0" borderId="0" xfId="0" applyFont="1" applyFill="1" applyAlignment="1">
      <alignment horizontal="left" indent="1"/>
    </xf>
    <xf numFmtId="49" fontId="9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horizontal="left" vertical="center" indent="1"/>
    </xf>
    <xf numFmtId="175" fontId="26" fillId="0" borderId="0" xfId="0" applyNumberFormat="1" applyFont="1" applyBorder="1" applyAlignment="1">
      <alignment vertical="center"/>
    </xf>
    <xf numFmtId="0" fontId="47" fillId="0" borderId="0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175" fontId="5" fillId="0" borderId="0" xfId="2" applyNumberFormat="1" applyFont="1" applyBorder="1" applyAlignment="1">
      <alignment horizontal="right"/>
    </xf>
    <xf numFmtId="175" fontId="5" fillId="0" borderId="10" xfId="2" applyNumberFormat="1" applyFont="1" applyBorder="1" applyAlignment="1">
      <alignment horizontal="righ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27" fillId="0" borderId="0" xfId="0" applyFont="1" applyFill="1" applyAlignment="1">
      <alignment horizontal="left" indent="1"/>
    </xf>
    <xf numFmtId="194" fontId="50" fillId="0" borderId="0" xfId="2" applyNumberFormat="1" applyFont="1" applyAlignment="1">
      <alignment horizontal="right"/>
    </xf>
    <xf numFmtId="180" fontId="4" fillId="4" borderId="0" xfId="0" applyNumberFormat="1" applyFont="1" applyFill="1" applyBorder="1" applyAlignment="1">
      <alignment horizontal="right"/>
    </xf>
    <xf numFmtId="180" fontId="4" fillId="4" borderId="15" xfId="0" applyNumberFormat="1" applyFont="1" applyFill="1" applyBorder="1" applyAlignment="1">
      <alignment horizontal="right"/>
    </xf>
    <xf numFmtId="37" fontId="49" fillId="0" borderId="0" xfId="6" quotePrefix="1" applyNumberFormat="1" applyFont="1" applyFill="1" applyBorder="1" applyAlignment="1">
      <alignment vertical="center"/>
    </xf>
    <xf numFmtId="193" fontId="27" fillId="0" borderId="0" xfId="0" applyNumberFormat="1" applyFont="1"/>
    <xf numFmtId="180" fontId="4" fillId="0" borderId="0" xfId="0" applyNumberFormat="1" applyFont="1" applyBorder="1" applyAlignment="1">
      <alignment horizontal="right"/>
    </xf>
    <xf numFmtId="180" fontId="4" fillId="0" borderId="15" xfId="0" applyNumberFormat="1" applyFont="1" applyBorder="1" applyAlignment="1">
      <alignment horizontal="right"/>
    </xf>
    <xf numFmtId="173" fontId="21" fillId="0" borderId="0" xfId="0" applyNumberFormat="1" applyFont="1" applyFill="1"/>
    <xf numFmtId="173" fontId="27" fillId="0" borderId="0" xfId="0" applyNumberFormat="1" applyFont="1"/>
    <xf numFmtId="183" fontId="50" fillId="0" borderId="0" xfId="0" applyNumberFormat="1" applyFont="1" applyFill="1"/>
    <xf numFmtId="183" fontId="27" fillId="4" borderId="0" xfId="0" applyNumberFormat="1" applyFont="1" applyFill="1" applyBorder="1"/>
    <xf numFmtId="183" fontId="50" fillId="4" borderId="10" xfId="0" applyNumberFormat="1" applyFont="1" applyFill="1" applyBorder="1"/>
    <xf numFmtId="185" fontId="50" fillId="0" borderId="0" xfId="0" applyNumberFormat="1" applyFont="1" applyAlignment="1">
      <alignment horizontal="right"/>
    </xf>
    <xf numFmtId="183" fontId="47" fillId="4" borderId="0" xfId="0" applyNumberFormat="1" applyFont="1" applyFill="1" applyAlignment="1">
      <alignment horizontal="right"/>
    </xf>
    <xf numFmtId="0" fontId="35" fillId="5" borderId="0" xfId="2" applyFont="1" applyFill="1"/>
    <xf numFmtId="0" fontId="35" fillId="5" borderId="2" xfId="2" applyFont="1" applyFill="1" applyBorder="1"/>
    <xf numFmtId="0" fontId="35" fillId="5" borderId="3" xfId="2" applyFont="1" applyFill="1" applyBorder="1"/>
    <xf numFmtId="0" fontId="35" fillId="5" borderId="4" xfId="2" applyFont="1" applyFill="1" applyBorder="1"/>
    <xf numFmtId="0" fontId="35" fillId="5" borderId="5" xfId="2" applyFont="1" applyFill="1" applyBorder="1"/>
    <xf numFmtId="0" fontId="35" fillId="5" borderId="6" xfId="2" applyFont="1" applyFill="1" applyBorder="1"/>
    <xf numFmtId="0" fontId="1" fillId="0" borderId="0" xfId="0" applyFont="1"/>
    <xf numFmtId="0" fontId="65" fillId="6" borderId="0" xfId="0" applyFont="1" applyFill="1"/>
    <xf numFmtId="0" fontId="1" fillId="0" borderId="0" xfId="0" applyFont="1" applyBorder="1" applyAlignment="1">
      <alignment horizontal="left" vertical="center" indent="1"/>
    </xf>
    <xf numFmtId="11" fontId="65" fillId="6" borderId="0" xfId="0" applyNumberFormat="1" applyFont="1" applyFill="1"/>
    <xf numFmtId="11" fontId="66" fillId="6" borderId="0" xfId="0" applyNumberFormat="1" applyFont="1" applyFill="1"/>
    <xf numFmtId="0" fontId="0" fillId="0" borderId="34" xfId="0" applyBorder="1"/>
    <xf numFmtId="0" fontId="6" fillId="0" borderId="0" xfId="0" applyFont="1" applyFill="1" applyBorder="1"/>
    <xf numFmtId="0" fontId="58" fillId="0" borderId="0" xfId="0" applyFont="1" applyFill="1" applyBorder="1"/>
    <xf numFmtId="0" fontId="0" fillId="0" borderId="35" xfId="0" applyBorder="1"/>
    <xf numFmtId="11" fontId="65" fillId="7" borderId="0" xfId="0" applyNumberFormat="1" applyFont="1" applyFill="1"/>
    <xf numFmtId="0" fontId="27" fillId="5" borderId="0" xfId="0" applyFont="1" applyFill="1" applyBorder="1"/>
    <xf numFmtId="37" fontId="34" fillId="5" borderId="0" xfId="0" applyNumberFormat="1" applyFont="1" applyFill="1" applyBorder="1" applyAlignment="1">
      <alignment vertical="top"/>
    </xf>
    <xf numFmtId="37" fontId="34" fillId="5" borderId="0" xfId="0" applyNumberFormat="1" applyFont="1" applyFill="1" applyAlignment="1">
      <alignment vertical="top"/>
    </xf>
    <xf numFmtId="0" fontId="27" fillId="5" borderId="0" xfId="0" applyFont="1" applyFill="1"/>
    <xf numFmtId="0" fontId="67" fillId="6" borderId="0" xfId="2" applyFont="1" applyFill="1" applyBorder="1"/>
    <xf numFmtId="0" fontId="1" fillId="0" borderId="0" xfId="0" applyFont="1" applyAlignment="1">
      <alignment horizontal="left" vertical="top" wrapText="1"/>
    </xf>
  </cellXfs>
  <cellStyles count="11">
    <cellStyle name="Comma" xfId="5" builtinId="3"/>
    <cellStyle name="Comma 2" xfId="10" xr:uid="{3C5A00EA-566D-44E5-B96F-C294575CB080}"/>
    <cellStyle name="Comma 3" xfId="7" xr:uid="{0DFDF181-1670-47C7-BE79-163841A762B6}"/>
    <cellStyle name="Hyperlink" xfId="8" builtinId="8"/>
    <cellStyle name="Hyperlink 2 2" xfId="3" xr:uid="{D41391FD-38C6-4CED-8615-B36C7A15082E}"/>
    <cellStyle name="Normal" xfId="0" builtinId="0"/>
    <cellStyle name="Normal 2" xfId="6" xr:uid="{001107EA-EAC1-44A7-A7B5-029231102B05}"/>
    <cellStyle name="Normal 2 2 2" xfId="2" xr:uid="{A79F478B-C262-45F9-A6CF-4A76329AC37A}"/>
    <cellStyle name="Normal 3" xfId="9" xr:uid="{BA9E06A6-6756-4920-A490-5B84F19A3559}"/>
    <cellStyle name="Normal_Master Junior Database v2" xfId="4" xr:uid="{C07A771D-9E73-4959-8A12-069E112B0CDB}"/>
    <cellStyle name="Percent" xfId="1" builtinId="5"/>
  </cellStyles>
  <dxfs count="0"/>
  <tableStyles count="0" defaultTableStyle="TableStyleMedium2" defaultPivotStyle="PivotStyleLight16"/>
  <colors>
    <mruColors>
      <color rgb="FF3271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33248</xdr:rowOff>
    </xdr:from>
    <xdr:to>
      <xdr:col>3</xdr:col>
      <xdr:colOff>66750</xdr:colOff>
      <xdr:row>6</xdr:row>
      <xdr:rowOff>63548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41819-C3E6-4FC2-B5D0-8FEB47905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0550" y="1023848"/>
          <a:ext cx="2562300" cy="52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122075</xdr:colOff>
      <xdr:row>4</xdr:row>
      <xdr:rowOff>95048</xdr:rowOff>
    </xdr:from>
    <xdr:to>
      <xdr:col>12</xdr:col>
      <xdr:colOff>19050</xdr:colOff>
      <xdr:row>6</xdr:row>
      <xdr:rowOff>71348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F5879-2232-4C9D-A45C-D2D6A68A9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923175" y="1085648"/>
          <a:ext cx="2344900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142875</xdr:rowOff>
    </xdr:from>
    <xdr:to>
      <xdr:col>2</xdr:col>
      <xdr:colOff>964793</xdr:colOff>
      <xdr:row>0</xdr:row>
      <xdr:rowOff>504145</xdr:rowOff>
    </xdr:to>
    <xdr:pic>
      <xdr:nvPicPr>
        <xdr:cNvPr id="6" name="Graphic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3A48C-FF11-4C9F-A061-FA007E43D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300" y="142875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</xdr:colOff>
      <xdr:row>0</xdr:row>
      <xdr:rowOff>147953</xdr:rowOff>
    </xdr:from>
    <xdr:to>
      <xdr:col>10</xdr:col>
      <xdr:colOff>525538</xdr:colOff>
      <xdr:row>0</xdr:row>
      <xdr:rowOff>464543</xdr:rowOff>
    </xdr:to>
    <xdr:pic>
      <xdr:nvPicPr>
        <xdr:cNvPr id="7" name="Graphic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36B94-1F3B-4D95-82D2-95A0F88DF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305800" y="147953"/>
          <a:ext cx="1726958" cy="322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133350</xdr:rowOff>
    </xdr:from>
    <xdr:to>
      <xdr:col>1</xdr:col>
      <xdr:colOff>2065883</xdr:colOff>
      <xdr:row>0</xdr:row>
      <xdr:rowOff>494620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DAFB2-7425-4767-AF94-C475662E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6260" y="133350"/>
          <a:ext cx="1920468" cy="361270"/>
        </a:xfrm>
        <a:prstGeom prst="rect">
          <a:avLst/>
        </a:prstGeom>
      </xdr:spPr>
    </xdr:pic>
    <xdr:clientData/>
  </xdr:twoCellAnchor>
  <xdr:oneCellAnchor>
    <xdr:from>
      <xdr:col>8</xdr:col>
      <xdr:colOff>275064</xdr:colOff>
      <xdr:row>0</xdr:row>
      <xdr:rowOff>142238</xdr:rowOff>
    </xdr:from>
    <xdr:ext cx="1707908" cy="322940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910B84-4E15-4F96-A258-74ACE446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12664" y="142238"/>
          <a:ext cx="1707908" cy="322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6428-923A-40DF-A3E0-F9A4968D6B82}">
  <dimension ref="A1:AI1"/>
  <sheetViews>
    <sheetView workbookViewId="0"/>
  </sheetViews>
  <sheetFormatPr defaultRowHeight="14.5"/>
  <sheetData>
    <row r="1" spans="1:35">
      <c r="A1">
        <v>35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DE37-7C49-4DD5-91D7-52890D8AAD8B}">
  <sheetPr>
    <pageSetUpPr fitToPage="1"/>
  </sheetPr>
  <dimension ref="A1:N39"/>
  <sheetViews>
    <sheetView showGridLines="0" view="pageBreakPreview" topLeftCell="A10" zoomScaleNormal="100" zoomScaleSheetLayoutView="100" workbookViewId="0">
      <selection activeCell="H13" sqref="H13"/>
    </sheetView>
  </sheetViews>
  <sheetFormatPr defaultColWidth="9.1796875" defaultRowHeight="19.5" customHeight="1"/>
  <cols>
    <col min="1" max="1" width="4.6328125" style="2" customWidth="1"/>
    <col min="2" max="2" width="4.81640625" style="2" customWidth="1"/>
    <col min="3" max="3" width="36.6328125" style="2" customWidth="1"/>
    <col min="4" max="11" width="10.6328125" style="2" customWidth="1"/>
    <col min="12" max="12" width="36.6328125" style="2" customWidth="1"/>
    <col min="13" max="13" width="4.81640625" style="2" customWidth="1"/>
    <col min="14" max="14" width="11" style="2" customWidth="1"/>
    <col min="15" max="16384" width="9.1796875" style="2"/>
  </cols>
  <sheetData>
    <row r="1" spans="1:13" ht="19.5" customHeight="1" thickBot="1">
      <c r="A1" s="1"/>
    </row>
    <row r="2" spans="1:13" s="357" customFormat="1" ht="19.5" customHeight="1" thickTop="1"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60"/>
    </row>
    <row r="3" spans="1:13" s="357" customFormat="1" ht="19.5" customHeight="1">
      <c r="B3" s="361"/>
      <c r="M3" s="362"/>
    </row>
    <row r="4" spans="1:13" s="357" customFormat="1" ht="19.5" customHeight="1">
      <c r="B4" s="361"/>
      <c r="M4" s="362"/>
    </row>
    <row r="5" spans="1:13" s="357" customFormat="1" ht="19.5" customHeight="1">
      <c r="B5" s="361"/>
      <c r="M5" s="362"/>
    </row>
    <row r="6" spans="1:13" s="357" customFormat="1" ht="19.5" customHeight="1">
      <c r="B6" s="361"/>
      <c r="M6" s="362"/>
    </row>
    <row r="7" spans="1:13" s="357" customFormat="1" ht="19.5" customHeight="1">
      <c r="B7" s="361"/>
      <c r="M7" s="362"/>
    </row>
    <row r="8" spans="1:13" s="357" customFormat="1" ht="19.5" customHeight="1">
      <c r="B8" s="361"/>
      <c r="M8" s="362"/>
    </row>
    <row r="9" spans="1:13" s="357" customFormat="1" ht="19.5" customHeight="1">
      <c r="B9" s="361"/>
      <c r="M9" s="362"/>
    </row>
    <row r="10" spans="1:13" ht="19.5" customHeight="1">
      <c r="B10" s="3"/>
      <c r="M10" s="4"/>
    </row>
    <row r="11" spans="1:13" ht="28.5" customHeight="1">
      <c r="B11" s="3"/>
      <c r="C11" s="5" t="s">
        <v>186</v>
      </c>
      <c r="L11" s="6" t="s">
        <v>0</v>
      </c>
      <c r="M11" s="4"/>
    </row>
    <row r="12" spans="1:13" ht="19.5" customHeight="1">
      <c r="B12" s="3"/>
      <c r="C12" s="7"/>
      <c r="K12" s="8"/>
      <c r="M12" s="4"/>
    </row>
    <row r="13" spans="1:13" ht="19.5" customHeight="1">
      <c r="B13" s="3"/>
      <c r="C13" s="9" t="s">
        <v>15</v>
      </c>
      <c r="D13" s="10"/>
      <c r="E13" s="10"/>
      <c r="F13" s="10"/>
      <c r="G13" s="22"/>
      <c r="H13" s="23"/>
      <c r="I13" s="23"/>
      <c r="J13" s="23"/>
      <c r="K13" s="24"/>
      <c r="M13" s="4"/>
    </row>
    <row r="14" spans="1:13" ht="19.5" customHeight="1">
      <c r="B14" s="3"/>
      <c r="C14" s="11"/>
      <c r="D14" s="10"/>
      <c r="E14" s="10"/>
      <c r="F14" s="10"/>
      <c r="G14" s="22"/>
      <c r="H14" s="23"/>
      <c r="I14" s="23"/>
      <c r="J14" s="23"/>
      <c r="K14" s="24"/>
      <c r="M14" s="4"/>
    </row>
    <row r="15" spans="1:13" ht="19.5" customHeight="1">
      <c r="B15" s="3"/>
      <c r="C15" s="187" t="s">
        <v>68</v>
      </c>
      <c r="D15" s="10"/>
      <c r="E15" s="10"/>
      <c r="F15" s="10"/>
      <c r="G15" s="22"/>
      <c r="H15" s="23"/>
      <c r="I15" s="23"/>
      <c r="J15" s="23"/>
      <c r="K15" s="24"/>
      <c r="M15" s="4"/>
    </row>
    <row r="16" spans="1:13" ht="19.5" customHeight="1">
      <c r="B16" s="3"/>
      <c r="C16" s="187" t="s">
        <v>181</v>
      </c>
      <c r="D16" s="10"/>
      <c r="E16" s="10"/>
      <c r="F16" s="10"/>
      <c r="G16" s="22"/>
      <c r="H16" s="23"/>
      <c r="I16" s="23"/>
      <c r="J16" s="23"/>
      <c r="K16" s="24"/>
      <c r="M16" s="4"/>
    </row>
    <row r="17" spans="2:13" ht="19.5" customHeight="1">
      <c r="B17" s="3"/>
      <c r="C17" s="236"/>
      <c r="D17" s="10"/>
      <c r="E17" s="10"/>
      <c r="F17" s="10"/>
      <c r="G17" s="22"/>
      <c r="H17" s="23"/>
      <c r="I17" s="23"/>
      <c r="J17" s="23"/>
      <c r="K17" s="24"/>
      <c r="M17" s="4"/>
    </row>
    <row r="18" spans="2:13" ht="19.5" customHeight="1">
      <c r="B18" s="3"/>
      <c r="C18"/>
      <c r="D18" s="10"/>
      <c r="E18" s="10"/>
      <c r="F18" s="10"/>
      <c r="G18" s="22"/>
      <c r="H18" s="23"/>
      <c r="I18" s="23"/>
      <c r="J18" s="23"/>
      <c r="K18" s="24"/>
      <c r="M18" s="4"/>
    </row>
    <row r="19" spans="2:13" ht="19.5" customHeight="1">
      <c r="B19" s="3"/>
      <c r="C19"/>
      <c r="D19" s="10"/>
      <c r="E19" s="10"/>
      <c r="F19" s="10"/>
      <c r="G19" s="22"/>
      <c r="H19" s="23"/>
      <c r="I19" s="23"/>
      <c r="J19" s="23"/>
      <c r="K19" s="24"/>
      <c r="M19" s="4"/>
    </row>
    <row r="20" spans="2:13" ht="19.5" customHeight="1">
      <c r="B20" s="3"/>
      <c r="C20"/>
      <c r="D20" s="10"/>
      <c r="E20" s="10"/>
      <c r="F20" s="10"/>
      <c r="G20" s="10"/>
      <c r="H20" s="10"/>
      <c r="I20" s="10"/>
      <c r="J20" s="10"/>
      <c r="K20" s="10"/>
      <c r="L20" s="10"/>
      <c r="M20" s="4"/>
    </row>
    <row r="21" spans="2:13" ht="19.5" customHeight="1">
      <c r="B21" s="3"/>
      <c r="C21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2" spans="2:13" ht="19.5" customHeight="1">
      <c r="B22" s="3"/>
      <c r="C22"/>
      <c r="D22" s="10"/>
      <c r="E22" s="10"/>
      <c r="F22" s="10"/>
      <c r="G22" s="10"/>
      <c r="H22" s="10"/>
      <c r="I22" s="10"/>
      <c r="J22" s="10"/>
      <c r="K22" s="10"/>
      <c r="L22" s="10"/>
      <c r="M22" s="4"/>
    </row>
    <row r="23" spans="2:13" ht="19.5" customHeight="1">
      <c r="B23" s="3"/>
      <c r="C23"/>
      <c r="D23" s="10"/>
      <c r="E23" s="10"/>
      <c r="F23" s="10"/>
      <c r="G23" s="10"/>
      <c r="H23" s="10"/>
      <c r="I23" s="10"/>
      <c r="J23" s="10"/>
      <c r="K23" s="10"/>
      <c r="L23" s="10"/>
      <c r="M23" s="4"/>
    </row>
    <row r="24" spans="2:13" ht="19.5" customHeight="1">
      <c r="B24" s="3"/>
      <c r="C24"/>
      <c r="D24" s="10"/>
      <c r="E24" s="10"/>
      <c r="F24" s="10"/>
      <c r="G24" s="10"/>
      <c r="H24" s="10"/>
      <c r="I24" s="10"/>
      <c r="J24" s="10"/>
      <c r="K24" s="10"/>
      <c r="L24" s="10"/>
      <c r="M24" s="4"/>
    </row>
    <row r="25" spans="2:13" ht="19.5" customHeight="1">
      <c r="B25" s="3"/>
      <c r="C25" s="122"/>
      <c r="D25" s="10"/>
      <c r="E25" s="10"/>
      <c r="F25" s="10"/>
      <c r="G25" s="10"/>
      <c r="H25" s="10"/>
      <c r="I25" s="10"/>
      <c r="J25" s="10"/>
      <c r="K25" s="10"/>
      <c r="L25" s="10"/>
      <c r="M25" s="4"/>
    </row>
    <row r="26" spans="2:13" ht="19.5" customHeight="1">
      <c r="B26" s="3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4"/>
    </row>
    <row r="27" spans="2:13" ht="19.5" customHeight="1">
      <c r="B27" s="3"/>
      <c r="C27" s="13"/>
      <c r="D27" s="10"/>
      <c r="E27" s="10"/>
      <c r="F27" s="10"/>
      <c r="G27" s="10"/>
      <c r="H27" s="10"/>
      <c r="I27" s="10"/>
      <c r="J27" s="10"/>
      <c r="K27" s="10"/>
      <c r="L27" s="10"/>
      <c r="M27" s="4"/>
    </row>
    <row r="28" spans="2:13" ht="19.5" customHeight="1">
      <c r="B28" s="3"/>
      <c r="C28" s="14"/>
      <c r="D28" s="10"/>
      <c r="E28" s="10"/>
      <c r="F28" s="10"/>
      <c r="G28" s="10"/>
      <c r="H28" s="10"/>
      <c r="I28" s="10"/>
      <c r="J28" s="10"/>
      <c r="K28" s="10"/>
      <c r="L28" s="10"/>
      <c r="M28" s="4"/>
    </row>
    <row r="29" spans="2:13" ht="19.5" customHeight="1">
      <c r="B29" s="3"/>
      <c r="C29" s="14"/>
      <c r="D29" s="10"/>
      <c r="E29" s="10"/>
      <c r="F29" s="10"/>
      <c r="G29" s="10"/>
      <c r="H29" s="10"/>
      <c r="I29" s="10"/>
      <c r="J29" s="10"/>
      <c r="K29" s="10"/>
      <c r="L29" s="10"/>
      <c r="M29" s="4"/>
    </row>
    <row r="30" spans="2:13" ht="19.5" customHeight="1">
      <c r="B30" s="3"/>
      <c r="C30" s="15" t="s">
        <v>54</v>
      </c>
      <c r="D30" s="16"/>
      <c r="E30" s="16"/>
      <c r="F30" s="16"/>
      <c r="G30" s="16"/>
      <c r="H30" s="16"/>
      <c r="I30" s="16"/>
      <c r="J30" s="16"/>
      <c r="K30" s="16"/>
      <c r="L30" s="16"/>
      <c r="M30" s="4"/>
    </row>
    <row r="31" spans="2:13" ht="19.5" customHeight="1">
      <c r="B31" s="3"/>
      <c r="C31" s="17" t="s">
        <v>55</v>
      </c>
      <c r="D31" s="18"/>
      <c r="E31" s="18"/>
      <c r="F31" s="18"/>
      <c r="G31" s="18"/>
      <c r="H31" s="18"/>
      <c r="I31" s="18"/>
      <c r="J31" s="18"/>
      <c r="K31" s="18"/>
      <c r="L31" s="18"/>
      <c r="M31" s="4"/>
    </row>
    <row r="32" spans="2:13" ht="19.5" customHeight="1">
      <c r="B32" s="3"/>
      <c r="C32" s="17" t="s">
        <v>56</v>
      </c>
      <c r="D32" s="18"/>
      <c r="E32" s="18"/>
      <c r="F32" s="18"/>
      <c r="G32" s="18"/>
      <c r="H32" s="18"/>
      <c r="I32" s="18"/>
      <c r="J32" s="18"/>
      <c r="K32" s="18"/>
      <c r="L32" s="18"/>
      <c r="M32" s="4"/>
    </row>
    <row r="33" spans="2:14" ht="19.5" customHeight="1">
      <c r="B33" s="3"/>
      <c r="C33" s="17" t="s">
        <v>57</v>
      </c>
      <c r="D33" s="18"/>
      <c r="E33" s="18"/>
      <c r="F33" s="18"/>
      <c r="G33" s="18"/>
      <c r="H33" s="18"/>
      <c r="I33" s="18"/>
      <c r="J33" s="18"/>
      <c r="K33" s="18"/>
      <c r="L33" s="18"/>
      <c r="M33" s="4"/>
    </row>
    <row r="34" spans="2:14" ht="19.5" customHeight="1">
      <c r="B34" s="3"/>
      <c r="C34" s="17" t="s">
        <v>58</v>
      </c>
      <c r="D34" s="18"/>
      <c r="E34" s="18"/>
      <c r="F34" s="18"/>
      <c r="G34" s="18"/>
      <c r="H34" s="18"/>
      <c r="I34" s="18"/>
      <c r="J34" s="18"/>
      <c r="K34" s="18"/>
      <c r="L34" s="18"/>
      <c r="M34" s="4"/>
    </row>
    <row r="35" spans="2:14" ht="19.5" customHeight="1">
      <c r="B35" s="3"/>
      <c r="C35" s="17" t="s">
        <v>59</v>
      </c>
      <c r="D35" s="18"/>
      <c r="E35" s="18"/>
      <c r="F35" s="18"/>
      <c r="G35" s="18"/>
      <c r="H35" s="18"/>
      <c r="I35" s="18"/>
      <c r="J35" s="18"/>
      <c r="K35" s="18"/>
      <c r="L35" s="18"/>
      <c r="M35" s="4"/>
    </row>
    <row r="36" spans="2:14" ht="19.5" customHeight="1">
      <c r="B36" s="3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4"/>
    </row>
    <row r="37" spans="2:14" ht="19.5" customHeight="1">
      <c r="B37" s="3"/>
      <c r="C37" s="17" t="s">
        <v>1</v>
      </c>
      <c r="D37" s="18"/>
      <c r="E37" s="18"/>
      <c r="F37" s="18"/>
      <c r="G37" s="18"/>
      <c r="H37" s="18"/>
      <c r="I37" s="18"/>
      <c r="J37" s="18"/>
      <c r="K37" s="18"/>
      <c r="L37" s="18"/>
      <c r="M37" s="4"/>
    </row>
    <row r="38" spans="2:14" ht="19.5" customHeight="1" thickBo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 t="s">
        <v>17</v>
      </c>
    </row>
    <row r="39" spans="2:14" ht="19.5" customHeight="1" thickTop="1">
      <c r="N39" s="2" t="s">
        <v>17</v>
      </c>
    </row>
  </sheetData>
  <hyperlinks>
    <hyperlink ref="C37" r:id="rId1" xr:uid="{002D6B14-609D-4515-AED6-2247333DA476}"/>
    <hyperlink ref="C15" location="Summary!A1" tooltip="Summary" display="Summary" xr:uid="{2C375B80-68C6-445D-9282-24E4AF4F5110}"/>
    <hyperlink ref="C16" location="Cover!A1" display="Morrisons" xr:uid="{AF528E1E-758C-4AF5-9AC4-7F7D7D61E2AE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7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sheetPr>
    <pageSetUpPr autoPageBreaks="0" fitToPage="1"/>
  </sheetPr>
  <dimension ref="A1:N35"/>
  <sheetViews>
    <sheetView showGridLines="0" topLeftCell="A4" zoomScaleNormal="100" zoomScaleSheetLayoutView="100" workbookViewId="0">
      <selection activeCell="N19" sqref="N19"/>
    </sheetView>
  </sheetViews>
  <sheetFormatPr defaultColWidth="11.6328125" defaultRowHeight="15" customHeight="1" outlineLevelRow="1"/>
  <cols>
    <col min="1" max="1" width="5.6328125" style="34" customWidth="1"/>
    <col min="2" max="2" width="14.08984375" style="10" bestFit="1" customWidth="1"/>
    <col min="3" max="4" width="29.54296875" style="10" customWidth="1"/>
    <col min="5" max="5" width="9.54296875" style="10" customWidth="1"/>
    <col min="6" max="10" width="8.54296875" style="10" customWidth="1"/>
    <col min="11" max="11" width="9.90625" style="10" bestFit="1" customWidth="1"/>
    <col min="12" max="12" width="9.6328125" style="10" customWidth="1"/>
    <col min="13" max="13" width="11.6328125" style="10" customWidth="1"/>
    <col min="14" max="16384" width="11.6328125" style="10"/>
  </cols>
  <sheetData>
    <row r="1" spans="1:14" s="376" customFormat="1" ht="50.15" customHeight="1">
      <c r="A1" s="373"/>
      <c r="B1" s="374"/>
      <c r="C1" s="374"/>
      <c r="D1" s="374"/>
      <c r="E1" s="375"/>
      <c r="F1" s="375"/>
      <c r="G1" s="375"/>
      <c r="H1" s="375"/>
      <c r="I1" s="375"/>
      <c r="J1" s="375"/>
      <c r="K1" s="375"/>
      <c r="L1" s="375"/>
      <c r="M1" s="375"/>
    </row>
    <row r="2" spans="1:14" s="44" customFormat="1" ht="15" customHeight="1">
      <c r="A2" s="41"/>
      <c r="B2" s="42"/>
      <c r="C2" s="42"/>
      <c r="D2" s="42"/>
      <c r="E2" s="43"/>
      <c r="F2" s="43"/>
      <c r="G2" s="43"/>
      <c r="H2" s="43"/>
      <c r="I2" s="43"/>
      <c r="J2" s="43"/>
      <c r="K2" s="43"/>
    </row>
    <row r="3" spans="1:14" s="44" customFormat="1" ht="15" customHeight="1">
      <c r="A3" s="41"/>
      <c r="B3" s="79" t="s">
        <v>180</v>
      </c>
      <c r="C3" s="79"/>
      <c r="D3" s="79"/>
      <c r="E3" s="80"/>
      <c r="F3" s="81"/>
      <c r="G3" s="81"/>
      <c r="H3" s="82"/>
      <c r="I3" s="83"/>
      <c r="J3" s="83"/>
      <c r="K3" s="83"/>
      <c r="L3" s="179"/>
      <c r="M3" s="179"/>
    </row>
    <row r="4" spans="1:14" s="44" customFormat="1" ht="15" customHeight="1" outlineLevel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4" s="44" customFormat="1" ht="15" customHeight="1" outlineLevel="1">
      <c r="A5" s="41"/>
      <c r="B5" s="42"/>
      <c r="C5" s="268" t="s">
        <v>77</v>
      </c>
      <c r="D5" s="42"/>
      <c r="E5" s="42"/>
      <c r="F5" s="42"/>
      <c r="G5" s="42"/>
      <c r="H5" s="42"/>
      <c r="I5" s="42"/>
      <c r="J5" s="42"/>
      <c r="K5" s="42"/>
    </row>
    <row r="6" spans="1:14" ht="15" customHeight="1" outlineLevel="1">
      <c r="A6" s="33"/>
      <c r="B6" s="84" t="s">
        <v>63</v>
      </c>
      <c r="C6" s="315">
        <v>44561</v>
      </c>
      <c r="D6" s="141"/>
      <c r="E6" s="34"/>
      <c r="F6" s="34"/>
      <c r="G6" s="34"/>
      <c r="H6" s="141" t="str">
        <f>+Morrisons!B32</f>
        <v>All figures in GBP millions unless stated</v>
      </c>
    </row>
    <row r="7" spans="1:14" ht="15" customHeight="1" outlineLevel="1">
      <c r="A7" s="33"/>
      <c r="B7" s="314" t="s">
        <v>200</v>
      </c>
      <c r="C7" s="343">
        <v>2022</v>
      </c>
      <c r="D7" s="141"/>
      <c r="E7" s="34"/>
      <c r="F7" s="34"/>
      <c r="G7" s="34"/>
      <c r="H7" s="141" t="str">
        <f>+Morrisons!B33</f>
        <v>100 pence = 1 GBP</v>
      </c>
    </row>
    <row r="8" spans="1:14" ht="15" customHeight="1" outlineLevel="1">
      <c r="A8" s="33"/>
      <c r="B8" s="68"/>
      <c r="C8" s="68"/>
      <c r="D8" s="68"/>
      <c r="E8" s="34"/>
      <c r="F8" s="34"/>
      <c r="G8" s="34"/>
      <c r="H8" s="34"/>
      <c r="I8" s="34"/>
      <c r="J8" s="34"/>
      <c r="K8" s="34"/>
    </row>
    <row r="9" spans="1:14" ht="15" customHeight="1" outlineLevel="1">
      <c r="A9" s="33"/>
      <c r="B9" s="68"/>
      <c r="C9" s="68"/>
      <c r="D9" s="68"/>
      <c r="E9" s="34"/>
      <c r="F9" s="34"/>
      <c r="G9"/>
      <c r="H9" s="34"/>
      <c r="I9"/>
      <c r="J9" s="34"/>
      <c r="K9" s="34"/>
    </row>
    <row r="10" spans="1:14" ht="15" customHeight="1" outlineLevel="1">
      <c r="A10" s="33"/>
      <c r="B10"/>
      <c r="C10"/>
      <c r="D10"/>
      <c r="E10"/>
      <c r="F10" s="34"/>
      <c r="G10"/>
      <c r="H10" s="34"/>
      <c r="I10"/>
      <c r="J10" s="34"/>
      <c r="K10" s="34"/>
      <c r="M10" s="85"/>
    </row>
    <row r="11" spans="1:14" s="193" customFormat="1" ht="15" customHeight="1" outlineLevel="1">
      <c r="A11" s="35"/>
      <c r="B11"/>
      <c r="C11"/>
      <c r="D11"/>
      <c r="E11"/>
      <c r="F11" s="190"/>
      <c r="G11" s="190"/>
      <c r="H11" s="191"/>
      <c r="I11" s="191"/>
      <c r="J11" s="191"/>
      <c r="K11" s="191"/>
      <c r="L11" s="192"/>
      <c r="M11" s="192"/>
      <c r="N11" s="192"/>
    </row>
    <row r="12" spans="1:14" s="27" customFormat="1" ht="15.9" customHeight="1" outlineLevel="1">
      <c r="A12" s="38"/>
      <c r="B12" s="251" t="s">
        <v>179</v>
      </c>
      <c r="C12" s="39"/>
      <c r="D12" s="39"/>
      <c r="E12" s="92" t="s">
        <v>178</v>
      </c>
      <c r="F12" s="94" t="s">
        <v>124</v>
      </c>
      <c r="G12" s="93"/>
      <c r="H12" s="166"/>
      <c r="I12" s="94" t="s">
        <v>71</v>
      </c>
      <c r="J12" s="32"/>
      <c r="K12" s="166"/>
      <c r="L12" s="171"/>
      <c r="M12"/>
    </row>
    <row r="13" spans="1:14" s="28" customFormat="1" ht="15" customHeight="1" outlineLevel="1">
      <c r="B13" s="30" t="s">
        <v>177</v>
      </c>
      <c r="C13" s="30" t="s">
        <v>140</v>
      </c>
      <c r="D13" s="30" t="s">
        <v>141</v>
      </c>
      <c r="E13" s="91" t="s">
        <v>7</v>
      </c>
      <c r="F13" s="118" t="s">
        <v>69</v>
      </c>
      <c r="G13" s="316">
        <f>$C$7</f>
        <v>2022</v>
      </c>
      <c r="H13" s="316">
        <f>G13+1</f>
        <v>2023</v>
      </c>
      <c r="I13" s="170" t="s">
        <v>69</v>
      </c>
      <c r="J13" s="316">
        <f>$C$7</f>
        <v>2022</v>
      </c>
      <c r="K13" s="317">
        <f>J13+1</f>
        <v>2023</v>
      </c>
      <c r="L13" s="171"/>
      <c r="M13"/>
    </row>
    <row r="14" spans="1:14" s="27" customFormat="1" ht="15" customHeight="1" outlineLevel="1">
      <c r="A14" s="28"/>
      <c r="B14" s="28"/>
      <c r="C14" s="28"/>
      <c r="D14" s="28"/>
      <c r="E14" s="31"/>
      <c r="F14" s="95"/>
      <c r="G14" s="31"/>
      <c r="H14" s="167"/>
      <c r="I14" s="95"/>
      <c r="J14" s="31"/>
      <c r="K14" s="167"/>
      <c r="L14" s="171"/>
      <c r="M14"/>
    </row>
    <row r="15" spans="1:14" s="29" customFormat="1" ht="15" customHeight="1" outlineLevel="1">
      <c r="A15" s="36"/>
      <c r="B15" s="256">
        <f>Morrisons!$F$7</f>
        <v>44366</v>
      </c>
      <c r="C15" s="257" t="str">
        <f>Morrisons!$F$5</f>
        <v>Wm Morrison Supermarkets PLC</v>
      </c>
      <c r="D15" s="257" t="str">
        <f>Morrisons!$F$6</f>
        <v>Clayton, Dubilier &amp; Rice</v>
      </c>
      <c r="E15" s="258">
        <f>Morrisons!$E$52</f>
        <v>10100.51403</v>
      </c>
      <c r="F15" s="259">
        <f>Morrisons!$H$114</f>
        <v>795</v>
      </c>
      <c r="G15" s="259" t="str">
        <f>Morrisons!$I$114</f>
        <v>na</v>
      </c>
      <c r="H15" s="259" t="str">
        <f>Morrisons!$J$114</f>
        <v>na</v>
      </c>
      <c r="I15" s="260">
        <f>IFERROR(IF(OR(F15&lt;=0,F15=""),"na",$E15/F15),"na")</f>
        <v>12.705049094339623</v>
      </c>
      <c r="J15" s="344" t="str">
        <f t="shared" ref="J15:K15" si="0">IFERROR(IF(OR(G15&lt;=0,G15=""),"na",$E15/G15),"na")</f>
        <v>na</v>
      </c>
      <c r="K15" s="345" t="str">
        <f t="shared" si="0"/>
        <v>na</v>
      </c>
      <c r="L15" s="377" t="s">
        <v>234</v>
      </c>
    </row>
    <row r="16" spans="1:14" s="29" customFormat="1" ht="15" customHeight="1" outlineLevel="1">
      <c r="A16" s="36"/>
      <c r="B16" s="247"/>
      <c r="C16" s="246"/>
      <c r="D16" s="246"/>
      <c r="E16" s="248"/>
      <c r="F16" s="252"/>
      <c r="G16" s="253"/>
      <c r="H16" s="248"/>
      <c r="I16" s="348"/>
      <c r="J16" s="348"/>
      <c r="K16" s="349"/>
      <c r="L16" s="36"/>
    </row>
    <row r="17" spans="1:14" s="29" customFormat="1" ht="15" customHeight="1" outlineLevel="1">
      <c r="A17" s="36"/>
      <c r="B17" s="247"/>
      <c r="C17" s="246"/>
      <c r="D17" s="246"/>
      <c r="E17" s="248"/>
      <c r="F17" s="252"/>
      <c r="G17" s="253"/>
      <c r="H17" s="248"/>
      <c r="I17" s="254"/>
      <c r="J17" s="254"/>
      <c r="K17" s="255"/>
      <c r="L17" s="36"/>
      <c r="M17"/>
    </row>
    <row r="18" spans="1:14" s="29" customFormat="1" ht="15" customHeight="1" outlineLevel="1">
      <c r="A18" s="36"/>
      <c r="B18" s="247"/>
      <c r="C18" s="246"/>
      <c r="D18" s="246"/>
      <c r="E18" s="248"/>
      <c r="F18" s="252"/>
      <c r="G18" s="253"/>
      <c r="H18" s="248"/>
      <c r="I18" s="254"/>
      <c r="J18" s="254"/>
      <c r="K18" s="255"/>
      <c r="L18" s="36"/>
    </row>
    <row r="19" spans="1:14" s="29" customFormat="1" ht="15" customHeight="1" outlineLevel="1">
      <c r="A19" s="36"/>
      <c r="B19" s="247"/>
      <c r="C19" s="246"/>
      <c r="D19" s="246"/>
      <c r="E19" s="248"/>
      <c r="F19" s="252"/>
      <c r="G19" s="253"/>
      <c r="H19" s="248"/>
      <c r="I19" s="254"/>
      <c r="J19" s="254"/>
      <c r="K19" s="255"/>
      <c r="L19" s="36"/>
    </row>
    <row r="20" spans="1:14" s="29" customFormat="1" ht="15" customHeight="1" outlineLevel="1">
      <c r="A20" s="36"/>
      <c r="B20" s="247"/>
      <c r="C20" s="246"/>
      <c r="D20" s="246"/>
      <c r="E20" s="248"/>
      <c r="F20" s="252"/>
      <c r="G20" s="253"/>
      <c r="H20" s="248"/>
      <c r="I20" s="254"/>
      <c r="J20" s="254"/>
      <c r="K20" s="255"/>
      <c r="L20" s="36"/>
    </row>
    <row r="21" spans="1:14" s="29" customFormat="1" ht="15" customHeight="1" outlineLevel="1">
      <c r="A21" s="36"/>
      <c r="B21" s="247"/>
      <c r="C21" s="246"/>
      <c r="D21" s="246"/>
      <c r="E21" s="248"/>
      <c r="F21" s="252"/>
      <c r="G21" s="253"/>
      <c r="H21" s="248"/>
      <c r="I21" s="254"/>
      <c r="J21" s="254"/>
      <c r="K21" s="255"/>
      <c r="L21" s="36"/>
    </row>
    <row r="22" spans="1:14" s="29" customFormat="1" ht="15" customHeight="1" outlineLevel="1">
      <c r="A22" s="36"/>
      <c r="B22" s="247"/>
      <c r="C22" s="246"/>
      <c r="D22" s="246"/>
      <c r="E22" s="248"/>
      <c r="F22" s="252"/>
      <c r="G22" s="253"/>
      <c r="H22" s="248"/>
      <c r="I22" s="254"/>
      <c r="J22" s="254"/>
      <c r="K22" s="255"/>
      <c r="L22" s="36"/>
    </row>
    <row r="23" spans="1:14" s="29" customFormat="1" ht="15" customHeight="1" outlineLevel="1">
      <c r="A23" s="36"/>
      <c r="B23" s="247"/>
      <c r="C23" s="246"/>
      <c r="D23" s="246"/>
      <c r="E23" s="248"/>
      <c r="F23" s="252"/>
      <c r="G23" s="253"/>
      <c r="H23" s="248"/>
      <c r="I23" s="254"/>
      <c r="J23" s="254"/>
      <c r="K23" s="255"/>
      <c r="L23" s="36"/>
    </row>
    <row r="24" spans="1:14" s="29" customFormat="1" ht="15" customHeight="1" outlineLevel="1">
      <c r="A24" s="36"/>
      <c r="B24" s="247"/>
      <c r="C24" s="246"/>
      <c r="D24" s="246"/>
      <c r="E24" s="248"/>
      <c r="F24" s="252"/>
      <c r="G24" s="253"/>
      <c r="H24" s="248"/>
      <c r="I24" s="254"/>
      <c r="J24" s="254"/>
      <c r="K24" s="255"/>
      <c r="L24" s="36"/>
    </row>
    <row r="25" spans="1:14" s="29" customFormat="1" ht="15" customHeight="1" outlineLevel="1">
      <c r="A25" s="36"/>
      <c r="B25"/>
      <c r="C25"/>
      <c r="D25"/>
      <c r="E25" s="69"/>
      <c r="F25" s="252"/>
      <c r="G25" s="253"/>
      <c r="H25" s="253"/>
      <c r="I25" s="69"/>
      <c r="J25" s="69"/>
      <c r="K25" s="69"/>
      <c r="L25" s="70"/>
      <c r="M25" s="70"/>
      <c r="N25" s="71"/>
    </row>
    <row r="26" spans="1:14" s="29" customFormat="1" ht="15" customHeight="1" outlineLevel="1">
      <c r="A26" s="36"/>
      <c r="B26" s="37"/>
      <c r="C26" s="37"/>
      <c r="D26" s="37"/>
      <c r="E26" s="69"/>
      <c r="F26" s="69"/>
      <c r="G26" s="69"/>
      <c r="H26" s="69"/>
      <c r="I26" s="69"/>
      <c r="J26" s="69"/>
      <c r="K26" s="69"/>
      <c r="L26" s="70"/>
      <c r="M26" s="70"/>
      <c r="N26" s="71"/>
    </row>
    <row r="27" spans="1:14" s="29" customFormat="1" ht="15" customHeight="1" outlineLevel="1">
      <c r="A27" s="36"/>
      <c r="B27" s="37"/>
      <c r="C27" s="37"/>
      <c r="D27" s="37"/>
      <c r="E27" s="69"/>
      <c r="F27" s="69"/>
      <c r="G27" s="69"/>
      <c r="H27" s="69"/>
      <c r="I27" s="69"/>
      <c r="J27" s="69"/>
      <c r="K27" s="69"/>
      <c r="L27" s="70"/>
      <c r="M27" s="70"/>
      <c r="N27" s="71"/>
    </row>
    <row r="28" spans="1:14" s="90" customFormat="1" ht="15" customHeight="1" outlineLevel="1">
      <c r="A28" s="86"/>
      <c r="E28" s="87"/>
      <c r="F28" s="87"/>
      <c r="G28" s="88"/>
      <c r="H28" s="87" t="s">
        <v>4</v>
      </c>
      <c r="I28" s="89">
        <f>IFERROR(AVERAGE(I15:I24),"n/a")</f>
        <v>12.705049094339623</v>
      </c>
      <c r="J28" s="89" t="str">
        <f t="shared" ref="J28:K28" si="1">IFERROR(AVERAGE(J15:J24),"n/a")</f>
        <v>n/a</v>
      </c>
      <c r="K28" s="89" t="str">
        <f t="shared" si="1"/>
        <v>n/a</v>
      </c>
      <c r="L28" s="89"/>
      <c r="M28" s="89"/>
      <c r="N28" s="86"/>
    </row>
    <row r="29" spans="1:14" s="90" customFormat="1" ht="15" customHeight="1" outlineLevel="1">
      <c r="A29" s="86"/>
      <c r="B29"/>
      <c r="C29"/>
      <c r="D29"/>
      <c r="E29" s="87"/>
      <c r="F29" s="87"/>
      <c r="G29" s="88"/>
      <c r="H29" s="87" t="s">
        <v>5</v>
      </c>
      <c r="I29" s="89">
        <f>IFERROR(MEDIAN(I15:I24),"n/a")</f>
        <v>12.705049094339623</v>
      </c>
      <c r="J29" s="89" t="str">
        <f t="shared" ref="J29:K29" si="2">IFERROR(MEDIAN(J15:J24),"n/a")</f>
        <v>n/a</v>
      </c>
      <c r="K29" s="89" t="str">
        <f t="shared" si="2"/>
        <v>n/a</v>
      </c>
      <c r="L29" s="89"/>
      <c r="M29" s="89"/>
      <c r="N29" s="86"/>
    </row>
    <row r="30" spans="1:14" s="90" customFormat="1" ht="15" customHeight="1" outlineLevel="1">
      <c r="A30" s="86"/>
      <c r="B30"/>
      <c r="C30"/>
      <c r="D30"/>
      <c r="E30" s="87"/>
      <c r="F30" s="87"/>
      <c r="G30" s="88"/>
      <c r="H30" s="87" t="s">
        <v>64</v>
      </c>
      <c r="I30" s="89">
        <f>IFERROR(MAX(I15:I24),"n/a")</f>
        <v>12.705049094339623</v>
      </c>
      <c r="J30" s="89">
        <f t="shared" ref="J30:K30" si="3">IFERROR(MAX(J15:J24),"n/a")</f>
        <v>0</v>
      </c>
      <c r="K30" s="89">
        <f t="shared" si="3"/>
        <v>0</v>
      </c>
      <c r="L30" s="89"/>
      <c r="M30" s="89"/>
      <c r="N30" s="86"/>
    </row>
    <row r="31" spans="1:14" s="90" customFormat="1" ht="15" customHeight="1" outlineLevel="1">
      <c r="A31" s="86"/>
      <c r="B31"/>
      <c r="C31"/>
      <c r="D31"/>
      <c r="E31" s="87"/>
      <c r="F31" s="87"/>
      <c r="G31" s="88"/>
      <c r="H31" s="87" t="s">
        <v>65</v>
      </c>
      <c r="I31" s="89">
        <f>IFERROR(MIN(I15:I24),"n/a")</f>
        <v>12.705049094339623</v>
      </c>
      <c r="J31" s="89">
        <f t="shared" ref="J31:K31" si="4">IFERROR(MIN(J15:J24),"n/a")</f>
        <v>0</v>
      </c>
      <c r="K31" s="89">
        <f t="shared" si="4"/>
        <v>0</v>
      </c>
      <c r="L31" s="89"/>
      <c r="M31" s="89"/>
      <c r="N31" s="86"/>
    </row>
    <row r="32" spans="1:14" ht="15" customHeight="1" outlineLevel="1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2:14" ht="15" customHeight="1" outlineLevel="1">
      <c r="B33" s="34"/>
      <c r="C33" s="34"/>
      <c r="D33" s="34"/>
      <c r="E33" s="72"/>
      <c r="F33" s="72"/>
      <c r="G33" s="73"/>
      <c r="H33" s="73"/>
      <c r="I33" s="73"/>
      <c r="J33" s="73"/>
      <c r="K33" s="73"/>
      <c r="L33" s="73"/>
      <c r="M33" s="73"/>
      <c r="N33" s="34"/>
    </row>
    <row r="34" spans="2:14" ht="15" customHeight="1" outlineLevel="1">
      <c r="B34" s="34"/>
      <c r="C34" s="34"/>
      <c r="D34" s="34"/>
      <c r="E34" s="74"/>
      <c r="F34" s="74"/>
      <c r="G34" s="34"/>
      <c r="H34" s="34"/>
      <c r="I34" s="34"/>
      <c r="J34" s="34"/>
      <c r="K34" s="168" t="s">
        <v>78</v>
      </c>
      <c r="N34" s="34"/>
    </row>
    <row r="35" spans="2:14" ht="15" customHeight="1">
      <c r="K35" s="169" t="s">
        <v>125</v>
      </c>
    </row>
  </sheetData>
  <sortState ref="A15:M25">
    <sortCondition descending="1" ref="E15:E25"/>
  </sortState>
  <printOptions horizontalCentered="1"/>
  <pageMargins left="0.118110236220472" right="0.118110236220472" top="0.118110236220472" bottom="0.118110236220472" header="0.118110236220472" footer="0.118110236220472"/>
  <pageSetup scale="97" fitToHeight="0" orientation="landscape" r:id="rId1"/>
  <headerFooter>
    <oddFooter>&amp;L&amp;"Open Sans,Bold"&amp;10&amp;K132E57Precedent Transaction Analysis&amp;C&amp;"Open Sans,Bold"&amp;10&amp;K02+000Page &amp;P of &amp;N&amp;R&amp;G</oddFooter>
  </headerFooter>
  <customProperties>
    <customPr name="Guid" r:id="rId2"/>
  </customProperties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F1B2-8273-4BE3-980C-0BE69768C2E2}">
  <sheetPr>
    <pageSetUpPr autoPageBreaks="0" fitToPage="1"/>
  </sheetPr>
  <dimension ref="A1:T176"/>
  <sheetViews>
    <sheetView showGridLines="0" tabSelected="1" zoomScale="92" zoomScaleNormal="100" zoomScaleSheetLayoutView="80" workbookViewId="0">
      <pane ySplit="1" topLeftCell="A134" activePane="bottomLeft" state="frozen"/>
      <selection pane="bottomLeft" activeCell="E113" sqref="E113"/>
    </sheetView>
  </sheetViews>
  <sheetFormatPr defaultColWidth="11.6328125" defaultRowHeight="15" customHeight="1" outlineLevelRow="1"/>
  <cols>
    <col min="1" max="1" width="5.54296875" style="44" customWidth="1"/>
    <col min="2" max="2" width="35.54296875" style="25" customWidth="1"/>
    <col min="3" max="4" width="11.26953125" style="25" customWidth="1"/>
    <col min="5" max="7" width="15.54296875" style="25" customWidth="1"/>
    <col min="8" max="8" width="17.54296875" style="25" customWidth="1"/>
    <col min="9" max="10" width="15.54296875" style="25" customWidth="1"/>
    <col min="11" max="11" width="15.6328125" style="25" customWidth="1"/>
    <col min="12" max="16384" width="11.6328125" style="25"/>
  </cols>
  <sheetData>
    <row r="1" spans="1:11" s="44" customFormat="1" ht="50.1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3" spans="1:11" ht="15" customHeight="1">
      <c r="B3" s="144" t="str">
        <f>CONCATENATE($F$6&amp;" Acquires "&amp;$F$5)</f>
        <v>Clayton, Dubilier &amp; Rice Acquires Wm Morrison Supermarkets PLC</v>
      </c>
      <c r="C3" s="144"/>
      <c r="D3" s="144"/>
      <c r="E3" s="144"/>
      <c r="F3" s="144"/>
      <c r="G3" s="144"/>
      <c r="H3" s="144"/>
      <c r="I3" s="144"/>
      <c r="J3" s="144"/>
    </row>
    <row r="4" spans="1:11" ht="15" customHeight="1" outlineLevel="1"/>
    <row r="5" spans="1:11" ht="15" customHeight="1" outlineLevel="1">
      <c r="B5" s="200" t="s">
        <v>140</v>
      </c>
      <c r="C5" s="194"/>
      <c r="F5" s="195" t="s">
        <v>147</v>
      </c>
      <c r="K5"/>
    </row>
    <row r="6" spans="1:11" ht="15" customHeight="1" outlineLevel="1">
      <c r="B6" s="200" t="s">
        <v>141</v>
      </c>
      <c r="C6" s="194"/>
      <c r="F6" s="195" t="s">
        <v>148</v>
      </c>
    </row>
    <row r="7" spans="1:11" ht="15" customHeight="1" outlineLevel="1">
      <c r="B7" s="200" t="s">
        <v>142</v>
      </c>
      <c r="C7" s="194"/>
      <c r="D7" s="267" t="s">
        <v>77</v>
      </c>
      <c r="F7" s="262">
        <v>44366</v>
      </c>
      <c r="K7"/>
    </row>
    <row r="8" spans="1:11" ht="15" customHeight="1" outlineLevel="1">
      <c r="B8" s="200" t="s">
        <v>143</v>
      </c>
      <c r="C8" s="194"/>
      <c r="D8" s="267" t="s">
        <v>77</v>
      </c>
      <c r="F8" s="262">
        <v>44496</v>
      </c>
      <c r="K8"/>
    </row>
    <row r="9" spans="1:11" ht="15" customHeight="1" outlineLevel="1">
      <c r="B9" s="200" t="s">
        <v>144</v>
      </c>
      <c r="C9" s="194"/>
      <c r="F9" s="278" t="s">
        <v>162</v>
      </c>
    </row>
    <row r="10" spans="1:11" ht="15" customHeight="1" outlineLevel="1">
      <c r="B10" s="200" t="s">
        <v>145</v>
      </c>
      <c r="C10" s="194"/>
      <c r="D10" s="267" t="s">
        <v>187</v>
      </c>
      <c r="F10" s="264">
        <v>1.7845</v>
      </c>
      <c r="K10" s="128"/>
    </row>
    <row r="11" spans="1:11" ht="15" customHeight="1" outlineLevel="1">
      <c r="B11" s="200" t="s">
        <v>146</v>
      </c>
      <c r="C11" s="194"/>
      <c r="D11" s="267" t="s">
        <v>187</v>
      </c>
      <c r="F11" s="355" t="s">
        <v>137</v>
      </c>
    </row>
    <row r="12" spans="1:11" ht="62.5" outlineLevel="1">
      <c r="B12" s="274" t="s">
        <v>160</v>
      </c>
      <c r="C12" s="197"/>
      <c r="F12" s="198" t="s">
        <v>161</v>
      </c>
    </row>
    <row r="13" spans="1:11" ht="15" customHeight="1" outlineLevel="1"/>
    <row r="14" spans="1:11" ht="15" customHeight="1" outlineLevel="1">
      <c r="B14" s="144" t="s">
        <v>165</v>
      </c>
      <c r="C14" s="144"/>
      <c r="D14" s="144"/>
      <c r="E14" s="144"/>
      <c r="F14" s="144"/>
      <c r="G14" s="144"/>
      <c r="H14" s="144"/>
      <c r="I14" s="144"/>
      <c r="J14" s="144"/>
    </row>
    <row r="15" spans="1:11" s="44" customFormat="1" ht="15" customHeight="1" outlineLevel="1">
      <c r="B15" s="346"/>
      <c r="C15" s="346"/>
      <c r="D15" s="346"/>
      <c r="E15" s="346"/>
      <c r="F15" s="346"/>
      <c r="G15" s="346"/>
      <c r="H15" s="346"/>
      <c r="I15" s="346"/>
      <c r="J15" s="346"/>
    </row>
    <row r="16" spans="1:11" ht="15" customHeight="1" outlineLevel="1">
      <c r="B16" s="50" t="s">
        <v>183</v>
      </c>
      <c r="C16" s="50"/>
      <c r="G16" s="50" t="s">
        <v>204</v>
      </c>
    </row>
    <row r="17" spans="1:18" ht="15" customHeight="1" outlineLevel="1">
      <c r="B17" s="273" t="s">
        <v>152</v>
      </c>
      <c r="E17" s="278" t="s">
        <v>164</v>
      </c>
      <c r="G17" s="342" t="s">
        <v>154</v>
      </c>
      <c r="I17" s="267" t="s">
        <v>187</v>
      </c>
      <c r="J17" s="265">
        <f>F10</f>
        <v>1.7845</v>
      </c>
      <c r="K17" s="364" t="s">
        <v>211</v>
      </c>
    </row>
    <row r="18" spans="1:18" ht="15" customHeight="1" outlineLevel="1">
      <c r="B18" s="200" t="s">
        <v>149</v>
      </c>
      <c r="C18" s="194"/>
      <c r="D18" s="267" t="s">
        <v>187</v>
      </c>
      <c r="E18" s="352">
        <v>2.87</v>
      </c>
      <c r="F18"/>
      <c r="G18" s="342" t="s">
        <v>155</v>
      </c>
      <c r="I18" s="267" t="s">
        <v>187</v>
      </c>
      <c r="J18" s="264">
        <v>1.7484999999999999</v>
      </c>
      <c r="K18"/>
    </row>
    <row r="19" spans="1:18" ht="15" customHeight="1" outlineLevel="1">
      <c r="B19" s="269" t="s">
        <v>205</v>
      </c>
      <c r="D19" s="268" t="s">
        <v>182</v>
      </c>
      <c r="E19" s="242">
        <v>0</v>
      </c>
      <c r="G19" s="342" t="s">
        <v>156</v>
      </c>
      <c r="I19" s="267" t="s">
        <v>187</v>
      </c>
      <c r="J19" s="264">
        <v>1.8354999999999999</v>
      </c>
    </row>
    <row r="20" spans="1:18" ht="15" customHeight="1" outlineLevel="1">
      <c r="B20" s="273" t="s">
        <v>150</v>
      </c>
      <c r="D20" s="267" t="s">
        <v>187</v>
      </c>
      <c r="E20" s="356" t="str">
        <f>IFERROR(E19*F11,"na")</f>
        <v>na</v>
      </c>
      <c r="F20" s="364" t="s">
        <v>209</v>
      </c>
    </row>
    <row r="21" spans="1:18" ht="15" customHeight="1" outlineLevel="1">
      <c r="B21" s="200" t="s">
        <v>163</v>
      </c>
      <c r="C21" s="194"/>
      <c r="D21" s="267" t="s">
        <v>187</v>
      </c>
      <c r="E21" s="354">
        <v>0</v>
      </c>
      <c r="G21" s="273"/>
      <c r="I21" s="61" t="s">
        <v>208</v>
      </c>
      <c r="J21" s="61" t="s">
        <v>207</v>
      </c>
    </row>
    <row r="22" spans="1:18" ht="15" customHeight="1" outlineLevel="1">
      <c r="B22" s="269" t="s">
        <v>151</v>
      </c>
      <c r="D22" s="267" t="s">
        <v>187</v>
      </c>
      <c r="E22" s="353">
        <f>IF(ISNUMBER(E20),E20+E21+E18,E21+E18)</f>
        <v>2.87</v>
      </c>
      <c r="F22" s="364" t="s">
        <v>210</v>
      </c>
      <c r="G22" s="273" t="s">
        <v>157</v>
      </c>
      <c r="I22" s="347">
        <f>2.3/J17-1</f>
        <v>0.28887643597646395</v>
      </c>
      <c r="J22" s="243">
        <f>$E$22/J17-1</f>
        <v>0.60829363967497896</v>
      </c>
      <c r="K22" s="364" t="s">
        <v>212</v>
      </c>
      <c r="L22" s="378" t="s">
        <v>213</v>
      </c>
      <c r="M22" s="378"/>
      <c r="N22" s="378"/>
      <c r="O22" s="378"/>
      <c r="P22" s="378"/>
      <c r="Q22" s="378"/>
      <c r="R22" s="378"/>
    </row>
    <row r="23" spans="1:18" ht="15" customHeight="1" outlineLevel="1">
      <c r="G23" s="273" t="s">
        <v>158</v>
      </c>
      <c r="I23" s="347">
        <f t="shared" ref="I23:I24" si="0">2.3/J18-1</f>
        <v>0.31541321132399203</v>
      </c>
      <c r="J23" s="244">
        <f t="shared" ref="J23:J24" si="1">$E$22/J18-1</f>
        <v>0.64140692021732915</v>
      </c>
      <c r="L23" s="378"/>
      <c r="M23" s="378"/>
      <c r="N23" s="378"/>
      <c r="O23" s="378"/>
      <c r="P23" s="378"/>
      <c r="Q23" s="378"/>
      <c r="R23" s="378"/>
    </row>
    <row r="24" spans="1:18" ht="15" customHeight="1" outlineLevel="1">
      <c r="B24" s="269" t="s">
        <v>202</v>
      </c>
      <c r="E24" s="126">
        <v>0</v>
      </c>
      <c r="G24" s="273" t="s">
        <v>159</v>
      </c>
      <c r="I24" s="347">
        <f t="shared" si="0"/>
        <v>0.25306456006537714</v>
      </c>
      <c r="J24" s="244">
        <f t="shared" si="1"/>
        <v>0.56360664669027516</v>
      </c>
      <c r="L24" s="378"/>
      <c r="M24" s="378"/>
      <c r="N24" s="378"/>
      <c r="O24" s="378"/>
      <c r="P24" s="378"/>
      <c r="Q24" s="378"/>
      <c r="R24" s="378"/>
    </row>
    <row r="25" spans="1:18" ht="15" customHeight="1" outlineLevel="1">
      <c r="L25" s="378"/>
      <c r="M25" s="378"/>
      <c r="N25" s="378"/>
      <c r="O25" s="378"/>
      <c r="P25" s="378"/>
      <c r="Q25" s="378"/>
      <c r="R25" s="378"/>
    </row>
    <row r="26" spans="1:18" ht="15" customHeight="1" outlineLevel="1">
      <c r="J26" s="340" t="s">
        <v>206</v>
      </c>
      <c r="L26" s="25" t="s">
        <v>214</v>
      </c>
    </row>
    <row r="27" spans="1:18" ht="15" customHeight="1" outlineLevel="1">
      <c r="J27" s="341" t="s">
        <v>203</v>
      </c>
      <c r="L27" s="25" t="s">
        <v>215</v>
      </c>
    </row>
    <row r="28" spans="1:18" ht="15" customHeight="1" outlineLevel="1">
      <c r="B28" s="55"/>
      <c r="C28" s="55"/>
      <c r="D28" s="55"/>
      <c r="E28" s="55"/>
      <c r="F28" s="55"/>
      <c r="G28" s="55"/>
      <c r="H28" s="55"/>
      <c r="I28" s="55"/>
      <c r="J28" s="55"/>
      <c r="L28" s="25" t="s">
        <v>216</v>
      </c>
    </row>
    <row r="29" spans="1:18" ht="15" customHeight="1">
      <c r="B29" s="33"/>
      <c r="C29" s="33"/>
      <c r="D29" s="33"/>
      <c r="E29" s="33"/>
      <c r="F29" s="33"/>
      <c r="G29" s="33"/>
      <c r="H29" s="33"/>
      <c r="I29" s="33"/>
      <c r="J29" s="33"/>
      <c r="L29" s="25" t="s">
        <v>217</v>
      </c>
    </row>
    <row r="30" spans="1:18" ht="15" customHeight="1">
      <c r="A30" s="119" t="s">
        <v>17</v>
      </c>
      <c r="B30" s="144" t="s">
        <v>166</v>
      </c>
      <c r="C30" s="144"/>
      <c r="D30" s="123"/>
      <c r="E30" s="78"/>
      <c r="F30" s="78"/>
      <c r="G30" s="78"/>
      <c r="H30" s="78"/>
      <c r="I30" s="78"/>
      <c r="J30" s="78"/>
      <c r="K30"/>
    </row>
    <row r="31" spans="1:18" ht="15" customHeight="1" outlineLevel="1">
      <c r="J31" s="33"/>
      <c r="K31" s="41"/>
    </row>
    <row r="32" spans="1:18" ht="15" customHeight="1" outlineLevel="1">
      <c r="B32" s="141" t="s">
        <v>114</v>
      </c>
      <c r="C32" s="141"/>
      <c r="D32" s="141"/>
      <c r="F32" s="68"/>
      <c r="K32" s="44"/>
    </row>
    <row r="33" spans="1:20" ht="15" customHeight="1" outlineLevel="1">
      <c r="B33" s="141" t="s">
        <v>122</v>
      </c>
      <c r="C33" s="141"/>
      <c r="D33" s="33"/>
      <c r="E33" s="33"/>
      <c r="F33" s="33"/>
      <c r="K33" s="41"/>
    </row>
    <row r="34" spans="1:20" ht="15" customHeight="1" outlineLevel="1">
      <c r="B34" s="33"/>
      <c r="C34" s="33"/>
      <c r="D34" s="33"/>
      <c r="E34" s="33"/>
      <c r="F34" s="33"/>
      <c r="K34" s="41"/>
    </row>
    <row r="35" spans="1:20" ht="15" customHeight="1" outlineLevel="1">
      <c r="A35" s="41"/>
      <c r="B35" s="300" t="s">
        <v>151</v>
      </c>
      <c r="C35" s="263"/>
      <c r="D35" s="267" t="s">
        <v>187</v>
      </c>
      <c r="E35" s="199">
        <f>E22</f>
        <v>2.87</v>
      </c>
      <c r="F35" s="364" t="s">
        <v>218</v>
      </c>
      <c r="L35"/>
      <c r="M35"/>
      <c r="N35"/>
      <c r="O35"/>
      <c r="P35"/>
      <c r="Q35"/>
      <c r="R35"/>
      <c r="S35"/>
      <c r="T35"/>
    </row>
    <row r="36" spans="1:20" ht="15" customHeight="1" outlineLevel="1">
      <c r="A36" s="41"/>
      <c r="B36" s="269" t="s">
        <v>189</v>
      </c>
      <c r="C36" s="149"/>
      <c r="D36" s="267" t="s">
        <v>188</v>
      </c>
      <c r="E36" s="180">
        <f>F148</f>
        <v>2481.0153414634146</v>
      </c>
      <c r="F36" s="364" t="s">
        <v>219</v>
      </c>
      <c r="L36"/>
      <c r="M36"/>
      <c r="N36"/>
      <c r="O36"/>
      <c r="P36"/>
      <c r="Q36"/>
      <c r="R36"/>
      <c r="S36"/>
      <c r="T36"/>
    </row>
    <row r="37" spans="1:20" ht="15" customHeight="1" outlineLevel="1">
      <c r="A37" s="41"/>
      <c r="B37" s="269" t="s">
        <v>191</v>
      </c>
      <c r="C37" s="200"/>
      <c r="D37" s="267" t="s">
        <v>190</v>
      </c>
      <c r="E37" s="181">
        <f>E35*E36</f>
        <v>7120.5140300000003</v>
      </c>
      <c r="F37" s="366" t="s">
        <v>220</v>
      </c>
      <c r="L37" s="363" t="s">
        <v>221</v>
      </c>
      <c r="M37"/>
      <c r="N37"/>
      <c r="O37"/>
      <c r="P37"/>
      <c r="Q37"/>
      <c r="R37"/>
      <c r="S37"/>
      <c r="T37"/>
    </row>
    <row r="38" spans="1:20" ht="15" customHeight="1" outlineLevel="1">
      <c r="A38" s="41"/>
      <c r="B38" s="201" t="s">
        <v>153</v>
      </c>
      <c r="C38" s="201"/>
      <c r="E38" s="186">
        <v>0</v>
      </c>
      <c r="F38" s="33"/>
      <c r="L38" s="25" t="s">
        <v>222</v>
      </c>
      <c r="M38"/>
      <c r="N38"/>
      <c r="O38"/>
      <c r="P38"/>
      <c r="Q38"/>
      <c r="R38"/>
      <c r="S38"/>
      <c r="T38"/>
    </row>
    <row r="39" spans="1:20" ht="15" customHeight="1" outlineLevel="1">
      <c r="A39" s="41"/>
      <c r="B39" s="113" t="s">
        <v>167</v>
      </c>
      <c r="C39" s="113"/>
      <c r="D39" s="26"/>
      <c r="E39" s="249">
        <f>IF(E38,E38,E37)</f>
        <v>7120.5140300000003</v>
      </c>
      <c r="F39" s="366" t="s">
        <v>223</v>
      </c>
      <c r="M39"/>
      <c r="N39"/>
      <c r="O39"/>
      <c r="P39"/>
      <c r="Q39"/>
      <c r="R39"/>
      <c r="S39"/>
      <c r="T39"/>
    </row>
    <row r="40" spans="1:20" ht="15" customHeight="1" outlineLevel="1">
      <c r="B40" s="33"/>
      <c r="C40" s="33"/>
      <c r="D40" s="33"/>
      <c r="E40" s="52"/>
      <c r="F40" s="33"/>
      <c r="M40"/>
      <c r="N40"/>
      <c r="O40"/>
      <c r="P40"/>
      <c r="Q40"/>
      <c r="R40"/>
      <c r="S40"/>
      <c r="T40"/>
    </row>
    <row r="41" spans="1:20" ht="15" customHeight="1" outlineLevel="1">
      <c r="B41" s="63" t="s">
        <v>169</v>
      </c>
      <c r="C41" s="63"/>
      <c r="D41" s="63"/>
      <c r="E41" s="116"/>
      <c r="F41" s="150"/>
      <c r="H41" s="63" t="s">
        <v>3</v>
      </c>
      <c r="I41" s="55"/>
      <c r="J41" s="55"/>
      <c r="M41"/>
      <c r="N41"/>
      <c r="O41"/>
      <c r="P41"/>
      <c r="Q41"/>
      <c r="R41"/>
      <c r="S41"/>
      <c r="T41"/>
    </row>
    <row r="42" spans="1:20" ht="15" customHeight="1" outlineLevel="1">
      <c r="B42" s="33"/>
      <c r="C42" s="33"/>
      <c r="D42" s="33"/>
      <c r="E42" s="33"/>
      <c r="M42"/>
      <c r="N42"/>
      <c r="O42"/>
      <c r="P42"/>
      <c r="Q42"/>
      <c r="R42"/>
      <c r="S42"/>
      <c r="T42"/>
    </row>
    <row r="43" spans="1:20" ht="15" customHeight="1" outlineLevel="1">
      <c r="B43" s="269" t="s">
        <v>192</v>
      </c>
      <c r="C43" s="137"/>
      <c r="D43" s="267" t="s">
        <v>190</v>
      </c>
      <c r="E43" s="182">
        <f>E39</f>
        <v>7120.5140300000003</v>
      </c>
      <c r="F43" s="366" t="s">
        <v>224</v>
      </c>
      <c r="H43" s="300" t="s">
        <v>130</v>
      </c>
      <c r="I43" s="41"/>
      <c r="J43" s="183">
        <f>96</f>
        <v>96</v>
      </c>
      <c r="K43" s="367" t="s">
        <v>225</v>
      </c>
      <c r="L43" s="128"/>
      <c r="M43"/>
      <c r="N43"/>
      <c r="O43"/>
      <c r="P43"/>
      <c r="Q43"/>
      <c r="R43"/>
      <c r="S43"/>
      <c r="T43"/>
    </row>
    <row r="44" spans="1:20" ht="15" customHeight="1" outlineLevel="1">
      <c r="B44" s="110" t="s">
        <v>89</v>
      </c>
      <c r="C44" s="110"/>
      <c r="D44" s="110"/>
      <c r="E44" s="181">
        <f>J52</f>
        <v>1707</v>
      </c>
      <c r="F44" s="366" t="s">
        <v>230</v>
      </c>
      <c r="H44" s="300" t="s">
        <v>131</v>
      </c>
      <c r="I44" s="44"/>
      <c r="J44" s="183">
        <f>1885</f>
        <v>1885</v>
      </c>
      <c r="K44" s="367" t="s">
        <v>226</v>
      </c>
      <c r="M44"/>
      <c r="N44"/>
      <c r="O44"/>
      <c r="P44"/>
      <c r="Q44"/>
      <c r="R44"/>
      <c r="S44"/>
      <c r="T44"/>
    </row>
    <row r="45" spans="1:20" ht="15" customHeight="1" outlineLevel="1">
      <c r="B45" s="261" t="s">
        <v>184</v>
      </c>
      <c r="C45" s="261"/>
      <c r="D45" s="110"/>
      <c r="E45" s="183">
        <f>75+1287</f>
        <v>1362</v>
      </c>
      <c r="F45" s="368" t="s">
        <v>231</v>
      </c>
      <c r="H45" s="174" t="s">
        <v>132</v>
      </c>
      <c r="J45" s="176">
        <v>0</v>
      </c>
      <c r="M45"/>
      <c r="N45"/>
      <c r="O45"/>
      <c r="P45"/>
      <c r="Q45"/>
      <c r="R45"/>
      <c r="S45"/>
      <c r="T45"/>
    </row>
    <row r="46" spans="1:20" ht="15" customHeight="1" outlineLevel="1">
      <c r="B46" s="110" t="s">
        <v>88</v>
      </c>
      <c r="C46" s="110"/>
      <c r="D46" s="110"/>
      <c r="E46" s="183">
        <v>0</v>
      </c>
      <c r="F46" s="369"/>
      <c r="H46" s="300" t="s">
        <v>129</v>
      </c>
      <c r="I46" s="41"/>
      <c r="J46" s="185">
        <f>SUM(J43:J45)</f>
        <v>1981</v>
      </c>
      <c r="K46" s="367" t="s">
        <v>227</v>
      </c>
      <c r="M46"/>
      <c r="N46"/>
      <c r="O46"/>
      <c r="P46"/>
      <c r="Q46"/>
      <c r="R46"/>
      <c r="S46"/>
      <c r="T46"/>
    </row>
    <row r="47" spans="1:20" ht="15" customHeight="1" outlineLevel="1">
      <c r="B47" s="110" t="s">
        <v>90</v>
      </c>
      <c r="C47" s="110"/>
      <c r="D47" s="110"/>
      <c r="E47" s="183">
        <v>0</v>
      </c>
      <c r="F47" s="370"/>
      <c r="H47" s="117"/>
      <c r="J47" s="100"/>
      <c r="M47"/>
      <c r="N47"/>
      <c r="O47"/>
      <c r="P47"/>
      <c r="Q47"/>
      <c r="R47"/>
      <c r="S47"/>
      <c r="T47"/>
    </row>
    <row r="48" spans="1:20" ht="15" customHeight="1" outlineLevel="1">
      <c r="B48" s="154" t="s">
        <v>119</v>
      </c>
      <c r="C48" s="154"/>
      <c r="D48" s="110"/>
      <c r="E48" s="183">
        <f>-31</f>
        <v>-31</v>
      </c>
      <c r="F48" s="370"/>
      <c r="H48" s="117"/>
      <c r="J48" s="100"/>
      <c r="M48"/>
      <c r="N48"/>
      <c r="O48"/>
      <c r="P48"/>
      <c r="Q48"/>
      <c r="R48"/>
      <c r="S48"/>
      <c r="T48"/>
    </row>
    <row r="49" spans="1:15" ht="15" customHeight="1" outlineLevel="1" thickBot="1">
      <c r="B49" s="154" t="s">
        <v>120</v>
      </c>
      <c r="C49" s="154"/>
      <c r="D49" s="138"/>
      <c r="E49" s="183">
        <v>-58</v>
      </c>
      <c r="F49" s="371"/>
      <c r="G49"/>
      <c r="L49" s="128"/>
    </row>
    <row r="50" spans="1:15" ht="15" customHeight="1" outlineLevel="1">
      <c r="B50" s="250" t="s">
        <v>166</v>
      </c>
      <c r="C50" s="250"/>
      <c r="D50" s="250"/>
      <c r="E50" s="185">
        <f>SUM(E43:E49)</f>
        <v>10100.51403</v>
      </c>
      <c r="F50" s="366" t="s">
        <v>232</v>
      </c>
      <c r="G50"/>
    </row>
    <row r="51" spans="1:15" ht="15" customHeight="1" outlineLevel="1">
      <c r="B51" s="261" t="s">
        <v>185</v>
      </c>
      <c r="C51" s="261"/>
      <c r="E51" s="186">
        <v>0</v>
      </c>
      <c r="F51" s="366"/>
      <c r="G51"/>
      <c r="H51" s="269" t="s">
        <v>91</v>
      </c>
      <c r="I51" s="26"/>
      <c r="J51" s="183">
        <f>-274</f>
        <v>-274</v>
      </c>
      <c r="K51" s="367" t="s">
        <v>228</v>
      </c>
    </row>
    <row r="52" spans="1:15" ht="15" customHeight="1" outlineLevel="1">
      <c r="B52" s="113" t="s">
        <v>170</v>
      </c>
      <c r="C52" s="113"/>
      <c r="D52" s="26"/>
      <c r="E52" s="249">
        <f>IF(E51,E51,E50)</f>
        <v>10100.51403</v>
      </c>
      <c r="F52" s="372" t="s">
        <v>233</v>
      </c>
      <c r="G52"/>
      <c r="H52" s="113" t="s">
        <v>3</v>
      </c>
      <c r="I52" s="26"/>
      <c r="J52" s="184">
        <f>J46+J51</f>
        <v>1707</v>
      </c>
      <c r="K52" s="367" t="s">
        <v>229</v>
      </c>
    </row>
    <row r="53" spans="1:15" ht="15" customHeight="1" outlineLevel="1">
      <c r="F53"/>
      <c r="G53"/>
      <c r="K53" s="54"/>
    </row>
    <row r="54" spans="1:15" ht="15" customHeight="1" outlineLevel="1">
      <c r="F54"/>
      <c r="G54"/>
      <c r="J54" s="196" t="s">
        <v>168</v>
      </c>
      <c r="K54" s="54"/>
      <c r="L54" s="196"/>
    </row>
    <row r="55" spans="1:15" ht="15" customHeight="1" outlineLevel="1">
      <c r="F55"/>
      <c r="G55"/>
      <c r="J55" s="245" t="s">
        <v>176</v>
      </c>
      <c r="K55" s="54"/>
    </row>
    <row r="56" spans="1:15" ht="15" customHeight="1" outlineLevel="1">
      <c r="B56" s="55"/>
      <c r="C56" s="55"/>
      <c r="D56" s="55"/>
      <c r="E56" s="55"/>
      <c r="F56" s="276"/>
      <c r="G56" s="276"/>
      <c r="H56" s="55"/>
      <c r="I56" s="55"/>
      <c r="J56" s="277"/>
      <c r="K56" s="54"/>
    </row>
    <row r="57" spans="1:15" ht="15" customHeight="1">
      <c r="B57" s="33"/>
      <c r="C57" s="33"/>
      <c r="D57" s="33"/>
      <c r="E57" s="33"/>
      <c r="F57" s="171"/>
      <c r="G57" s="171"/>
      <c r="H57" s="33"/>
      <c r="I57" s="33"/>
      <c r="J57" s="275"/>
      <c r="K57" s="54"/>
    </row>
    <row r="58" spans="1:15" ht="15" customHeight="1">
      <c r="A58" s="119" t="s">
        <v>17</v>
      </c>
      <c r="B58" s="78" t="str">
        <f>CONCATENATE($F$5&amp;": Income Statement Data (As Reported)")</f>
        <v>Wm Morrison Supermarkets PLC: Income Statement Data (As Reported)</v>
      </c>
      <c r="C58" s="78"/>
      <c r="D58" s="124"/>
      <c r="E58" s="78"/>
      <c r="F58" s="78"/>
      <c r="G58" s="78"/>
      <c r="H58" s="78"/>
      <c r="I58" s="78"/>
      <c r="J58" s="78"/>
      <c r="K58"/>
    </row>
    <row r="59" spans="1:15" customFormat="1" ht="15" customHeight="1" outlineLevel="1"/>
    <row r="60" spans="1:15" ht="15" customHeight="1" outlineLevel="1">
      <c r="B60" s="26"/>
      <c r="C60" s="26"/>
      <c r="E60" s="279" t="s">
        <v>76</v>
      </c>
      <c r="F60" s="283" t="s">
        <v>86</v>
      </c>
      <c r="G60" s="285" t="s">
        <v>87</v>
      </c>
      <c r="H60" s="286"/>
      <c r="I60" s="163"/>
    </row>
    <row r="61" spans="1:15" ht="15" customHeight="1" outlineLevel="1">
      <c r="D61" s="33"/>
      <c r="E61" s="282" t="s">
        <v>70</v>
      </c>
      <c r="F61" s="281" t="s">
        <v>133</v>
      </c>
      <c r="G61" s="284" t="s">
        <v>93</v>
      </c>
      <c r="H61" s="287" t="s">
        <v>69</v>
      </c>
      <c r="I61" s="33"/>
      <c r="K61"/>
      <c r="L61"/>
      <c r="M61"/>
      <c r="N61"/>
    </row>
    <row r="62" spans="1:15" ht="15" customHeight="1" outlineLevel="1">
      <c r="B62" s="152" t="s">
        <v>199</v>
      </c>
      <c r="C62" s="152"/>
      <c r="D62" s="251"/>
      <c r="E62" s="280">
        <v>44227</v>
      </c>
      <c r="F62" s="280">
        <v>44409</v>
      </c>
      <c r="G62" s="280">
        <v>44045</v>
      </c>
      <c r="H62" s="288">
        <f>IF(F62,F62,E62)</f>
        <v>44409</v>
      </c>
      <c r="I62" s="33"/>
      <c r="K62"/>
      <c r="L62"/>
      <c r="M62"/>
      <c r="N62"/>
      <c r="O62"/>
    </row>
    <row r="63" spans="1:15" ht="15" customHeight="1" outlineLevel="1">
      <c r="B63" s="297" t="s">
        <v>8</v>
      </c>
      <c r="C63" s="266"/>
      <c r="D63" s="132"/>
      <c r="E63" s="143">
        <v>17598</v>
      </c>
      <c r="F63" s="143">
        <v>9054</v>
      </c>
      <c r="G63" s="143">
        <v>8734</v>
      </c>
      <c r="H63" s="207">
        <f>E63+F63-G63</f>
        <v>17918</v>
      </c>
      <c r="I63" s="171"/>
      <c r="J63"/>
      <c r="K63"/>
      <c r="L63" s="128"/>
      <c r="M63"/>
      <c r="N63"/>
      <c r="O63"/>
    </row>
    <row r="64" spans="1:15" ht="15" customHeight="1" outlineLevel="1">
      <c r="B64" s="298" t="s">
        <v>95</v>
      </c>
      <c r="C64" s="148"/>
      <c r="D64" s="130"/>
      <c r="E64" s="291">
        <v>17210</v>
      </c>
      <c r="F64" s="291">
        <v>8827</v>
      </c>
      <c r="G64" s="291">
        <v>8443</v>
      </c>
      <c r="H64" s="292">
        <f>E64+F64-G64</f>
        <v>17594</v>
      </c>
      <c r="I64"/>
      <c r="J64"/>
      <c r="K64"/>
      <c r="M64"/>
      <c r="N64"/>
      <c r="O64"/>
    </row>
    <row r="65" spans="2:17" ht="15" customHeight="1" outlineLevel="1">
      <c r="B65" s="299" t="s">
        <v>96</v>
      </c>
      <c r="C65" s="130"/>
      <c r="D65" s="130"/>
      <c r="E65" s="142">
        <f>E63-E64</f>
        <v>388</v>
      </c>
      <c r="F65" s="142">
        <f>F63-F64</f>
        <v>227</v>
      </c>
      <c r="G65" s="142">
        <f>G63-G64</f>
        <v>291</v>
      </c>
      <c r="H65" s="207">
        <f>E65+F65-G65</f>
        <v>324</v>
      </c>
      <c r="I65"/>
      <c r="J65"/>
      <c r="K65"/>
      <c r="M65"/>
      <c r="N65"/>
      <c r="O65"/>
    </row>
    <row r="66" spans="2:17" ht="15" customHeight="1" outlineLevel="1">
      <c r="B66" s="299"/>
      <c r="C66" s="130"/>
      <c r="D66" s="130"/>
      <c r="E66" s="142"/>
      <c r="F66" s="142"/>
      <c r="G66" s="142"/>
      <c r="H66" s="207"/>
      <c r="I66"/>
      <c r="J66"/>
      <c r="K66"/>
      <c r="M66"/>
      <c r="N66"/>
      <c r="O66"/>
    </row>
    <row r="67" spans="2:17" ht="15" customHeight="1" outlineLevel="1">
      <c r="B67" s="298" t="s">
        <v>110</v>
      </c>
      <c r="C67" s="148"/>
      <c r="D67" s="139"/>
      <c r="E67" s="291">
        <f>228-92-2</f>
        <v>134</v>
      </c>
      <c r="F67" s="291">
        <f>139-50+9</f>
        <v>98</v>
      </c>
      <c r="G67" s="291">
        <f>146-45</f>
        <v>101</v>
      </c>
      <c r="H67" s="292">
        <f>E67+F67-G67</f>
        <v>131</v>
      </c>
      <c r="I67"/>
      <c r="J67"/>
      <c r="K67"/>
      <c r="L67" s="128"/>
      <c r="M67"/>
      <c r="N67"/>
      <c r="O67"/>
    </row>
    <row r="68" spans="2:17" ht="15" customHeight="1" outlineLevel="1">
      <c r="B68" s="300" t="s">
        <v>100</v>
      </c>
      <c r="C68" s="270"/>
      <c r="D68" s="270"/>
      <c r="E68" s="142">
        <f>E65-E67</f>
        <v>254</v>
      </c>
      <c r="F68" s="142">
        <f t="shared" ref="F68:G68" si="2">F65-F67</f>
        <v>129</v>
      </c>
      <c r="G68" s="142">
        <f t="shared" si="2"/>
        <v>190</v>
      </c>
      <c r="H68" s="293">
        <f>E68+F68-G68</f>
        <v>193</v>
      </c>
      <c r="I68"/>
      <c r="J68"/>
      <c r="K68"/>
      <c r="M68"/>
      <c r="N68"/>
      <c r="O68"/>
    </row>
    <row r="69" spans="2:17" ht="15" customHeight="1" outlineLevel="1">
      <c r="B69" s="301"/>
      <c r="C69" s="145"/>
      <c r="D69" s="145"/>
      <c r="E69" s="146"/>
      <c r="F69" s="146"/>
      <c r="G69" s="146"/>
      <c r="H69" s="240"/>
      <c r="I69"/>
      <c r="J69"/>
      <c r="K69"/>
      <c r="M69"/>
      <c r="N69"/>
      <c r="O69"/>
    </row>
    <row r="70" spans="2:17" ht="15" customHeight="1" outlineLevel="1">
      <c r="B70" s="302" t="s">
        <v>97</v>
      </c>
      <c r="C70" s="131"/>
      <c r="D70" s="131"/>
      <c r="E70" s="143">
        <v>111</v>
      </c>
      <c r="F70" s="143">
        <v>55</v>
      </c>
      <c r="G70" s="143">
        <v>57</v>
      </c>
      <c r="H70" s="207">
        <f>E70+F70-G70</f>
        <v>109</v>
      </c>
      <c r="I70"/>
      <c r="J70"/>
      <c r="K70"/>
      <c r="M70"/>
      <c r="N70"/>
      <c r="O70"/>
    </row>
    <row r="71" spans="2:17" ht="15" customHeight="1" outlineLevel="1">
      <c r="B71" s="303" t="s">
        <v>138</v>
      </c>
      <c r="C71" s="188"/>
      <c r="D71" s="131"/>
      <c r="E71" s="143">
        <v>22</v>
      </c>
      <c r="F71" s="143">
        <v>8</v>
      </c>
      <c r="G71" s="143">
        <v>12</v>
      </c>
      <c r="H71" s="207">
        <f>E71+F71-G71</f>
        <v>18</v>
      </c>
      <c r="I71"/>
      <c r="J71"/>
      <c r="K71"/>
      <c r="M71"/>
      <c r="N71"/>
      <c r="O71"/>
    </row>
    <row r="72" spans="2:17" ht="15" customHeight="1" outlineLevel="1">
      <c r="B72" s="269" t="s">
        <v>194</v>
      </c>
      <c r="C72" s="153"/>
      <c r="D72" s="131"/>
      <c r="E72" s="291">
        <v>0</v>
      </c>
      <c r="F72" s="291">
        <v>0</v>
      </c>
      <c r="G72" s="291">
        <v>0</v>
      </c>
      <c r="H72" s="292">
        <f>E72+F72-G72</f>
        <v>0</v>
      </c>
      <c r="I72"/>
      <c r="J72"/>
      <c r="K72"/>
      <c r="M72"/>
      <c r="N72"/>
      <c r="O72"/>
    </row>
    <row r="73" spans="2:17" ht="15" customHeight="1" outlineLevel="1">
      <c r="B73" s="302" t="s">
        <v>102</v>
      </c>
      <c r="C73" s="131"/>
      <c r="D73" s="131"/>
      <c r="E73" s="142">
        <f>E68-E70+E71+E72</f>
        <v>165</v>
      </c>
      <c r="F73" s="142">
        <f>F68-F70+F71+F72</f>
        <v>82</v>
      </c>
      <c r="G73" s="142">
        <f>G68-G70+G71+G72</f>
        <v>145</v>
      </c>
      <c r="H73" s="207">
        <f>E73+F73-G73</f>
        <v>102</v>
      </c>
      <c r="I73"/>
      <c r="J73"/>
      <c r="K73"/>
    </row>
    <row r="74" spans="2:17" ht="15" customHeight="1" outlineLevel="1">
      <c r="B74" s="302"/>
      <c r="C74" s="131"/>
      <c r="D74" s="131"/>
      <c r="E74" s="142"/>
      <c r="F74" s="142"/>
      <c r="G74" s="142"/>
      <c r="H74" s="207"/>
      <c r="I74"/>
      <c r="J74"/>
      <c r="K74"/>
    </row>
    <row r="75" spans="2:17" ht="15" customHeight="1" outlineLevel="1">
      <c r="B75" s="302" t="s">
        <v>98</v>
      </c>
      <c r="C75" s="131"/>
      <c r="D75" s="131"/>
      <c r="E75" s="291">
        <v>69</v>
      </c>
      <c r="F75" s="291">
        <v>136</v>
      </c>
      <c r="G75" s="291">
        <v>75</v>
      </c>
      <c r="H75" s="292">
        <f>E75+F75-G75</f>
        <v>130</v>
      </c>
      <c r="I75"/>
      <c r="J75"/>
      <c r="K75"/>
      <c r="L75"/>
      <c r="M75"/>
      <c r="N75"/>
      <c r="O75"/>
      <c r="P75"/>
      <c r="Q75"/>
    </row>
    <row r="76" spans="2:17" ht="15" customHeight="1" outlineLevel="1">
      <c r="B76" s="304" t="s">
        <v>107</v>
      </c>
      <c r="C76" s="153"/>
      <c r="D76" s="131"/>
      <c r="E76" s="142">
        <f>E73-E75</f>
        <v>96</v>
      </c>
      <c r="F76" s="142">
        <f>F73-F75</f>
        <v>-54</v>
      </c>
      <c r="G76" s="142">
        <f>G73-G75</f>
        <v>70</v>
      </c>
      <c r="H76" s="207">
        <f>E76+F76-G76</f>
        <v>-28</v>
      </c>
      <c r="I76"/>
      <c r="J76" s="178"/>
      <c r="K76"/>
    </row>
    <row r="77" spans="2:17" ht="15" customHeight="1" outlineLevel="1">
      <c r="B77" s="304"/>
      <c r="C77" s="153"/>
      <c r="D77" s="131"/>
      <c r="E77" s="142"/>
      <c r="F77" s="142"/>
      <c r="G77" s="142"/>
      <c r="H77" s="207"/>
      <c r="I77"/>
      <c r="J77" s="178"/>
      <c r="K77"/>
    </row>
    <row r="78" spans="2:17" ht="15" customHeight="1" outlineLevel="1">
      <c r="B78" s="304" t="s">
        <v>115</v>
      </c>
      <c r="C78" s="153"/>
      <c r="D78" s="131"/>
      <c r="E78" s="143">
        <v>0</v>
      </c>
      <c r="F78" s="143">
        <v>0</v>
      </c>
      <c r="G78" s="143">
        <v>0</v>
      </c>
      <c r="H78" s="207">
        <f>E78+F78-G78</f>
        <v>0</v>
      </c>
      <c r="I78"/>
      <c r="J78"/>
      <c r="K78"/>
    </row>
    <row r="79" spans="2:17" ht="15" customHeight="1" outlineLevel="1">
      <c r="B79" s="300" t="s">
        <v>193</v>
      </c>
      <c r="C79" s="131"/>
      <c r="D79" s="131"/>
      <c r="E79" s="143">
        <v>0</v>
      </c>
      <c r="F79" s="143">
        <v>0</v>
      </c>
      <c r="G79" s="143">
        <v>0</v>
      </c>
      <c r="H79" s="207">
        <f>E79+F79-G79</f>
        <v>0</v>
      </c>
      <c r="I79"/>
      <c r="J79"/>
      <c r="K79"/>
    </row>
    <row r="80" spans="2:17" ht="15" customHeight="1" outlineLevel="1" thickBot="1">
      <c r="B80" s="301" t="s">
        <v>195</v>
      </c>
      <c r="C80" s="145"/>
      <c r="D80" s="145"/>
      <c r="E80" s="147">
        <f>E76-E79-E78</f>
        <v>96</v>
      </c>
      <c r="F80" s="147">
        <f t="shared" ref="F80:G80" si="3">F76-F79-F78</f>
        <v>-54</v>
      </c>
      <c r="G80" s="147">
        <f t="shared" si="3"/>
        <v>70</v>
      </c>
      <c r="H80" s="241">
        <f>E80+F80-G80</f>
        <v>-28</v>
      </c>
      <c r="I80"/>
      <c r="J80"/>
      <c r="K80"/>
    </row>
    <row r="81" spans="2:12" ht="15" customHeight="1" outlineLevel="1">
      <c r="B81" s="33"/>
      <c r="C81" s="33"/>
      <c r="D81" s="33"/>
      <c r="E81" s="135"/>
      <c r="F81" s="77"/>
      <c r="G81" s="77"/>
      <c r="H81" s="235"/>
      <c r="I81" s="77"/>
      <c r="J81" s="77"/>
      <c r="K81" s="126"/>
    </row>
    <row r="82" spans="2:12" ht="15" customHeight="1" outlineLevel="1">
      <c r="B82" s="33"/>
      <c r="C82" s="33"/>
      <c r="D82" s="33"/>
      <c r="E82" s="135"/>
      <c r="F82" s="77"/>
      <c r="G82" s="77"/>
      <c r="H82" s="235"/>
      <c r="I82" s="77"/>
      <c r="J82" s="77"/>
      <c r="K82" s="126"/>
    </row>
    <row r="83" spans="2:12" ht="15" customHeight="1" outlineLevel="1">
      <c r="B83" s="305" t="s">
        <v>197</v>
      </c>
      <c r="C83" s="206"/>
      <c r="D83" s="267" t="s">
        <v>187</v>
      </c>
      <c r="E83" s="237">
        <f>+IFERROR(E80/E85,"na")</f>
        <v>3.9615400486939296E-2</v>
      </c>
      <c r="F83" s="237">
        <f>+IFERROR(F80/F85,"na")</f>
        <v>-2.2470039946737685E-2</v>
      </c>
      <c r="G83" s="237">
        <f>+IFERROR(G80/G85,"na")</f>
        <v>2.9120559114735E-2</v>
      </c>
      <c r="H83" s="237">
        <f>+IFERROR(H80/H85,"na")</f>
        <v>-1.1557353366079168E-2</v>
      </c>
      <c r="I83"/>
      <c r="J83"/>
      <c r="K83"/>
    </row>
    <row r="84" spans="2:12" ht="15" customHeight="1" outlineLevel="1">
      <c r="B84" s="306"/>
      <c r="C84" s="33"/>
      <c r="D84" s="33"/>
      <c r="E84"/>
      <c r="F84"/>
      <c r="G84"/>
      <c r="H84" s="76"/>
      <c r="I84"/>
      <c r="J84"/>
      <c r="K84"/>
    </row>
    <row r="85" spans="2:12" ht="15" customHeight="1" outlineLevel="1">
      <c r="B85" s="307" t="s">
        <v>99</v>
      </c>
      <c r="C85" s="132"/>
      <c r="D85" s="267" t="s">
        <v>198</v>
      </c>
      <c r="E85" s="143">
        <v>2423.3000000000002</v>
      </c>
      <c r="F85" s="143">
        <v>2403.1999999999998</v>
      </c>
      <c r="G85" s="143">
        <v>2403.8000000000002</v>
      </c>
      <c r="H85" s="142">
        <f>E85+F85-G85</f>
        <v>2422.6999999999998</v>
      </c>
      <c r="I85"/>
      <c r="L85"/>
    </row>
    <row r="86" spans="2:12" ht="15" customHeight="1" outlineLevel="1">
      <c r="B86" s="33"/>
      <c r="C86" s="33"/>
      <c r="D86" s="33"/>
      <c r="E86" s="77"/>
      <c r="F86" s="77"/>
      <c r="G86" s="77"/>
      <c r="H86" s="76"/>
      <c r="L86"/>
    </row>
    <row r="87" spans="2:12" ht="15" customHeight="1" outlineLevel="1">
      <c r="B87" s="33"/>
      <c r="C87" s="33"/>
      <c r="D87" s="33"/>
      <c r="E87" s="77"/>
      <c r="F87" s="77"/>
      <c r="G87" s="77"/>
      <c r="H87" s="76"/>
      <c r="L87"/>
    </row>
    <row r="88" spans="2:12" ht="15" customHeight="1" outlineLevel="1">
      <c r="B88" s="33"/>
      <c r="C88" s="33"/>
      <c r="D88" s="33"/>
      <c r="E88" s="77"/>
      <c r="F88" s="77"/>
      <c r="G88" s="77"/>
      <c r="H88" s="177" t="s">
        <v>121</v>
      </c>
      <c r="L88"/>
    </row>
    <row r="89" spans="2:12" ht="15" customHeight="1" outlineLevel="1">
      <c r="B89" s="33"/>
      <c r="C89" s="33"/>
      <c r="D89" s="33"/>
      <c r="E89" s="77"/>
      <c r="F89" s="77"/>
      <c r="G89" s="77"/>
      <c r="H89" s="272" t="s">
        <v>196</v>
      </c>
      <c r="L89"/>
    </row>
    <row r="90" spans="2:12" ht="15" customHeight="1" outlineLevel="1">
      <c r="B90" s="33"/>
      <c r="C90" s="33"/>
      <c r="D90" s="33"/>
      <c r="E90" s="77"/>
      <c r="F90" s="77"/>
      <c r="G90" s="77"/>
      <c r="H90" s="271" t="s">
        <v>175</v>
      </c>
      <c r="L90"/>
    </row>
    <row r="91" spans="2:12" ht="15" customHeight="1" outlineLevel="1">
      <c r="B91" s="55"/>
      <c r="C91" s="55"/>
      <c r="D91" s="55"/>
      <c r="E91" s="289"/>
      <c r="F91" s="289"/>
      <c r="G91" s="289"/>
      <c r="H91" s="290"/>
      <c r="I91" s="55"/>
      <c r="J91" s="55"/>
      <c r="L91"/>
    </row>
    <row r="92" spans="2:12" ht="15" customHeight="1">
      <c r="B92" s="33"/>
      <c r="C92" s="33"/>
      <c r="D92" s="33"/>
      <c r="E92" s="77"/>
      <c r="F92" s="77"/>
      <c r="G92" s="77"/>
      <c r="H92" s="76"/>
      <c r="I92" s="171"/>
      <c r="J92" s="171"/>
      <c r="K92"/>
      <c r="L92" s="128"/>
    </row>
    <row r="93" spans="2:12" ht="15" customHeight="1">
      <c r="B93" s="78" t="str">
        <f>CONCATENATE($F$5&amp;": Non-IFRS/Non-GAAP Metrics &amp; Analyst Estimates")</f>
        <v>Wm Morrison Supermarkets PLC: Non-IFRS/Non-GAAP Metrics &amp; Analyst Estimates</v>
      </c>
      <c r="C93" s="78"/>
      <c r="D93" s="124"/>
      <c r="E93" s="78"/>
      <c r="F93" s="78"/>
      <c r="G93" s="78"/>
      <c r="H93" s="78"/>
      <c r="I93" s="78"/>
      <c r="J93" s="78"/>
      <c r="K93"/>
      <c r="L93" s="128"/>
    </row>
    <row r="94" spans="2:12" ht="15" customHeight="1" outlineLevel="1">
      <c r="B94" s="33"/>
      <c r="C94" s="33"/>
      <c r="D94" s="33"/>
      <c r="E94" s="77"/>
      <c r="F94" s="77"/>
      <c r="G94" s="77"/>
      <c r="H94" s="76"/>
      <c r="L94" s="128"/>
    </row>
    <row r="95" spans="2:12" ht="15" customHeight="1" outlineLevel="1">
      <c r="B95" s="141" t="str">
        <f>B32</f>
        <v>All figures in GBP millions unless stated</v>
      </c>
      <c r="C95" s="33"/>
      <c r="D95" s="33"/>
      <c r="E95" s="77"/>
      <c r="F95" s="77"/>
      <c r="G95" s="77"/>
      <c r="H95" s="76"/>
      <c r="L95" s="128"/>
    </row>
    <row r="96" spans="2:12" ht="15" customHeight="1" outlineLevel="1">
      <c r="B96" s="141" t="str">
        <f>B33</f>
        <v>100 pence = 1 GBP</v>
      </c>
      <c r="C96" s="33"/>
      <c r="D96" s="33"/>
      <c r="E96" s="77"/>
      <c r="F96" s="77"/>
      <c r="G96" s="77"/>
      <c r="H96" s="76"/>
      <c r="L96" s="128"/>
    </row>
    <row r="97" spans="2:15" ht="15" customHeight="1" outlineLevel="1">
      <c r="B97" s="33"/>
      <c r="C97" s="33"/>
      <c r="D97" s="33"/>
      <c r="E97" s="279" t="s">
        <v>76</v>
      </c>
      <c r="F97" s="283" t="s">
        <v>86</v>
      </c>
      <c r="G97" s="285" t="s">
        <v>87</v>
      </c>
      <c r="H97" s="286"/>
      <c r="L97" s="128"/>
    </row>
    <row r="98" spans="2:15" ht="15" customHeight="1" outlineLevel="1">
      <c r="B98" s="33"/>
      <c r="C98" s="33"/>
      <c r="D98" s="33"/>
      <c r="E98" s="282" t="s">
        <v>70</v>
      </c>
      <c r="F98" s="281" t="s">
        <v>93</v>
      </c>
      <c r="G98" s="284" t="s">
        <v>93</v>
      </c>
      <c r="H98" s="287" t="s">
        <v>69</v>
      </c>
      <c r="L98" s="128"/>
    </row>
    <row r="99" spans="2:15" ht="15" customHeight="1" outlineLevel="1">
      <c r="B99" s="63" t="s">
        <v>172</v>
      </c>
      <c r="C99" s="63"/>
      <c r="D99" s="35"/>
      <c r="E99" s="294">
        <f>E$62</f>
        <v>44227</v>
      </c>
      <c r="F99" s="294">
        <f t="shared" ref="F99:H99" si="4">F$62</f>
        <v>44409</v>
      </c>
      <c r="G99" s="294">
        <f t="shared" si="4"/>
        <v>44045</v>
      </c>
      <c r="H99" s="288">
        <f t="shared" si="4"/>
        <v>44409</v>
      </c>
      <c r="I99" s="33"/>
    </row>
    <row r="100" spans="2:15" ht="15" customHeight="1" outlineLevel="1">
      <c r="B100" s="35"/>
      <c r="C100" s="35"/>
      <c r="D100" s="35"/>
      <c r="E100" s="162"/>
      <c r="F100" s="162"/>
      <c r="G100" s="162"/>
      <c r="H100" s="162"/>
      <c r="I100" s="33"/>
    </row>
    <row r="101" spans="2:15" ht="15" customHeight="1" outlineLevel="1">
      <c r="B101" s="295" t="s">
        <v>104</v>
      </c>
      <c r="C101" s="139"/>
      <c r="D101" s="140"/>
      <c r="E101" s="160">
        <v>52</v>
      </c>
      <c r="F101" s="160">
        <v>28</v>
      </c>
      <c r="G101" s="160">
        <v>30</v>
      </c>
      <c r="H101" s="207">
        <f>E101+F101-G101</f>
        <v>50</v>
      </c>
      <c r="I101" s="171"/>
      <c r="J101"/>
      <c r="K101"/>
    </row>
    <row r="102" spans="2:15" ht="15" customHeight="1" outlineLevel="1">
      <c r="B102" s="296" t="s">
        <v>105</v>
      </c>
      <c r="C102" s="140"/>
      <c r="D102" s="140"/>
      <c r="E102" s="159">
        <v>-16</v>
      </c>
      <c r="F102" s="159">
        <v>-5</v>
      </c>
      <c r="G102" s="159">
        <v>-8</v>
      </c>
      <c r="H102" s="207">
        <f>E102+F102-G102</f>
        <v>-13</v>
      </c>
      <c r="I102"/>
      <c r="J102"/>
      <c r="K102"/>
    </row>
    <row r="103" spans="2:15" ht="15" customHeight="1" outlineLevel="1">
      <c r="B103" s="296" t="s">
        <v>103</v>
      </c>
      <c r="C103" s="140"/>
      <c r="D103" s="140"/>
      <c r="E103" s="159">
        <v>11</v>
      </c>
      <c r="F103" s="159">
        <v>112</v>
      </c>
      <c r="G103" s="159">
        <v>36</v>
      </c>
      <c r="H103" s="207">
        <f>E103+F103-G103</f>
        <v>87</v>
      </c>
      <c r="I103"/>
      <c r="J103"/>
      <c r="K103"/>
    </row>
    <row r="104" spans="2:15" ht="15" customHeight="1" outlineLevel="1">
      <c r="B104" s="33"/>
      <c r="C104" s="33"/>
      <c r="D104" s="33"/>
      <c r="H104" s="76"/>
      <c r="I104" s="77"/>
      <c r="J104" s="77"/>
      <c r="K104"/>
      <c r="L104"/>
      <c r="M104"/>
      <c r="N104"/>
      <c r="O104"/>
    </row>
    <row r="105" spans="2:15" ht="15" customHeight="1" outlineLevel="1">
      <c r="B105" s="33"/>
      <c r="C105" s="33"/>
      <c r="D105" s="33"/>
      <c r="H105" s="76"/>
      <c r="I105" s="77"/>
      <c r="J105" s="77"/>
      <c r="K105"/>
      <c r="L105"/>
      <c r="M105"/>
      <c r="N105"/>
      <c r="O105"/>
    </row>
    <row r="106" spans="2:15" ht="15" customHeight="1" outlineLevel="1">
      <c r="B106" s="33"/>
      <c r="C106" s="33"/>
      <c r="D106" s="33"/>
      <c r="H106" s="76"/>
      <c r="I106" s="33"/>
      <c r="J106" s="33"/>
      <c r="L106"/>
      <c r="M106"/>
      <c r="N106"/>
      <c r="O106"/>
    </row>
    <row r="107" spans="2:15" ht="15" customHeight="1" outlineLevel="1">
      <c r="B107" s="33"/>
      <c r="C107" s="33"/>
      <c r="D107" s="33"/>
      <c r="E107" s="279" t="s">
        <v>76</v>
      </c>
      <c r="F107" s="283" t="s">
        <v>86</v>
      </c>
      <c r="G107" s="285" t="s">
        <v>87</v>
      </c>
      <c r="H107" s="311"/>
      <c r="I107" s="318"/>
      <c r="J107" s="320"/>
      <c r="K107" s="171"/>
      <c r="L107"/>
      <c r="M107"/>
      <c r="N107"/>
      <c r="O107"/>
    </row>
    <row r="108" spans="2:15" ht="15" customHeight="1" outlineLevel="1">
      <c r="B108" s="33"/>
      <c r="C108" s="33"/>
      <c r="D108" s="33"/>
      <c r="E108" s="282" t="s">
        <v>70</v>
      </c>
      <c r="F108" s="281" t="s">
        <v>93</v>
      </c>
      <c r="G108" s="284" t="s">
        <v>93</v>
      </c>
      <c r="H108" s="312" t="s">
        <v>69</v>
      </c>
      <c r="I108" s="319">
        <f>Summary!$G$13</f>
        <v>2022</v>
      </c>
      <c r="J108" s="321">
        <f>Summary!$H$13</f>
        <v>2023</v>
      </c>
      <c r="K108" s="171"/>
      <c r="L108"/>
      <c r="M108"/>
      <c r="N108"/>
      <c r="O108"/>
    </row>
    <row r="109" spans="2:15" ht="15" customHeight="1" outlineLevel="1">
      <c r="B109" s="161" t="s">
        <v>106</v>
      </c>
      <c r="C109" s="161"/>
      <c r="D109" s="309"/>
      <c r="E109" s="308">
        <f>E$62</f>
        <v>44227</v>
      </c>
      <c r="F109" s="294">
        <f t="shared" ref="F109:H109" si="5">F$62</f>
        <v>44409</v>
      </c>
      <c r="G109" s="294">
        <f t="shared" si="5"/>
        <v>44045</v>
      </c>
      <c r="H109" s="313">
        <f t="shared" si="5"/>
        <v>44409</v>
      </c>
      <c r="I109" s="322">
        <f>EOMONTH($E$62,12)</f>
        <v>44592</v>
      </c>
      <c r="J109" s="323">
        <f>EOMONTH(I109,12)</f>
        <v>44957</v>
      </c>
      <c r="K109" s="171"/>
      <c r="L109"/>
      <c r="M109"/>
      <c r="N109"/>
      <c r="O109"/>
    </row>
    <row r="110" spans="2:15" ht="15" customHeight="1" outlineLevel="1">
      <c r="B110" s="145"/>
      <c r="C110" s="145"/>
      <c r="D110" s="145"/>
      <c r="E110" s="162"/>
      <c r="F110" s="162"/>
      <c r="G110" s="162"/>
      <c r="H110" s="162"/>
      <c r="I110" s="310"/>
      <c r="J110" s="310"/>
      <c r="K110"/>
      <c r="L110"/>
      <c r="M110"/>
      <c r="N110"/>
      <c r="O110"/>
    </row>
    <row r="111" spans="2:15" ht="15" customHeight="1" outlineLevel="1">
      <c r="B111" s="302" t="s">
        <v>8</v>
      </c>
      <c r="C111" s="131"/>
      <c r="D111" s="131"/>
      <c r="E111" s="142">
        <f>E63</f>
        <v>17598</v>
      </c>
      <c r="F111" s="142">
        <f>F63</f>
        <v>9054</v>
      </c>
      <c r="G111" s="142">
        <f>G63</f>
        <v>8734</v>
      </c>
      <c r="H111" s="207">
        <f>E111+F111-G111</f>
        <v>17918</v>
      </c>
      <c r="I111" s="232" t="s">
        <v>137</v>
      </c>
      <c r="J111" s="232" t="s">
        <v>137</v>
      </c>
      <c r="K111"/>
      <c r="L111" s="128"/>
      <c r="M111"/>
      <c r="N111"/>
      <c r="O111"/>
    </row>
    <row r="112" spans="2:15" ht="15" customHeight="1" outlineLevel="1">
      <c r="B112" s="307" t="s">
        <v>101</v>
      </c>
      <c r="C112" s="132"/>
      <c r="D112" s="132"/>
      <c r="E112" s="142">
        <f>E68+E101</f>
        <v>306</v>
      </c>
      <c r="F112" s="142">
        <f>F68+F101</f>
        <v>157</v>
      </c>
      <c r="G112" s="142">
        <f>G68+G101</f>
        <v>220</v>
      </c>
      <c r="H112" s="207">
        <f>E112+F112-G112</f>
        <v>243</v>
      </c>
      <c r="I112" s="232" t="s">
        <v>137</v>
      </c>
      <c r="J112" s="232" t="s">
        <v>137</v>
      </c>
      <c r="K112"/>
      <c r="L112"/>
      <c r="M112"/>
      <c r="N112"/>
      <c r="O112"/>
    </row>
    <row r="113" spans="2:15" ht="15" customHeight="1" outlineLevel="1">
      <c r="B113" s="327" t="s">
        <v>173</v>
      </c>
      <c r="C113" s="202"/>
      <c r="D113" s="129"/>
      <c r="E113" s="143">
        <v>541</v>
      </c>
      <c r="F113" s="143">
        <v>282</v>
      </c>
      <c r="G113" s="143">
        <v>271</v>
      </c>
      <c r="H113" s="207">
        <f>E113+F113-G113</f>
        <v>552</v>
      </c>
      <c r="I113" s="232" t="s">
        <v>137</v>
      </c>
      <c r="J113" s="232" t="s">
        <v>137</v>
      </c>
      <c r="K113"/>
      <c r="L113"/>
      <c r="M113"/>
      <c r="N113"/>
      <c r="O113"/>
    </row>
    <row r="114" spans="2:15" ht="15" customHeight="1" outlineLevel="1">
      <c r="B114" s="328" t="s">
        <v>128</v>
      </c>
      <c r="C114" s="173"/>
      <c r="D114" s="132"/>
      <c r="E114" s="142">
        <f>E113+E112</f>
        <v>847</v>
      </c>
      <c r="F114" s="142">
        <f t="shared" ref="F114:G114" si="6">F113+F112</f>
        <v>439</v>
      </c>
      <c r="G114" s="142">
        <f t="shared" si="6"/>
        <v>491</v>
      </c>
      <c r="H114" s="207">
        <f>E114+F114-G114</f>
        <v>795</v>
      </c>
      <c r="I114" s="232" t="s">
        <v>137</v>
      </c>
      <c r="J114" s="232" t="s">
        <v>137</v>
      </c>
      <c r="K114"/>
      <c r="L114" s="128"/>
      <c r="M114"/>
      <c r="N114"/>
      <c r="O114"/>
    </row>
    <row r="115" spans="2:15" ht="15" customHeight="1" outlineLevel="1">
      <c r="B115" s="327" t="s">
        <v>174</v>
      </c>
      <c r="C115" s="202"/>
      <c r="D115" s="134"/>
      <c r="E115" s="142">
        <f>E76+E101+E102+E103-E79-E78</f>
        <v>143</v>
      </c>
      <c r="F115" s="142">
        <f>F76+F101+F102+F103-F79-F78</f>
        <v>81</v>
      </c>
      <c r="G115" s="142">
        <f>G76+G101+G102+G103-G79-G78</f>
        <v>128</v>
      </c>
      <c r="H115" s="207">
        <f>E115+F115-G115</f>
        <v>96</v>
      </c>
      <c r="I115" s="232" t="s">
        <v>137</v>
      </c>
      <c r="J115" s="232" t="s">
        <v>137</v>
      </c>
      <c r="K115"/>
      <c r="L115"/>
      <c r="M115"/>
      <c r="N115"/>
      <c r="O115"/>
    </row>
    <row r="116" spans="2:15" ht="15" customHeight="1" outlineLevel="1">
      <c r="B116" s="132"/>
      <c r="C116" s="132"/>
      <c r="D116" s="132"/>
      <c r="E116" s="136"/>
      <c r="F116" s="136"/>
      <c r="G116" s="136"/>
      <c r="H116" s="235"/>
      <c r="I116" s="77"/>
      <c r="J116" s="77"/>
      <c r="K116"/>
      <c r="L116"/>
      <c r="M116"/>
      <c r="N116"/>
      <c r="O116"/>
    </row>
    <row r="117" spans="2:15" ht="15" customHeight="1" outlineLevel="1">
      <c r="B117" s="329" t="s">
        <v>123</v>
      </c>
      <c r="C117" s="164"/>
      <c r="D117" s="132"/>
      <c r="E117" s="143">
        <v>0</v>
      </c>
      <c r="F117" s="143">
        <v>0</v>
      </c>
      <c r="G117" s="143">
        <v>0</v>
      </c>
      <c r="H117" s="207">
        <f>E117+F117-G117</f>
        <v>0</v>
      </c>
      <c r="I117" s="236"/>
      <c r="J117" s="236"/>
      <c r="K117"/>
      <c r="L117"/>
      <c r="M117"/>
      <c r="N117"/>
      <c r="O117"/>
    </row>
    <row r="118" spans="2:15" ht="15" customHeight="1" outlineLevel="1">
      <c r="B118" s="330" t="s">
        <v>94</v>
      </c>
      <c r="C118" s="127"/>
      <c r="D118" s="267" t="s">
        <v>198</v>
      </c>
      <c r="E118" s="291">
        <v>0</v>
      </c>
      <c r="F118" s="291">
        <v>0</v>
      </c>
      <c r="G118" s="291">
        <v>0</v>
      </c>
      <c r="H118" s="292">
        <f>E118+F118-G118</f>
        <v>0</v>
      </c>
      <c r="I118" s="324"/>
      <c r="J118" s="324"/>
      <c r="K118"/>
      <c r="L118"/>
      <c r="M118"/>
      <c r="N118"/>
      <c r="O118"/>
    </row>
    <row r="119" spans="2:15" ht="15" customHeight="1" outlineLevel="1">
      <c r="B119" s="154" t="s">
        <v>118</v>
      </c>
      <c r="C119" s="157"/>
      <c r="D119" s="267" t="s">
        <v>187</v>
      </c>
      <c r="E119" s="237">
        <f>IFERROR((E115+E117)/(E85+E118),"na")</f>
        <v>5.901044030866999E-2</v>
      </c>
      <c r="F119" s="237">
        <f>IFERROR((F115+F117)/(F85+F118),"na")</f>
        <v>3.3705059920106528E-2</v>
      </c>
      <c r="G119" s="237">
        <f>IFERROR((G115+G117)/(G85+G118),"na")</f>
        <v>5.3249022381229714E-2</v>
      </c>
      <c r="H119" s="237">
        <f>IFERROR((H115+H117)/(H85+H118),"na")</f>
        <v>3.9625211540842864E-2</v>
      </c>
      <c r="I119" s="232" t="s">
        <v>137</v>
      </c>
      <c r="J119" s="232" t="s">
        <v>137</v>
      </c>
      <c r="K119" s="189"/>
      <c r="L119"/>
      <c r="M119"/>
      <c r="N119"/>
      <c r="O119"/>
    </row>
    <row r="120" spans="2:15" ht="15" customHeight="1" outlineLevel="1">
      <c r="B120" s="132"/>
      <c r="C120" s="132"/>
      <c r="D120" s="132"/>
      <c r="E120" s="136"/>
      <c r="F120" s="236"/>
      <c r="G120" s="236"/>
      <c r="H120" s="235"/>
      <c r="I120" s="77"/>
      <c r="J120" s="77"/>
      <c r="K120"/>
      <c r="L120"/>
      <c r="M120"/>
      <c r="N120"/>
      <c r="O120"/>
    </row>
    <row r="121" spans="2:15" ht="15" customHeight="1" outlineLevel="1">
      <c r="B121" s="132"/>
      <c r="C121" s="132"/>
      <c r="D121" s="132"/>
      <c r="E121" s="136"/>
      <c r="F121" s="236"/>
      <c r="G121" s="236"/>
      <c r="H121" s="311"/>
      <c r="I121" s="318"/>
      <c r="J121" s="320"/>
      <c r="K121"/>
      <c r="L121"/>
      <c r="M121"/>
      <c r="N121"/>
      <c r="O121"/>
    </row>
    <row r="122" spans="2:15" ht="15" customHeight="1" outlineLevel="1">
      <c r="E122" s="44"/>
      <c r="F122" s="44"/>
      <c r="G122" s="44"/>
      <c r="H122" s="312" t="s">
        <v>69</v>
      </c>
      <c r="I122" s="319">
        <f>Summary!$G$13</f>
        <v>2022</v>
      </c>
      <c r="J122" s="321">
        <f>Summary!$H$13</f>
        <v>2023</v>
      </c>
      <c r="K122" s="46"/>
    </row>
    <row r="123" spans="2:15" ht="15" customHeight="1" outlineLevel="1">
      <c r="C123" s="325"/>
      <c r="D123" s="325"/>
      <c r="E123" s="59" t="s">
        <v>9</v>
      </c>
      <c r="F123" s="59"/>
      <c r="G123" s="326"/>
      <c r="H123" s="322">
        <f t="shared" ref="H123" si="7">H$62</f>
        <v>44409</v>
      </c>
      <c r="I123" s="322">
        <f>EOMONTH($E$62,12)</f>
        <v>44592</v>
      </c>
      <c r="J123" s="323">
        <f>EOMONTH(I123,12)</f>
        <v>44957</v>
      </c>
      <c r="K123"/>
    </row>
    <row r="124" spans="2:15" ht="15" customHeight="1" outlineLevel="1">
      <c r="C124" s="173"/>
      <c r="D124" s="121"/>
      <c r="E124" s="328" t="s">
        <v>134</v>
      </c>
      <c r="F124" s="77"/>
      <c r="G124" s="77"/>
      <c r="H124" s="238">
        <f>IFERROR($E$50/H111,"-")</f>
        <v>0.56370766994084165</v>
      </c>
      <c r="I124" s="238" t="str">
        <f>IFERROR($E$50/I111,"-")</f>
        <v>-</v>
      </c>
      <c r="J124" s="238" t="str">
        <f>IFERROR($E$50/J111,"-")</f>
        <v>-</v>
      </c>
      <c r="K124"/>
    </row>
    <row r="125" spans="2:15" ht="15" customHeight="1" outlineLevel="1">
      <c r="C125" s="175"/>
      <c r="D125" s="120"/>
      <c r="E125" s="331" t="s">
        <v>135</v>
      </c>
      <c r="F125" s="236"/>
      <c r="G125" s="77"/>
      <c r="H125" s="238">
        <f>IFERROR($E$50/H114,"-")</f>
        <v>12.705049094339623</v>
      </c>
      <c r="I125" s="238" t="str">
        <f>IFERROR($E$50/I114,"-")</f>
        <v>-</v>
      </c>
      <c r="J125" s="238" t="str">
        <f>IFERROR($E$50/J114,"-")</f>
        <v>-</v>
      </c>
      <c r="K125"/>
    </row>
    <row r="126" spans="2:15" ht="15" customHeight="1" outlineLevel="1">
      <c r="C126" s="165"/>
      <c r="D126" s="350"/>
      <c r="E126" s="332" t="s">
        <v>92</v>
      </c>
      <c r="F126" s="227"/>
      <c r="G126" s="77"/>
      <c r="H126" s="239">
        <f>IFERROR($E$35/H119,"-")</f>
        <v>72.428635416666665</v>
      </c>
      <c r="I126" s="239" t="str">
        <f>IFERROR($E$35/I119,"-")</f>
        <v>-</v>
      </c>
      <c r="J126" s="239" t="str">
        <f>IFERROR($E$35/J119,"-")</f>
        <v>-</v>
      </c>
      <c r="K126"/>
    </row>
    <row r="127" spans="2:15" ht="15" customHeight="1" outlineLevel="1">
      <c r="B127" s="67"/>
      <c r="C127" s="67"/>
      <c r="D127" s="67"/>
      <c r="E127"/>
      <c r="F127" s="228"/>
      <c r="G127" s="67"/>
      <c r="H127" s="67"/>
      <c r="J127" s="65"/>
    </row>
    <row r="128" spans="2:15" ht="15" customHeight="1" outlineLevel="1">
      <c r="B128"/>
      <c r="C128"/>
      <c r="D128" s="351"/>
      <c r="F128" s="229"/>
      <c r="I128" s="46"/>
      <c r="J128" s="66"/>
    </row>
    <row r="129" spans="1:15" ht="15" customHeight="1" outlineLevel="1">
      <c r="F129" s="229"/>
      <c r="I129" s="46"/>
      <c r="J129" s="48"/>
    </row>
    <row r="130" spans="1:15" ht="15" customHeight="1" outlineLevel="1">
      <c r="J130" s="48"/>
    </row>
    <row r="131" spans="1:15" ht="15" customHeight="1" outlineLevel="1">
      <c r="J131" s="48"/>
    </row>
    <row r="132" spans="1:15" ht="15" customHeight="1" outlineLevel="1"/>
    <row r="133" spans="1:15" ht="15" customHeight="1" outlineLevel="1">
      <c r="J133" s="203" t="s">
        <v>139</v>
      </c>
    </row>
    <row r="134" spans="1:15" ht="15" customHeight="1" outlineLevel="1">
      <c r="J134" s="204" t="s">
        <v>171</v>
      </c>
    </row>
    <row r="135" spans="1:15" ht="15" customHeight="1" outlineLevel="1">
      <c r="J135" s="205" t="s">
        <v>136</v>
      </c>
    </row>
    <row r="136" spans="1:15" ht="15" customHeight="1" outlineLevel="1">
      <c r="B136" s="55"/>
      <c r="C136" s="55"/>
      <c r="D136" s="55"/>
      <c r="E136" s="55"/>
      <c r="F136" s="55"/>
      <c r="G136" s="55"/>
      <c r="H136" s="55"/>
      <c r="I136" s="55"/>
      <c r="J136" s="339"/>
    </row>
    <row r="137" spans="1:15" ht="15" customHeight="1">
      <c r="B137" s="33"/>
      <c r="C137" s="33"/>
      <c r="D137" s="33"/>
      <c r="E137" s="33"/>
      <c r="F137" s="33"/>
      <c r="G137" s="33"/>
      <c r="H137" s="33"/>
      <c r="I137" s="33"/>
      <c r="J137" s="338"/>
    </row>
    <row r="138" spans="1:15" ht="15" customHeight="1">
      <c r="A138" s="119" t="s">
        <v>17</v>
      </c>
      <c r="B138" s="78" t="str">
        <f>CONCATENATE($F$5&amp;": Fully Diluted Shares Outstanding")</f>
        <v>Wm Morrison Supermarkets PLC: Fully Diluted Shares Outstanding</v>
      </c>
      <c r="C138" s="78"/>
      <c r="D138" s="124"/>
      <c r="E138" s="78"/>
      <c r="F138" s="78"/>
      <c r="G138" s="78"/>
      <c r="H138" s="78"/>
      <c r="I138" s="78"/>
      <c r="J138" s="78"/>
      <c r="K138" s="57"/>
    </row>
    <row r="139" spans="1:15" ht="15" customHeight="1" outlineLevel="1">
      <c r="K139" s="60"/>
    </row>
    <row r="140" spans="1:15" ht="15" customHeight="1" outlineLevel="1">
      <c r="B140" s="141" t="str">
        <f>B$32</f>
        <v>All figures in GBP millions unless stated</v>
      </c>
      <c r="C140" s="141"/>
      <c r="D140" s="40"/>
      <c r="E140" s="40"/>
      <c r="F140" s="40"/>
      <c r="G140" s="40"/>
      <c r="H140" s="40"/>
      <c r="K140" s="57"/>
    </row>
    <row r="141" spans="1:15" ht="15" customHeight="1" outlineLevel="1">
      <c r="B141" s="141" t="str">
        <f>B$33</f>
        <v>100 pence = 1 GBP</v>
      </c>
      <c r="C141" s="40"/>
      <c r="D141" s="40"/>
      <c r="E141" s="40"/>
      <c r="F141" s="40"/>
      <c r="G141" s="40"/>
      <c r="H141" s="40"/>
      <c r="K141" s="57"/>
    </row>
    <row r="142" spans="1:15" ht="15" customHeight="1" outlineLevel="1">
      <c r="B142" s="40"/>
      <c r="C142" s="40"/>
      <c r="D142" s="40"/>
      <c r="E142" s="40"/>
      <c r="F142" s="104"/>
      <c r="G142" s="40"/>
      <c r="H142" s="40"/>
      <c r="I142" s="50"/>
      <c r="J142" s="230" t="s">
        <v>16</v>
      </c>
      <c r="K142" s="44"/>
    </row>
    <row r="143" spans="1:15" ht="15" customHeight="1" outlineLevel="1">
      <c r="B143" s="63" t="s">
        <v>82</v>
      </c>
      <c r="C143" s="63"/>
      <c r="D143" s="63"/>
      <c r="E143" s="63"/>
      <c r="F143" s="64" t="s">
        <v>66</v>
      </c>
      <c r="H143" s="30" t="s">
        <v>113</v>
      </c>
      <c r="I143" s="55"/>
      <c r="J143" s="231" t="s">
        <v>13</v>
      </c>
      <c r="K143"/>
    </row>
    <row r="144" spans="1:15" ht="15" customHeight="1" outlineLevel="1">
      <c r="F144" s="267" t="s">
        <v>198</v>
      </c>
      <c r="H144" s="33"/>
      <c r="I144" s="33"/>
      <c r="J144" s="267" t="s">
        <v>198</v>
      </c>
      <c r="K144" s="44"/>
      <c r="N144" s="125"/>
      <c r="O144" s="133"/>
    </row>
    <row r="145" spans="2:15" ht="15" customHeight="1" outlineLevel="1">
      <c r="B145" s="107" t="s">
        <v>60</v>
      </c>
      <c r="C145" s="107"/>
      <c r="D145" s="107"/>
      <c r="E145" s="62"/>
      <c r="F145" s="151">
        <v>2418</v>
      </c>
      <c r="H145" s="108" t="s">
        <v>79</v>
      </c>
      <c r="J145" s="232">
        <v>0</v>
      </c>
      <c r="K145" s="54"/>
      <c r="L145"/>
      <c r="M145"/>
      <c r="N145"/>
    </row>
    <row r="146" spans="2:15" ht="15" customHeight="1" outlineLevel="1">
      <c r="B146" s="102" t="s">
        <v>80</v>
      </c>
      <c r="C146" s="102"/>
      <c r="D146" s="102"/>
      <c r="E146" s="47"/>
      <c r="F146" s="208">
        <f>J148</f>
        <v>40.406999999999996</v>
      </c>
      <c r="H146" s="108" t="s">
        <v>116</v>
      </c>
      <c r="J146" s="232">
        <v>37.585999999999999</v>
      </c>
      <c r="K146" s="54"/>
      <c r="L146"/>
      <c r="M146"/>
      <c r="N146"/>
    </row>
    <row r="147" spans="2:15" ht="15" customHeight="1" outlineLevel="1">
      <c r="B147" s="333" t="s">
        <v>126</v>
      </c>
      <c r="C147" s="333"/>
      <c r="D147" s="334"/>
      <c r="E147" s="335"/>
      <c r="F147" s="209">
        <f>J171</f>
        <v>22.608341463414639</v>
      </c>
      <c r="H147" s="336" t="s">
        <v>117</v>
      </c>
      <c r="I147" s="33"/>
      <c r="J147" s="233">
        <v>2.8210000000000002</v>
      </c>
      <c r="K147" s="53"/>
    </row>
    <row r="148" spans="2:15" ht="15" customHeight="1" outlineLevel="1">
      <c r="B148" s="365" t="s">
        <v>67</v>
      </c>
      <c r="C148" s="103"/>
      <c r="D148" s="103"/>
      <c r="E148" s="75"/>
      <c r="F148" s="210">
        <f>SUM(F145:F147)</f>
        <v>2481.0153414634146</v>
      </c>
      <c r="H148" s="109" t="s">
        <v>14</v>
      </c>
      <c r="I148" s="33"/>
      <c r="J148" s="234">
        <f>SUM(J145:J147)</f>
        <v>40.406999999999996</v>
      </c>
      <c r="K148" s="53"/>
    </row>
    <row r="149" spans="2:15" ht="15" customHeight="1" outlineLevel="1">
      <c r="B149" s="51"/>
      <c r="C149" s="51"/>
      <c r="D149" s="51"/>
      <c r="E149" s="51"/>
      <c r="F149" s="56"/>
      <c r="K149" s="53"/>
    </row>
    <row r="150" spans="2:15" ht="15" customHeight="1" outlineLevel="1"/>
    <row r="151" spans="2:15" ht="15" customHeight="1" outlineLevel="1">
      <c r="B151" s="49"/>
      <c r="C151" s="49"/>
      <c r="D151" s="49"/>
      <c r="E151" s="61" t="s">
        <v>11</v>
      </c>
      <c r="F151" s="61" t="s">
        <v>6</v>
      </c>
      <c r="G151" s="61" t="s">
        <v>10</v>
      </c>
      <c r="H151" s="61" t="s">
        <v>61</v>
      </c>
      <c r="I151" s="61" t="s">
        <v>11</v>
      </c>
      <c r="J151" s="49"/>
    </row>
    <row r="152" spans="2:15" ht="15" customHeight="1" outlineLevel="1">
      <c r="B152" s="30" t="s">
        <v>83</v>
      </c>
      <c r="C152" s="30"/>
      <c r="D152" s="30"/>
      <c r="E152" s="96" t="s">
        <v>13</v>
      </c>
      <c r="F152" s="96" t="s">
        <v>2</v>
      </c>
      <c r="G152" s="96" t="s">
        <v>2</v>
      </c>
      <c r="H152" s="96" t="s">
        <v>81</v>
      </c>
      <c r="I152" s="96" t="s">
        <v>18</v>
      </c>
      <c r="J152" s="96" t="s">
        <v>12</v>
      </c>
      <c r="M152" s="44"/>
      <c r="N152" s="44"/>
      <c r="O152" s="44"/>
    </row>
    <row r="153" spans="2:15" ht="15" customHeight="1" outlineLevel="1">
      <c r="B153" s="58"/>
      <c r="C153" s="58"/>
      <c r="D153" s="58"/>
      <c r="E153" s="267" t="s">
        <v>198</v>
      </c>
      <c r="F153" s="267" t="s">
        <v>187</v>
      </c>
      <c r="G153" s="267" t="s">
        <v>187</v>
      </c>
      <c r="H153" s="337"/>
      <c r="I153" s="267" t="s">
        <v>198</v>
      </c>
      <c r="J153" s="101"/>
    </row>
    <row r="154" spans="2:15" ht="6" customHeight="1" outlineLevel="1">
      <c r="B154" s="58"/>
      <c r="C154" s="58"/>
      <c r="D154" s="58"/>
      <c r="E154" s="98"/>
      <c r="F154" s="97"/>
      <c r="G154" s="97"/>
      <c r="H154" s="52"/>
      <c r="I154" s="98"/>
      <c r="J154" s="101"/>
    </row>
    <row r="155" spans="2:15" ht="15" customHeight="1" outlineLevel="1">
      <c r="B155" s="111" t="s">
        <v>72</v>
      </c>
      <c r="C155" s="111"/>
      <c r="D155" s="111"/>
      <c r="E155" s="99">
        <v>54.526000000000003</v>
      </c>
      <c r="F155" s="211">
        <f t="shared" ref="F155:F163" si="8">$E$35</f>
        <v>2.87</v>
      </c>
      <c r="G155" s="155">
        <v>1.68</v>
      </c>
      <c r="H155" s="212">
        <f t="shared" ref="H155:H163" si="9">IF(AND(F155&gt;G155,E155&lt;&gt;0),1,0)</f>
        <v>1</v>
      </c>
      <c r="I155" s="213">
        <f t="shared" ref="I155:I163" si="10">H155*E155</f>
        <v>54.526000000000003</v>
      </c>
      <c r="J155" s="214">
        <f>G155*I155</f>
        <v>91.603679999999997</v>
      </c>
    </row>
    <row r="156" spans="2:15" ht="15" customHeight="1" outlineLevel="1">
      <c r="B156" s="111" t="s">
        <v>73</v>
      </c>
      <c r="C156" s="111"/>
      <c r="D156" s="111"/>
      <c r="E156" s="99">
        <v>0</v>
      </c>
      <c r="F156" s="211">
        <f t="shared" si="8"/>
        <v>2.87</v>
      </c>
      <c r="G156" s="155">
        <v>0</v>
      </c>
      <c r="H156" s="212">
        <f t="shared" si="9"/>
        <v>0</v>
      </c>
      <c r="I156" s="213">
        <f t="shared" si="10"/>
        <v>0</v>
      </c>
      <c r="J156" s="214">
        <f>G156*I156</f>
        <v>0</v>
      </c>
    </row>
    <row r="157" spans="2:15" ht="15" customHeight="1" outlineLevel="1">
      <c r="B157" s="111" t="s">
        <v>74</v>
      </c>
      <c r="C157" s="111"/>
      <c r="D157" s="111"/>
      <c r="E157" s="215">
        <v>0</v>
      </c>
      <c r="F157" s="211">
        <f t="shared" si="8"/>
        <v>2.87</v>
      </c>
      <c r="G157" s="155">
        <v>0</v>
      </c>
      <c r="H157" s="212">
        <f t="shared" si="9"/>
        <v>0</v>
      </c>
      <c r="I157" s="213">
        <f t="shared" si="10"/>
        <v>0</v>
      </c>
      <c r="J157" s="214">
        <f>G157*I157</f>
        <v>0</v>
      </c>
    </row>
    <row r="158" spans="2:15" ht="15" customHeight="1" outlineLevel="1">
      <c r="B158" s="111" t="s">
        <v>75</v>
      </c>
      <c r="C158" s="111"/>
      <c r="D158" s="111"/>
      <c r="E158" s="99">
        <v>0</v>
      </c>
      <c r="F158" s="211">
        <f t="shared" si="8"/>
        <v>2.87</v>
      </c>
      <c r="G158" s="155">
        <v>0</v>
      </c>
      <c r="H158" s="212">
        <f t="shared" si="9"/>
        <v>0</v>
      </c>
      <c r="I158" s="213">
        <f t="shared" si="10"/>
        <v>0</v>
      </c>
      <c r="J158" s="214">
        <f>G158*I158</f>
        <v>0</v>
      </c>
    </row>
    <row r="159" spans="2:15" ht="15" customHeight="1" outlineLevel="1">
      <c r="B159" s="111" t="s">
        <v>108</v>
      </c>
      <c r="C159" s="111"/>
      <c r="D159" s="111"/>
      <c r="E159" s="216">
        <v>0</v>
      </c>
      <c r="F159" s="211">
        <f t="shared" si="8"/>
        <v>2.87</v>
      </c>
      <c r="G159" s="155">
        <v>0</v>
      </c>
      <c r="H159" s="212">
        <f t="shared" si="9"/>
        <v>0</v>
      </c>
      <c r="I159" s="213">
        <f t="shared" si="10"/>
        <v>0</v>
      </c>
      <c r="J159" s="214">
        <f t="shared" ref="J159:J160" si="11">G159*I159</f>
        <v>0</v>
      </c>
    </row>
    <row r="160" spans="2:15" ht="15" customHeight="1" outlineLevel="1">
      <c r="B160" s="111" t="s">
        <v>109</v>
      </c>
      <c r="C160" s="111"/>
      <c r="D160" s="111"/>
      <c r="E160" s="99">
        <v>0</v>
      </c>
      <c r="F160" s="211">
        <f t="shared" si="8"/>
        <v>2.87</v>
      </c>
      <c r="G160" s="155">
        <v>0</v>
      </c>
      <c r="H160" s="212">
        <f t="shared" si="9"/>
        <v>0</v>
      </c>
      <c r="I160" s="213">
        <f t="shared" si="10"/>
        <v>0</v>
      </c>
      <c r="J160" s="214">
        <f t="shared" si="11"/>
        <v>0</v>
      </c>
    </row>
    <row r="161" spans="1:11" ht="15" customHeight="1" outlineLevel="1">
      <c r="B161" s="111" t="s">
        <v>111</v>
      </c>
      <c r="C161" s="111"/>
      <c r="D161" s="111"/>
      <c r="E161" s="99">
        <v>0</v>
      </c>
      <c r="F161" s="211">
        <f t="shared" si="8"/>
        <v>2.87</v>
      </c>
      <c r="G161" s="155">
        <v>0</v>
      </c>
      <c r="H161" s="212">
        <f t="shared" si="9"/>
        <v>0</v>
      </c>
      <c r="I161" s="213">
        <f t="shared" si="10"/>
        <v>0</v>
      </c>
      <c r="J161" s="214">
        <f t="shared" ref="J161:J162" si="12">G161*I161</f>
        <v>0</v>
      </c>
    </row>
    <row r="162" spans="1:11" ht="15" customHeight="1" outlineLevel="1">
      <c r="B162" s="111" t="s">
        <v>112</v>
      </c>
      <c r="C162" s="111"/>
      <c r="D162" s="111"/>
      <c r="E162" s="99">
        <v>0</v>
      </c>
      <c r="F162" s="211">
        <f t="shared" si="8"/>
        <v>2.87</v>
      </c>
      <c r="G162" s="155">
        <v>0</v>
      </c>
      <c r="H162" s="212">
        <f t="shared" si="9"/>
        <v>0</v>
      </c>
      <c r="I162" s="213">
        <f t="shared" si="10"/>
        <v>0</v>
      </c>
      <c r="J162" s="214">
        <f t="shared" si="12"/>
        <v>0</v>
      </c>
    </row>
    <row r="163" spans="1:11" ht="15" customHeight="1" outlineLevel="1">
      <c r="B163" s="112" t="s">
        <v>19</v>
      </c>
      <c r="C163" s="112"/>
      <c r="D163" s="112"/>
      <c r="E163" s="106">
        <v>0</v>
      </c>
      <c r="F163" s="217">
        <f t="shared" si="8"/>
        <v>2.87</v>
      </c>
      <c r="G163" s="156">
        <v>0</v>
      </c>
      <c r="H163" s="218">
        <f t="shared" si="9"/>
        <v>0</v>
      </c>
      <c r="I163" s="219">
        <f t="shared" si="10"/>
        <v>0</v>
      </c>
      <c r="J163" s="220">
        <f>G163*I163</f>
        <v>0</v>
      </c>
    </row>
    <row r="164" spans="1:11" ht="15" customHeight="1" outlineLevel="1">
      <c r="B164" s="109" t="s">
        <v>14</v>
      </c>
      <c r="C164" s="109"/>
      <c r="D164" s="109"/>
      <c r="E164" s="221"/>
      <c r="F164" s="41"/>
      <c r="G164" s="221"/>
      <c r="H164" s="41"/>
      <c r="I164" s="158">
        <f>SUM(I155:I163)</f>
        <v>54.526000000000003</v>
      </c>
      <c r="J164" s="105">
        <f>SUM(J155:J163)</f>
        <v>91.603679999999997</v>
      </c>
    </row>
    <row r="165" spans="1:11" ht="15" customHeight="1" outlineLevel="1">
      <c r="E165" s="222"/>
      <c r="F165" s="222"/>
      <c r="G165" s="44"/>
      <c r="H165" s="44"/>
      <c r="I165" s="223"/>
      <c r="J165" s="223"/>
    </row>
    <row r="166" spans="1:11" ht="15" customHeight="1" outlineLevel="1">
      <c r="E166" s="222"/>
      <c r="F166" s="222"/>
      <c r="G166" s="44"/>
      <c r="H166" s="44"/>
      <c r="I166" s="223"/>
      <c r="J166" s="96" t="s">
        <v>201</v>
      </c>
    </row>
    <row r="167" spans="1:11" ht="15" customHeight="1" outlineLevel="1">
      <c r="E167" s="222"/>
      <c r="F167" s="222"/>
      <c r="G167" s="44"/>
      <c r="H167" s="44"/>
      <c r="I167" s="223"/>
      <c r="J167" s="267" t="s">
        <v>198</v>
      </c>
    </row>
    <row r="168" spans="1:11" ht="15" customHeight="1" outlineLevel="1">
      <c r="E168" s="222"/>
      <c r="F168" s="222"/>
      <c r="G168" s="44"/>
      <c r="H168" s="44"/>
      <c r="I168" s="223"/>
      <c r="J168" s="267"/>
    </row>
    <row r="169" spans="1:11" ht="15" customHeight="1" outlineLevel="1">
      <c r="B169" s="115" t="s">
        <v>84</v>
      </c>
      <c r="C169" s="115"/>
      <c r="D169" s="115"/>
      <c r="E169" s="222"/>
      <c r="F169" s="222"/>
      <c r="G169" s="44"/>
      <c r="H169" s="44"/>
      <c r="I169" s="224" t="s">
        <v>66</v>
      </c>
      <c r="J169" s="100">
        <f>I164</f>
        <v>54.526000000000003</v>
      </c>
    </row>
    <row r="170" spans="1:11" ht="15" customHeight="1" outlineLevel="1">
      <c r="B170" s="114" t="s">
        <v>85</v>
      </c>
      <c r="C170" s="114"/>
      <c r="D170" s="114"/>
      <c r="E170" s="225"/>
      <c r="F170" s="225"/>
      <c r="G170" s="44"/>
      <c r="H170" s="41"/>
      <c r="I170" s="224" t="s">
        <v>66</v>
      </c>
      <c r="J170" s="100">
        <f>-$J164/F155</f>
        <v>-31.917658536585364</v>
      </c>
    </row>
    <row r="171" spans="1:11" ht="15" customHeight="1" outlineLevel="1">
      <c r="B171" s="109" t="s">
        <v>62</v>
      </c>
      <c r="C171" s="109"/>
      <c r="D171" s="109"/>
      <c r="E171" s="225"/>
      <c r="F171" s="225"/>
      <c r="G171" s="44"/>
      <c r="H171" s="41"/>
      <c r="I171" s="224" t="s">
        <v>66</v>
      </c>
      <c r="J171" s="226">
        <f>SUM(J169:J170)</f>
        <v>22.608341463414639</v>
      </c>
    </row>
    <row r="172" spans="1:11" ht="15" customHeight="1" outlineLevel="1"/>
    <row r="173" spans="1:11" ht="15" customHeight="1" outlineLevel="1"/>
    <row r="174" spans="1:11" ht="15" customHeight="1" outlineLevel="1">
      <c r="A174" s="41"/>
      <c r="J174" s="172" t="s">
        <v>127</v>
      </c>
      <c r="K174" s="44"/>
    </row>
    <row r="175" spans="1:11" ht="15" customHeight="1" outlineLevel="1">
      <c r="B175" s="55"/>
      <c r="C175" s="55"/>
      <c r="D175" s="55"/>
      <c r="E175" s="55"/>
      <c r="F175" s="55"/>
      <c r="G175" s="55"/>
      <c r="H175" s="55"/>
      <c r="I175" s="55"/>
      <c r="J175" s="55"/>
    </row>
    <row r="176" spans="1:11" ht="15" customHeight="1">
      <c r="B176" s="33"/>
      <c r="C176" s="33"/>
      <c r="D176" s="33"/>
      <c r="E176" s="33"/>
      <c r="F176" s="33"/>
      <c r="G176" s="33"/>
      <c r="H176" s="33"/>
      <c r="I176" s="33"/>
      <c r="J176" s="33"/>
    </row>
  </sheetData>
  <mergeCells count="1">
    <mergeCell ref="L22:R25"/>
  </mergeCells>
  <dataValidations count="2">
    <dataValidation type="list" allowBlank="1" showInputMessage="1" showErrorMessage="1" sqref="F9" xr:uid="{FB6159F4-2168-4865-B778-5B8E379F8CAD}">
      <formula1>"Announced,Completed,Withdrawn,Pending"</formula1>
    </dataValidation>
    <dataValidation type="list" allowBlank="1" showInputMessage="1" showErrorMessage="1" sqref="E17" xr:uid="{8E5385C6-3C7B-4BD1-A7D0-8350CC0DBBA6}">
      <formula1>"Cash,Stock,Mix"</formula1>
    </dataValidation>
  </dataValidations>
  <printOptions horizontalCentered="1"/>
  <pageMargins left="0.118110236220472" right="0.118110236220472" top="0.118110236220472" bottom="0.118110236220472" header="0.118110236220472" footer="0.118110236220472"/>
  <pageSetup scale="85" fitToHeight="0" orientation="landscape" r:id="rId1"/>
  <headerFooter>
    <oddFooter>&amp;L&amp;"Open Sans,Bold"&amp;10&amp;K02+000Precedent Transaction Analysis&amp;C&amp;"Open Sans,Bold"&amp;10&amp;K02+000Page &amp;P of &amp;N&amp;R&amp;G</oddFooter>
  </headerFooter>
  <rowBreaks count="4" manualBreakCount="4">
    <brk id="29" min="1" max="8" man="1"/>
    <brk id="57" min="1" max="8" man="1"/>
    <brk id="92" min="1" max="8" man="1"/>
    <brk id="137" max="16383" man="1"/>
  </rowBreaks>
  <colBreaks count="1" manualBreakCount="1">
    <brk id="1" max="1048575" man="1"/>
  </colBreaks>
  <drawing r:id="rId2"/>
  <legacy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95F0EB6B-FD7D-4AAD-ADDF-02C6A3AFB3C0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Summary</vt:lpstr>
      <vt:lpstr>Morrisons</vt:lpstr>
      <vt:lpstr>Cover!Print_Area</vt:lpstr>
      <vt:lpstr>Morrisons!Print_Area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Biting Xu (A)</cp:lastModifiedBy>
  <cp:revision/>
  <cp:lastPrinted>1899-12-30T06:00:00Z</cp:lastPrinted>
  <dcterms:created xsi:type="dcterms:W3CDTF">1899-12-30T06:00:00Z</dcterms:created>
  <dcterms:modified xsi:type="dcterms:W3CDTF">2023-09-08T16:26:21Z</dcterms:modified>
  <cp:category/>
  <cp:contentStatus/>
  <dc:language/>
  <cp:version/>
</cp:coreProperties>
</file>