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Shared drives\Courses &amp; Programs\1 Financial Modeling and Valuation Analyst (FMVA)\47. Comps and Precedents\Downloads\"/>
    </mc:Choice>
  </mc:AlternateContent>
  <xr:revisionPtr revIDLastSave="0" documentId="13_ncr:1_{C161EE87-B84E-495D-BD65-D2B5DE95B047}" xr6:coauthVersionLast="47" xr6:coauthVersionMax="47" xr10:uidLastSave="{00000000-0000-0000-0000-000000000000}"/>
  <bookViews>
    <workbookView xWindow="-96" yWindow="-96" windowWidth="23232" windowHeight="12696" firstSheet="1" activeTab="1" xr2:uid="{FED1C20F-AE0D-417B-A7E2-FF11FEC31890}"/>
  </bookViews>
  <sheets>
    <sheet name="_CIQHiddenCacheSheet" sheetId="19" state="veryHidden" r:id="rId1"/>
    <sheet name="Cover" sheetId="20" r:id="rId2"/>
    <sheet name="Summary" sheetId="26" r:id="rId3"/>
    <sheet name="TSCO" sheetId="24" r:id="rId4"/>
    <sheet name="SBRY" sheetId="27" r:id="rId5"/>
  </sheets>
  <definedNames>
    <definedName name="_xlnm.Print_Area" localSheetId="1">Cover!$B$2:$M$39</definedName>
    <definedName name="_xlnm.Print_Area" localSheetId="4">SBRY!$B$3:$J$27,SBRY!$B$30:$J$67,SBRY!$B$70:$J$112,SBRY!$B$115:$J$156</definedName>
    <definedName name="_xlnm.Print_Area" localSheetId="2">Summary!$B$3:$J$46,Summary!$L$3:$AA$46</definedName>
    <definedName name="_xlnm.Print_Area" localSheetId="3">TSCO!$B$3:$J$27,TSCO!$B$30:$J$67,TSCO!$B$70:$J$112,TSCO!$B$115:$J$156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26" l="1"/>
  <c r="N17" i="26"/>
  <c r="Q17" i="26"/>
  <c r="R17" i="26"/>
  <c r="T17" i="26"/>
  <c r="Z17" i="26" s="1"/>
  <c r="U17" i="26"/>
  <c r="AA17" i="26" s="1"/>
  <c r="I126" i="24"/>
  <c r="H85" i="27"/>
  <c r="H85" i="24"/>
  <c r="G36" i="24"/>
  <c r="F76" i="27" l="1"/>
  <c r="E76" i="27"/>
  <c r="D76" i="27"/>
  <c r="H84" i="24"/>
  <c r="I84" i="24" s="1"/>
  <c r="G80" i="24"/>
  <c r="D79" i="24"/>
  <c r="G79" i="24" s="1"/>
  <c r="G78" i="24"/>
  <c r="H100" i="24"/>
  <c r="I100" i="24" s="1"/>
  <c r="H100" i="27"/>
  <c r="I100" i="27" s="1"/>
  <c r="H84" i="27"/>
  <c r="I84" i="27" s="1"/>
  <c r="D85" i="27"/>
  <c r="F85" i="27"/>
  <c r="E85" i="27"/>
  <c r="F85" i="24"/>
  <c r="E85" i="24"/>
  <c r="D85" i="24"/>
  <c r="F76" i="24"/>
  <c r="E76" i="24"/>
  <c r="D76" i="24"/>
  <c r="G85" i="24"/>
  <c r="I85" i="24" s="1"/>
  <c r="G61" i="24"/>
  <c r="G55" i="24"/>
  <c r="G54" i="24"/>
  <c r="G51" i="24"/>
  <c r="G48" i="24"/>
  <c r="G47" i="24"/>
  <c r="G46" i="24"/>
  <c r="G43" i="24"/>
  <c r="G39" i="24"/>
  <c r="G101" i="24" l="1"/>
  <c r="H101" i="24" s="1"/>
  <c r="I101" i="24" s="1"/>
  <c r="G76" i="24"/>
  <c r="B93" i="26"/>
  <c r="B92" i="26"/>
  <c r="B90" i="26"/>
  <c r="B89" i="26"/>
  <c r="F58" i="26"/>
  <c r="H58" i="26" s="1"/>
  <c r="F50" i="26"/>
  <c r="H50" i="26" s="1"/>
  <c r="Z14" i="26"/>
  <c r="AA14" i="26" s="1"/>
  <c r="W14" i="26"/>
  <c r="X14" i="26" s="1"/>
  <c r="T14" i="26"/>
  <c r="U14" i="26" s="1"/>
  <c r="Q14" i="26"/>
  <c r="R14" i="26" s="1"/>
  <c r="AA6" i="26"/>
  <c r="AA7" i="26"/>
  <c r="L16" i="26"/>
  <c r="N16" i="26"/>
  <c r="Q16" i="26"/>
  <c r="R16" i="26"/>
  <c r="T16" i="26"/>
  <c r="U16" i="26"/>
  <c r="I126" i="27"/>
  <c r="I127" i="27" s="1"/>
  <c r="D125" i="27" s="1"/>
  <c r="D21" i="27"/>
  <c r="I25" i="27"/>
  <c r="I25" i="24"/>
  <c r="D25" i="27"/>
  <c r="D89" i="27"/>
  <c r="G89" i="27" s="1"/>
  <c r="D79" i="27"/>
  <c r="G79" i="27" s="1"/>
  <c r="D43" i="27"/>
  <c r="G43" i="27" s="1"/>
  <c r="E143" i="27"/>
  <c r="G143" i="27" s="1"/>
  <c r="H143" i="27" s="1"/>
  <c r="I143" i="27" s="1"/>
  <c r="E142" i="27"/>
  <c r="G142" i="27" s="1"/>
  <c r="H142" i="27" s="1"/>
  <c r="I142" i="27" s="1"/>
  <c r="E141" i="27"/>
  <c r="G141" i="27" s="1"/>
  <c r="H141" i="27" s="1"/>
  <c r="I141" i="27" s="1"/>
  <c r="E140" i="27"/>
  <c r="G140" i="27" s="1"/>
  <c r="H140" i="27" s="1"/>
  <c r="I140" i="27" s="1"/>
  <c r="E139" i="27"/>
  <c r="G139" i="27" s="1"/>
  <c r="H139" i="27" s="1"/>
  <c r="I139" i="27" s="1"/>
  <c r="E138" i="27"/>
  <c r="G138" i="27" s="1"/>
  <c r="H138" i="27" s="1"/>
  <c r="I138" i="27" s="1"/>
  <c r="E137" i="27"/>
  <c r="G137" i="27" s="1"/>
  <c r="H137" i="27" s="1"/>
  <c r="I137" i="27" s="1"/>
  <c r="E136" i="27"/>
  <c r="G136" i="27" s="1"/>
  <c r="H136" i="27" s="1"/>
  <c r="I136" i="27" s="1"/>
  <c r="E135" i="27"/>
  <c r="G135" i="27" s="1"/>
  <c r="H135" i="27" s="1"/>
  <c r="B115" i="27"/>
  <c r="I105" i="27"/>
  <c r="H105" i="27"/>
  <c r="G94" i="27"/>
  <c r="G93" i="27"/>
  <c r="F87" i="27"/>
  <c r="E87" i="27"/>
  <c r="D87" i="27"/>
  <c r="G80" i="27"/>
  <c r="G78" i="27"/>
  <c r="B70" i="27"/>
  <c r="G61" i="27"/>
  <c r="G55" i="27"/>
  <c r="G54" i="27"/>
  <c r="G51" i="27"/>
  <c r="G48" i="27"/>
  <c r="G47" i="27"/>
  <c r="G46" i="27"/>
  <c r="F41" i="27"/>
  <c r="F44" i="27" s="1"/>
  <c r="E41" i="27"/>
  <c r="E44" i="27" s="1"/>
  <c r="E88" i="27" s="1"/>
  <c r="E90" i="27" s="1"/>
  <c r="D41" i="27"/>
  <c r="G39" i="27"/>
  <c r="G36" i="27"/>
  <c r="B30" i="27"/>
  <c r="I22" i="27"/>
  <c r="D13" i="27"/>
  <c r="B3" i="27"/>
  <c r="H80" i="26"/>
  <c r="H79" i="26"/>
  <c r="H73" i="26"/>
  <c r="H72" i="26"/>
  <c r="H66" i="26"/>
  <c r="H65" i="26"/>
  <c r="F80" i="26"/>
  <c r="F79" i="26"/>
  <c r="F73" i="26"/>
  <c r="F72" i="26"/>
  <c r="F66" i="26"/>
  <c r="F65" i="26"/>
  <c r="Z16" i="26" l="1"/>
  <c r="AA16" i="26"/>
  <c r="G101" i="27"/>
  <c r="H101" i="27" s="1"/>
  <c r="I101" i="27" s="1"/>
  <c r="G76" i="27"/>
  <c r="G85" i="27"/>
  <c r="I85" i="27" s="1"/>
  <c r="G87" i="27"/>
  <c r="I26" i="27"/>
  <c r="D20" i="27" s="1"/>
  <c r="H144" i="27"/>
  <c r="I150" i="27" s="1"/>
  <c r="I135" i="27"/>
  <c r="I144" i="27" s="1"/>
  <c r="I151" i="27" s="1"/>
  <c r="D44" i="27"/>
  <c r="D88" i="27" s="1"/>
  <c r="G41" i="27"/>
  <c r="F49" i="27"/>
  <c r="F52" i="27" s="1"/>
  <c r="F88" i="27"/>
  <c r="F90" i="27" s="1"/>
  <c r="E49" i="27"/>
  <c r="E52" i="27" s="1"/>
  <c r="G40" i="27"/>
  <c r="D139" i="24"/>
  <c r="D138" i="24"/>
  <c r="G94" i="24"/>
  <c r="G93" i="24"/>
  <c r="D25" i="24"/>
  <c r="I20" i="24"/>
  <c r="I19" i="24"/>
  <c r="I105" i="24"/>
  <c r="H105" i="24"/>
  <c r="B70" i="24"/>
  <c r="B30" i="24"/>
  <c r="E87" i="24"/>
  <c r="F87" i="24"/>
  <c r="D87" i="24"/>
  <c r="D21" i="24"/>
  <c r="D40" i="24"/>
  <c r="G40" i="24" l="1"/>
  <c r="D41" i="24"/>
  <c r="I22" i="24"/>
  <c r="Z32" i="26"/>
  <c r="Z33" i="26"/>
  <c r="Z31" i="26"/>
  <c r="Z30" i="26"/>
  <c r="AA31" i="26"/>
  <c r="AA32" i="26"/>
  <c r="AA30" i="26"/>
  <c r="AA33" i="26"/>
  <c r="I152" i="27"/>
  <c r="D126" i="27" s="1"/>
  <c r="D127" i="27" s="1"/>
  <c r="I12" i="27" s="1"/>
  <c r="I13" i="27" s="1"/>
  <c r="D19" i="27" s="1"/>
  <c r="O17" i="26" s="1"/>
  <c r="F56" i="27"/>
  <c r="F59" i="27" s="1"/>
  <c r="F91" i="27"/>
  <c r="F95" i="27" s="1"/>
  <c r="D49" i="27"/>
  <c r="G44" i="27"/>
  <c r="E91" i="27"/>
  <c r="E95" i="27" s="1"/>
  <c r="E56" i="27"/>
  <c r="E59" i="27" s="1"/>
  <c r="D44" i="24" l="1"/>
  <c r="D26" i="27"/>
  <c r="M17" i="26" s="1"/>
  <c r="D52" i="27"/>
  <c r="G49" i="27"/>
  <c r="D90" i="27"/>
  <c r="G90" i="27" s="1"/>
  <c r="P17" i="26" s="1"/>
  <c r="G88" i="27"/>
  <c r="E141" i="24"/>
  <c r="G141" i="24" s="1"/>
  <c r="E142" i="24"/>
  <c r="G142" i="24" s="1"/>
  <c r="E139" i="24"/>
  <c r="G139" i="24" s="1"/>
  <c r="E140" i="24"/>
  <c r="G140" i="24" s="1"/>
  <c r="B3" i="24"/>
  <c r="E143" i="24"/>
  <c r="E138" i="24"/>
  <c r="G138" i="24" s="1"/>
  <c r="E137" i="24"/>
  <c r="G137" i="24" s="1"/>
  <c r="E136" i="24"/>
  <c r="G136" i="24" s="1"/>
  <c r="E135" i="24"/>
  <c r="G135" i="24" s="1"/>
  <c r="I127" i="24"/>
  <c r="D125" i="24" s="1"/>
  <c r="B115" i="24"/>
  <c r="G87" i="24"/>
  <c r="F41" i="24"/>
  <c r="E41" i="24"/>
  <c r="G41" i="24" s="1"/>
  <c r="D13" i="24"/>
  <c r="V17" i="26" l="1"/>
  <c r="X17" i="26"/>
  <c r="W17" i="26"/>
  <c r="D49" i="24"/>
  <c r="H103" i="27"/>
  <c r="G103" i="27"/>
  <c r="I104" i="27"/>
  <c r="H104" i="27"/>
  <c r="G104" i="27"/>
  <c r="I103" i="27"/>
  <c r="D56" i="27"/>
  <c r="D91" i="27"/>
  <c r="D95" i="27" s="1"/>
  <c r="G52" i="27"/>
  <c r="G143" i="24"/>
  <c r="H143" i="24" s="1"/>
  <c r="I143" i="24" s="1"/>
  <c r="F44" i="24"/>
  <c r="F88" i="24" s="1"/>
  <c r="F90" i="24" s="1"/>
  <c r="E44" i="24"/>
  <c r="G44" i="24" s="1"/>
  <c r="H137" i="24"/>
  <c r="I137" i="24" s="1"/>
  <c r="H136" i="24"/>
  <c r="I136" i="24" s="1"/>
  <c r="H139" i="24"/>
  <c r="I139" i="24" s="1"/>
  <c r="H142" i="24"/>
  <c r="I142" i="24" s="1"/>
  <c r="H138" i="24"/>
  <c r="I138" i="24" s="1"/>
  <c r="H140" i="24"/>
  <c r="I140" i="24" s="1"/>
  <c r="H141" i="24"/>
  <c r="I141" i="24" s="1"/>
  <c r="H135" i="24"/>
  <c r="G89" i="24"/>
  <c r="D88" i="24"/>
  <c r="D52" i="24" l="1"/>
  <c r="D59" i="27"/>
  <c r="G56" i="27"/>
  <c r="G59" i="27" s="1"/>
  <c r="G91" i="27"/>
  <c r="G95" i="27" s="1"/>
  <c r="S17" i="26" s="1"/>
  <c r="Y17" i="26" s="1"/>
  <c r="E88" i="24"/>
  <c r="E90" i="24" s="1"/>
  <c r="E49" i="24"/>
  <c r="E52" i="24" s="1"/>
  <c r="F49" i="24"/>
  <c r="F52" i="24" s="1"/>
  <c r="F56" i="24" s="1"/>
  <c r="I135" i="24"/>
  <c r="I144" i="24" s="1"/>
  <c r="I151" i="24" s="1"/>
  <c r="H144" i="24"/>
  <c r="I150" i="24" s="1"/>
  <c r="D90" i="24"/>
  <c r="G49" i="24" l="1"/>
  <c r="D56" i="24"/>
  <c r="G52" i="24"/>
  <c r="D91" i="24"/>
  <c r="D95" i="24" s="1"/>
  <c r="G105" i="27"/>
  <c r="E91" i="24"/>
  <c r="E95" i="24" s="1"/>
  <c r="E56" i="24"/>
  <c r="E59" i="24" s="1"/>
  <c r="I152" i="24"/>
  <c r="D126" i="24" s="1"/>
  <c r="D127" i="24" s="1"/>
  <c r="I12" i="24" s="1"/>
  <c r="I13" i="24" s="1"/>
  <c r="D19" i="24" s="1"/>
  <c r="O16" i="26" s="1"/>
  <c r="G88" i="24"/>
  <c r="F59" i="24"/>
  <c r="F91" i="24"/>
  <c r="F95" i="24" s="1"/>
  <c r="G90" i="24"/>
  <c r="P16" i="26" s="1"/>
  <c r="I26" i="24"/>
  <c r="D20" i="24" s="1"/>
  <c r="V16" i="26" l="1"/>
  <c r="G56" i="24"/>
  <c r="G59" i="24" s="1"/>
  <c r="D59" i="24"/>
  <c r="G91" i="24"/>
  <c r="G95" i="24" s="1"/>
  <c r="S16" i="26" s="1"/>
  <c r="Y16" i="26" s="1"/>
  <c r="D26" i="24"/>
  <c r="M16" i="26" s="1"/>
  <c r="X16" i="26" l="1"/>
  <c r="W16" i="26"/>
  <c r="Y32" i="26"/>
  <c r="Y33" i="26"/>
  <c r="Y31" i="26"/>
  <c r="Y30" i="26"/>
  <c r="G105" i="24"/>
  <c r="G104" i="24"/>
  <c r="I104" i="24"/>
  <c r="H104" i="24"/>
  <c r="I103" i="24"/>
  <c r="H103" i="24"/>
  <c r="G103" i="24"/>
  <c r="V31" i="26" l="1"/>
  <c r="V30" i="26"/>
  <c r="D52" i="26" s="1"/>
  <c r="V33" i="26"/>
  <c r="D54" i="26" s="1"/>
  <c r="D78" i="26" s="1"/>
  <c r="D81" i="26" s="1"/>
  <c r="C88" i="26" s="1"/>
  <c r="V32" i="26"/>
  <c r="D53" i="26" s="1"/>
  <c r="D71" i="26" s="1"/>
  <c r="D74" i="26" s="1"/>
  <c r="E88" i="26" s="1"/>
  <c r="W31" i="26"/>
  <c r="W30" i="26"/>
  <c r="F52" i="26" s="1"/>
  <c r="F64" i="26" s="1"/>
  <c r="F67" i="26" s="1"/>
  <c r="F89" i="26" s="1"/>
  <c r="W32" i="26"/>
  <c r="F53" i="26" s="1"/>
  <c r="F71" i="26" s="1"/>
  <c r="F74" i="26" s="1"/>
  <c r="E89" i="26" s="1"/>
  <c r="W33" i="26"/>
  <c r="F54" i="26" s="1"/>
  <c r="F78" i="26" s="1"/>
  <c r="F81" i="26" s="1"/>
  <c r="C89" i="26" s="1"/>
  <c r="X30" i="26"/>
  <c r="H52" i="26" s="1"/>
  <c r="H64" i="26" s="1"/>
  <c r="H67" i="26" s="1"/>
  <c r="F90" i="26" s="1"/>
  <c r="X32" i="26"/>
  <c r="H53" i="26" s="1"/>
  <c r="H71" i="26" s="1"/>
  <c r="H74" i="26" s="1"/>
  <c r="E90" i="26" s="1"/>
  <c r="X31" i="26"/>
  <c r="X33" i="26"/>
  <c r="H54" i="26" s="1"/>
  <c r="H78" i="26" s="1"/>
  <c r="H81" i="26" s="1"/>
  <c r="C90" i="26" s="1"/>
  <c r="E54" i="26"/>
  <c r="E82" i="26" s="1"/>
  <c r="C91" i="26" s="1"/>
  <c r="E53" i="26"/>
  <c r="E75" i="26" s="1"/>
  <c r="E91" i="26" s="1"/>
  <c r="E52" i="26"/>
  <c r="E68" i="26" s="1"/>
  <c r="F91" i="26" s="1"/>
  <c r="D64" i="26" l="1"/>
  <c r="D67" i="26" s="1"/>
  <c r="F88" i="26" s="1"/>
  <c r="D91" i="26"/>
  <c r="D88" i="26"/>
  <c r="D90" i="26"/>
  <c r="D89" i="26"/>
  <c r="G54" i="26"/>
  <c r="G82" i="26" s="1"/>
  <c r="C92" i="26" s="1"/>
  <c r="G53" i="26"/>
  <c r="G75" i="26" s="1"/>
  <c r="E92" i="26" s="1"/>
  <c r="G52" i="26"/>
  <c r="G68" i="26" s="1"/>
  <c r="F92" i="26" s="1"/>
  <c r="I54" i="26"/>
  <c r="I82" i="26" s="1"/>
  <c r="C93" i="26" s="1"/>
  <c r="I53" i="26"/>
  <c r="I75" i="26" s="1"/>
  <c r="E93" i="26" s="1"/>
  <c r="I52" i="26"/>
  <c r="I68" i="26" s="1"/>
  <c r="F93" i="26" s="1"/>
  <c r="D93" i="26" l="1"/>
  <c r="D9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Corporate Finance Institute</author>
  </authors>
  <commentList>
    <comment ref="I19" authorId="0" shapeId="0" xr:uid="{57E5BD1B-0A5F-40E7-B322-9E1B4217D15E}">
      <text>
        <r>
          <rPr>
            <b/>
            <sz val="9"/>
            <color indexed="81"/>
            <rFont val="Tahoma"/>
            <family val="2"/>
          </rPr>
          <t>Corporate Finance Institute:</t>
        </r>
        <r>
          <rPr>
            <sz val="9"/>
            <color indexed="81"/>
            <rFont val="Tahoma"/>
            <family val="2"/>
          </rPr>
          <t xml:space="preserve">
2022 Annual Report, from balance sheet. Normally, we would want the par value from the footnotes but due to the company issuing debt in multiple different currencies, we will use the balance sheet value.</t>
        </r>
      </text>
    </comment>
    <comment ref="I20" authorId="0" shapeId="0" xr:uid="{1757EB95-51AA-4FE7-9CCD-8A26F39442B6}">
      <text>
        <r>
          <rPr>
            <b/>
            <sz val="9"/>
            <color indexed="81"/>
            <rFont val="Tahoma"/>
            <family val="2"/>
          </rPr>
          <t>Corporate Finance Institute:</t>
        </r>
        <r>
          <rPr>
            <sz val="9"/>
            <color indexed="81"/>
            <rFont val="Tahoma"/>
            <family val="2"/>
          </rPr>
          <t xml:space="preserve">
2022 Annual Report, from balance sheet. Normally, we would want the par value from the footnotes but due to the company issuing debt in multiple different currencies, we will use the balance sheet value.</t>
        </r>
      </text>
    </comment>
    <comment ref="D25" authorId="0" shapeId="0" xr:uid="{50000DA8-48F2-44E1-A4DD-C71BCB7EAD44}">
      <text>
        <r>
          <rPr>
            <b/>
            <sz val="9"/>
            <color indexed="81"/>
            <rFont val="Tahoma"/>
            <family val="2"/>
          </rPr>
          <t>Corporate Finance Institute:</t>
        </r>
        <r>
          <rPr>
            <sz val="9"/>
            <color indexed="81"/>
            <rFont val="Tahoma"/>
            <family val="2"/>
          </rPr>
          <t xml:space="preserve">
2022 Annual Report, Investment Property, Other investments, Short-term investments, Assets held for sale net of associated liabilities</t>
        </r>
      </text>
    </comment>
    <comment ref="D40" authorId="0" shapeId="0" xr:uid="{6B850041-FC5F-4452-B3DD-9E8E5B1D8603}">
      <text>
        <r>
          <rPr>
            <b/>
            <sz val="9"/>
            <color indexed="81"/>
            <rFont val="Tahoma"/>
            <family val="2"/>
          </rPr>
          <t>Corporate Finance Institute:</t>
        </r>
        <r>
          <rPr>
            <sz val="9"/>
            <color indexed="81"/>
            <rFont val="Tahoma"/>
            <family val="2"/>
          </rPr>
          <t xml:space="preserve">
2022 Annual Report, Incl impairment reversal/(loss) on financial assets</t>
        </r>
      </text>
    </comment>
    <comment ref="D47" authorId="0" shapeId="0" xr:uid="{271F3F67-9354-4B1F-B06B-B0361A422100}">
      <text>
        <r>
          <rPr>
            <b/>
            <sz val="9"/>
            <color indexed="81"/>
            <rFont val="Tahoma"/>
            <family val="2"/>
          </rPr>
          <t>Corporate Finance Institute:</t>
        </r>
        <r>
          <rPr>
            <sz val="9"/>
            <color indexed="81"/>
            <rFont val="Tahoma"/>
            <family val="2"/>
          </rPr>
          <t xml:space="preserve">
2022 Annual Report, Finance income</t>
        </r>
      </text>
    </comment>
    <comment ref="D61" authorId="0" shapeId="0" xr:uid="{6C8CA2E9-FD96-45D5-A6D5-C4389225473B}">
      <text>
        <r>
          <rPr>
            <b/>
            <sz val="9"/>
            <color indexed="81"/>
            <rFont val="Tahoma"/>
            <family val="2"/>
          </rPr>
          <t>Corporate Finance Institute:</t>
        </r>
        <r>
          <rPr>
            <sz val="9"/>
            <color indexed="81"/>
            <rFont val="Tahoma"/>
            <family val="2"/>
          </rPr>
          <t xml:space="preserve">
2022 Annual Report, Note 9</t>
        </r>
      </text>
    </comment>
    <comment ref="D78" authorId="0" shapeId="0" xr:uid="{65FE66C0-F6FA-4922-882B-8FB760022C0A}">
      <text>
        <r>
          <rPr>
            <b/>
            <sz val="9"/>
            <color indexed="81"/>
            <rFont val="Tahoma"/>
            <family val="2"/>
          </rPr>
          <t>Corporate Finance Institute:</t>
        </r>
        <r>
          <rPr>
            <sz val="9"/>
            <color indexed="81"/>
            <rFont val="Tahoma"/>
            <family val="2"/>
          </rPr>
          <t xml:space="preserve">
2022 Annual Report, From Income Statement</t>
        </r>
      </text>
    </comment>
    <comment ref="D79" authorId="0" shapeId="0" xr:uid="{FD821DA8-6E2E-45A6-9E86-62AC84AAF1ED}">
      <text>
        <r>
          <rPr>
            <b/>
            <sz val="9"/>
            <color indexed="81"/>
            <rFont val="Tahoma"/>
            <family val="2"/>
          </rPr>
          <t>Corporate Finance Institute:</t>
        </r>
        <r>
          <rPr>
            <sz val="9"/>
            <color indexed="81"/>
            <rFont val="Tahoma"/>
            <family val="2"/>
          </rPr>
          <t xml:space="preserve">
2022 Annual Report, From Income Statement, Incl discontinued operations</t>
        </r>
      </text>
    </comment>
    <comment ref="D80" authorId="0" shapeId="0" xr:uid="{8278B486-B056-4885-BEFE-94523E7F5DFE}">
      <text>
        <r>
          <rPr>
            <b/>
            <sz val="9"/>
            <color indexed="81"/>
            <rFont val="Tahoma"/>
            <family val="2"/>
          </rPr>
          <t>Corporate Finance Institute:</t>
        </r>
        <r>
          <rPr>
            <sz val="9"/>
            <color indexed="81"/>
            <rFont val="Tahoma"/>
            <family val="2"/>
          </rPr>
          <t xml:space="preserve">
2022 Annual Report, From Income Statement</t>
        </r>
      </text>
    </comment>
    <comment ref="D124" authorId="0" shapeId="0" xr:uid="{6A1DB8CE-B619-4595-BBAC-F368ECE0B2CD}">
      <text>
        <r>
          <rPr>
            <b/>
            <sz val="9"/>
            <color indexed="81"/>
            <rFont val="Tahoma"/>
            <family val="2"/>
          </rPr>
          <t>Corporate Finance Institute:</t>
        </r>
        <r>
          <rPr>
            <sz val="9"/>
            <color indexed="81"/>
            <rFont val="Tahoma"/>
            <family val="2"/>
          </rPr>
          <t xml:space="preserve">
2022 Annual Report, Note 31</t>
        </r>
      </text>
    </comment>
    <comment ref="I125" authorId="0" shapeId="0" xr:uid="{DA0A6FA9-03D9-4982-BC4B-EBD36DDE8F3D}">
      <text>
        <r>
          <rPr>
            <b/>
            <sz val="9"/>
            <color indexed="81"/>
            <rFont val="Tahoma"/>
            <family val="2"/>
          </rPr>
          <t>Corporate Finance Institute:</t>
        </r>
        <r>
          <rPr>
            <sz val="9"/>
            <color indexed="81"/>
            <rFont val="Tahoma"/>
            <family val="2"/>
          </rPr>
          <t xml:space="preserve">
2022 Annual Report, Note 29, Share-based payments for Executive Directors.</t>
        </r>
      </text>
    </comment>
    <comment ref="I126" authorId="0" shapeId="0" xr:uid="{CA7542FA-541F-47D2-80B7-C4A3002344DB}">
      <text>
        <r>
          <rPr>
            <b/>
            <sz val="9"/>
            <color indexed="81"/>
            <rFont val="Tahoma"/>
            <family val="2"/>
          </rPr>
          <t>Corporate Finance Institute:</t>
        </r>
        <r>
          <rPr>
            <sz val="9"/>
            <color indexed="81"/>
            <rFont val="Tahoma"/>
            <family val="2"/>
          </rPr>
          <t xml:space="preserve">
2022 Annual Report, Note 29, Share-based payments for Executive Directors.</t>
        </r>
      </text>
    </comment>
    <comment ref="D135" authorId="0" shapeId="0" xr:uid="{9AB45DE1-6D2C-4B36-B929-3EC14A5E3927}">
      <text>
        <r>
          <rPr>
            <b/>
            <sz val="9"/>
            <color indexed="81"/>
            <rFont val="Tahoma"/>
            <family val="2"/>
          </rPr>
          <t>Corporate Finance Institute:</t>
        </r>
        <r>
          <rPr>
            <sz val="9"/>
            <color indexed="81"/>
            <rFont val="Tahoma"/>
            <family val="2"/>
          </rPr>
          <t xml:space="preserve">
2022 Annual Report, Note 29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Corporate Finance Institute</author>
  </authors>
  <commentList>
    <comment ref="I19" authorId="0" shapeId="0" xr:uid="{CD4EF7D9-849F-4713-A58F-5BCDD80E1623}">
      <text>
        <r>
          <rPr>
            <b/>
            <sz val="9"/>
            <color indexed="81"/>
            <rFont val="Tahoma"/>
            <family val="2"/>
          </rPr>
          <t>Corporate Finance Institute:</t>
        </r>
        <r>
          <rPr>
            <sz val="9"/>
            <color indexed="81"/>
            <rFont val="Tahoma"/>
            <family val="2"/>
          </rPr>
          <t xml:space="preserve">
Use balance sheet values to match Tesco.</t>
        </r>
      </text>
    </comment>
    <comment ref="I20" authorId="0" shapeId="0" xr:uid="{CEB6976E-BB1D-48BF-AE42-724B358752BE}">
      <text>
        <r>
          <rPr>
            <b/>
            <sz val="9"/>
            <color indexed="81"/>
            <rFont val="Tahoma"/>
            <family val="2"/>
          </rPr>
          <t>Corporate Finance Institute:</t>
        </r>
        <r>
          <rPr>
            <sz val="9"/>
            <color indexed="81"/>
            <rFont val="Tahoma"/>
            <family val="2"/>
          </rPr>
          <t xml:space="preserve">
Use balance sheet values to match Tesco.</t>
        </r>
      </text>
    </comment>
    <comment ref="D25" authorId="0" shapeId="0" xr:uid="{0D2C8C88-4E38-4A13-87A9-0B19B85115BA}">
      <text>
        <r>
          <rPr>
            <b/>
            <sz val="9"/>
            <color indexed="81"/>
            <rFont val="Tahoma"/>
            <family val="2"/>
          </rPr>
          <t>Corporate Finance Institute:</t>
        </r>
        <r>
          <rPr>
            <sz val="9"/>
            <color indexed="81"/>
            <rFont val="Tahoma"/>
            <family val="2"/>
          </rPr>
          <t xml:space="preserve">
2022 Annual Report, Financial Assets (Current and Non-Current), Assets Held for Sale (Note 22)</t>
        </r>
      </text>
    </comment>
    <comment ref="D43" authorId="0" shapeId="0" xr:uid="{DFE1B9C0-822B-4241-923B-784D41F6031A}">
      <text>
        <r>
          <rPr>
            <b/>
            <sz val="9"/>
            <color indexed="81"/>
            <rFont val="Tahoma"/>
            <family val="2"/>
          </rPr>
          <t>Corporate Finance Institute:</t>
        </r>
        <r>
          <rPr>
            <sz val="9"/>
            <color indexed="81"/>
            <rFont val="Tahoma"/>
            <family val="2"/>
          </rPr>
          <t xml:space="preserve">
Net of Other Operating Income</t>
        </r>
      </text>
    </comment>
    <comment ref="D61" authorId="0" shapeId="0" xr:uid="{53CB4516-1465-4BB4-9948-7CBA7B1564BD}">
      <text>
        <r>
          <rPr>
            <b/>
            <sz val="9"/>
            <color indexed="81"/>
            <rFont val="Tahoma"/>
            <family val="2"/>
          </rPr>
          <t>Corporate Finance Institute:</t>
        </r>
        <r>
          <rPr>
            <sz val="9"/>
            <color indexed="81"/>
            <rFont val="Tahoma"/>
            <family val="2"/>
          </rPr>
          <t xml:space="preserve">
2022 Annual Report, Note 12</t>
        </r>
      </text>
    </comment>
    <comment ref="D78" authorId="0" shapeId="0" xr:uid="{E5F60F93-61EC-47D0-A859-709BA6B10133}">
      <text>
        <r>
          <rPr>
            <b/>
            <sz val="9"/>
            <color indexed="81"/>
            <rFont val="Tahoma"/>
            <family val="2"/>
          </rPr>
          <t>Corporate Finance Institute:</t>
        </r>
        <r>
          <rPr>
            <sz val="9"/>
            <color indexed="81"/>
            <rFont val="Tahoma"/>
            <family val="2"/>
          </rPr>
          <t xml:space="preserve">
2022 Annual Report, From Income Statement</t>
        </r>
      </text>
    </comment>
    <comment ref="D79" authorId="0" shapeId="0" xr:uid="{1F20DAAB-3165-44F2-AD7B-E413F4372F2A}">
      <text>
        <r>
          <rPr>
            <b/>
            <sz val="9"/>
            <color indexed="81"/>
            <rFont val="Tahoma"/>
            <family val="2"/>
          </rPr>
          <t>Corporate Finance Institute:</t>
        </r>
        <r>
          <rPr>
            <sz val="9"/>
            <color indexed="81"/>
            <rFont val="Tahoma"/>
            <family val="2"/>
          </rPr>
          <t xml:space="preserve">
2022 Annual Report, From Income Statement</t>
        </r>
      </text>
    </comment>
    <comment ref="D80" authorId="0" shapeId="0" xr:uid="{9694A6E2-2865-4A9C-9274-EF6AEA831C93}">
      <text>
        <r>
          <rPr>
            <b/>
            <sz val="9"/>
            <color indexed="81"/>
            <rFont val="Tahoma"/>
            <family val="2"/>
          </rPr>
          <t>Corporate Finance Institute:</t>
        </r>
        <r>
          <rPr>
            <sz val="9"/>
            <color indexed="81"/>
            <rFont val="Tahoma"/>
            <family val="2"/>
          </rPr>
          <t xml:space="preserve">
2022 Annual Report, From Income Statement</t>
        </r>
      </text>
    </comment>
    <comment ref="D124" authorId="0" shapeId="0" xr:uid="{79CE1C93-D164-4ABA-B090-CFFA852C0820}">
      <text>
        <r>
          <rPr>
            <b/>
            <sz val="9"/>
            <color indexed="81"/>
            <rFont val="Tahoma"/>
            <family val="2"/>
          </rPr>
          <t>Corporate Finance Institute:</t>
        </r>
        <r>
          <rPr>
            <sz val="9"/>
            <color indexed="81"/>
            <rFont val="Tahoma"/>
            <family val="2"/>
          </rPr>
          <t xml:space="preserve">
2022 Annual Report, Note 26</t>
        </r>
      </text>
    </comment>
    <comment ref="I125" authorId="0" shapeId="0" xr:uid="{BA30B17A-CCB1-4A7D-A195-6832560FFD97}">
      <text>
        <r>
          <rPr>
            <b/>
            <sz val="9"/>
            <color indexed="81"/>
            <rFont val="Tahoma"/>
            <family val="2"/>
          </rPr>
          <t>Corporate Finance Institute:</t>
        </r>
        <r>
          <rPr>
            <sz val="9"/>
            <color indexed="81"/>
            <rFont val="Tahoma"/>
            <family val="2"/>
          </rPr>
          <t xml:space="preserve">
2022 Annual Report, Note 38 Long-Term Incentive Plan</t>
        </r>
      </text>
    </comment>
    <comment ref="I126" authorId="0" shapeId="0" xr:uid="{867BC48A-989C-4EAB-92E1-03330AB22A1F}">
      <text>
        <r>
          <rPr>
            <b/>
            <sz val="9"/>
            <color indexed="81"/>
            <rFont val="Tahoma"/>
            <family val="2"/>
          </rPr>
          <t>Corporate Finance Institute:</t>
        </r>
        <r>
          <rPr>
            <sz val="9"/>
            <color indexed="81"/>
            <rFont val="Tahoma"/>
            <family val="2"/>
          </rPr>
          <t xml:space="preserve">
2022 Annual Report, Note 38 Deferred Share Awards plus Bonus Share Awards</t>
        </r>
      </text>
    </comment>
    <comment ref="D135" authorId="0" shapeId="0" xr:uid="{2A306DA0-704F-47EC-8955-8667DBA347B3}">
      <text>
        <r>
          <rPr>
            <b/>
            <sz val="9"/>
            <color indexed="81"/>
            <rFont val="Tahoma"/>
            <family val="2"/>
          </rPr>
          <t>Corporate Finance Institute:</t>
        </r>
        <r>
          <rPr>
            <sz val="9"/>
            <color indexed="81"/>
            <rFont val="Tahoma"/>
            <family val="2"/>
          </rPr>
          <t xml:space="preserve">
2022 Annual Report Note 38</t>
        </r>
      </text>
    </comment>
  </commentList>
</comments>
</file>

<file path=xl/sharedStrings.xml><?xml version="1.0" encoding="utf-8"?>
<sst xmlns="http://schemas.openxmlformats.org/spreadsheetml/2006/main" count="436" uniqueCount="190">
  <si>
    <t>Strictly Confidential</t>
  </si>
  <si>
    <t>https://corporatefinanceinstitute.com/</t>
  </si>
  <si>
    <t>Price</t>
  </si>
  <si>
    <t>Net Debt</t>
  </si>
  <si>
    <t>Company Name</t>
  </si>
  <si>
    <t>Average</t>
  </si>
  <si>
    <t>Median</t>
  </si>
  <si>
    <t>Share</t>
  </si>
  <si>
    <t>Enterprise</t>
  </si>
  <si>
    <t>Value</t>
  </si>
  <si>
    <t>Revenue</t>
  </si>
  <si>
    <t>Stock Ticker</t>
  </si>
  <si>
    <t>Current Trading Multiples</t>
  </si>
  <si>
    <t>Exercise</t>
  </si>
  <si>
    <t>Number</t>
  </si>
  <si>
    <t>Proceeds</t>
  </si>
  <si>
    <t>Outstanding</t>
  </si>
  <si>
    <t>Total</t>
  </si>
  <si>
    <t>Table of Contents</t>
  </si>
  <si>
    <t>Unvested</t>
  </si>
  <si>
    <t xml:space="preserve"> </t>
  </si>
  <si>
    <t>Exercised</t>
  </si>
  <si>
    <t>Warrants</t>
  </si>
  <si>
    <t>BAABTAVMT0NBTAFI/////wFQjgAAABRDSVEuLklRX0NPTVBBTllfTkFNRQUAAAAAAAAACAAAABQoSW52YWxpZCBJZGVudGlmaWVyKZA0JXU36dgIoVLouDrp2AgnQ0lRLi5JUV9DQVNIX09QRVJfRVNULkZZMjAyMi4yMDIwLTExLTI0BQAAAAAAAAAIAAAAFChJbnZhbGlkIElkZW50aWZpZXIpkDQldTfp2AiDx+i4OunYCClDSVEuLklRX05JX1JFUE9SVEVEX0VTVC5GWTIwMjIuMjAyMC0xMS0yNAUAAAAAAAAACAAAABQoSW52YWxpZCBJZGVudGlmaWVyKZA0JXU36dgId+7ouDrp2AgkQ0lRLi5JUV9FQklUREFfRVNULkZZMjAyMi4yMDIwLTExLTI0BQAAAAAAAAAIAAAAFChJbnZhbGlkIElkZW50aWZpZXIpelsldTfp2AiDx+i4OunYCCFDSVEuLklRX0NPTlZFUlQuLjIwMjAtMTEtMjQuLi5VU0QFAAAAAAAAAAgAAAAUKEludmFsaWQgSWRlbnRpZmllcil6WyV1N+nYCIPH6Lg66dgIJUNJUS4uSVFfUkVWRU5VRV9FU1QuRlkyMDIyLjIwMjAtMTEtMjQFAAAAAAAAAAgAAAAUKEludmFsaWQgSWRlbnRpZmllcil6WyV1N+nYCI+g6Lg66dgIHkNJUS4uSVFfVE9UQUxfREVCVC4uMjAyMC0xMS0yNAUAAAAAAAAACAAAABQoSW52YWxpZCBJZGVudGlmaWVyKXpbJXU36dgIj6DouDrp2AggQ0lRLi5JUV9MQVNUU0FMRVBSSUNFLjIwMjAtMTEtMjQFAAAAAAAAAAgAAAAUKEludmFsaWQgSWRlbnRpZmllcil6WyV1N+nY</t>
  </si>
  <si>
    <t>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nYCI+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nYCI+g6Lg66dgIKUNJUS4uSVFfTklfUkVQT1JURURfRVNULkZZMjAyMS4yMDIwLTExLTI0BQAAAAAAAAAIAAAAFChJbnZhbGlkIElkZW50aWZpZXIpkDQldTfp2AiDx+i4OunYCClDSVEuTllTRTpTTkFQLklRX0xBU1RTQUxFUFJJQ0UuMjAyMC0xMS0yNAEAAADzz1oNAgAAAAU0NC4yOQDR</t>
  </si>
  <si>
    <t>D+S4OunYCI+g6Lg66dgII0NJUS5OQVNEQVFHUzpFWFBFLklRX0NPTVBBTllfVElDS0VSAQAAAMNxiwEDAAAADU5hc2RhcUdTOkVYUEUA0Q/kuDrp2AiuK+i4OunYCB5DSVEuTllTRTpXTVQuSVFfQ09NUEFOWV9USUNLRVIBAAAA38YEAAMAAAAITllTRTpXTVQA0Q/kuDrp2AihUui4OunYCB1DSVEuTllTRTpTTkFQLklRX0NPTVBBTllfTkFNRQEAAADzz1oNAwAAAAlTbmFwIEluYy4A0Q/kuDrp2Aiaeei4OunYCCFDSVEuTkFTREFRR1M6RkIuSVFfQ09NUEFOWV9USUNLRVIBAAAAF9s8AQMAAAALTmFzZGFxR1M6RkIA0Q/kuDrp2Aiaeei4OunYCCVDSVEuTkFTREFRR1M6R09PRy5MLklRX0NPTVBBTllfVElDS0VSAQAAAKhxAAADAAAAD05hc2RhcUdTOkdPT0cuTADRD+S4OunYCIPH6Lg66dgII0NJUS5OQVNEQVFHUzpFQkFZLklRX0NPTVBBTllfVElDS0VSAQAAANZsAAADAAAADU5hc2RhcUdTOkVCQVkA0Q/kuDrp2AiDx+i4OunYCB9DSVEuTllTRTpUV1RSLklRX0NPTVBBTllfVElDS0VSAQAAALO/JAIDAAAACU5ZU0U6VFdUUgDRD+S4OunYCI+g6Lg66dgII0NJUS5OQVNEQVFHUzpBTVpOLklRX0NPTVBBTllfVElDS0VSAQAAAD1JAAADAAAADU5hc2RhcUdTOkFNWk4A0Q/kuDrp2Ah37ui4OunYCCdDSVEuTllTRTpTTkFQLklRX0NBU0hfRVFVSVYuLjIwMjAtMTEtMjQBAAAA889aDQIAAAAGODI0LjA3AQgA</t>
  </si>
  <si>
    <t>AAAFAAAAATEBAAAACjIwNjUyOTczNzgDAAAAAzE2MAIAAAAEMTA5NgQAAAABMAcAAAAKMTEvMjQvMjAyMAgAAAAJOS8zMC8yMDIwCQAAAAEw0Q/kuDrp2Aiaeei4OunYCCdDSVEuTllTRTpTTkFQLklRX1RPVEFMX0RFQlQuLjIwMjAtMTEtMjQBAAAA889aDQIAAAAIMTk3OC4zNDUBCAAAAAUAAAABMQEAAAAKMjA2NTI5NzM3OAMAAAADMTYwAgAAAAQ0MTczBAAAAAEwBwAAAAoxMS8yNC8yMDIwCAAAAAk5LzMwLzIwMjAJAAAAATDRD+S4OunYCJp56Lg66dgIKkNJUS5OWVNFOlNOQVAuSVFfQ09OVkVSVC4uMjAyMC0xMS0yNC4uLlVTRAEAAADzz1oNAgAAAAgxNjUwLjI0NgEIAAAABQAAAAEyAQAAAAoyMDY1Mjk3Mzc4AwAAAAMxNjACAAAABTIxODM2BAAAAAEwBwAAAAoxMS8yNC8yMDIwCAAAAAk5LzMwLzIwMjAJAAAAATDRD+S4OunYCI+g6Lg66dgIKUNJUS5OWVNFOlNOQVAuSVFfVE9UQUxfRVFVSVRZLi4yMDIwLTExLTI0AQAAAPPPWg0CAAAACDIxOTguNzcxAQgAAAAFAAAAATEBAAAACjIwNjUyOTczNzgDAAAAAzE2MAIAAAAEMTI3NQQAAAABMAcAAAAKMTEvMjQvMjAyMAgAAAAJOS8zMC8yMDIwCQAAAAEw0Q/kuDrp2AiPoOi4OunYCDZDSVEuTllTRTpTTkFQLklRX1RPVEFMX09VVFNUQU5ESU5HX0JTX0RBVEUuLjIwMjAtMTEtMjQBAAAA889aDQIAAAAIMTQ4NC43MTYBBAAAAAUAAAABNQEAAAAKMjA2</t>
  </si>
  <si>
    <t>NTI5NzM3OAIAAAAFMjQxNTIGAAAAATDRD+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t>
  </si>
  <si>
    <t>0Q/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t>
  </si>
  <si>
    <t>Lk5ZU0U6U05BUC5JUV9DQVNIX09QRVJfRVNULkZZMjAyMi4yMDIwLTExLTI0AQAAAPPPWg0CAAAACTkzMy45MzYzNgEOAAAABQAAAAEzAQAAAAEwAgAAAAoxMDAzNjMxNTU4AwAAAAYxMDQwNzYEAAAAATIGAAAAATAHAAAAAzE2MAgAAAABMAkAAAABMQoAAAABMAsAAAALMTIxNTI1MzY1OTgMAAAAATENAAAACjExLzI1LzIwMjAQAAAACjExLzI0LzIwMjDRD+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S4OunYCHfu6Lg66dgIKUNJUS5OWVNFOlRXVFIuSVFfTEFTVFNBTEVQUklDRS4yMDIwLTExLTI0AQAAALO/JAICAAAABTQ1LjIzABo46XU36dgIj6DouDrp2AgtQ0lRLk5BU0RBUUdTOkVCQVkuSVFfTEFTVFNBTEVQUklDRS4yMDIwLTExLTI0AQAAANZsAAACAAAABTUwLjUzABo46XU36dgIbBXpuDrp2AgtQ0lRLk5BU0RBUUdTOkFNWk4uSVFfTEFTVFNBTEVQUklDRS4yMDIwLTExLTI0AQAAAD1JAAACAAAABzMxMTguMDYAGjjpdTfp2AhkPOm4OunYCC9DSVEu</t>
  </si>
  <si>
    <t>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nYCIPH6Lg66dgIIUNJUS5OQVNEQVFHUzpBTVpOLklRX0NPTVBBTllfTkFNRQEAAAA9SQAAAwAAABBBbWF6b24uY29tLCBJbmMuANEP5Lg66dgIZDzpuDrp2AgdQ0lRLk5ZU0U6VFdUUi5JUV9DT01QQU5ZX05BTUUBAAAAs78kAgMAAAANVHdpdHRlciwgSW5jLgDRD+S4OunYCGwV6bg66dgIIUNJUS5OQVNEQVFHUzpFWFBFLklRX0NPTVBBTllfTkFNRQEAAADDcYsBAwAAABNFeHBlZGlhIEdyb3VwLCBJbmMuANEP5Lg66dgIoVLouDrp2AgcQ0lRLk5ZU0U6V01ULklRX0NPTVBBTllfTkFNRQEAAADfxgQAAwAAAAxXYWxtYXJ0IEluYy4A0Q/kuDrp2Aiaeei4OunYCB9DSVEuTkFTREFRR1M6RkIuSVFfQ09NUEFOWV9OQU1FAQAAABfbPAEDAAAADkZhY2Vib29rLCBJ</t>
  </si>
  <si>
    <t>bmMuANEP5Lg66dgIj6DouDrp2AgjQ0lRLk5BU0RBUUdTOkdPT0cuTC5JUV9DT01QQU5ZX05BTUUBAAAAqHEAAAMAAAANQWxwaGFiZXQgSW5jLgDRD+S4OunYCHfu6Lg66dgIIUNJUS5OQVNEQVFHUzpFQkFZLklRX0NPTVBBTllfTkFNRQEAAADWbAAAAwAAAAllQmF5IEluYy4A0Q/kuDrp2Ah37ui4OunYCC5DSVEuTkFTREFRR1M6QU1aTi5JUV9DT05WRVJULi4yMDIwLTExLTI0Li4uVVNEAQAAAD1JAAADAAAAAAAaOOl1N+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JAICAAAACDQzNDguNTU0AQgAAAAFAAAAATEBAAAACjIwNjczNDc2NDUDAAAAAzE2MAIAAAAENDE3MwQAAAABMAcAAAAKMTEvMjQvMjAyMAgAAAAJOS8zMC8yMDIwCQAAAAEwGjjpdTfp2AiDx+i4OunYCCtDSVEuTkFTREFRR1M6QU1aTi5JUV9UT1RBTF9ERUJULi4yMDIwLTExLTI0AQAAAD1JAAACAAAABTk2ODE0AQgAAAAFAAAAATEBAAAACjIwNjcyMzk3OTQDAAAAAzE2MAIAAAAENDE3MwQAAAAB</t>
  </si>
  <si>
    <t>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t>
  </si>
  <si>
    <t>MTYwAgAAAAQxMDk2BAAAAAEwBwAAAAoxMS8yNC8yMDIwCAAAAAk5LzMwLzIwMjAJAAAAATAaOOl1N+nYCGwV6bg66dgIOENJUS5OQVNEQVFHUzpGQi5JUV9UT1RBTF9PVVRTVEFORElOR19CU19EQVRFLi4yMDIwLTExLTI0AQAAABfbPAECAAAABDI4NTABBAAAAAUAAAABNQEAAAAKMjA2NzIzOTczMQIAAAAFMjQxNTIGAAAAATAaOOl1N+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nYCGwV6bg66dgIOkNJUS5OQVNEQVFHUzpFQkFZLklRX1RPVEFMX09VVFNUQU5ESU5HX0JTX0RBVEUuLjIwMjAtMTEtMjQBAAAA1mwAAAIAAAADNjg5AQQA</t>
  </si>
  <si>
    <t>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t>
  </si>
  <si>
    <t>AAABMQEAAAAKMjA2ODM3MzYzMAMAAAADMTYwAgAAAAQxMDk2BAAAAAEwBwAAAAoxMS8yNC8yMDIwCAAAAAk5LzMwLzIwMjAJAAAAATAaOOl1N+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nYCGwV6bg66dgIKENJUS5OWVNFOldNVC5JUV9UT1RBTF9FUVVJVFkuLjIwMjAtMTEtMjQBAAAA38YEAAIAAAAFODc1MDQB</t>
  </si>
  <si>
    <t>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+7ouDrp2Ag6Q0lRLk5BU0RBUUdTOkVYUEUuSVFfVE9UQUxfT1VUU1RBTkRJTkdfQlNfREFURS4uMjAyMC0xMS0yNAEAAADDcYsBAgAAAAoxNDEuNDI5NjQ2AQQAAAAFAAAAATUBAAAACjIwNjgzNzM2MzACAAAABTI0MTUyBgAAAAEw</t>
  </si>
  <si>
    <t>GjjpdTfp2AiDx+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nYCI+g6Lg66dgIL0NJUS5OQVNEQVFHUzpHT09HLkwuSVFfVE9UQUxfRVFVSVRZLi4yMDIwLTExLTI0AQAAAKhxAAACAAAABjIxMjkyMAEIAAAABQAAAAExAQAAAAoyMDY3MjM5ODU3AwAAAAMxNjACAAAABDEyNzUEAAAAATAHAAAACjExLzI0LzIwMjAIAAAACTkvMzAvMjAyMAkAAAABMBo46XU36dgId+7ouDrp2AgtQ0lRLk5BU0RBUUdTOkVYUEUuSVFfVE9UQUxfRVFVSVRZLi4yMDIwLTExLTI0AQAAAMNxiwECAAAABDQxMzQBCAAAAAUAAAABMQEAAAAKMjA2ODM3MzYzMAMAAAADMTYwAgAAAAQxMjc1BAAAAAEwBwAAAAoxMS8yNC8yMDIwCAAAAAk5LzMwLzIwMjAJAAAAATAaOOl1N+nYCHfu6Lg66dgILUNJUS5OQVNEQVFH</t>
  </si>
  <si>
    <t>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nYCHfu6Lg66dgILUNJUS5OWVNFOlRXVFIuSVFfRUJJVERBX0VTVC5GWTIwMjEuMjAyMC0xMS0yNAEAAACzvyQCAgAAAAoxMzQxLjI2MTU4AQ4AAAAFAAAAATMBAAAAATACAAAACjEw</t>
  </si>
  <si>
    <t>MDE5Njk2MDMDAAAABjEwMDE4NwQAAAABMgYAAAABMAcAAAADMTYwCAAAAAEwCQAAAAExCgAAAAEwCwAAAAsxMjE2MTA3MzI5NwwAAAABMQ0AAAAKMTEvMjUvMjAyMBAAAAAKMTEvMjQvMjAyMBo46XU36dgId+7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t>
  </si>
  <si>
    <t>AAEyBgAAAAEwBwAAAAMxNjAIAAAAATAJAAAAATEKAAAAATALAAAACzEyMTYxMDczMjEzDAAAAAExDQAAAAoxMS8yNS8yMDIwEAAAAAoxMS8yNC8yMDIwGjjpdTfp2AiDx+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t>
  </si>
  <si>
    <t>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t>
  </si>
  <si>
    <t>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t>
  </si>
  <si>
    <t>CQAAAAExCgAAAAEwCwAAAAsxMjE2MjI0MjUxMQwAAAABMQ0AAAAKMTEvMjUvMjAyMBAAAAAKMTEvMjQvMjAyMBo46XU36dgId+7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t>
  </si>
  <si>
    <t>MQoAAAABMAsAAAALMTIxMzA3MzA5NjYMAAAAATENAAAACjExLzI1LzIwMjAQAAAACjExLzI0LzIwMjAaOOl1N+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i4OunYCC9DSVEuTkFTREFRR1M6RkIuSVFfRUJJVERBX0VTVC5GWTIwMjEuMjAyMC0xMS0yNAEAAAAX2zwBAgAAAAs1MTQzMy43NjgyMwEOAAAABQAAAAEzAQAAAAEwAgAAAAoxMDAxNTMzMTQzAwAAAAYxMDAxODcEAAAAATIGAAAAATAHAAAAAzE2MAgAAAABMAkAAAABMQoAAAABMAsAAAALMTIxNTU1</t>
  </si>
  <si>
    <t>NjkzMTIMAAAAATENAAAACjExLzI1LzIwMjAQAAAACjExLzI0LzIwMjAaOOl1N+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t>
  </si>
  <si>
    <t>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t>
  </si>
  <si>
    <t>EAAAAAoxMS8yNC8yMDIwGjjpdTfp2AhsFem4OunYCDFDSVEuTllTRTpXTVQuSVFfTklfUkVQT1JURURfRVNULkZZMjAyMS4yMDIwLTExLTI0AQAAAN/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t>
  </si>
  <si>
    <t>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nYCJp56Lg66dgIL0NJUS5OWVNFOldNVC5JUV9DQVNIX09QRVJfRVNULkZZMjAyMS4yMDIwLTExLTI0AQAAAN/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nY</t>
  </si>
  <si>
    <t>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t>
  </si>
  <si>
    <t>REFRR1M6R09PRy5MLklRX0NBU0hfT1BFUl9FU1QuRlkyMDIyLjIwMjAtMTEtMjQBAAAAqHEAAAIAAAAKODM0ODAuOTA5OQEOAAAABQAAAAEzAQAAAAEwAgAAAAoxMDAxNTA5OTI1AwAAAAYxMDQwNzYEAAAAATIGAAAAATAHAAAAAzE2MAgAAAABMAkAAAABMQoAAAABMAsAAAALMTIyMDc1MzYyNjgMAAAAATENAAAACjExLzI1LzIwMjAQAAAACjExLzI0LzIwMjAaOOl1N+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nYCI+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t>
  </si>
  <si>
    <t>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nYCI+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t>
  </si>
  <si>
    <t>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nYCIPH6Lg66dgINENJUS5OQVNEQVFHUzpF</t>
  </si>
  <si>
    <t>WFBFLklRX0NBU0hfT1BFUl9FU1QuRlkyMDIyLjIwMjAtMTEtMjQBAAAAw3GLAQIAAAAKMjc5Mi4wODY2NwEOAAAABQAAAAEzAQAAAAEwAgAAAAoxMDAxNzMwNzA4AwAAAAYxMDQwNzYEAAAAATIGAAAAATAHAAAAAzE2MAgAAAABMAkAAAABMQoAAAABMAsAAAALMTIxNTk4OTk2OTYMAAAAATENAAAACjExLzI1LzIwMjAQAAAACjExLzI0LzIwMjAaOOl1N+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+7ouDrp2AgtQ0lRLk5ZU0U6V01ULklRX1JFVkVOVUVfRVNULkZZMjAyMS4yMDIwLTExLTI0AQAAAN/GBAACAAAADDU1MTQ5OS45NDA4NwEOAAAABQAAAAEzAQAAAAEwAgAAAAoxMDAxODE4NTkzAwAAAAYxMDAxODAEAAAAATIGAAAAATAHAAAAAzE2MAgAAAABMAkAAAABMQoAAAABMAsAAAALMTIxNjIzOTY4NTMMAAAAATENAAAACjExLzI1LzIwMjAQAAAACjExLzI0LzIwMjAaOOl1N+nYCHfu6Lg66dgINkNJUS5OQVNEQVFHUzpFQkFZLklRX05J</t>
  </si>
  <si>
    <t>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JAICAAAACjE2NTYuODE0ODMBDgAAAAUAAAABMwEAAAABMAIAAAAKMTAwMTk2OTY1NQMAAAAGMTAwMTg3BAAAAAEyBgAAAAEwBwAAAAMxNjAIAAAAATAJAAAAATEKAAAAATALAAAACzEyMTYxMDczMTAzDAAAAAExDQAAAAoxMS8yNS8yMDIwEAAAAAoxMS8yNC8yMDIwGjjpdTfp2AiDx+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t>
  </si>
  <si>
    <t>MjIuMjAyMC0xMS0yNAEAAAA9SQAAAgAAAAs4NzE0OS42Nzg1NwEOAAAABQAAAAEzAQAAAAEwAgAAAAoxMDAxMzA5NTIzAwAAAAYxMDQwNzYEAAAAATIGAAAAATAHAAAAAzE2MAgAAAABMAkAAAABMQoAAAABMAsAAAALMTIxNDgxNzIzNDQMAAAAATENAAAACjExLzI1LzIwMjAQAAAACjExLzI0LzIwMjAaOOl1N+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nYCHfu6Lg66dgIMkNJUS5OWVNFOlRXVFIuSVFfTklfUkVQT1JURURfRVNULkZZMjAyMS4yMDIwLTExLTI0AQAAALO/JAICAAAACTIxNi40NTM5NAEOAAAABQAAAAEzAQAAAAEwAgAAAAoxMDAxOTY5NjAzAwAAAAYxMDAyNjQEAAAAATIGAAAAATAHAAAAAzE2MAgAAAABMAkAAAABMQoAAAABMAsAAAALMTIxNjEwNzMyNDMMAAAAATENAAAACjExLzI1LzIwMjAQAAAACjExLzI0LzIwMjAaOOl1N+nYCIPH6Lg66dgILENJUS5OWVNFOldNVC5JUV9FQklUREFfRVNULkZZMjAyMS4yMDIwLTExLTI0AQAA</t>
  </si>
  <si>
    <t>AN/GBAACAAAACzM0OTg2LjMwOTk5AQ4AAAAFAAAAATMBAAAAATACAAAACjEwMDE4MTg1OTMDAAAABjEwMDE4NwQAAAABMgYAAAABMAcAAAADMTYwCAAAAAEwCQAAAAExCgAAAAEwCwAAAAsxMjE2MDAxOTY3NAwAAAABMQ0AAAAKMTEvMjUvMjAyMBAAAAAKMTEvMjQvMjAyMBo46XU36dgId+7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nYCIPH6Lg66dgI</t>
  </si>
  <si>
    <t>© 2015 to 2022 CFI Education Inc.</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</si>
  <si>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</si>
  <si>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</si>
  <si>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</si>
  <si>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</si>
  <si>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</si>
  <si>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Basic Shares Outstanding</t>
  </si>
  <si>
    <t xml:space="preserve">Options </t>
  </si>
  <si>
    <t>Number of Additional Shares Issued</t>
  </si>
  <si>
    <t>Analysis Date</t>
  </si>
  <si>
    <t>Maximum</t>
  </si>
  <si>
    <t>Minimum</t>
  </si>
  <si>
    <t xml:space="preserve">Fully Diluted Shares Outstanding </t>
  </si>
  <si>
    <t>Summary</t>
  </si>
  <si>
    <t>LTM</t>
  </si>
  <si>
    <t>Fiscal Year</t>
  </si>
  <si>
    <t>EV / EBITDA</t>
  </si>
  <si>
    <t>Stock Options - Tranche 1</t>
  </si>
  <si>
    <t>Stock Options - Tranche 2</t>
  </si>
  <si>
    <t>Stock Options - Tranche 3</t>
  </si>
  <si>
    <t>Stock Options - Tranche 4</t>
  </si>
  <si>
    <t>Latest</t>
  </si>
  <si>
    <t>Comparable Trading Analysis</t>
  </si>
  <si>
    <t>(YYYY-MM-DD)</t>
  </si>
  <si>
    <t>Company</t>
  </si>
  <si>
    <t xml:space="preserve">Forecast metrics based on Consensus research estimates. Last twelve months (LTM) based on actuals. </t>
  </si>
  <si>
    <t>Restricted Stock Units (RSUs)</t>
  </si>
  <si>
    <t>Dilution From Unvested Stock Awards</t>
  </si>
  <si>
    <t>ITM?</t>
  </si>
  <si>
    <t>Shares Outstanding</t>
  </si>
  <si>
    <t>Options &amp; Warrants</t>
  </si>
  <si>
    <t>In-the-Money Options</t>
  </si>
  <si>
    <t>Less: Shares Repurchased by Treasury</t>
  </si>
  <si>
    <t>Current</t>
  </si>
  <si>
    <t>Previous</t>
  </si>
  <si>
    <t>Plus: Preferred Stock</t>
  </si>
  <si>
    <t>Plus: Net Debt</t>
  </si>
  <si>
    <t>Plus: Non-Controlling Interest</t>
  </si>
  <si>
    <t>Enterprise Value</t>
  </si>
  <si>
    <t>Less: Cash &amp; Cash Equivalents</t>
  </si>
  <si>
    <t>Price / Earnings</t>
  </si>
  <si>
    <t>EPS Denominator Adjustment</t>
  </si>
  <si>
    <t>Cost of Sales</t>
  </si>
  <si>
    <t>Gross Profit</t>
  </si>
  <si>
    <t>Finance Cost, net</t>
  </si>
  <si>
    <t>Taxes</t>
  </si>
  <si>
    <t>Net Income to Company</t>
  </si>
  <si>
    <t>Weighted Average Diluted Shares</t>
  </si>
  <si>
    <t>Operating Income (EBIT)</t>
  </si>
  <si>
    <t>EBIT</t>
  </si>
  <si>
    <t>Earnings Before Tax (EBT)</t>
  </si>
  <si>
    <t>Tax Impact of Adjustments</t>
  </si>
  <si>
    <t>Amounts included in Non-operating (Income)/Expense</t>
  </si>
  <si>
    <t>Consolidated Net Income</t>
  </si>
  <si>
    <t>Stock Options - Tranche 5</t>
  </si>
  <si>
    <t>Stock Options - Tranche 6</t>
  </si>
  <si>
    <t>Market</t>
  </si>
  <si>
    <t>Cap</t>
  </si>
  <si>
    <t>Selling, General &amp; Administrative</t>
  </si>
  <si>
    <t>Stock Options - Tranche 7</t>
  </si>
  <si>
    <t>Stock Options - Tranche 8</t>
  </si>
  <si>
    <t>All figures in GBP millions unless stated</t>
  </si>
  <si>
    <t>Tesco PLC</t>
  </si>
  <si>
    <t>GBP/sh</t>
  </si>
  <si>
    <t>(Profit)/Loss from Discontinued Operations</t>
  </si>
  <si>
    <t>Performance Shares</t>
  </si>
  <si>
    <t>Other</t>
  </si>
  <si>
    <t>Less: Investments, Securities, Other</t>
  </si>
  <si>
    <t xml:space="preserve">Use the 'cumulative quarter' or 'semi-annual' amount like 6-months ending instead of 3-months ending. </t>
  </si>
  <si>
    <t>100 pence = 1 GBP</t>
  </si>
  <si>
    <t>P / E</t>
  </si>
  <si>
    <r>
      <t xml:space="preserve">EBITDA </t>
    </r>
    <r>
      <rPr>
        <b/>
        <vertAlign val="superscript"/>
        <sz val="10"/>
        <color rgb="FF000000"/>
        <rFont val="Open Sans"/>
        <family val="2"/>
      </rPr>
      <t>1</t>
    </r>
  </si>
  <si>
    <r>
      <t xml:space="preserve">Dilution From Options &amp; Dilutive Securities </t>
    </r>
    <r>
      <rPr>
        <vertAlign val="superscript"/>
        <sz val="10"/>
        <color theme="1"/>
        <rFont val="Open Sans"/>
        <family val="2"/>
      </rPr>
      <t>1</t>
    </r>
  </si>
  <si>
    <t>EBITDA</t>
  </si>
  <si>
    <t>Total Debt</t>
  </si>
  <si>
    <t>Current Borrowings</t>
  </si>
  <si>
    <t>Non-Current Borrowings</t>
  </si>
  <si>
    <t>Other Debt</t>
  </si>
  <si>
    <t>LSE: TSCO</t>
  </si>
  <si>
    <r>
      <t xml:space="preserve">YTD </t>
    </r>
    <r>
      <rPr>
        <b/>
        <vertAlign val="superscript"/>
        <sz val="10"/>
        <color rgb="FF000000"/>
        <rFont val="Open Sans"/>
        <family val="2"/>
      </rPr>
      <t>1</t>
    </r>
  </si>
  <si>
    <t>Enterprise Value / Revenue</t>
  </si>
  <si>
    <t>Enterprise Value / EBITDA</t>
  </si>
  <si>
    <t>Target Company</t>
  </si>
  <si>
    <t>Max</t>
  </si>
  <si>
    <t>Min</t>
  </si>
  <si>
    <t>EPS</t>
  </si>
  <si>
    <t>EBITDA-Implied Share Price</t>
  </si>
  <si>
    <t>P/E-Implied Share Price</t>
  </si>
  <si>
    <t>For the chart</t>
  </si>
  <si>
    <t>Delta</t>
  </si>
  <si>
    <t>na</t>
  </si>
  <si>
    <t>LSE: SBRY</t>
  </si>
  <si>
    <t>J Sainsbury plc</t>
  </si>
  <si>
    <t>Finance, Other Non-Operating Income</t>
  </si>
  <si>
    <t xml:space="preserve">Normalization refers to non-recurring/adjusting items in a company's financials. Also may be called Non-IFRS, Non-GAAP or Non-underlying. </t>
  </si>
  <si>
    <t xml:space="preserve">Not applicable since we have EBITDA estimates. </t>
  </si>
  <si>
    <r>
      <t xml:space="preserve">Normalization Adjustments </t>
    </r>
    <r>
      <rPr>
        <b/>
        <vertAlign val="superscript"/>
        <sz val="10"/>
        <color theme="1"/>
        <rFont val="Open Sans"/>
        <family val="2"/>
      </rPr>
      <t>1</t>
    </r>
  </si>
  <si>
    <t>Tesco (TSCO)</t>
  </si>
  <si>
    <t>Sainsbury (SBRY)</t>
  </si>
  <si>
    <t>LTM
EV / EBITDA</t>
  </si>
  <si>
    <t>LTM
P / E</t>
  </si>
  <si>
    <t>Target Company: Implied Share Price</t>
  </si>
  <si>
    <t>Next Fiscal Year</t>
  </si>
  <si>
    <t xml:space="preserve">FY = Fiscal Year.    </t>
  </si>
  <si>
    <t xml:space="preserve">EPS = Earnings Per Share.    </t>
  </si>
  <si>
    <r>
      <t xml:space="preserve">EPS </t>
    </r>
    <r>
      <rPr>
        <b/>
        <vertAlign val="superscript"/>
        <sz val="10"/>
        <color rgb="FF000000"/>
        <rFont val="Open Sans"/>
        <family val="2"/>
      </rPr>
      <t>1</t>
    </r>
  </si>
  <si>
    <t>Averages</t>
  </si>
  <si>
    <t>Company Information</t>
  </si>
  <si>
    <t>Market Capitalization</t>
  </si>
  <si>
    <t>Less: Investments in Affiliates / JVs</t>
  </si>
  <si>
    <t>(GBP/sh)</t>
  </si>
  <si>
    <t>(FD mm)</t>
  </si>
  <si>
    <t>(FD)</t>
  </si>
  <si>
    <t>Share Price</t>
  </si>
  <si>
    <t>Plus: Lease Liabilities (Current &amp; Non-Current)</t>
  </si>
  <si>
    <t>Income Statement</t>
  </si>
  <si>
    <t>Non-Controlling Interest</t>
  </si>
  <si>
    <t xml:space="preserve">YTD </t>
  </si>
  <si>
    <r>
      <t xml:space="preserve">Income from Equity Investments </t>
    </r>
    <r>
      <rPr>
        <vertAlign val="superscript"/>
        <sz val="10"/>
        <color theme="1"/>
        <rFont val="Open Sans"/>
        <family val="2"/>
      </rPr>
      <t>2</t>
    </r>
  </si>
  <si>
    <t xml:space="preserve">Income from Equity Investments also includes income from unconsolidated affiliates and joint ventures (JVs). </t>
  </si>
  <si>
    <t xml:space="preserve">These figures also include Non-GAAP estimates. </t>
  </si>
  <si>
    <r>
      <t xml:space="preserve">Amounts included in Operating (Income)/Expense </t>
    </r>
    <r>
      <rPr>
        <vertAlign val="superscript"/>
        <sz val="10"/>
        <color theme="1"/>
        <rFont val="Open Sans"/>
        <family val="2"/>
      </rPr>
      <t>2</t>
    </r>
  </si>
  <si>
    <t xml:space="preserve">Adjustments include items in COGS and SG&amp;A. </t>
  </si>
  <si>
    <r>
      <t xml:space="preserve">Non-IFRS Metrics &amp; Analyst Estimates </t>
    </r>
    <r>
      <rPr>
        <b/>
        <vertAlign val="superscript"/>
        <sz val="10"/>
        <color theme="1"/>
        <rFont val="Open Sans"/>
        <family val="2"/>
      </rPr>
      <t>3</t>
    </r>
  </si>
  <si>
    <r>
      <t xml:space="preserve">Depreciation &amp; Amortization </t>
    </r>
    <r>
      <rPr>
        <vertAlign val="superscript"/>
        <sz val="10"/>
        <color theme="1"/>
        <rFont val="Open Sans"/>
        <family val="2"/>
      </rPr>
      <t>4</t>
    </r>
  </si>
  <si>
    <r>
      <t xml:space="preserve">Net Income to Company </t>
    </r>
    <r>
      <rPr>
        <vertAlign val="superscript"/>
        <sz val="10"/>
        <color theme="1"/>
        <rFont val="Open Sans"/>
        <family val="2"/>
      </rPr>
      <t>5</t>
    </r>
  </si>
  <si>
    <t xml:space="preserve">This should reflect the Continuing Net Income attributable to the Company. </t>
  </si>
  <si>
    <t>Diluted EPS</t>
  </si>
  <si>
    <t>EPS Numerator Adjustment</t>
  </si>
  <si>
    <t>(mm)</t>
  </si>
  <si>
    <t>Other Stock Awards</t>
  </si>
  <si>
    <t>Amount</t>
  </si>
  <si>
    <t xml:space="preserve">Calculated using the Treasury Stock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</si>
</sst>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5" formatCode="&quot;$&quot;#,##0_);\(&quot;$&quot;#,##0\)"/>
    <numFmt numFmtId="43" formatCode="_(* #,##0.00_);_(* \(#,##0.00\);_(* &quot;-&quot;??_);_(@_)"/>
    <numFmt numFmtId="164" formatCode="_-* #,##0.00_-;\-* #,##0.00_-;_-* &quot;-&quot;??_-;_-@_-"/>
    <numFmt numFmtId="165" formatCode="0.0\x"/>
    <numFmt numFmtId="166" formatCode="#,##0.0_ ;\-#,##0.0\ "/>
    <numFmt numFmtId="167" formatCode="0.0%"/>
    <numFmt numFmtId="168" formatCode="_(#,##0_)_%;\(#,##0\)_%;_(&quot;–&quot;_)_%;_(@_)_%"/>
    <numFmt numFmtId="169" formatCode="#,##0_);\(#,##0\);\-"/>
    <numFmt numFmtId="170" formatCode="_(#,##0_);\(#,##0\);_(&quot;–&quot;_);_(@_)"/>
    <numFmt numFmtId="171" formatCode="0&quot;A&quot;"/>
    <numFmt numFmtId="172" formatCode="0&quot;E&quot;"/>
    <numFmt numFmtId="173" formatCode="_(#,##0.0_);\(#,##0.0\);_(&quot;–&quot;_);_(@_)"/>
    <numFmt numFmtId="174" formatCode="#,##0_ ;\-#,##0\ "/>
    <numFmt numFmtId="175" formatCode="@\⁽\³\⁾"/>
    <numFmt numFmtId="176" formatCode="@\⁽\¹\⁾"/>
    <numFmt numFmtId="177" formatCode="@\⁽\²\⁾"/>
    <numFmt numFmtId="178" formatCode="0.00\⁽\⁶\⁾"/>
    <numFmt numFmtId="179" formatCode="#,##0.0_);\(#,##0.0\);\-"/>
    <numFmt numFmtId="180" formatCode="_(0.0\x_);\(0.0\x\);_(&quot;–&quot;_);_(@_)"/>
    <numFmt numFmtId="181" formatCode="#,##0.00_);\(#,##0.00\);\-"/>
    <numFmt numFmtId="182" formatCode="#,##0.00_ ;\-#,##0.00\ "/>
    <numFmt numFmtId="183" formatCode="_(#,##0.00_);\(#,##0.00\);_(&quot;–&quot;_);_(@_)"/>
    <numFmt numFmtId="184" formatCode="yyyy/mm/dd;@"/>
    <numFmt numFmtId="185" formatCode="_(#,##0.0000_);\(#,##0.0000\);_(&quot;–&quot;_);_(@_)"/>
    <numFmt numFmtId="186" formatCode="_(#,##0.00000_);\(#,##0.00000\);_(&quot;–&quot;_);_(@_)"/>
    <numFmt numFmtId="187" formatCode="_(#,##0.00%_);\(#,##0.00%\);_(&quot;–&quot;_)_%;_(@_)_%"/>
    <numFmt numFmtId="188" formatCode="#,##0.0_);\(#,##0.0\)"/>
    <numFmt numFmtId="189" formatCode="&quot;Yes&quot;_);&quot;ERROR&quot;_);&quot;No&quot;_);&quot;ERROR&quot;_)"/>
    <numFmt numFmtId="190" formatCode="#,##0.0000_);\(#,##0.0000\);\-"/>
    <numFmt numFmtId="191" formatCode="_-* #,##0_-;\(#,##0\)_-;_-* &quot;-&quot;_-;_-@_-"/>
    <numFmt numFmtId="192" formatCode="_(#,##0.000_);\(#,##0.000\);_(&quot;–&quot;_);_(@_)"/>
    <numFmt numFmtId="193" formatCode="0000"/>
    <numFmt numFmtId="194" formatCode="&quot;FY &quot;0000_)"/>
    <numFmt numFmtId="195" formatCode="yyyy/mm/dd_);@"/>
    <numFmt numFmtId="196" formatCode="@\⁽\⁴\⁾"/>
    <numFmt numFmtId="197" formatCode="@\⁽\⁵\⁾"/>
  </numFmts>
  <fonts count="68">
    <font>
      <sz val="11"/>
      <color theme="1"/>
      <name val="Calibri"/>
      <family val="2"/>
      <scheme val="minor"/>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1"/>
      <color theme="1"/>
      <name val="Calibri"/>
      <family val="2"/>
      <scheme val="minor"/>
    </font>
    <font>
      <u/>
      <sz val="10"/>
      <color theme="10"/>
      <name val="Arial"/>
      <family val="2"/>
    </font>
    <font>
      <sz val="10"/>
      <name val="Arial"/>
      <family val="2"/>
    </font>
    <font>
      <sz val="11"/>
      <color theme="1"/>
      <name val="Arial Narrow"/>
      <family val="2"/>
    </font>
    <font>
      <b/>
      <sz val="10"/>
      <color theme="0"/>
      <name val="Open Sans"/>
      <family val="2"/>
    </font>
    <font>
      <b/>
      <sz val="10"/>
      <color theme="1"/>
      <name val="Open Sans"/>
      <family val="2"/>
    </font>
    <font>
      <sz val="10"/>
      <color theme="0"/>
      <name val="Open Sans"/>
      <family val="2"/>
    </font>
    <font>
      <sz val="11"/>
      <color theme="1"/>
      <name val="Open Sans"/>
      <family val="2"/>
    </font>
    <font>
      <b/>
      <sz val="20"/>
      <color rgb="FF4472C4"/>
      <name val="Open Sans"/>
      <family val="2"/>
    </font>
    <font>
      <b/>
      <sz val="14"/>
      <color rgb="FF132E57"/>
      <name val="Open Sans"/>
      <family val="2"/>
    </font>
    <font>
      <b/>
      <sz val="11"/>
      <color theme="1"/>
      <name val="Open Sans"/>
      <family val="2"/>
    </font>
    <font>
      <sz val="10"/>
      <name val="Open Sans"/>
      <family val="2"/>
    </font>
    <font>
      <sz val="12"/>
      <color theme="1"/>
      <name val="Open Sans"/>
      <family val="2"/>
    </font>
    <font>
      <b/>
      <sz val="12"/>
      <color theme="0"/>
      <name val="Open Sans"/>
      <family val="2"/>
    </font>
    <font>
      <sz val="11"/>
      <color theme="0"/>
      <name val="Open Sans"/>
      <family val="2"/>
    </font>
    <font>
      <i/>
      <sz val="10"/>
      <color theme="0"/>
      <name val="Open Sans"/>
      <family val="2"/>
    </font>
    <font>
      <b/>
      <sz val="10"/>
      <name val="Open Sans"/>
      <family val="2"/>
    </font>
    <font>
      <i/>
      <sz val="10"/>
      <name val="Open Sans"/>
      <family val="2"/>
    </font>
    <font>
      <b/>
      <sz val="10"/>
      <color rgb="FF000000"/>
      <name val="Open Sans"/>
      <family val="2"/>
    </font>
    <font>
      <sz val="10"/>
      <color rgb="FF000000"/>
      <name val="Open Sans"/>
      <family val="2"/>
    </font>
    <font>
      <i/>
      <sz val="9"/>
      <name val="Open Sans"/>
      <family val="2"/>
    </font>
    <font>
      <b/>
      <sz val="14"/>
      <color rgb="FF3271D2"/>
      <name val="Open Sans"/>
      <family val="2"/>
    </font>
    <font>
      <sz val="10"/>
      <color rgb="FF3271D2"/>
      <name val="Open Sans"/>
      <family val="2"/>
    </font>
    <font>
      <u/>
      <sz val="11"/>
      <color theme="10"/>
      <name val="Calibri"/>
      <family val="2"/>
      <scheme val="minor"/>
    </font>
    <font>
      <u/>
      <sz val="12"/>
      <color rgb="FF3271D2"/>
      <name val="Open Sans"/>
      <family val="2"/>
    </font>
    <font>
      <b/>
      <vertAlign val="superscript"/>
      <sz val="10"/>
      <color rgb="FF000000"/>
      <name val="Open Sans"/>
      <family val="2"/>
    </font>
    <font>
      <vertAlign val="superscript"/>
      <sz val="10"/>
      <color theme="1"/>
      <name val="Open Sans"/>
      <family val="2"/>
    </font>
    <font>
      <sz val="8"/>
      <color theme="1"/>
      <name val="Open Sans"/>
      <family val="2"/>
    </font>
    <font>
      <b/>
      <sz val="14"/>
      <color rgb="FFC32838"/>
      <name val="Open Sans"/>
      <family val="2"/>
    </font>
    <font>
      <sz val="10"/>
      <color rgb="FFC32838"/>
      <name val="Open Sans"/>
      <family val="2"/>
    </font>
    <font>
      <sz val="9"/>
      <color indexed="81"/>
      <name val="Tahoma"/>
      <family val="2"/>
    </font>
    <font>
      <b/>
      <sz val="9"/>
      <color indexed="81"/>
      <name val="Tahoma"/>
      <family val="2"/>
    </font>
    <font>
      <b/>
      <vertAlign val="superscript"/>
      <sz val="10"/>
      <color theme="1"/>
      <name val="Open Sans"/>
      <family val="2"/>
    </font>
    <font>
      <sz val="11"/>
      <name val="Open Sans"/>
      <family val="2"/>
    </font>
    <font>
      <b/>
      <sz val="16"/>
      <color theme="0"/>
      <name val="Open Sans"/>
      <family val="2"/>
    </font>
    <font>
      <sz val="10"/>
      <name val="Bookman"/>
      <family val="1"/>
    </font>
    <font>
      <i/>
      <sz val="11"/>
      <color theme="1"/>
      <name val="Open Sans"/>
      <family val="2"/>
    </font>
    <font>
      <b/>
      <sz val="11"/>
      <color rgb="FFFA621C"/>
      <name val="Calibri"/>
      <family val="2"/>
      <scheme val="minor"/>
    </font>
    <font>
      <sz val="11"/>
      <color rgb="FFFA621C"/>
      <name val="Calibri"/>
      <family val="2"/>
      <scheme val="minor"/>
    </font>
    <font>
      <i/>
      <sz val="8"/>
      <color theme="1"/>
      <name val="Open Sans"/>
      <family val="2"/>
    </font>
    <font>
      <sz val="11"/>
      <color rgb="FF000000"/>
      <name val="Open Sans"/>
      <family val="2"/>
    </font>
  </fonts>
  <fills count="6">
    <fill>
      <patternFill patternType="none"/>
    </fill>
    <fill>
      <patternFill patternType="gray125"/>
    </fill>
    <fill>
      <patternFill patternType="solid">
        <fgColor rgb="FF132E57"/>
        <bgColor indexed="64"/>
      </patternFill>
    </fill>
    <fill>
      <patternFill patternType="solid">
        <fgColor rgb="FF4472C4"/>
        <bgColor indexed="64"/>
      </patternFill>
    </fill>
    <fill>
      <patternFill patternType="solid">
        <fgColor rgb="FFD9E5F7"/>
        <bgColor rgb="FF000000"/>
      </patternFill>
    </fill>
    <fill>
      <patternFill patternType="solid">
        <fgColor indexed="65"/>
        <bgColor indexed="64"/>
      </patternFill>
    </fill>
  </fills>
  <borders count="26">
    <border>
      <left/>
      <right/>
      <top/>
      <bottom/>
      <diagonal/>
    </border>
    <border>
      <left/>
      <right/>
      <top/>
      <bottom style="thin">
        <color indexed="64"/>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
      <left/>
      <right/>
      <top/>
      <bottom style="hair">
        <color rgb="FF000000"/>
      </bottom>
      <diagonal/>
    </border>
    <border>
      <left/>
      <right/>
      <top style="hair">
        <color rgb="FF000000"/>
      </top>
      <bottom/>
      <diagonal/>
    </border>
    <border>
      <left style="hair">
        <color rgb="FF000000"/>
      </left>
      <right/>
      <top/>
      <bottom/>
      <diagonal/>
    </border>
    <border>
      <left style="hair">
        <color rgb="FF000000"/>
      </left>
      <right/>
      <top/>
      <bottom style="hair">
        <color rgb="FF000000"/>
      </bottom>
      <diagonal/>
    </border>
    <border>
      <left/>
      <right/>
      <top style="thin">
        <color rgb="FF000000"/>
      </top>
      <bottom style="medium">
        <color rgb="FF000000"/>
      </bottom>
      <diagonal/>
    </border>
    <border>
      <left/>
      <right style="hair">
        <color rgb="FF000000"/>
      </right>
      <top/>
      <bottom/>
      <diagonal/>
    </border>
    <border>
      <left/>
      <right style="hair">
        <color rgb="FF000000"/>
      </right>
      <top/>
      <bottom style="hair">
        <color rgb="FF000000"/>
      </bottom>
      <diagonal/>
    </border>
    <border>
      <left/>
      <right/>
      <top style="hair">
        <color rgb="FF000000"/>
      </top>
      <bottom style="hair">
        <color rgb="FF000000"/>
      </bottom>
      <diagonal/>
    </border>
    <border>
      <left/>
      <right/>
      <top style="thin">
        <color rgb="FF000000"/>
      </top>
      <bottom/>
      <diagonal/>
    </border>
    <border>
      <left/>
      <right/>
      <top style="medium">
        <color rgb="FF000000"/>
      </top>
      <bottom/>
      <diagonal/>
    </border>
    <border>
      <left style="hair">
        <color rgb="FF3271D2"/>
      </left>
      <right/>
      <top style="hair">
        <color rgb="FF3271D2"/>
      </top>
      <bottom/>
      <diagonal/>
    </border>
    <border>
      <left/>
      <right/>
      <top style="hair">
        <color rgb="FF3271D2"/>
      </top>
      <bottom/>
      <diagonal/>
    </border>
    <border>
      <left style="thin">
        <color rgb="FF3271D2"/>
      </left>
      <right/>
      <top style="thin">
        <color rgb="FF3271D2"/>
      </top>
      <bottom/>
      <diagonal/>
    </border>
    <border>
      <left style="thin">
        <color rgb="FF3271D2"/>
      </left>
      <right/>
      <top/>
      <bottom/>
      <diagonal/>
    </border>
    <border>
      <left style="hair">
        <color rgb="FF3271D2"/>
      </left>
      <right/>
      <top/>
      <bottom/>
      <diagonal/>
    </border>
    <border>
      <left/>
      <right/>
      <top style="thin">
        <color rgb="FF3271D2"/>
      </top>
      <bottom/>
      <diagonal/>
    </border>
  </borders>
  <cellStyleXfs count="11">
    <xf numFmtId="0" fontId="0" fillId="0" borderId="0"/>
    <xf numFmtId="9" fontId="27" fillId="0" borderId="0" applyFont="0" applyFill="0" applyBorder="0" applyAlignment="0" applyProtection="0"/>
    <xf numFmtId="0" fontId="27" fillId="0" borderId="0"/>
    <xf numFmtId="0" fontId="28" fillId="0" borderId="0" applyNumberFormat="0" applyFill="0" applyBorder="0" applyAlignment="0" applyProtection="0"/>
    <xf numFmtId="0" fontId="29" fillId="0" borderId="0"/>
    <xf numFmtId="164" fontId="27" fillId="0" borderId="0" applyFont="0" applyFill="0" applyBorder="0" applyAlignment="0" applyProtection="0"/>
    <xf numFmtId="0" fontId="29" fillId="0" borderId="0"/>
    <xf numFmtId="43" fontId="30" fillId="0" borderId="0" applyFont="0" applyFill="0" applyBorder="0" applyAlignment="0" applyProtection="0"/>
    <xf numFmtId="0" fontId="50" fillId="0" borderId="0" applyNumberFormat="0" applyFill="0" applyBorder="0" applyAlignment="0" applyProtection="0"/>
    <xf numFmtId="0" fontId="11" fillId="0" borderId="0"/>
    <xf numFmtId="164" fontId="62" fillId="0" borderId="0" applyFont="0" applyFill="0" applyBorder="0" applyAlignment="0" applyProtection="0"/>
  </cellStyleXfs>
  <cellXfs count="393">
    <xf numFmtId="0" fontId="0" fillId="0" borderId="0" xfId="0"/>
    <xf numFmtId="0" fontId="34" fillId="0" borderId="0" xfId="2" applyNumberFormat="1" applyFont="1"/>
    <xf numFmtId="0" fontId="34" fillId="0" borderId="0" xfId="2" applyFont="1"/>
    <xf numFmtId="0" fontId="34" fillId="2" borderId="2" xfId="2" applyFont="1" applyFill="1" applyBorder="1"/>
    <xf numFmtId="0" fontId="34" fillId="2" borderId="3" xfId="2" applyFont="1" applyFill="1" applyBorder="1"/>
    <xf numFmtId="0" fontId="34" fillId="2" borderId="4" xfId="2" applyFont="1" applyFill="1" applyBorder="1"/>
    <xf numFmtId="0" fontId="34" fillId="2" borderId="5" xfId="2" applyFont="1" applyFill="1" applyBorder="1"/>
    <xf numFmtId="0" fontId="34" fillId="2" borderId="0" xfId="2" applyFont="1" applyFill="1"/>
    <xf numFmtId="0" fontId="34" fillId="2" borderId="6" xfId="2" applyFont="1" applyFill="1" applyBorder="1"/>
    <xf numFmtId="0" fontId="34" fillId="0" borderId="5" xfId="2" applyFont="1" applyBorder="1"/>
    <xf numFmtId="0" fontId="34" fillId="0" borderId="6" xfId="2" applyFont="1" applyBorder="1"/>
    <xf numFmtId="0" fontId="35" fillId="0" borderId="0" xfId="2" applyFont="1" applyProtection="1">
      <protection locked="0"/>
    </xf>
    <xf numFmtId="0" fontId="36" fillId="0" borderId="0" xfId="2" applyFont="1" applyAlignment="1">
      <alignment horizontal="right"/>
    </xf>
    <xf numFmtId="0" fontId="27" fillId="0" borderId="0" xfId="2" applyProtection="1">
      <protection locked="0"/>
    </xf>
    <xf numFmtId="0" fontId="37" fillId="0" borderId="0" xfId="2" applyFont="1"/>
    <xf numFmtId="0" fontId="36" fillId="0" borderId="1" xfId="2" applyFont="1" applyBorder="1" applyProtection="1">
      <protection locked="0"/>
    </xf>
    <xf numFmtId="0" fontId="26" fillId="0" borderId="0" xfId="2" applyFont="1"/>
    <xf numFmtId="0" fontId="27" fillId="0" borderId="0" xfId="2"/>
    <xf numFmtId="168" fontId="39" fillId="0" borderId="0" xfId="2" applyNumberFormat="1" applyFont="1"/>
    <xf numFmtId="168" fontId="28" fillId="0" borderId="0" xfId="3" applyNumberFormat="1" applyFill="1" applyBorder="1"/>
    <xf numFmtId="0" fontId="26" fillId="0" borderId="0" xfId="3" applyFont="1" applyFill="1" applyBorder="1"/>
    <xf numFmtId="0" fontId="40" fillId="3" borderId="0" xfId="2" applyFont="1" applyFill="1"/>
    <xf numFmtId="0" fontId="26" fillId="3" borderId="0" xfId="2" applyFont="1" applyFill="1"/>
    <xf numFmtId="168" fontId="41" fillId="3" borderId="0" xfId="2" applyNumberFormat="1" applyFont="1" applyFill="1"/>
    <xf numFmtId="0" fontId="33" fillId="3" borderId="0" xfId="2" applyFont="1" applyFill="1"/>
    <xf numFmtId="0" fontId="34" fillId="0" borderId="7" xfId="2" applyFont="1" applyBorder="1"/>
    <xf numFmtId="0" fontId="34" fillId="0" borderId="8" xfId="2" applyFont="1" applyBorder="1"/>
    <xf numFmtId="0" fontId="34" fillId="0" borderId="9" xfId="2" applyFont="1" applyBorder="1"/>
    <xf numFmtId="0" fontId="38" fillId="0" borderId="0" xfId="2" applyFont="1" applyFill="1" applyAlignment="1">
      <alignment horizontal="left"/>
    </xf>
    <xf numFmtId="0" fontId="26" fillId="0" borderId="0" xfId="2" applyFont="1" applyFill="1" applyAlignment="1">
      <alignment horizontal="left"/>
    </xf>
    <xf numFmtId="0" fontId="32" fillId="0" borderId="0" xfId="2" applyFont="1" applyFill="1" applyAlignment="1">
      <alignment horizontal="left"/>
    </xf>
    <xf numFmtId="0" fontId="26" fillId="0" borderId="0" xfId="0" applyFont="1"/>
    <xf numFmtId="37" fontId="33" fillId="2" borderId="0" xfId="0" applyNumberFormat="1" applyFont="1" applyFill="1" applyAlignment="1">
      <alignment vertical="top"/>
    </xf>
    <xf numFmtId="0" fontId="32" fillId="0" borderId="0" xfId="0" applyFont="1"/>
    <xf numFmtId="0" fontId="38" fillId="0" borderId="0" xfId="2" applyFont="1" applyFill="1" applyBorder="1" applyAlignment="1">
      <alignment horizontal="center"/>
    </xf>
    <xf numFmtId="0" fontId="43" fillId="0" borderId="10" xfId="4" applyFont="1" applyBorder="1" applyAlignment="1">
      <alignment horizontal="left"/>
    </xf>
    <xf numFmtId="0" fontId="44" fillId="0" borderId="0" xfId="2" applyFont="1" applyFill="1" applyBorder="1" applyAlignment="1">
      <alignment horizontal="center" vertical="center"/>
    </xf>
    <xf numFmtId="0" fontId="45" fillId="0" borderId="0" xfId="4" applyNumberFormat="1" applyFont="1" applyFill="1" applyBorder="1" applyAlignment="1">
      <alignment horizontal="centerContinuous"/>
    </xf>
    <xf numFmtId="2" fontId="43" fillId="0" borderId="0" xfId="4" applyNumberFormat="1" applyFont="1" applyBorder="1" applyAlignment="1">
      <alignment horizontal="centerContinuous"/>
    </xf>
    <xf numFmtId="0" fontId="26" fillId="0" borderId="0" xfId="0" applyFont="1" applyBorder="1"/>
    <xf numFmtId="0" fontId="26" fillId="0" borderId="0" xfId="2" applyFont="1" applyBorder="1"/>
    <xf numFmtId="0" fontId="32" fillId="0" borderId="0" xfId="0" applyFont="1" applyBorder="1"/>
    <xf numFmtId="37" fontId="33" fillId="2" borderId="0" xfId="0" applyNumberFormat="1" applyFont="1" applyFill="1" applyBorder="1" applyAlignment="1">
      <alignment vertical="top"/>
    </xf>
    <xf numFmtId="0" fontId="32" fillId="0" borderId="0" xfId="2" applyFont="1" applyBorder="1"/>
    <xf numFmtId="0" fontId="46" fillId="0" borderId="0" xfId="2" applyNumberFormat="1" applyFont="1" applyFill="1" applyBorder="1" applyAlignment="1">
      <alignment horizontal="center" vertical="center"/>
    </xf>
    <xf numFmtId="168" fontId="47" fillId="0" borderId="0" xfId="0" applyNumberFormat="1" applyFont="1" applyAlignment="1">
      <alignment vertical="center"/>
    </xf>
    <xf numFmtId="0" fontId="26" fillId="0" borderId="0" xfId="0" applyFont="1" applyFill="1" applyBorder="1"/>
    <xf numFmtId="37" fontId="42" fillId="0" borderId="0" xfId="0" applyNumberFormat="1" applyFont="1" applyFill="1" applyBorder="1" applyAlignment="1">
      <alignment vertical="top"/>
    </xf>
    <xf numFmtId="37" fontId="42" fillId="0" borderId="0" xfId="0" applyNumberFormat="1" applyFont="1" applyFill="1" applyAlignment="1">
      <alignment vertical="top"/>
    </xf>
    <xf numFmtId="0" fontId="26" fillId="0" borderId="0" xfId="0" applyFont="1" applyFill="1"/>
    <xf numFmtId="170" fontId="43" fillId="0" borderId="0" xfId="4" applyNumberFormat="1" applyFont="1" applyBorder="1" applyAlignment="1">
      <alignment horizontal="centerContinuous"/>
    </xf>
    <xf numFmtId="37" fontId="33" fillId="0" borderId="0" xfId="0" applyNumberFormat="1" applyFont="1" applyFill="1" applyAlignment="1">
      <alignment vertical="top"/>
    </xf>
    <xf numFmtId="0" fontId="26" fillId="0" borderId="0" xfId="0" applyFont="1" applyAlignment="1">
      <alignment horizontal="right"/>
    </xf>
    <xf numFmtId="167" fontId="46" fillId="0" borderId="0" xfId="1" applyNumberFormat="1" applyFont="1" applyAlignment="1">
      <alignment horizontal="right"/>
    </xf>
    <xf numFmtId="0" fontId="32" fillId="0" borderId="0" xfId="0" applyFont="1" applyAlignment="1">
      <alignment horizontal="center"/>
    </xf>
    <xf numFmtId="0" fontId="32" fillId="0" borderId="0" xfId="0" applyFont="1" applyFill="1"/>
    <xf numFmtId="0" fontId="26" fillId="0" borderId="0" xfId="0" applyFont="1" applyBorder="1" applyAlignment="1">
      <alignment vertical="center"/>
    </xf>
    <xf numFmtId="170" fontId="46" fillId="0" borderId="0" xfId="7" applyNumberFormat="1" applyFont="1" applyFill="1" applyBorder="1" applyAlignment="1" applyProtection="1">
      <protection locked="0"/>
    </xf>
    <xf numFmtId="170" fontId="49" fillId="0" borderId="0" xfId="7" applyNumberFormat="1" applyFont="1" applyFill="1" applyBorder="1" applyAlignment="1" applyProtection="1">
      <protection locked="0"/>
    </xf>
    <xf numFmtId="0" fontId="26" fillId="0" borderId="10" xfId="0" applyFont="1" applyBorder="1"/>
    <xf numFmtId="37" fontId="48" fillId="0" borderId="0" xfId="6" applyNumberFormat="1" applyFont="1" applyFill="1" applyAlignment="1">
      <alignment vertical="center"/>
    </xf>
    <xf numFmtId="0" fontId="38" fillId="0" borderId="0" xfId="2" applyFont="1" applyBorder="1" applyAlignment="1">
      <alignment horizontal="center"/>
    </xf>
    <xf numFmtId="0" fontId="45" fillId="0" borderId="10" xfId="4" applyNumberFormat="1" applyFont="1" applyFill="1" applyBorder="1" applyAlignment="1">
      <alignment horizontal="left" vertical="center"/>
    </xf>
    <xf numFmtId="0" fontId="49" fillId="0" borderId="0" xfId="0" applyNumberFormat="1" applyFont="1" applyFill="1" applyBorder="1" applyAlignment="1">
      <alignment horizontal="right"/>
    </xf>
    <xf numFmtId="166" fontId="46" fillId="0" borderId="0" xfId="0" applyNumberFormat="1" applyFont="1" applyFill="1" applyBorder="1" applyAlignment="1">
      <alignment horizontal="right" vertical="center"/>
    </xf>
    <xf numFmtId="0" fontId="32" fillId="0" borderId="0" xfId="0" applyFont="1" applyAlignment="1">
      <alignment horizontal="right"/>
    </xf>
    <xf numFmtId="0" fontId="32" fillId="0" borderId="10" xfId="0" applyFont="1" applyBorder="1"/>
    <xf numFmtId="0" fontId="32" fillId="0" borderId="10" xfId="0" applyFont="1" applyBorder="1" applyAlignment="1">
      <alignment horizontal="right"/>
    </xf>
    <xf numFmtId="178" fontId="43" fillId="0" borderId="0" xfId="4" applyNumberFormat="1" applyFont="1" applyBorder="1" applyAlignment="1">
      <alignment horizontal="centerContinuous"/>
    </xf>
    <xf numFmtId="169" fontId="26" fillId="0" borderId="0" xfId="0" applyNumberFormat="1" applyFont="1"/>
    <xf numFmtId="0" fontId="24" fillId="0" borderId="0" xfId="0" applyFont="1"/>
    <xf numFmtId="168" fontId="47" fillId="0" borderId="0" xfId="0" applyNumberFormat="1" applyFont="1" applyBorder="1" applyAlignment="1">
      <alignment vertical="center"/>
    </xf>
    <xf numFmtId="5" fontId="26" fillId="0" borderId="0" xfId="2" applyNumberFormat="1" applyFont="1" applyBorder="1" applyAlignment="1">
      <alignment vertical="center"/>
    </xf>
    <xf numFmtId="165" fontId="26" fillId="0" borderId="0" xfId="2" applyNumberFormat="1" applyFont="1" applyBorder="1" applyAlignment="1">
      <alignment vertical="center"/>
    </xf>
    <xf numFmtId="5" fontId="38" fillId="0" borderId="0" xfId="2" applyNumberFormat="1" applyFont="1" applyBorder="1"/>
    <xf numFmtId="170" fontId="26" fillId="0" borderId="0" xfId="0" applyNumberFormat="1" applyFont="1" applyBorder="1"/>
    <xf numFmtId="169" fontId="49" fillId="0" borderId="0" xfId="7" applyNumberFormat="1" applyFont="1" applyFill="1" applyBorder="1" applyAlignment="1" applyProtection="1">
      <protection locked="0"/>
    </xf>
    <xf numFmtId="37" fontId="48" fillId="4" borderId="0" xfId="6" applyNumberFormat="1" applyFont="1" applyFill="1" applyAlignment="1">
      <alignment vertical="center"/>
    </xf>
    <xf numFmtId="37" fontId="48" fillId="4" borderId="0" xfId="0" applyNumberFormat="1" applyFont="1" applyFill="1" applyBorder="1" applyAlignment="1">
      <alignment vertical="center"/>
    </xf>
    <xf numFmtId="37" fontId="26" fillId="4" borderId="0" xfId="0" applyNumberFormat="1" applyFont="1" applyFill="1" applyBorder="1" applyAlignment="1">
      <alignment vertical="center"/>
    </xf>
    <xf numFmtId="171" fontId="31" fillId="4" borderId="0" xfId="0" applyNumberFormat="1" applyFont="1" applyFill="1" applyBorder="1" applyAlignment="1">
      <alignment horizontal="right"/>
    </xf>
    <xf numFmtId="172" fontId="47" fillId="4" borderId="0" xfId="0" applyNumberFormat="1" applyFont="1" applyFill="1" applyBorder="1" applyAlignment="1">
      <alignment horizontal="centerContinuous"/>
    </xf>
    <xf numFmtId="172" fontId="43" fillId="4" borderId="0" xfId="0" applyNumberFormat="1" applyFont="1" applyFill="1" applyBorder="1" applyAlignment="1">
      <alignment horizontal="centerContinuous"/>
    </xf>
    <xf numFmtId="0" fontId="32" fillId="0" borderId="0" xfId="2" applyFont="1" applyFill="1" applyBorder="1" applyAlignment="1">
      <alignment vertical="center"/>
    </xf>
    <xf numFmtId="165" fontId="32" fillId="0" borderId="0" xfId="2" applyNumberFormat="1" applyFont="1" applyFill="1" applyBorder="1" applyAlignment="1">
      <alignment vertical="center"/>
    </xf>
    <xf numFmtId="0" fontId="26" fillId="0" borderId="0" xfId="2" applyFont="1" applyFill="1"/>
    <xf numFmtId="0" fontId="43" fillId="0" borderId="10" xfId="4" applyNumberFormat="1" applyFont="1" applyBorder="1" applyAlignment="1">
      <alignment horizontal="right"/>
    </xf>
    <xf numFmtId="0" fontId="45" fillId="0" borderId="0" xfId="2" applyNumberFormat="1" applyFont="1" applyFill="1" applyBorder="1" applyAlignment="1">
      <alignment horizontal="right" vertical="center"/>
    </xf>
    <xf numFmtId="175" fontId="45" fillId="0" borderId="0" xfId="4" applyNumberFormat="1" applyFont="1" applyFill="1" applyBorder="1" applyAlignment="1">
      <alignment horizontal="centerContinuous"/>
    </xf>
    <xf numFmtId="0" fontId="45" fillId="0" borderId="0" xfId="2" applyNumberFormat="1" applyFont="1" applyFill="1" applyBorder="1" applyAlignment="1">
      <alignment horizontal="centerContinuous" vertical="center"/>
    </xf>
    <xf numFmtId="0" fontId="45" fillId="0" borderId="12" xfId="4" applyNumberFormat="1" applyFont="1" applyFill="1" applyBorder="1" applyAlignment="1">
      <alignment horizontal="centerContinuous"/>
    </xf>
    <xf numFmtId="0" fontId="44" fillId="0" borderId="12" xfId="2" applyFont="1" applyFill="1" applyBorder="1" applyAlignment="1">
      <alignment horizontal="center" vertical="center"/>
    </xf>
    <xf numFmtId="0" fontId="43" fillId="0" borderId="10" xfId="4" applyFont="1" applyBorder="1" applyAlignment="1">
      <alignment horizontal="right"/>
    </xf>
    <xf numFmtId="183" fontId="49" fillId="0" borderId="0" xfId="7" applyNumberFormat="1" applyFont="1" applyFill="1" applyBorder="1" applyAlignment="1" applyProtection="1">
      <alignment horizontal="right"/>
      <protection locked="0"/>
    </xf>
    <xf numFmtId="173" fontId="46" fillId="0" borderId="0" xfId="7" applyNumberFormat="1" applyFont="1" applyFill="1" applyBorder="1" applyAlignment="1" applyProtection="1">
      <alignment horizontal="right"/>
      <protection locked="0"/>
    </xf>
    <xf numFmtId="0" fontId="21" fillId="0" borderId="0" xfId="0" applyFont="1" applyAlignment="1">
      <alignment horizontal="left" vertical="center" indent="1"/>
    </xf>
    <xf numFmtId="0" fontId="23" fillId="0" borderId="0" xfId="0" applyFont="1" applyBorder="1" applyAlignment="1">
      <alignment horizontal="left" vertical="center" indent="1"/>
    </xf>
    <xf numFmtId="0" fontId="32" fillId="0" borderId="0" xfId="0" applyFont="1" applyBorder="1" applyAlignment="1">
      <alignment horizontal="right"/>
    </xf>
    <xf numFmtId="173" fontId="45" fillId="0" borderId="0" xfId="7" applyNumberFormat="1" applyFont="1" applyFill="1" applyBorder="1" applyAlignment="1" applyProtection="1">
      <alignment horizontal="right"/>
      <protection locked="0"/>
    </xf>
    <xf numFmtId="183" fontId="49" fillId="0" borderId="10" xfId="7" applyNumberFormat="1" applyFont="1" applyFill="1" applyBorder="1" applyAlignment="1" applyProtection="1">
      <alignment horizontal="right"/>
      <protection locked="0"/>
    </xf>
    <xf numFmtId="49" fontId="26" fillId="0" borderId="0" xfId="0" applyNumberFormat="1" applyFont="1" applyBorder="1" applyAlignment="1">
      <alignment horizontal="left" indent="1"/>
    </xf>
    <xf numFmtId="0" fontId="46" fillId="0" borderId="0" xfId="0" applyFont="1" applyFill="1" applyAlignment="1">
      <alignment horizontal="left" indent="1"/>
    </xf>
    <xf numFmtId="0" fontId="32" fillId="0" borderId="0" xfId="0" applyFont="1" applyBorder="1" applyAlignment="1">
      <alignment horizontal="left" indent="1"/>
    </xf>
    <xf numFmtId="0" fontId="21" fillId="0" borderId="0" xfId="0" applyFont="1" applyFill="1" applyAlignment="1">
      <alignment horizontal="left" indent="1"/>
    </xf>
    <xf numFmtId="0" fontId="49" fillId="0" borderId="0" xfId="0" applyFont="1" applyFill="1" applyAlignment="1">
      <alignment horizontal="left" indent="1"/>
    </xf>
    <xf numFmtId="0" fontId="49" fillId="0" borderId="10" xfId="0" applyFont="1" applyFill="1" applyBorder="1" applyAlignment="1">
      <alignment horizontal="left" indent="1"/>
    </xf>
    <xf numFmtId="0" fontId="32" fillId="0" borderId="0" xfId="0" applyFont="1" applyAlignment="1">
      <alignment horizontal="left" indent="1"/>
    </xf>
    <xf numFmtId="0" fontId="21" fillId="0" borderId="0" xfId="0" applyFont="1" applyBorder="1" applyAlignment="1">
      <alignment horizontal="left" indent="1"/>
    </xf>
    <xf numFmtId="0" fontId="21" fillId="0" borderId="0" xfId="0" applyFont="1" applyAlignment="1">
      <alignment horizontal="left" indent="1"/>
    </xf>
    <xf numFmtId="170" fontId="26" fillId="0" borderId="10" xfId="0" applyNumberFormat="1" applyFont="1" applyBorder="1" applyAlignment="1">
      <alignment horizontal="right"/>
    </xf>
    <xf numFmtId="0" fontId="26" fillId="0" borderId="0" xfId="0" applyFont="1" applyBorder="1" applyAlignment="1">
      <alignment horizontal="left" indent="1"/>
    </xf>
    <xf numFmtId="0" fontId="22" fillId="0" borderId="0" xfId="0" applyFont="1" applyAlignment="1">
      <alignment horizontal="left" indent="1"/>
    </xf>
    <xf numFmtId="0" fontId="45" fillId="0" borderId="0" xfId="0" applyNumberFormat="1" applyFont="1" applyFill="1" applyBorder="1" applyAlignment="1">
      <alignment horizontal="left" indent="1"/>
    </xf>
    <xf numFmtId="0" fontId="25" fillId="0" borderId="0" xfId="0" applyFont="1" applyBorder="1" applyAlignment="1">
      <alignment horizontal="left" indent="1"/>
    </xf>
    <xf numFmtId="0" fontId="19" fillId="0" borderId="0" xfId="0" applyFont="1" applyFill="1"/>
    <xf numFmtId="0" fontId="18" fillId="0" borderId="0" xfId="0" applyFont="1"/>
    <xf numFmtId="0" fontId="18" fillId="0" borderId="0" xfId="0" applyFont="1" applyBorder="1"/>
    <xf numFmtId="37" fontId="38" fillId="0" borderId="0" xfId="2" applyNumberFormat="1" applyFont="1" applyFill="1" applyBorder="1" applyAlignment="1">
      <alignment vertical="center"/>
    </xf>
    <xf numFmtId="169" fontId="46" fillId="0" borderId="0" xfId="0" applyNumberFormat="1" applyFont="1" applyFill="1" applyBorder="1" applyAlignment="1">
      <alignment horizontal="right"/>
    </xf>
    <xf numFmtId="169" fontId="46" fillId="0" borderId="12" xfId="0" applyNumberFormat="1" applyFont="1" applyFill="1" applyBorder="1" applyAlignment="1">
      <alignment horizontal="right"/>
    </xf>
    <xf numFmtId="180" fontId="38" fillId="0" borderId="12" xfId="2" applyNumberFormat="1" applyFont="1" applyFill="1" applyBorder="1" applyAlignment="1">
      <alignment horizontal="right" vertical="center"/>
    </xf>
    <xf numFmtId="180" fontId="38" fillId="0" borderId="0" xfId="2" applyNumberFormat="1" applyFont="1" applyFill="1" applyBorder="1" applyAlignment="1">
      <alignment horizontal="right" vertical="center"/>
    </xf>
    <xf numFmtId="168" fontId="39" fillId="0" borderId="0" xfId="2" applyNumberFormat="1" applyFont="1" applyFill="1"/>
    <xf numFmtId="37" fontId="55" fillId="4" borderId="0" xfId="6" quotePrefix="1" applyNumberFormat="1" applyFont="1" applyFill="1" applyBorder="1" applyAlignment="1">
      <alignment vertical="center"/>
    </xf>
    <xf numFmtId="37" fontId="55" fillId="4" borderId="0" xfId="6" applyNumberFormat="1" applyFont="1" applyFill="1" applyAlignment="1">
      <alignment vertical="center"/>
    </xf>
    <xf numFmtId="170" fontId="26" fillId="0" borderId="0" xfId="0" applyNumberFormat="1" applyFont="1"/>
    <xf numFmtId="170" fontId="49" fillId="0" borderId="0" xfId="0" applyNumberFormat="1" applyFont="1" applyFill="1"/>
    <xf numFmtId="0" fontId="56" fillId="0" borderId="0" xfId="0" applyFont="1"/>
    <xf numFmtId="0" fontId="16" fillId="0" borderId="0" xfId="0" applyFont="1" applyBorder="1"/>
    <xf numFmtId="0" fontId="16" fillId="0" borderId="0" xfId="0" applyFont="1" applyFill="1" applyBorder="1"/>
    <xf numFmtId="0" fontId="15" fillId="0" borderId="0" xfId="0" applyFont="1" applyFill="1" applyBorder="1"/>
    <xf numFmtId="0" fontId="15" fillId="0" borderId="0" xfId="0" applyFont="1" applyBorder="1"/>
    <xf numFmtId="173" fontId="26" fillId="0" borderId="0" xfId="0" applyNumberFormat="1" applyFont="1" applyBorder="1"/>
    <xf numFmtId="186" fontId="26" fillId="0" borderId="0" xfId="0" applyNumberFormat="1" applyFont="1"/>
    <xf numFmtId="0" fontId="14" fillId="0" borderId="0" xfId="0" applyFont="1" applyBorder="1"/>
    <xf numFmtId="187" fontId="49" fillId="0" borderId="0" xfId="7" applyNumberFormat="1" applyFont="1" applyFill="1" applyBorder="1" applyAlignment="1" applyProtection="1">
      <protection locked="0"/>
    </xf>
    <xf numFmtId="187" fontId="46" fillId="0" borderId="0" xfId="7" applyNumberFormat="1" applyFont="1" applyFill="1" applyBorder="1" applyAlignment="1" applyProtection="1">
      <protection locked="0"/>
    </xf>
    <xf numFmtId="0" fontId="13" fillId="0" borderId="0" xfId="0" applyFont="1" applyAlignment="1">
      <alignment horizontal="left" indent="1"/>
    </xf>
    <xf numFmtId="0" fontId="13" fillId="0" borderId="0" xfId="0" applyFont="1"/>
    <xf numFmtId="0" fontId="13" fillId="0" borderId="0" xfId="0" applyFont="1" applyFill="1" applyAlignment="1">
      <alignment horizontal="left" indent="1"/>
    </xf>
    <xf numFmtId="0" fontId="13" fillId="0" borderId="0" xfId="0" applyFont="1" applyFill="1" applyBorder="1"/>
    <xf numFmtId="0" fontId="14" fillId="0" borderId="0" xfId="0" applyFont="1" applyFill="1" applyBorder="1"/>
    <xf numFmtId="168" fontId="47" fillId="0" borderId="0" xfId="0" applyNumberFormat="1" applyFont="1" applyFill="1" applyAlignment="1">
      <alignment vertical="center"/>
    </xf>
    <xf numFmtId="173" fontId="46" fillId="0" borderId="0" xfId="7" applyNumberFormat="1" applyFont="1" applyFill="1" applyBorder="1" applyAlignment="1" applyProtection="1">
      <protection locked="0"/>
    </xf>
    <xf numFmtId="173" fontId="49" fillId="0" borderId="0" xfId="7" applyNumberFormat="1" applyFont="1" applyFill="1" applyBorder="1" applyAlignment="1" applyProtection="1">
      <protection locked="0"/>
    </xf>
    <xf numFmtId="37" fontId="48" fillId="4" borderId="0" xfId="6" quotePrefix="1" applyNumberFormat="1" applyFont="1" applyFill="1" applyBorder="1" applyAlignment="1">
      <alignment vertical="center"/>
    </xf>
    <xf numFmtId="0" fontId="32" fillId="0" borderId="0" xfId="0" applyFont="1" applyFill="1" applyBorder="1"/>
    <xf numFmtId="173" fontId="45" fillId="0" borderId="0" xfId="7" applyNumberFormat="1" applyFont="1" applyFill="1" applyBorder="1" applyAlignment="1" applyProtection="1">
      <protection locked="0"/>
    </xf>
    <xf numFmtId="0" fontId="56" fillId="0" borderId="0" xfId="0" applyFont="1" applyFill="1"/>
    <xf numFmtId="188" fontId="26" fillId="0" borderId="0" xfId="0" applyNumberFormat="1" applyFont="1"/>
    <xf numFmtId="179" fontId="49" fillId="0" borderId="0" xfId="7" applyNumberFormat="1" applyFont="1" applyFill="1" applyBorder="1" applyAlignment="1" applyProtection="1">
      <protection locked="0"/>
    </xf>
    <xf numFmtId="0" fontId="43" fillId="0" borderId="0" xfId="4" applyFont="1" applyFill="1" applyBorder="1" applyAlignment="1">
      <alignment horizontal="left"/>
    </xf>
    <xf numFmtId="0" fontId="10" fillId="0" borderId="0" xfId="0" applyFont="1" applyFill="1" applyBorder="1" applyAlignment="1">
      <alignment horizontal="left" indent="1"/>
    </xf>
    <xf numFmtId="185" fontId="49" fillId="0" borderId="0" xfId="0" applyNumberFormat="1" applyFont="1" applyFill="1" applyBorder="1" applyAlignment="1">
      <alignment horizontal="right"/>
    </xf>
    <xf numFmtId="0" fontId="10" fillId="0" borderId="0" xfId="0" applyFont="1" applyFill="1" applyAlignment="1">
      <alignment horizontal="left" indent="1"/>
    </xf>
    <xf numFmtId="185" fontId="49" fillId="0" borderId="0" xfId="7" applyNumberFormat="1" applyFont="1" applyFill="1" applyBorder="1" applyAlignment="1" applyProtection="1">
      <alignment horizontal="right"/>
      <protection locked="0"/>
    </xf>
    <xf numFmtId="185" fontId="49" fillId="0" borderId="10" xfId="7" applyNumberFormat="1" applyFont="1" applyFill="1" applyBorder="1" applyAlignment="1" applyProtection="1">
      <alignment horizontal="right"/>
      <protection locked="0"/>
    </xf>
    <xf numFmtId="183" fontId="45" fillId="0" borderId="0" xfId="7" applyNumberFormat="1" applyFont="1" applyFill="1" applyBorder="1" applyAlignment="1" applyProtection="1">
      <alignment horizontal="right"/>
      <protection locked="0"/>
    </xf>
    <xf numFmtId="0" fontId="32" fillId="0" borderId="10" xfId="0" applyFont="1" applyFill="1" applyBorder="1"/>
    <xf numFmtId="184" fontId="46" fillId="0" borderId="0" xfId="0" applyNumberFormat="1" applyFont="1" applyFill="1" applyBorder="1" applyAlignment="1">
      <alignment horizontal="right"/>
    </xf>
    <xf numFmtId="184" fontId="26" fillId="0" borderId="0" xfId="0" applyNumberFormat="1" applyFont="1"/>
    <xf numFmtId="0" fontId="20" fillId="0" borderId="0" xfId="0" applyFont="1" applyFill="1"/>
    <xf numFmtId="0" fontId="45" fillId="0" borderId="15" xfId="2" applyNumberFormat="1" applyFont="1" applyFill="1" applyBorder="1" applyAlignment="1">
      <alignment horizontal="centerContinuous" vertical="center"/>
    </xf>
    <xf numFmtId="0" fontId="44" fillId="0" borderId="15" xfId="2" applyFont="1" applyFill="1" applyBorder="1" applyAlignment="1">
      <alignment horizontal="center" vertical="center"/>
    </xf>
    <xf numFmtId="169" fontId="46" fillId="0" borderId="15" xfId="0" applyNumberFormat="1" applyFont="1" applyFill="1" applyBorder="1" applyAlignment="1">
      <alignment horizontal="right"/>
    </xf>
    <xf numFmtId="0" fontId="44" fillId="0" borderId="0" xfId="2" applyFont="1" applyFill="1" applyBorder="1" applyAlignment="1">
      <alignment horizontal="right" vertical="center"/>
    </xf>
    <xf numFmtId="176" fontId="21" fillId="0" borderId="0" xfId="2" applyNumberFormat="1" applyFont="1" applyFill="1" applyBorder="1" applyAlignment="1">
      <alignment horizontal="right"/>
    </xf>
    <xf numFmtId="0" fontId="43" fillId="0" borderId="12" xfId="2" applyFont="1" applyFill="1" applyBorder="1" applyAlignment="1">
      <alignment horizontal="centerContinuous"/>
    </xf>
    <xf numFmtId="180" fontId="38" fillId="0" borderId="15" xfId="2" applyNumberFormat="1" applyFont="1" applyFill="1" applyBorder="1" applyAlignment="1">
      <alignment horizontal="right" vertical="center"/>
    </xf>
    <xf numFmtId="0" fontId="43" fillId="0" borderId="0" xfId="4" applyFont="1" applyFill="1" applyBorder="1" applyAlignment="1">
      <alignment horizontal="right"/>
    </xf>
    <xf numFmtId="0" fontId="9" fillId="0" borderId="0" xfId="0" applyFont="1" applyAlignment="1">
      <alignment horizontal="left" indent="1"/>
    </xf>
    <xf numFmtId="0" fontId="8" fillId="0" borderId="0" xfId="0" applyFont="1" applyFill="1" applyBorder="1" applyAlignment="1">
      <alignment horizontal="left" indent="1"/>
    </xf>
    <xf numFmtId="176" fontId="10" fillId="0" borderId="0" xfId="2" applyNumberFormat="1" applyFont="1" applyFill="1" applyAlignment="1">
      <alignment horizontal="right"/>
    </xf>
    <xf numFmtId="188" fontId="0" fillId="0" borderId="0" xfId="0" applyNumberFormat="1"/>
    <xf numFmtId="0" fontId="60" fillId="2" borderId="0" xfId="0" applyFont="1" applyFill="1"/>
    <xf numFmtId="0" fontId="61" fillId="2" borderId="0" xfId="3" applyFont="1" applyFill="1" applyAlignment="1">
      <alignment horizontal="center" vertical="center"/>
    </xf>
    <xf numFmtId="191" fontId="34" fillId="0" borderId="0" xfId="10" applyNumberFormat="1" applyFont="1" applyProtection="1">
      <protection locked="0"/>
    </xf>
    <xf numFmtId="191" fontId="63" fillId="0" borderId="0" xfId="10" applyNumberFormat="1" applyFont="1" applyProtection="1">
      <protection locked="0"/>
    </xf>
    <xf numFmtId="191" fontId="63" fillId="0" borderId="0" xfId="10" applyNumberFormat="1" applyFont="1" applyAlignment="1" applyProtection="1">
      <alignment horizontal="center"/>
      <protection locked="0"/>
    </xf>
    <xf numFmtId="191" fontId="63" fillId="0" borderId="0" xfId="10" applyNumberFormat="1" applyFont="1" applyAlignment="1">
      <alignment horizontal="right"/>
    </xf>
    <xf numFmtId="37" fontId="48" fillId="4" borderId="0" xfId="0" applyNumberFormat="1" applyFont="1" applyFill="1" applyAlignment="1">
      <alignment vertical="center"/>
    </xf>
    <xf numFmtId="37" fontId="31" fillId="4" borderId="0" xfId="0" applyNumberFormat="1" applyFont="1" applyFill="1" applyAlignment="1">
      <alignment vertical="center"/>
    </xf>
    <xf numFmtId="37" fontId="7" fillId="4" borderId="0" xfId="0" applyNumberFormat="1" applyFont="1" applyFill="1" applyAlignment="1">
      <alignment vertical="center"/>
    </xf>
    <xf numFmtId="171" fontId="31" fillId="4" borderId="0" xfId="0" applyNumberFormat="1" applyFont="1" applyFill="1" applyAlignment="1">
      <alignment horizontal="right"/>
    </xf>
    <xf numFmtId="172" fontId="47" fillId="4" borderId="0" xfId="0" applyNumberFormat="1" applyFont="1" applyFill="1" applyAlignment="1">
      <alignment horizontal="centerContinuous"/>
    </xf>
    <xf numFmtId="172" fontId="43" fillId="4" borderId="0" xfId="0" applyNumberFormat="1" applyFont="1" applyFill="1" applyAlignment="1">
      <alignment horizontal="centerContinuous"/>
    </xf>
    <xf numFmtId="0" fontId="6" fillId="0" borderId="0" xfId="0" applyFont="1" applyBorder="1"/>
    <xf numFmtId="0" fontId="32" fillId="0" borderId="12" xfId="0" applyFont="1" applyBorder="1" applyAlignment="1">
      <alignment horizontal="centerContinuous"/>
    </xf>
    <xf numFmtId="0" fontId="32" fillId="0" borderId="15" xfId="0" applyFont="1" applyBorder="1" applyAlignment="1">
      <alignment horizontal="centerContinuous"/>
    </xf>
    <xf numFmtId="0" fontId="32" fillId="0" borderId="0" xfId="0" applyFont="1" applyBorder="1" applyAlignment="1">
      <alignment horizontal="centerContinuous"/>
    </xf>
    <xf numFmtId="0" fontId="6" fillId="0" borderId="0" xfId="0" applyFont="1"/>
    <xf numFmtId="0" fontId="6" fillId="0" borderId="10" xfId="0" applyFont="1" applyBorder="1"/>
    <xf numFmtId="0" fontId="6" fillId="0" borderId="0" xfId="0" applyFont="1" applyBorder="1" applyAlignment="1">
      <alignment horizontal="centerContinuous"/>
    </xf>
    <xf numFmtId="168" fontId="51" fillId="0" borderId="0" xfId="8" applyNumberFormat="1" applyFont="1" applyFill="1" applyBorder="1" applyProtection="1">
      <protection locked="0"/>
    </xf>
    <xf numFmtId="0" fontId="5" fillId="0" borderId="0" xfId="0" applyFont="1"/>
    <xf numFmtId="0" fontId="46" fillId="0" borderId="0" xfId="0" applyFont="1"/>
    <xf numFmtId="183" fontId="49" fillId="0" borderId="0" xfId="0" applyNumberFormat="1" applyFont="1" applyFill="1" applyBorder="1"/>
    <xf numFmtId="176" fontId="5" fillId="0" borderId="0" xfId="2" applyNumberFormat="1" applyFont="1" applyFill="1" applyAlignment="1">
      <alignment horizontal="right"/>
    </xf>
    <xf numFmtId="0" fontId="43" fillId="0" borderId="10" xfId="4" applyFont="1" applyFill="1" applyBorder="1" applyAlignment="1">
      <alignment horizontal="right"/>
    </xf>
    <xf numFmtId="173" fontId="49" fillId="0" borderId="0" xfId="7" applyNumberFormat="1" applyFont="1" applyFill="1" applyBorder="1" applyAlignment="1" applyProtection="1">
      <alignment horizontal="right"/>
      <protection locked="0"/>
    </xf>
    <xf numFmtId="170" fontId="49" fillId="0" borderId="0" xfId="0" applyNumberFormat="1" applyFont="1" applyFill="1" applyBorder="1"/>
    <xf numFmtId="173" fontId="26" fillId="0" borderId="0" xfId="0" applyNumberFormat="1" applyFont="1" applyFill="1" applyBorder="1"/>
    <xf numFmtId="173" fontId="32" fillId="0" borderId="0" xfId="0" applyNumberFormat="1" applyFont="1" applyFill="1" applyBorder="1"/>
    <xf numFmtId="170" fontId="26" fillId="0" borderId="0" xfId="0" applyNumberFormat="1" applyFont="1" applyFill="1" applyBorder="1"/>
    <xf numFmtId="0" fontId="0" fillId="0" borderId="0" xfId="0" applyFill="1"/>
    <xf numFmtId="0" fontId="26" fillId="0" borderId="0" xfId="0" applyFont="1" applyFill="1" applyAlignment="1">
      <alignment horizontal="right"/>
    </xf>
    <xf numFmtId="0" fontId="24" fillId="0" borderId="0" xfId="0" applyFont="1" applyFill="1"/>
    <xf numFmtId="169" fontId="26" fillId="0" borderId="0" xfId="0" applyNumberFormat="1" applyFont="1" applyFill="1"/>
    <xf numFmtId="0" fontId="26" fillId="0" borderId="10" xfId="0" applyFont="1" applyFill="1" applyBorder="1"/>
    <xf numFmtId="0" fontId="32" fillId="0" borderId="0" xfId="0" applyFont="1" applyFill="1" applyBorder="1" applyAlignment="1">
      <alignment horizontal="left" indent="1"/>
    </xf>
    <xf numFmtId="0" fontId="32" fillId="0" borderId="0" xfId="0" applyFont="1" applyFill="1" applyAlignment="1">
      <alignment horizontal="right"/>
    </xf>
    <xf numFmtId="0" fontId="32" fillId="0" borderId="0" xfId="0" applyFont="1" applyFill="1" applyAlignment="1">
      <alignment horizontal="center"/>
    </xf>
    <xf numFmtId="174" fontId="44" fillId="0" borderId="0" xfId="2" applyNumberFormat="1" applyFont="1" applyFill="1" applyAlignment="1">
      <alignment horizontal="right" vertical="center"/>
    </xf>
    <xf numFmtId="0" fontId="26" fillId="0" borderId="0" xfId="0" applyFont="1" applyFill="1" applyBorder="1" applyAlignment="1">
      <alignment horizontal="right"/>
    </xf>
    <xf numFmtId="0" fontId="44" fillId="0" borderId="0" xfId="2" applyFont="1" applyFill="1" applyAlignment="1">
      <alignment horizontal="right"/>
    </xf>
    <xf numFmtId="182" fontId="26" fillId="0" borderId="0" xfId="0" applyNumberFormat="1" applyFont="1" applyFill="1" applyBorder="1"/>
    <xf numFmtId="182" fontId="26" fillId="0" borderId="10" xfId="0" applyNumberFormat="1" applyFont="1" applyFill="1" applyBorder="1"/>
    <xf numFmtId="0" fontId="32" fillId="0" borderId="0" xfId="0" applyFont="1" applyFill="1" applyBorder="1" applyAlignment="1">
      <alignment horizontal="right"/>
    </xf>
    <xf numFmtId="169" fontId="26" fillId="0" borderId="0" xfId="0" applyNumberFormat="1" applyFont="1" applyFill="1" applyAlignment="1">
      <alignment horizontal="right"/>
    </xf>
    <xf numFmtId="0" fontId="64" fillId="0" borderId="0" xfId="0" applyFont="1"/>
    <xf numFmtId="0" fontId="32" fillId="0" borderId="16" xfId="0" applyFont="1" applyBorder="1" applyAlignment="1">
      <alignment horizontal="center"/>
    </xf>
    <xf numFmtId="0" fontId="32" fillId="0" borderId="10" xfId="0" applyFont="1" applyBorder="1" applyAlignment="1">
      <alignment horizontal="center"/>
    </xf>
    <xf numFmtId="180" fontId="6" fillId="0" borderId="12" xfId="0" applyNumberFormat="1" applyFont="1" applyBorder="1" applyAlignment="1">
      <alignment horizontal="center"/>
    </xf>
    <xf numFmtId="180" fontId="6" fillId="0" borderId="15" xfId="0" applyNumberFormat="1" applyFont="1" applyBorder="1" applyAlignment="1">
      <alignment horizontal="center"/>
    </xf>
    <xf numFmtId="180" fontId="6" fillId="0" borderId="0" xfId="0" applyNumberFormat="1" applyFont="1" applyBorder="1" applyAlignment="1">
      <alignment horizontal="center"/>
    </xf>
    <xf numFmtId="0" fontId="6" fillId="0" borderId="15" xfId="0" applyFont="1" applyBorder="1"/>
    <xf numFmtId="0" fontId="6" fillId="0" borderId="16" xfId="0" applyFont="1" applyBorder="1"/>
    <xf numFmtId="0" fontId="6" fillId="0" borderId="0" xfId="0" applyFont="1" applyBorder="1" applyAlignment="1">
      <alignment horizontal="center"/>
    </xf>
    <xf numFmtId="170" fontId="49" fillId="0" borderId="0" xfId="0" applyNumberFormat="1" applyFont="1" applyBorder="1" applyAlignment="1">
      <alignment horizontal="center"/>
    </xf>
    <xf numFmtId="170" fontId="49" fillId="0" borderId="12" xfId="0" applyNumberFormat="1" applyFont="1" applyBorder="1" applyAlignment="1">
      <alignment horizontal="center"/>
    </xf>
    <xf numFmtId="0" fontId="6" fillId="0" borderId="12" xfId="0" applyFont="1" applyBorder="1" applyAlignment="1">
      <alignment horizontal="center"/>
    </xf>
    <xf numFmtId="170" fontId="6" fillId="0" borderId="12" xfId="0" applyNumberFormat="1" applyFont="1" applyBorder="1" applyAlignment="1">
      <alignment horizontal="center"/>
    </xf>
    <xf numFmtId="183" fontId="6" fillId="0" borderId="12" xfId="0" applyNumberFormat="1" applyFont="1" applyBorder="1" applyAlignment="1">
      <alignment horizontal="center"/>
    </xf>
    <xf numFmtId="170" fontId="6" fillId="0" borderId="0" xfId="0" applyNumberFormat="1" applyFont="1" applyBorder="1" applyAlignment="1">
      <alignment horizontal="center"/>
    </xf>
    <xf numFmtId="183" fontId="6" fillId="0" borderId="0" xfId="0" applyNumberFormat="1" applyFont="1" applyBorder="1" applyAlignment="1">
      <alignment horizontal="center"/>
    </xf>
    <xf numFmtId="0" fontId="6" fillId="0" borderId="15" xfId="0" applyFont="1" applyBorder="1" applyAlignment="1">
      <alignment horizontal="center"/>
    </xf>
    <xf numFmtId="185" fontId="49" fillId="0" borderId="15" xfId="0" applyNumberFormat="1" applyFont="1" applyBorder="1" applyAlignment="1">
      <alignment horizontal="center"/>
    </xf>
    <xf numFmtId="183" fontId="6" fillId="0" borderId="15" xfId="0" applyNumberFormat="1" applyFont="1" applyBorder="1" applyAlignment="1">
      <alignment horizontal="center"/>
    </xf>
    <xf numFmtId="0" fontId="49" fillId="0" borderId="15" xfId="0" applyFont="1" applyBorder="1" applyAlignment="1">
      <alignment horizontal="center"/>
    </xf>
    <xf numFmtId="0" fontId="6" fillId="0" borderId="13" xfId="0" applyFont="1" applyBorder="1"/>
    <xf numFmtId="0" fontId="6" fillId="0" borderId="0" xfId="0" applyFont="1" applyAlignment="1">
      <alignment horizontal="left" indent="1"/>
    </xf>
    <xf numFmtId="0" fontId="6" fillId="0" borderId="0" xfId="0" applyFont="1" applyBorder="1" applyAlignment="1">
      <alignment horizontal="left" indent="1"/>
    </xf>
    <xf numFmtId="0" fontId="3" fillId="0" borderId="17" xfId="0" applyFont="1" applyBorder="1" applyAlignment="1">
      <alignment horizontal="left" wrapText="1" indent="1"/>
    </xf>
    <xf numFmtId="183" fontId="6" fillId="0" borderId="17" xfId="0" applyNumberFormat="1" applyFont="1" applyBorder="1"/>
    <xf numFmtId="39" fontId="6" fillId="0" borderId="17" xfId="0" applyNumberFormat="1" applyFont="1" applyBorder="1"/>
    <xf numFmtId="0" fontId="3" fillId="0" borderId="11" xfId="0" applyFont="1" applyBorder="1" applyAlignment="1">
      <alignment horizontal="left" wrapText="1" indent="1"/>
    </xf>
    <xf numFmtId="183" fontId="6" fillId="0" borderId="11" xfId="0" applyNumberFormat="1" applyFont="1" applyBorder="1"/>
    <xf numFmtId="39" fontId="6" fillId="0" borderId="11" xfId="0" applyNumberFormat="1" applyFont="1" applyBorder="1"/>
    <xf numFmtId="0" fontId="6" fillId="0" borderId="13" xfId="0" applyFont="1" applyBorder="1" applyAlignment="1">
      <alignment horizontal="center"/>
    </xf>
    <xf numFmtId="0" fontId="6" fillId="0" borderId="16" xfId="0" applyFont="1" applyBorder="1" applyAlignment="1">
      <alignment horizontal="center"/>
    </xf>
    <xf numFmtId="0" fontId="6" fillId="0" borderId="10" xfId="0" applyFont="1" applyBorder="1" applyAlignment="1">
      <alignment horizontal="center"/>
    </xf>
    <xf numFmtId="170" fontId="45" fillId="0" borderId="0" xfId="2" applyNumberFormat="1" applyFont="1" applyFill="1" applyBorder="1" applyAlignment="1">
      <alignment horizontal="right" vertical="center"/>
    </xf>
    <xf numFmtId="170" fontId="43" fillId="0" borderId="10" xfId="4" applyNumberFormat="1" applyFont="1" applyBorder="1" applyAlignment="1">
      <alignment horizontal="right"/>
    </xf>
    <xf numFmtId="0" fontId="65" fillId="0" borderId="0" xfId="0" applyFont="1"/>
    <xf numFmtId="0" fontId="0" fillId="0" borderId="0" xfId="0" applyFont="1"/>
    <xf numFmtId="0" fontId="3" fillId="0" borderId="0" xfId="0" applyFont="1"/>
    <xf numFmtId="0" fontId="3" fillId="0" borderId="0" xfId="0" applyFont="1" applyBorder="1" applyAlignment="1">
      <alignment horizontal="centerContinuous"/>
    </xf>
    <xf numFmtId="184" fontId="49" fillId="0" borderId="0" xfId="0" applyNumberFormat="1" applyFont="1" applyFill="1" applyAlignment="1">
      <alignment horizontal="right" vertical="center"/>
    </xf>
    <xf numFmtId="193" fontId="49" fillId="0" borderId="0" xfId="0" applyNumberFormat="1" applyFont="1" applyFill="1" applyAlignment="1">
      <alignment horizontal="right" vertical="center"/>
    </xf>
    <xf numFmtId="170" fontId="43" fillId="0" borderId="13" xfId="4" applyNumberFormat="1" applyFont="1" applyBorder="1" applyAlignment="1">
      <alignment horizontal="center"/>
    </xf>
    <xf numFmtId="194" fontId="43" fillId="0" borderId="10" xfId="4" applyNumberFormat="1" applyFont="1" applyFill="1" applyBorder="1" applyAlignment="1">
      <alignment horizontal="center"/>
    </xf>
    <xf numFmtId="194" fontId="43" fillId="0" borderId="16" xfId="4" applyNumberFormat="1" applyFont="1" applyFill="1" applyBorder="1" applyAlignment="1">
      <alignment horizontal="center"/>
    </xf>
    <xf numFmtId="170" fontId="43" fillId="0" borderId="13" xfId="4" applyNumberFormat="1" applyFont="1" applyFill="1" applyBorder="1" applyAlignment="1">
      <alignment horizontal="center"/>
    </xf>
    <xf numFmtId="180" fontId="21" fillId="0" borderId="0" xfId="2" applyNumberFormat="1" applyFont="1" applyFill="1" applyBorder="1" applyAlignment="1">
      <alignment horizontal="center" vertical="center"/>
    </xf>
    <xf numFmtId="49" fontId="3" fillId="0" borderId="0" xfId="2" applyNumberFormat="1" applyFont="1" applyFill="1" applyBorder="1" applyAlignment="1">
      <alignment horizontal="right"/>
    </xf>
    <xf numFmtId="194" fontId="32" fillId="0" borderId="0" xfId="0" applyNumberFormat="1" applyFont="1" applyBorder="1" applyAlignment="1">
      <alignment horizontal="centerContinuous"/>
    </xf>
    <xf numFmtId="37" fontId="43" fillId="0" borderId="0" xfId="0" applyNumberFormat="1" applyFont="1" applyAlignment="1">
      <alignment horizontal="left" vertical="center"/>
    </xf>
    <xf numFmtId="168" fontId="47" fillId="0" borderId="0" xfId="0" applyNumberFormat="1" applyFont="1" applyFill="1" applyAlignment="1">
      <alignment horizontal="right" vertical="center"/>
    </xf>
    <xf numFmtId="0" fontId="54" fillId="0" borderId="0" xfId="0" applyFont="1" applyAlignment="1">
      <alignment horizontal="right" vertical="center"/>
    </xf>
    <xf numFmtId="0" fontId="0" fillId="0" borderId="0" xfId="0" applyBorder="1"/>
    <xf numFmtId="169" fontId="49" fillId="0" borderId="10" xfId="7" applyNumberFormat="1" applyFont="1" applyFill="1" applyBorder="1" applyAlignment="1" applyProtection="1">
      <protection locked="0"/>
    </xf>
    <xf numFmtId="170" fontId="26" fillId="0" borderId="10" xfId="0" applyNumberFormat="1" applyFont="1" applyBorder="1"/>
    <xf numFmtId="176" fontId="10" fillId="0" borderId="10" xfId="2" applyNumberFormat="1" applyFont="1" applyFill="1" applyBorder="1" applyAlignment="1">
      <alignment horizontal="right"/>
    </xf>
    <xf numFmtId="0" fontId="2" fillId="0" borderId="0" xfId="0" applyFont="1" applyFill="1"/>
    <xf numFmtId="184" fontId="49" fillId="0" borderId="0" xfId="0" applyNumberFormat="1" applyFont="1" applyFill="1" applyBorder="1" applyAlignment="1">
      <alignment horizontal="right"/>
    </xf>
    <xf numFmtId="0" fontId="43" fillId="0" borderId="0" xfId="4" applyFont="1" applyBorder="1" applyAlignment="1">
      <alignment horizontal="left"/>
    </xf>
    <xf numFmtId="0" fontId="2" fillId="0" borderId="0" xfId="0" applyFont="1" applyFill="1" applyAlignment="1">
      <alignment horizontal="left" indent="1"/>
    </xf>
    <xf numFmtId="0" fontId="2" fillId="0" borderId="0" xfId="0" applyFont="1" applyFill="1" applyBorder="1" applyAlignment="1">
      <alignment horizontal="left" indent="1"/>
    </xf>
    <xf numFmtId="170" fontId="66" fillId="0" borderId="0" xfId="0" applyNumberFormat="1" applyFont="1" applyFill="1" applyBorder="1" applyAlignment="1">
      <alignment horizontal="right"/>
    </xf>
    <xf numFmtId="170" fontId="54" fillId="0" borderId="0" xfId="0" applyNumberFormat="1" applyFont="1" applyFill="1" applyBorder="1" applyAlignment="1">
      <alignment horizontal="right"/>
    </xf>
    <xf numFmtId="0" fontId="2" fillId="0" borderId="0" xfId="0" applyFont="1" applyAlignment="1">
      <alignment horizontal="left" indent="1"/>
    </xf>
    <xf numFmtId="0" fontId="12" fillId="0" borderId="0" xfId="0" applyFont="1" applyBorder="1" applyAlignment="1">
      <alignment horizontal="left" indent="1"/>
    </xf>
    <xf numFmtId="0" fontId="12" fillId="0" borderId="0" xfId="0" applyFont="1" applyFill="1" applyBorder="1" applyAlignment="1">
      <alignment horizontal="left" indent="1"/>
    </xf>
    <xf numFmtId="0" fontId="16" fillId="0" borderId="0" xfId="0" applyFont="1" applyFill="1" applyBorder="1" applyAlignment="1">
      <alignment horizontal="left" indent="1"/>
    </xf>
    <xf numFmtId="0" fontId="15" fillId="0" borderId="0" xfId="0" applyFont="1" applyFill="1" applyBorder="1" applyAlignment="1">
      <alignment horizontal="left" indent="1"/>
    </xf>
    <xf numFmtId="0" fontId="5" fillId="0" borderId="0" xfId="0" applyFont="1" applyFill="1" applyBorder="1" applyAlignment="1">
      <alignment horizontal="left" indent="1"/>
    </xf>
    <xf numFmtId="0" fontId="15" fillId="0" borderId="0" xfId="0" applyFont="1" applyBorder="1" applyAlignment="1">
      <alignment horizontal="left" indent="1"/>
    </xf>
    <xf numFmtId="173" fontId="46" fillId="0" borderId="0" xfId="0" applyNumberFormat="1" applyFont="1" applyFill="1" applyBorder="1" applyAlignment="1"/>
    <xf numFmtId="173" fontId="45" fillId="0" borderId="0" xfId="0" applyNumberFormat="1" applyFont="1" applyFill="1" applyBorder="1" applyAlignment="1"/>
    <xf numFmtId="170" fontId="46" fillId="0" borderId="19" xfId="0" applyNumberFormat="1" applyFont="1" applyFill="1" applyBorder="1" applyAlignment="1"/>
    <xf numFmtId="170" fontId="46" fillId="0" borderId="0" xfId="0" applyNumberFormat="1" applyFont="1" applyFill="1" applyBorder="1" applyAlignment="1"/>
    <xf numFmtId="173" fontId="49" fillId="0" borderId="10" xfId="7" applyNumberFormat="1" applyFont="1" applyFill="1" applyBorder="1" applyAlignment="1" applyProtection="1">
      <protection locked="0"/>
    </xf>
    <xf numFmtId="170" fontId="45" fillId="0" borderId="20" xfId="4" applyNumberFormat="1" applyFont="1" applyBorder="1" applyAlignment="1">
      <alignment horizontal="right" vertical="center"/>
    </xf>
    <xf numFmtId="170" fontId="45" fillId="0" borderId="21" xfId="4" applyNumberFormat="1" applyFont="1" applyFill="1" applyBorder="1" applyAlignment="1">
      <alignment horizontal="right" vertical="center"/>
    </xf>
    <xf numFmtId="0" fontId="45" fillId="0" borderId="22" xfId="0" applyNumberFormat="1" applyFont="1" applyFill="1" applyBorder="1" applyAlignment="1">
      <alignment horizontal="right"/>
    </xf>
    <xf numFmtId="0" fontId="26" fillId="0" borderId="23" xfId="0" applyFont="1" applyBorder="1"/>
    <xf numFmtId="170" fontId="45" fillId="0" borderId="24" xfId="4" applyNumberFormat="1" applyFont="1" applyBorder="1" applyAlignment="1">
      <alignment horizontal="right" vertical="center"/>
    </xf>
    <xf numFmtId="170" fontId="45" fillId="0" borderId="23" xfId="0" applyNumberFormat="1" applyFont="1" applyFill="1" applyBorder="1" applyAlignment="1">
      <alignment horizontal="right"/>
    </xf>
    <xf numFmtId="184" fontId="26" fillId="0" borderId="23" xfId="0" applyNumberFormat="1" applyFont="1" applyBorder="1"/>
    <xf numFmtId="184" fontId="49" fillId="0" borderId="21" xfId="0" applyNumberFormat="1" applyFont="1" applyFill="1" applyBorder="1" applyAlignment="1">
      <alignment horizontal="right"/>
    </xf>
    <xf numFmtId="184" fontId="49" fillId="0" borderId="25" xfId="0" applyNumberFormat="1" applyFont="1" applyFill="1" applyBorder="1" applyAlignment="1">
      <alignment horizontal="right"/>
    </xf>
    <xf numFmtId="0" fontId="45" fillId="0" borderId="25" xfId="0" applyNumberFormat="1" applyFont="1" applyFill="1" applyBorder="1" applyAlignment="1">
      <alignment horizontal="right"/>
    </xf>
    <xf numFmtId="170" fontId="32" fillId="0" borderId="20" xfId="0" applyNumberFormat="1" applyFont="1" applyFill="1" applyBorder="1" applyAlignment="1">
      <alignment horizontal="right"/>
    </xf>
    <xf numFmtId="170" fontId="45" fillId="0" borderId="20" xfId="4" applyNumberFormat="1" applyFont="1" applyFill="1" applyBorder="1" applyAlignment="1">
      <alignment horizontal="right" vertical="center"/>
    </xf>
    <xf numFmtId="0" fontId="45" fillId="0" borderId="24" xfId="4" applyFont="1" applyFill="1" applyBorder="1" applyAlignment="1">
      <alignment horizontal="right" vertical="center"/>
    </xf>
    <xf numFmtId="177" fontId="2" fillId="0" borderId="0" xfId="2" applyNumberFormat="1" applyFont="1" applyFill="1" applyAlignment="1">
      <alignment horizontal="right"/>
    </xf>
    <xf numFmtId="0" fontId="2" fillId="0" borderId="0" xfId="0" applyFont="1" applyFill="1" applyBorder="1"/>
    <xf numFmtId="195" fontId="46" fillId="0" borderId="23" xfId="0" applyNumberFormat="1" applyFont="1" applyFill="1" applyBorder="1" applyAlignment="1">
      <alignment horizontal="right"/>
    </xf>
    <xf numFmtId="195" fontId="46" fillId="0" borderId="0" xfId="0" applyNumberFormat="1" applyFont="1" applyFill="1" applyBorder="1" applyAlignment="1">
      <alignment horizontal="right"/>
    </xf>
    <xf numFmtId="195" fontId="46" fillId="0" borderId="24" xfId="0" applyNumberFormat="1" applyFont="1" applyFill="1" applyBorder="1" applyAlignment="1">
      <alignment horizontal="right"/>
    </xf>
    <xf numFmtId="170" fontId="45" fillId="0" borderId="21" xfId="4" applyNumberFormat="1" applyFont="1" applyBorder="1" applyAlignment="1">
      <alignment horizontal="right" vertical="center"/>
    </xf>
    <xf numFmtId="195" fontId="67" fillId="5" borderId="24" xfId="0" applyNumberFormat="1" applyFont="1" applyFill="1" applyBorder="1" applyAlignment="1">
      <alignment horizontal="right"/>
    </xf>
    <xf numFmtId="0" fontId="45" fillId="0" borderId="21" xfId="4" applyFont="1" applyFill="1" applyBorder="1" applyAlignment="1">
      <alignment horizontal="right" vertical="center"/>
    </xf>
    <xf numFmtId="170" fontId="32" fillId="0" borderId="25" xfId="0" applyNumberFormat="1" applyFont="1" applyBorder="1" applyAlignment="1">
      <alignment horizontal="right"/>
    </xf>
    <xf numFmtId="0" fontId="43" fillId="0" borderId="0" xfId="4" applyFont="1" applyBorder="1" applyAlignment="1">
      <alignment horizontal="right"/>
    </xf>
    <xf numFmtId="194" fontId="45" fillId="0" borderId="0" xfId="0" applyNumberFormat="1" applyFont="1" applyFill="1" applyBorder="1" applyAlignment="1">
      <alignment horizontal="right"/>
    </xf>
    <xf numFmtId="0" fontId="0" fillId="0" borderId="23" xfId="0" applyBorder="1"/>
    <xf numFmtId="173" fontId="45" fillId="0" borderId="14" xfId="7" applyNumberFormat="1" applyFont="1" applyFill="1" applyBorder="1" applyAlignment="1" applyProtection="1">
      <alignment vertical="center"/>
      <protection locked="0"/>
    </xf>
    <xf numFmtId="0" fontId="45" fillId="0" borderId="0" xfId="4" applyNumberFormat="1" applyFont="1" applyFill="1" applyBorder="1" applyAlignment="1">
      <alignment horizontal="left" vertical="center"/>
    </xf>
    <xf numFmtId="0" fontId="26" fillId="0" borderId="23" xfId="0" applyFont="1" applyBorder="1" applyAlignment="1">
      <alignment horizontal="right"/>
    </xf>
    <xf numFmtId="195" fontId="46" fillId="0" borderId="25" xfId="0" applyNumberFormat="1" applyFont="1" applyFill="1" applyBorder="1" applyAlignment="1">
      <alignment horizontal="right"/>
    </xf>
    <xf numFmtId="0" fontId="14" fillId="0" borderId="0" xfId="0" applyFont="1" applyFill="1" applyBorder="1" applyAlignment="1">
      <alignment horizontal="left" indent="1"/>
    </xf>
    <xf numFmtId="0" fontId="8" fillId="0" borderId="0" xfId="0" applyFont="1" applyBorder="1" applyAlignment="1">
      <alignment horizontal="left" indent="1"/>
    </xf>
    <xf numFmtId="0" fontId="17" fillId="0" borderId="0" xfId="0" applyFont="1" applyFill="1" applyAlignment="1">
      <alignment horizontal="left" indent="1"/>
    </xf>
    <xf numFmtId="0" fontId="8" fillId="0" borderId="0" xfId="0" applyFont="1" applyAlignment="1">
      <alignment horizontal="left" indent="1"/>
    </xf>
    <xf numFmtId="0" fontId="20" fillId="0" borderId="0" xfId="0" applyFont="1" applyFill="1" applyAlignment="1">
      <alignment horizontal="left" indent="1"/>
    </xf>
    <xf numFmtId="170" fontId="49" fillId="0" borderId="0" xfId="0" applyNumberFormat="1" applyFont="1" applyFill="1" applyBorder="1" applyAlignment="1">
      <alignment horizontal="right"/>
    </xf>
    <xf numFmtId="173" fontId="49" fillId="0" borderId="0" xfId="0" applyNumberFormat="1" applyFont="1" applyFill="1" applyBorder="1" applyAlignment="1">
      <alignment horizontal="right"/>
    </xf>
    <xf numFmtId="173" fontId="49" fillId="0" borderId="0" xfId="0" applyNumberFormat="1" applyFont="1" applyFill="1" applyAlignment="1">
      <alignment horizontal="right"/>
    </xf>
    <xf numFmtId="173" fontId="26" fillId="0" borderId="10" xfId="0" applyNumberFormat="1" applyFont="1" applyBorder="1"/>
    <xf numFmtId="0" fontId="0" fillId="0" borderId="10" xfId="0" applyBorder="1"/>
    <xf numFmtId="0" fontId="2" fillId="0" borderId="0" xfId="0" applyFont="1" applyBorder="1" applyAlignment="1">
      <alignment horizontal="left" indent="1"/>
    </xf>
    <xf numFmtId="175" fontId="2" fillId="0" borderId="0" xfId="2" applyNumberFormat="1" applyFont="1" applyFill="1" applyAlignment="1">
      <alignment horizontal="right"/>
    </xf>
    <xf numFmtId="196" fontId="4" fillId="0" borderId="0" xfId="2" applyNumberFormat="1" applyFont="1" applyFill="1" applyAlignment="1">
      <alignment horizontal="right"/>
    </xf>
    <xf numFmtId="197" fontId="2" fillId="0" borderId="0" xfId="2" applyNumberFormat="1" applyFont="1" applyFill="1" applyAlignment="1">
      <alignment horizontal="right"/>
    </xf>
    <xf numFmtId="49" fontId="9" fillId="0" borderId="0" xfId="0" applyNumberFormat="1" applyFont="1" applyBorder="1" applyAlignment="1">
      <alignment horizontal="left" vertical="center" indent="1"/>
    </xf>
    <xf numFmtId="49" fontId="21" fillId="0" borderId="0" xfId="0" applyNumberFormat="1" applyFont="1" applyBorder="1" applyAlignment="1">
      <alignment horizontal="left" vertical="center" indent="1"/>
    </xf>
    <xf numFmtId="0" fontId="46" fillId="0" borderId="0" xfId="0" applyFont="1" applyFill="1" applyBorder="1" applyAlignment="1">
      <alignment horizontal="left" indent="1"/>
    </xf>
    <xf numFmtId="176" fontId="2" fillId="0" borderId="0" xfId="0" applyNumberFormat="1" applyFont="1" applyFill="1" applyBorder="1" applyAlignment="1">
      <alignment horizontal="right" vertical="center"/>
    </xf>
    <xf numFmtId="180" fontId="21" fillId="0" borderId="15" xfId="2" applyNumberFormat="1" applyFont="1" applyFill="1" applyBorder="1" applyAlignment="1">
      <alignment horizontal="center" vertical="center"/>
    </xf>
    <xf numFmtId="0" fontId="1" fillId="0" borderId="0" xfId="0" applyFont="1"/>
    <xf numFmtId="179" fontId="45" fillId="0" borderId="0" xfId="0" applyNumberFormat="1" applyFont="1" applyFill="1" applyBorder="1" applyAlignment="1">
      <alignment horizontal="right" vertical="center"/>
    </xf>
    <xf numFmtId="37" fontId="46" fillId="0" borderId="0" xfId="2" applyNumberFormat="1" applyFont="1" applyFill="1" applyBorder="1" applyAlignment="1">
      <alignment vertical="center"/>
    </xf>
    <xf numFmtId="181" fontId="46" fillId="0" borderId="0" xfId="0" applyNumberFormat="1" applyFont="1" applyFill="1" applyBorder="1" applyAlignment="1">
      <alignment horizontal="right"/>
    </xf>
    <xf numFmtId="169" fontId="46" fillId="0" borderId="12" xfId="0" applyNumberFormat="1" applyFont="1" applyFill="1" applyBorder="1" applyAlignment="1">
      <alignment horizontal="center"/>
    </xf>
    <xf numFmtId="169" fontId="46" fillId="0" borderId="0" xfId="0" applyNumberFormat="1" applyFont="1" applyFill="1" applyBorder="1" applyAlignment="1">
      <alignment horizontal="center"/>
    </xf>
    <xf numFmtId="169" fontId="46" fillId="0" borderId="15" xfId="0" applyNumberFormat="1" applyFont="1" applyFill="1" applyBorder="1" applyAlignment="1">
      <alignment horizontal="center"/>
    </xf>
    <xf numFmtId="192" fontId="46" fillId="0" borderId="0" xfId="0" applyNumberFormat="1" applyFont="1" applyFill="1" applyBorder="1" applyAlignment="1">
      <alignment horizontal="center"/>
    </xf>
    <xf numFmtId="180" fontId="38" fillId="0" borderId="12" xfId="2" applyNumberFormat="1" applyFont="1" applyFill="1" applyBorder="1" applyAlignment="1">
      <alignment horizontal="center" vertical="center"/>
    </xf>
    <xf numFmtId="180" fontId="38" fillId="0" borderId="0" xfId="2" applyNumberFormat="1" applyFont="1" applyFill="1" applyBorder="1" applyAlignment="1">
      <alignment horizontal="center" vertical="center"/>
    </xf>
    <xf numFmtId="180" fontId="38" fillId="0" borderId="15" xfId="2" applyNumberFormat="1" applyFont="1" applyFill="1" applyBorder="1" applyAlignment="1">
      <alignment horizontal="center" vertical="center"/>
    </xf>
    <xf numFmtId="173" fontId="26" fillId="0" borderId="10" xfId="0" applyNumberFormat="1" applyFont="1" applyFill="1" applyBorder="1" applyAlignment="1">
      <alignment horizontal="right"/>
    </xf>
    <xf numFmtId="173" fontId="46" fillId="0" borderId="11" xfId="7" applyNumberFormat="1" applyFont="1" applyFill="1" applyBorder="1" applyAlignment="1" applyProtection="1">
      <alignment horizontal="right"/>
      <protection locked="0"/>
    </xf>
    <xf numFmtId="173" fontId="38" fillId="0" borderId="0" xfId="7" applyNumberFormat="1" applyFont="1" applyFill="1" applyBorder="1" applyAlignment="1" applyProtection="1">
      <alignment horizontal="right"/>
      <protection locked="0"/>
    </xf>
    <xf numFmtId="173" fontId="45" fillId="0" borderId="11" xfId="7" applyNumberFormat="1" applyFont="1" applyFill="1" applyBorder="1" applyAlignment="1" applyProtection="1">
      <alignment horizontal="right"/>
      <protection locked="0"/>
    </xf>
    <xf numFmtId="195" fontId="49" fillId="0" borderId="24" xfId="0" applyNumberFormat="1" applyFont="1" applyFill="1" applyBorder="1" applyAlignment="1">
      <alignment horizontal="right"/>
    </xf>
    <xf numFmtId="173" fontId="46" fillId="0" borderId="10" xfId="0" applyNumberFormat="1" applyFont="1" applyFill="1" applyBorder="1" applyAlignment="1"/>
    <xf numFmtId="173" fontId="45" fillId="0" borderId="18" xfId="0" applyNumberFormat="1" applyFont="1" applyFill="1" applyBorder="1" applyAlignment="1">
      <alignment vertical="center"/>
    </xf>
    <xf numFmtId="185" fontId="46" fillId="0" borderId="0" xfId="7" applyNumberFormat="1" applyFont="1" applyFill="1" applyBorder="1" applyAlignment="1" applyProtection="1">
      <alignment horizontal="right"/>
      <protection locked="0"/>
    </xf>
    <xf numFmtId="170" fontId="46" fillId="0" borderId="0" xfId="0" applyNumberFormat="1" applyFont="1" applyFill="1" applyBorder="1" applyAlignment="1">
      <alignment horizontal="right"/>
    </xf>
    <xf numFmtId="170" fontId="45" fillId="0" borderId="24" xfId="4" applyNumberFormat="1" applyFont="1" applyFill="1" applyBorder="1" applyAlignment="1">
      <alignment horizontal="right" vertical="center"/>
    </xf>
    <xf numFmtId="195" fontId="67" fillId="0" borderId="24" xfId="0" applyNumberFormat="1" applyFont="1" applyFill="1" applyBorder="1" applyAlignment="1">
      <alignment horizontal="right"/>
    </xf>
    <xf numFmtId="170" fontId="32" fillId="0" borderId="25" xfId="0" applyNumberFormat="1" applyFont="1" applyFill="1" applyBorder="1" applyAlignment="1">
      <alignment horizontal="right"/>
    </xf>
    <xf numFmtId="0" fontId="43" fillId="0" borderId="25" xfId="4" applyFont="1" applyFill="1" applyBorder="1" applyAlignment="1">
      <alignment horizontal="right"/>
    </xf>
    <xf numFmtId="173" fontId="46" fillId="0" borderId="10" xfId="7" applyNumberFormat="1" applyFont="1" applyFill="1" applyBorder="1" applyAlignment="1" applyProtection="1">
      <protection locked="0"/>
    </xf>
    <xf numFmtId="173" fontId="26" fillId="0" borderId="10" xfId="0" applyNumberFormat="1" applyFont="1" applyFill="1" applyBorder="1"/>
    <xf numFmtId="190" fontId="49" fillId="0" borderId="0" xfId="7" applyNumberFormat="1" applyFont="1" applyFill="1" applyBorder="1" applyAlignment="1" applyProtection="1">
      <protection locked="0"/>
    </xf>
    <xf numFmtId="180" fontId="46" fillId="0" borderId="0" xfId="0" applyNumberFormat="1" applyFont="1" applyFill="1" applyBorder="1" applyAlignment="1">
      <alignment horizontal="right"/>
    </xf>
    <xf numFmtId="0" fontId="8" fillId="0" borderId="0" xfId="0" applyFont="1" applyFill="1" applyAlignment="1">
      <alignment horizontal="left" indent="1"/>
    </xf>
    <xf numFmtId="180" fontId="46" fillId="0" borderId="0" xfId="0" applyNumberFormat="1" applyFont="1" applyFill="1" applyAlignment="1">
      <alignment horizontal="right"/>
    </xf>
    <xf numFmtId="173" fontId="46" fillId="0" borderId="0" xfId="7" applyNumberFormat="1" applyFont="1" applyFill="1" applyProtection="1">
      <protection locked="0"/>
    </xf>
    <xf numFmtId="179" fontId="46" fillId="0" borderId="10" xfId="7" applyNumberFormat="1" applyFont="1" applyFill="1" applyBorder="1" applyProtection="1">
      <protection locked="0"/>
    </xf>
    <xf numFmtId="173" fontId="49" fillId="0" borderId="10" xfId="0" applyNumberFormat="1" applyFont="1" applyFill="1" applyBorder="1"/>
    <xf numFmtId="173" fontId="45" fillId="0" borderId="0" xfId="5" applyNumberFormat="1" applyFont="1" applyFill="1" applyBorder="1" applyAlignment="1">
      <alignment horizontal="right"/>
    </xf>
    <xf numFmtId="0" fontId="26" fillId="0" borderId="0" xfId="0" applyFont="1" applyFill="1" applyBorder="1" applyAlignment="1">
      <alignment vertical="center"/>
    </xf>
    <xf numFmtId="189" fontId="25" fillId="0" borderId="0" xfId="0" applyNumberFormat="1" applyFont="1" applyFill="1" applyAlignment="1">
      <alignment horizontal="right"/>
    </xf>
    <xf numFmtId="183" fontId="38" fillId="0" borderId="0" xfId="7" applyNumberFormat="1" applyFont="1" applyFill="1" applyBorder="1" applyAlignment="1" applyProtection="1">
      <alignment horizontal="right"/>
      <protection locked="0"/>
    </xf>
    <xf numFmtId="181" fontId="49" fillId="0" borderId="0" xfId="7" applyNumberFormat="1" applyFont="1" applyFill="1" applyBorder="1" applyAlignment="1" applyProtection="1">
      <alignment horizontal="right"/>
      <protection locked="0"/>
    </xf>
    <xf numFmtId="189" fontId="25" fillId="0" borderId="10" xfId="0" applyNumberFormat="1" applyFont="1" applyFill="1" applyBorder="1" applyAlignment="1">
      <alignment horizontal="right"/>
    </xf>
    <xf numFmtId="183" fontId="38" fillId="0" borderId="10" xfId="7" applyNumberFormat="1" applyFont="1" applyFill="1" applyBorder="1" applyAlignment="1" applyProtection="1">
      <alignment horizontal="right"/>
      <protection locked="0"/>
    </xf>
    <xf numFmtId="173" fontId="38" fillId="0" borderId="10" xfId="7" applyNumberFormat="1" applyFont="1" applyFill="1" applyBorder="1" applyAlignment="1" applyProtection="1">
      <alignment horizontal="right"/>
      <protection locked="0"/>
    </xf>
    <xf numFmtId="0" fontId="21" fillId="0" borderId="0" xfId="0" applyFont="1" applyFill="1" applyBorder="1" applyAlignment="1">
      <alignment horizontal="left" indent="1"/>
    </xf>
    <xf numFmtId="0" fontId="13" fillId="0" borderId="0" xfId="0" applyFont="1" applyFill="1"/>
    <xf numFmtId="170" fontId="26" fillId="0" borderId="10" xfId="0" applyNumberFormat="1" applyFont="1" applyFill="1" applyBorder="1" applyAlignment="1">
      <alignment horizontal="right"/>
    </xf>
    <xf numFmtId="188" fontId="26" fillId="0" borderId="0" xfId="0" applyNumberFormat="1" applyFont="1" applyFill="1"/>
    <xf numFmtId="0" fontId="22" fillId="0" borderId="0" xfId="0" applyFont="1" applyFill="1" applyAlignment="1">
      <alignment horizontal="left" indent="1"/>
    </xf>
    <xf numFmtId="0" fontId="9" fillId="0" borderId="0" xfId="0" applyFont="1" applyFill="1" applyAlignment="1">
      <alignment horizontal="left" indent="1"/>
    </xf>
    <xf numFmtId="0" fontId="32" fillId="0" borderId="0" xfId="0" applyFont="1" applyFill="1" applyAlignment="1">
      <alignment horizontal="left" indent="1"/>
    </xf>
    <xf numFmtId="173" fontId="2" fillId="0" borderId="0" xfId="0" applyNumberFormat="1" applyFont="1" applyFill="1" applyBorder="1"/>
    <xf numFmtId="173" fontId="32" fillId="0" borderId="14" xfId="0" applyNumberFormat="1" applyFont="1" applyFill="1" applyBorder="1" applyAlignment="1">
      <alignment vertical="center"/>
    </xf>
    <xf numFmtId="173" fontId="26" fillId="0" borderId="0" xfId="0" applyNumberFormat="1" applyFont="1" applyFill="1" applyBorder="1" applyAlignment="1">
      <alignment horizontal="right"/>
    </xf>
    <xf numFmtId="0" fontId="0" fillId="0" borderId="10" xfId="0" applyFill="1" applyBorder="1"/>
    <xf numFmtId="179" fontId="46" fillId="0" borderId="0" xfId="7" applyNumberFormat="1" applyFont="1" applyFill="1" applyProtection="1">
      <protection locked="0"/>
    </xf>
  </cellXfs>
  <cellStyles count="11">
    <cellStyle name="Comma" xfId="5" builtinId="3"/>
    <cellStyle name="Comma 2" xfId="10" xr:uid="{3C5A00EA-566D-44E5-B96F-C294575CB080}"/>
    <cellStyle name="Comma 3" xfId="7" xr:uid="{0DFDF181-1670-47C7-BE79-163841A762B6}"/>
    <cellStyle name="Hyperlink" xfId="8" builtinId="8"/>
    <cellStyle name="Hyperlink 2 2" xfId="3" xr:uid="{D41391FD-38C6-4CED-8615-B36C7A15082E}"/>
    <cellStyle name="Normal" xfId="0" builtinId="0"/>
    <cellStyle name="Normal 2" xfId="6" xr:uid="{001107EA-EAC1-44A7-A7B5-029231102B05}"/>
    <cellStyle name="Normal 2 2 2" xfId="2" xr:uid="{A79F478B-C262-45F9-A6CF-4A76329AC37A}"/>
    <cellStyle name="Normal 3" xfId="9" xr:uid="{BA9E06A6-6756-4920-A490-5B84F19A3559}"/>
    <cellStyle name="Normal_Master Junior Database v2" xfId="4" xr:uid="{C07A771D-9E73-4959-8A12-069E112B0CDB}"/>
    <cellStyle name="Percent" xfId="1" builtinId="5"/>
  </cellStyles>
  <dxfs count="0"/>
  <tableStyles count="0" defaultTableStyle="TableStyleMedium2" defaultPivotStyle="PivotStyleLight16"/>
  <colors>
    <mruColors>
      <color rgb="FFD9E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16103050648286E-2"/>
          <c:y val="2.2334074890494923E-2"/>
          <c:w val="0.93419506428554966"/>
          <c:h val="0.88581281038404502"/>
        </c:manualLayout>
      </c:layout>
      <c:barChart>
        <c:barDir val="col"/>
        <c:grouping val="stack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Summary!$C$88:$C$93</c:f>
              <c:numCache>
                <c:formatCode>_(#,##0.00_);\(#,##0.00\);_("–"_);_(@_)</c:formatCode>
                <c:ptCount val="6"/>
                <c:pt idx="0">
                  <c:v>2.6599428190915759</c:v>
                </c:pt>
                <c:pt idx="1">
                  <c:v>3.0390110580627767</c:v>
                </c:pt>
                <c:pt idx="2">
                  <c:v>3.1176458985104021</c:v>
                </c:pt>
                <c:pt idx="3">
                  <c:v>2.6981398437499995</c:v>
                </c:pt>
                <c:pt idx="4">
                  <c:v>3.4626428571428569</c:v>
                </c:pt>
                <c:pt idx="5">
                  <c:v>3.4707436363636361</c:v>
                </c:pt>
              </c:numCache>
            </c:numRef>
          </c:val>
          <c:extLst>
            <c:ext xmlns:c16="http://schemas.microsoft.com/office/drawing/2014/chart" uri="{C3380CC4-5D6E-409C-BE32-E72D297353CC}">
              <c16:uniqueId val="{00000000-4EB3-4012-8E79-410E80E468FF}"/>
            </c:ext>
          </c:extLst>
        </c:ser>
        <c:ser>
          <c:idx val="1"/>
          <c:order val="1"/>
          <c:spPr>
            <a:solidFill>
              <a:srgbClr val="D9E5F7"/>
            </a:solidFill>
            <a:ln>
              <a:noFill/>
            </a:ln>
            <a:effectLst/>
          </c:spPr>
          <c:invertIfNegative val="0"/>
          <c:dPt>
            <c:idx val="0"/>
            <c:invertIfNegative val="0"/>
            <c:bubble3D val="0"/>
            <c:spPr>
              <a:solidFill>
                <a:srgbClr val="D9E5F7"/>
              </a:solidFill>
              <a:ln>
                <a:noFill/>
              </a:ln>
              <a:effectLst/>
            </c:spPr>
            <c:extLst>
              <c:ext xmlns:c16="http://schemas.microsoft.com/office/drawing/2014/chart" uri="{C3380CC4-5D6E-409C-BE32-E72D297353CC}">
                <c16:uniqueId val="{00000000-F10D-4FD9-BB14-D44D8C8AB30B}"/>
              </c:ext>
            </c:extLst>
          </c:dPt>
          <c:dPt>
            <c:idx val="1"/>
            <c:invertIfNegative val="0"/>
            <c:bubble3D val="0"/>
            <c:spPr>
              <a:solidFill>
                <a:srgbClr val="D9E5F7"/>
              </a:solidFill>
              <a:ln>
                <a:noFill/>
              </a:ln>
              <a:effectLst/>
            </c:spPr>
            <c:extLst>
              <c:ext xmlns:c16="http://schemas.microsoft.com/office/drawing/2014/chart" uri="{C3380CC4-5D6E-409C-BE32-E72D297353CC}">
                <c16:uniqueId val="{00000002-F10D-4FD9-BB14-D44D8C8AB30B}"/>
              </c:ext>
            </c:extLst>
          </c:dPt>
          <c:dPt>
            <c:idx val="2"/>
            <c:invertIfNegative val="0"/>
            <c:bubble3D val="0"/>
            <c:spPr>
              <a:solidFill>
                <a:srgbClr val="D9E5F7"/>
              </a:solidFill>
              <a:ln>
                <a:noFill/>
              </a:ln>
              <a:effectLst/>
            </c:spPr>
            <c:extLst>
              <c:ext xmlns:c16="http://schemas.microsoft.com/office/drawing/2014/chart" uri="{C3380CC4-5D6E-409C-BE32-E72D297353CC}">
                <c16:uniqueId val="{00000003-F10D-4FD9-BB14-D44D8C8AB30B}"/>
              </c:ext>
            </c:extLst>
          </c:dPt>
          <c:dPt>
            <c:idx val="3"/>
            <c:invertIfNegative val="0"/>
            <c:bubble3D val="0"/>
            <c:spPr>
              <a:solidFill>
                <a:srgbClr val="DDDEE0"/>
              </a:solidFill>
              <a:ln>
                <a:noFill/>
              </a:ln>
              <a:effectLst/>
            </c:spPr>
            <c:extLst>
              <c:ext xmlns:c16="http://schemas.microsoft.com/office/drawing/2014/chart" uri="{C3380CC4-5D6E-409C-BE32-E72D297353CC}">
                <c16:uniqueId val="{00000001-F10D-4FD9-BB14-D44D8C8AB30B}"/>
              </c:ext>
            </c:extLst>
          </c:dPt>
          <c:dPt>
            <c:idx val="4"/>
            <c:invertIfNegative val="0"/>
            <c:bubble3D val="0"/>
            <c:spPr>
              <a:solidFill>
                <a:srgbClr val="DDDEE0"/>
              </a:solidFill>
              <a:ln>
                <a:noFill/>
              </a:ln>
              <a:effectLst/>
            </c:spPr>
            <c:extLst>
              <c:ext xmlns:c16="http://schemas.microsoft.com/office/drawing/2014/chart" uri="{C3380CC4-5D6E-409C-BE32-E72D297353CC}">
                <c16:uniqueId val="{00000004-F10D-4FD9-BB14-D44D8C8AB30B}"/>
              </c:ext>
            </c:extLst>
          </c:dPt>
          <c:dPt>
            <c:idx val="5"/>
            <c:invertIfNegative val="0"/>
            <c:bubble3D val="0"/>
            <c:spPr>
              <a:solidFill>
                <a:srgbClr val="DDDEE0"/>
              </a:solidFill>
              <a:ln>
                <a:noFill/>
              </a:ln>
              <a:effectLst/>
            </c:spPr>
            <c:extLst>
              <c:ext xmlns:c16="http://schemas.microsoft.com/office/drawing/2014/chart" uri="{C3380CC4-5D6E-409C-BE32-E72D297353CC}">
                <c16:uniqueId val="{00000005-F10D-4FD9-BB14-D44D8C8AB30B}"/>
              </c:ext>
            </c:extLst>
          </c:dPt>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Summary!$D$88:$D$93</c:f>
              <c:numCache>
                <c:formatCode>#,##0.00_);\(#,##0.00\)</c:formatCode>
                <c:ptCount val="6"/>
                <c:pt idx="0">
                  <c:v>1.2346798638416474</c:v>
                </c:pt>
                <c:pt idx="1">
                  <c:v>1.3358400053664163</c:v>
                </c:pt>
                <c:pt idx="2">
                  <c:v>1.2256855688517141</c:v>
                </c:pt>
                <c:pt idx="3">
                  <c:v>1.004342799656269</c:v>
                </c:pt>
                <c:pt idx="4">
                  <c:v>0.77117857142857194</c:v>
                </c:pt>
                <c:pt idx="5">
                  <c:v>0.7729827272727281</c:v>
                </c:pt>
              </c:numCache>
            </c:numRef>
          </c:val>
          <c:extLst>
            <c:ext xmlns:c16="http://schemas.microsoft.com/office/drawing/2014/chart" uri="{C3380CC4-5D6E-409C-BE32-E72D297353CC}">
              <c16:uniqueId val="{00000001-4EB3-4012-8E79-410E80E468FF}"/>
            </c:ext>
          </c:extLst>
        </c:ser>
        <c:ser>
          <c:idx val="2"/>
          <c:order val="2"/>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Summary!$E$88:$E$93</c:f>
              <c:numCache>
                <c:formatCode>_(#,##0.00_);\(#,##0.00\);_("–"_);_(@_)</c:formatCode>
                <c:ptCount val="6"/>
                <c:pt idx="0">
                  <c:v>3.8946226829332233</c:v>
                </c:pt>
                <c:pt idx="1">
                  <c:v>4.3748510634291931</c:v>
                </c:pt>
                <c:pt idx="2">
                  <c:v>4.3433314673621162</c:v>
                </c:pt>
                <c:pt idx="3">
                  <c:v>3.7024826434062685</c:v>
                </c:pt>
                <c:pt idx="4">
                  <c:v>4.2338214285714288</c:v>
                </c:pt>
                <c:pt idx="5">
                  <c:v>4.2437263636363642</c:v>
                </c:pt>
              </c:numCache>
            </c:numRef>
          </c:val>
          <c:extLst>
            <c:ext xmlns:c16="http://schemas.microsoft.com/office/drawing/2014/chart" uri="{C3380CC4-5D6E-409C-BE32-E72D297353CC}">
              <c16:uniqueId val="{00000002-4EB3-4012-8E79-410E80E468FF}"/>
            </c:ext>
          </c:extLst>
        </c:ser>
        <c:dLbls>
          <c:showLegendKey val="0"/>
          <c:showVal val="0"/>
          <c:showCatName val="0"/>
          <c:showSerName val="0"/>
          <c:showPercent val="0"/>
          <c:showBubbleSize val="0"/>
        </c:dLbls>
        <c:gapWidth val="150"/>
        <c:overlap val="100"/>
        <c:axId val="1821450655"/>
        <c:axId val="1821449823"/>
      </c:barChart>
      <c:lineChart>
        <c:grouping val="standard"/>
        <c:varyColors val="0"/>
        <c:ser>
          <c:idx val="3"/>
          <c:order val="3"/>
          <c:tx>
            <c:strRef>
              <c:f>Summary!$F$87</c:f>
              <c:strCache>
                <c:ptCount val="1"/>
                <c:pt idx="0">
                  <c:v>Averages</c:v>
                </c:pt>
              </c:strCache>
            </c:strRef>
          </c:tx>
          <c:spPr>
            <a:ln w="28575" cap="rnd">
              <a:noFill/>
              <a:round/>
            </a:ln>
            <a:effectLst/>
          </c:spPr>
          <c:marker>
            <c:symbol val="diamond"/>
            <c:size val="10"/>
            <c:spPr>
              <a:solidFill>
                <a:srgbClr val="FA621C"/>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A621C"/>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Summary!$F$88:$F$93</c:f>
              <c:numCache>
                <c:formatCode>_(#,##0.00_);\(#,##0.00\);_("–"_);_(@_)</c:formatCode>
                <c:ptCount val="6"/>
                <c:pt idx="0">
                  <c:v>3.2772827510123994</c:v>
                </c:pt>
                <c:pt idx="1">
                  <c:v>3.7069310607459842</c:v>
                </c:pt>
                <c:pt idx="2">
                  <c:v>3.7304886829362598</c:v>
                </c:pt>
                <c:pt idx="3">
                  <c:v>3.2003112435781342</c:v>
                </c:pt>
                <c:pt idx="4">
                  <c:v>3.8482321428571429</c:v>
                </c:pt>
                <c:pt idx="5">
                  <c:v>3.8572349999999997</c:v>
                </c:pt>
              </c:numCache>
            </c:numRef>
          </c:val>
          <c:smooth val="0"/>
          <c:extLst>
            <c:ext xmlns:c16="http://schemas.microsoft.com/office/drawing/2014/chart" uri="{C3380CC4-5D6E-409C-BE32-E72D297353CC}">
              <c16:uniqueId val="{00000003-4EB3-4012-8E79-410E80E468FF}"/>
            </c:ext>
          </c:extLst>
        </c:ser>
        <c:dLbls>
          <c:showLegendKey val="0"/>
          <c:showVal val="0"/>
          <c:showCatName val="0"/>
          <c:showSerName val="0"/>
          <c:showPercent val="0"/>
          <c:showBubbleSize val="0"/>
        </c:dLbls>
        <c:marker val="1"/>
        <c:smooth val="0"/>
        <c:axId val="1821450655"/>
        <c:axId val="1821449823"/>
      </c:lineChart>
      <c:catAx>
        <c:axId val="18214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821449823"/>
        <c:crosses val="autoZero"/>
        <c:auto val="1"/>
        <c:lblAlgn val="ctr"/>
        <c:lblOffset val="100"/>
        <c:noMultiLvlLbl val="0"/>
      </c:catAx>
      <c:valAx>
        <c:axId val="1821449823"/>
        <c:scaling>
          <c:orientation val="minMax"/>
          <c:max val="5"/>
          <c:min val="2"/>
        </c:scaling>
        <c:delete val="0"/>
        <c:axPos val="l"/>
        <c:majorGridlines>
          <c:spPr>
            <a:ln w="9525" cap="flat" cmpd="sng" algn="ctr">
              <a:solidFill>
                <a:schemeClr val="tx1">
                  <a:lumMod val="15000"/>
                  <a:lumOff val="85000"/>
                </a:schemeClr>
              </a:solidFill>
              <a:round/>
            </a:ln>
            <a:effectLst/>
          </c:spPr>
        </c:majorGridlines>
        <c:numFmt formatCode="_(#,##0.00_);\(#,##0.00\);_(&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821450655"/>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manualLayout>
          <c:xMode val="edge"/>
          <c:yMode val="edge"/>
          <c:x val="0.86068180587885035"/>
          <c:y val="0.83553554276636954"/>
          <c:w val="8.3923314275720487E-2"/>
          <c:h val="4.2446882857698653E-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FA621C"/>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hyperlink" Target="http://www.macabacus.com" TargetMode="Externa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http://www.corporatefinanceinstitute.com" TargetMode="External"/><Relationship Id="rId5" Type="http://schemas.openxmlformats.org/officeDocument/2006/relationships/chart" Target="../charts/chart1.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4</xdr:row>
      <xdr:rowOff>33248</xdr:rowOff>
    </xdr:from>
    <xdr:to>
      <xdr:col>3</xdr:col>
      <xdr:colOff>66750</xdr:colOff>
      <xdr:row>6</xdr:row>
      <xdr:rowOff>63548</xdr:rowOff>
    </xdr:to>
    <xdr:pic>
      <xdr:nvPicPr>
        <xdr:cNvPr id="2" name="Graphic 1">
          <a:hlinkClick xmlns:r="http://schemas.openxmlformats.org/officeDocument/2006/relationships" r:id="rId1"/>
          <a:extLst>
            <a:ext uri="{FF2B5EF4-FFF2-40B4-BE49-F238E27FC236}">
              <a16:creationId xmlns:a16="http://schemas.microsoft.com/office/drawing/2014/main" id="{F1741819-C3E6-4FC2-B5D0-8FEB47905C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0550" y="1023848"/>
          <a:ext cx="2562300" cy="525600"/>
        </a:xfrm>
        <a:prstGeom prst="rect">
          <a:avLst/>
        </a:prstGeom>
      </xdr:spPr>
    </xdr:pic>
    <xdr:clientData/>
  </xdr:twoCellAnchor>
  <xdr:twoCellAnchor editAs="oneCell">
    <xdr:from>
      <xdr:col>11</xdr:col>
      <xdr:colOff>122075</xdr:colOff>
      <xdr:row>4</xdr:row>
      <xdr:rowOff>95048</xdr:rowOff>
    </xdr:from>
    <xdr:to>
      <xdr:col>12</xdr:col>
      <xdr:colOff>19050</xdr:colOff>
      <xdr:row>6</xdr:row>
      <xdr:rowOff>71348</xdr:rowOff>
    </xdr:to>
    <xdr:pic>
      <xdr:nvPicPr>
        <xdr:cNvPr id="3" name="Graphic 2">
          <a:hlinkClick xmlns:r="http://schemas.openxmlformats.org/officeDocument/2006/relationships" r:id="rId4"/>
          <a:extLst>
            <a:ext uri="{FF2B5EF4-FFF2-40B4-BE49-F238E27FC236}">
              <a16:creationId xmlns:a16="http://schemas.microsoft.com/office/drawing/2014/main" id="{355F5879-2232-4C9D-A45C-D2D6A68A912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23175" y="1085648"/>
          <a:ext cx="2344900" cy="4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370846</xdr:colOff>
      <xdr:row>0</xdr:row>
      <xdr:rowOff>147170</xdr:rowOff>
    </xdr:from>
    <xdr:to>
      <xdr:col>9</xdr:col>
      <xdr:colOff>939164</xdr:colOff>
      <xdr:row>0</xdr:row>
      <xdr:rowOff>471170</xdr:rowOff>
    </xdr:to>
    <xdr:pic>
      <xdr:nvPicPr>
        <xdr:cNvPr id="2" name="Graphic 1">
          <a:extLst>
            <a:ext uri="{FF2B5EF4-FFF2-40B4-BE49-F238E27FC236}">
              <a16:creationId xmlns:a16="http://schemas.microsoft.com/office/drawing/2014/main" id="{4A9085C7-172C-42EC-A541-8C05EB88A6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24296" y="147170"/>
          <a:ext cx="1702428" cy="324000"/>
        </a:xfrm>
        <a:prstGeom prst="rect">
          <a:avLst/>
        </a:prstGeom>
      </xdr:spPr>
    </xdr:pic>
    <xdr:clientData/>
  </xdr:twoCellAnchor>
  <xdr:twoCellAnchor editAs="oneCell">
    <xdr:from>
      <xdr:col>1</xdr:col>
      <xdr:colOff>137160</xdr:colOff>
      <xdr:row>0</xdr:row>
      <xdr:rowOff>140970</xdr:rowOff>
    </xdr:from>
    <xdr:to>
      <xdr:col>2</xdr:col>
      <xdr:colOff>407272</xdr:colOff>
      <xdr:row>0</xdr:row>
      <xdr:rowOff>508170</xdr:rowOff>
    </xdr:to>
    <xdr:pic>
      <xdr:nvPicPr>
        <xdr:cNvPr id="3" name="Graphic 2">
          <a:extLst>
            <a:ext uri="{FF2B5EF4-FFF2-40B4-BE49-F238E27FC236}">
              <a16:creationId xmlns:a16="http://schemas.microsoft.com/office/drawing/2014/main" id="{3530FA56-B9B7-434F-A744-C3E7A5C16A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7240" y="140970"/>
          <a:ext cx="1759447" cy="367200"/>
        </a:xfrm>
        <a:prstGeom prst="rect">
          <a:avLst/>
        </a:prstGeom>
      </xdr:spPr>
    </xdr:pic>
    <xdr:clientData/>
  </xdr:twoCellAnchor>
  <xdr:twoCellAnchor>
    <xdr:from>
      <xdr:col>1</xdr:col>
      <xdr:colOff>38101</xdr:colOff>
      <xdr:row>6</xdr:row>
      <xdr:rowOff>105832</xdr:rowOff>
    </xdr:from>
    <xdr:to>
      <xdr:col>9</xdr:col>
      <xdr:colOff>988218</xdr:colOff>
      <xdr:row>42</xdr:row>
      <xdr:rowOff>95249</xdr:rowOff>
    </xdr:to>
    <xdr:graphicFrame macro="">
      <xdr:nvGraphicFramePr>
        <xdr:cNvPr id="4" name="Chart 3">
          <a:extLst>
            <a:ext uri="{FF2B5EF4-FFF2-40B4-BE49-F238E27FC236}">
              <a16:creationId xmlns:a16="http://schemas.microsoft.com/office/drawing/2014/main" id="{14ABD378-3C69-D2F5-48D2-7B1A8EB30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114300</xdr:colOff>
      <xdr:row>0</xdr:row>
      <xdr:rowOff>142875</xdr:rowOff>
    </xdr:from>
    <xdr:ext cx="1738454" cy="361270"/>
    <xdr:pic>
      <xdr:nvPicPr>
        <xdr:cNvPr id="5" name="Graphic 4">
          <a:hlinkClick xmlns:r="http://schemas.openxmlformats.org/officeDocument/2006/relationships" r:id="rId6"/>
          <a:extLst>
            <a:ext uri="{FF2B5EF4-FFF2-40B4-BE49-F238E27FC236}">
              <a16:creationId xmlns:a16="http://schemas.microsoft.com/office/drawing/2014/main" id="{B6F7A32F-88D9-4C83-9BCA-1255A38E86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5300" y="142875"/>
          <a:ext cx="1738454" cy="361270"/>
        </a:xfrm>
        <a:prstGeom prst="rect">
          <a:avLst/>
        </a:prstGeom>
      </xdr:spPr>
    </xdr:pic>
    <xdr:clientData/>
  </xdr:oneCellAnchor>
  <xdr:oneCellAnchor>
    <xdr:from>
      <xdr:col>24</xdr:col>
      <xdr:colOff>148590</xdr:colOff>
      <xdr:row>0</xdr:row>
      <xdr:rowOff>140333</xdr:rowOff>
    </xdr:from>
    <xdr:ext cx="1627898" cy="322940"/>
    <xdr:pic>
      <xdr:nvPicPr>
        <xdr:cNvPr id="6" name="Graphic 5">
          <a:hlinkClick xmlns:r="http://schemas.openxmlformats.org/officeDocument/2006/relationships" r:id="rId7"/>
          <a:extLst>
            <a:ext uri="{FF2B5EF4-FFF2-40B4-BE49-F238E27FC236}">
              <a16:creationId xmlns:a16="http://schemas.microsoft.com/office/drawing/2014/main" id="{AB0F9B0C-C796-47C2-A952-32161E6BC7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63915" y="140333"/>
          <a:ext cx="1627898" cy="3229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0</xdr:row>
      <xdr:rowOff>133350</xdr:rowOff>
    </xdr:from>
    <xdr:to>
      <xdr:col>1</xdr:col>
      <xdr:colOff>2069058</xdr:colOff>
      <xdr:row>0</xdr:row>
      <xdr:rowOff>494620</xdr:rowOff>
    </xdr:to>
    <xdr:pic>
      <xdr:nvPicPr>
        <xdr:cNvPr id="2" name="Graphic 1">
          <a:hlinkClick xmlns:r="http://schemas.openxmlformats.org/officeDocument/2006/relationships" r:id="rId1"/>
          <a:extLst>
            <a:ext uri="{FF2B5EF4-FFF2-40B4-BE49-F238E27FC236}">
              <a16:creationId xmlns:a16="http://schemas.microsoft.com/office/drawing/2014/main" id="{BE3DAFB2-7425-4767-AF94-C475662E55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6260" y="133350"/>
          <a:ext cx="1920468" cy="361270"/>
        </a:xfrm>
        <a:prstGeom prst="rect">
          <a:avLst/>
        </a:prstGeom>
      </xdr:spPr>
    </xdr:pic>
    <xdr:clientData/>
  </xdr:twoCellAnchor>
  <xdr:oneCellAnchor>
    <xdr:from>
      <xdr:col>7</xdr:col>
      <xdr:colOff>275064</xdr:colOff>
      <xdr:row>0</xdr:row>
      <xdr:rowOff>142238</xdr:rowOff>
    </xdr:from>
    <xdr:ext cx="1707908" cy="322940"/>
    <xdr:pic>
      <xdr:nvPicPr>
        <xdr:cNvPr id="3" name="Graphic 2">
          <a:hlinkClick xmlns:r="http://schemas.openxmlformats.org/officeDocument/2006/relationships" r:id="rId4"/>
          <a:extLst>
            <a:ext uri="{FF2B5EF4-FFF2-40B4-BE49-F238E27FC236}">
              <a16:creationId xmlns:a16="http://schemas.microsoft.com/office/drawing/2014/main" id="{2B910B84-4E15-4F96-A258-74ACE44615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12664" y="142238"/>
          <a:ext cx="1707908" cy="32294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152400</xdr:colOff>
      <xdr:row>0</xdr:row>
      <xdr:rowOff>133350</xdr:rowOff>
    </xdr:from>
    <xdr:to>
      <xdr:col>1</xdr:col>
      <xdr:colOff>2069058</xdr:colOff>
      <xdr:row>0</xdr:row>
      <xdr:rowOff>494620</xdr:rowOff>
    </xdr:to>
    <xdr:pic>
      <xdr:nvPicPr>
        <xdr:cNvPr id="2" name="Graphic 1">
          <a:hlinkClick xmlns:r="http://schemas.openxmlformats.org/officeDocument/2006/relationships" r:id="rId1"/>
          <a:extLst>
            <a:ext uri="{FF2B5EF4-FFF2-40B4-BE49-F238E27FC236}">
              <a16:creationId xmlns:a16="http://schemas.microsoft.com/office/drawing/2014/main" id="{FC171BBA-2D02-4153-A418-ECD3DEE5F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6260" y="133350"/>
          <a:ext cx="1919198" cy="361270"/>
        </a:xfrm>
        <a:prstGeom prst="rect">
          <a:avLst/>
        </a:prstGeom>
      </xdr:spPr>
    </xdr:pic>
    <xdr:clientData/>
  </xdr:twoCellAnchor>
  <xdr:oneCellAnchor>
    <xdr:from>
      <xdr:col>7</xdr:col>
      <xdr:colOff>275064</xdr:colOff>
      <xdr:row>0</xdr:row>
      <xdr:rowOff>142238</xdr:rowOff>
    </xdr:from>
    <xdr:ext cx="1707908" cy="322940"/>
    <xdr:pic>
      <xdr:nvPicPr>
        <xdr:cNvPr id="3" name="Graphic 2">
          <a:hlinkClick xmlns:r="http://schemas.openxmlformats.org/officeDocument/2006/relationships" r:id="rId4"/>
          <a:extLst>
            <a:ext uri="{FF2B5EF4-FFF2-40B4-BE49-F238E27FC236}">
              <a16:creationId xmlns:a16="http://schemas.microsoft.com/office/drawing/2014/main" id="{5AA2777B-401D-4761-B915-66A9C421179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11394" y="142238"/>
          <a:ext cx="1707908" cy="322940"/>
        </a:xfrm>
        <a:prstGeom prst="rect">
          <a:avLst/>
        </a:prstGeom>
      </xdr:spPr>
    </xdr:pic>
    <xdr:clientData/>
  </xdr:one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6428-923A-40DF-A3E0-F9A4968D6B82}">
  <dimension ref="A1:AI1"/>
  <sheetViews>
    <sheetView workbookViewId="0"/>
  </sheetViews>
  <sheetFormatPr defaultRowHeight="14.4"/>
  <sheetData>
    <row r="1" spans="1:35">
      <c r="A1">
        <v>35</v>
      </c>
      <c r="B1" t="s">
        <v>23</v>
      </c>
      <c r="C1" t="s">
        <v>24</v>
      </c>
      <c r="D1" t="s">
        <v>25</v>
      </c>
      <c r="E1" t="s">
        <v>26</v>
      </c>
      <c r="F1" t="s">
        <v>27</v>
      </c>
      <c r="G1" t="s">
        <v>28</v>
      </c>
      <c r="H1" t="s">
        <v>29</v>
      </c>
      <c r="I1" t="s">
        <v>30</v>
      </c>
      <c r="J1" t="s">
        <v>31</v>
      </c>
      <c r="K1" t="s">
        <v>32</v>
      </c>
      <c r="L1" t="s">
        <v>33</v>
      </c>
      <c r="M1" t="s">
        <v>34</v>
      </c>
      <c r="N1" t="s">
        <v>35</v>
      </c>
      <c r="O1" t="s">
        <v>36</v>
      </c>
      <c r="P1" t="s">
        <v>37</v>
      </c>
      <c r="Q1" t="s">
        <v>38</v>
      </c>
      <c r="R1" t="s">
        <v>39</v>
      </c>
      <c r="S1" t="s">
        <v>40</v>
      </c>
      <c r="T1" t="s">
        <v>41</v>
      </c>
      <c r="U1" t="s">
        <v>42</v>
      </c>
      <c r="V1" t="s">
        <v>43</v>
      </c>
      <c r="W1" t="s">
        <v>44</v>
      </c>
      <c r="X1" t="s">
        <v>45</v>
      </c>
      <c r="Y1" t="s">
        <v>46</v>
      </c>
      <c r="Z1" t="s">
        <v>47</v>
      </c>
      <c r="AA1" t="s">
        <v>48</v>
      </c>
      <c r="AB1" t="s">
        <v>49</v>
      </c>
      <c r="AC1" t="s">
        <v>50</v>
      </c>
      <c r="AD1" t="s">
        <v>51</v>
      </c>
      <c r="AE1" t="s">
        <v>52</v>
      </c>
      <c r="AF1" t="s">
        <v>53</v>
      </c>
      <c r="AG1" t="s">
        <v>54</v>
      </c>
      <c r="AH1" t="s">
        <v>55</v>
      </c>
      <c r="AI1"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DE37-7C49-4DD5-91D7-52890D8AAD8B}">
  <sheetPr>
    <pageSetUpPr fitToPage="1"/>
  </sheetPr>
  <dimension ref="A1:O40"/>
  <sheetViews>
    <sheetView showGridLines="0" tabSelected="1" view="pageBreakPreview" zoomScale="70" zoomScaleNormal="100" zoomScaleSheetLayoutView="70" workbookViewId="0">
      <selection activeCell="A2" sqref="A2"/>
    </sheetView>
  </sheetViews>
  <sheetFormatPr defaultColWidth="9.15625" defaultRowHeight="19.5" customHeight="1"/>
  <cols>
    <col min="1" max="1" width="4.68359375" style="2" customWidth="1"/>
    <col min="2" max="2" width="4.83984375" style="2" customWidth="1"/>
    <col min="3" max="3" width="36.68359375" style="2" customWidth="1"/>
    <col min="4" max="11" width="10.68359375" style="2" customWidth="1"/>
    <col min="12" max="12" width="36.68359375" style="2" customWidth="1"/>
    <col min="13" max="13" width="4.83984375" style="2" customWidth="1"/>
    <col min="14" max="14" width="11" style="2" customWidth="1"/>
    <col min="15" max="16384" width="9.15625" style="2"/>
  </cols>
  <sheetData>
    <row r="1" spans="1:15" ht="19.5" customHeight="1" thickBot="1">
      <c r="A1" s="1"/>
    </row>
    <row r="2" spans="1:15" ht="19.5" customHeight="1" thickTop="1">
      <c r="B2" s="3"/>
      <c r="C2" s="4"/>
      <c r="D2" s="4"/>
      <c r="E2" s="4"/>
      <c r="F2" s="4"/>
      <c r="G2" s="4"/>
      <c r="H2" s="4"/>
      <c r="I2" s="4"/>
      <c r="J2" s="4"/>
      <c r="K2" s="4"/>
      <c r="L2" s="4"/>
      <c r="M2" s="5"/>
    </row>
    <row r="3" spans="1:15" ht="19.5" customHeight="1">
      <c r="B3" s="6"/>
      <c r="C3" s="7"/>
      <c r="D3" s="7"/>
      <c r="E3" s="7"/>
      <c r="F3" s="7"/>
      <c r="G3" s="7"/>
      <c r="H3" s="7"/>
      <c r="I3" s="7"/>
      <c r="J3" s="7"/>
      <c r="K3" s="7"/>
      <c r="L3" s="7"/>
      <c r="M3" s="8"/>
    </row>
    <row r="4" spans="1:15" ht="19.5" customHeight="1">
      <c r="B4" s="6"/>
      <c r="C4" s="7"/>
      <c r="D4" s="7"/>
      <c r="E4" s="7"/>
      <c r="F4" s="7"/>
      <c r="G4" s="7"/>
      <c r="H4" s="7"/>
      <c r="I4" s="7"/>
      <c r="J4" s="7"/>
      <c r="K4" s="7"/>
      <c r="L4" s="7"/>
      <c r="M4" s="8"/>
    </row>
    <row r="5" spans="1:15" ht="19.5" customHeight="1">
      <c r="B5" s="6"/>
      <c r="C5" s="7"/>
      <c r="D5" s="7"/>
      <c r="E5" s="7"/>
      <c r="F5" s="7"/>
      <c r="G5" s="7"/>
      <c r="H5" s="7"/>
      <c r="I5" s="7"/>
      <c r="J5" s="7"/>
      <c r="K5" s="7"/>
      <c r="L5" s="7"/>
      <c r="M5" s="8"/>
    </row>
    <row r="6" spans="1:15" ht="19.5" customHeight="1">
      <c r="B6" s="6"/>
      <c r="C6" s="7"/>
      <c r="D6" s="7"/>
      <c r="E6" s="7"/>
      <c r="F6" s="7"/>
      <c r="G6" s="7"/>
      <c r="H6" s="7"/>
      <c r="I6" s="7"/>
      <c r="J6" s="7"/>
      <c r="K6" s="7"/>
      <c r="L6" s="7"/>
      <c r="M6" s="8"/>
    </row>
    <row r="7" spans="1:15" ht="19.5" customHeight="1">
      <c r="B7" s="6"/>
      <c r="C7" s="7"/>
      <c r="D7" s="7"/>
      <c r="E7" s="7"/>
      <c r="F7" s="7"/>
      <c r="G7" s="7"/>
      <c r="H7" s="7"/>
      <c r="I7" s="7"/>
      <c r="J7" s="7"/>
      <c r="K7" s="7"/>
      <c r="L7" s="7"/>
      <c r="M7" s="8"/>
    </row>
    <row r="8" spans="1:15" ht="19.5" customHeight="1">
      <c r="B8" s="6"/>
      <c r="C8" s="7"/>
      <c r="D8" s="7"/>
      <c r="E8" s="7"/>
      <c r="F8" s="7"/>
      <c r="G8" s="7"/>
      <c r="H8" s="7"/>
      <c r="I8" s="7"/>
      <c r="J8" s="7"/>
      <c r="K8" s="7"/>
      <c r="L8" s="7"/>
      <c r="M8" s="8"/>
    </row>
    <row r="9" spans="1:15" ht="19.5" customHeight="1">
      <c r="B9" s="6"/>
      <c r="C9" s="7"/>
      <c r="D9" s="7"/>
      <c r="E9" s="7"/>
      <c r="F9" s="7"/>
      <c r="G9" s="7"/>
      <c r="H9" s="7"/>
      <c r="I9" s="7"/>
      <c r="J9" s="7"/>
      <c r="K9" s="7"/>
      <c r="L9" s="7"/>
      <c r="M9" s="8"/>
    </row>
    <row r="10" spans="1:15" ht="19.5" customHeight="1">
      <c r="B10" s="9"/>
      <c r="M10" s="10"/>
    </row>
    <row r="11" spans="1:15" ht="28.5" customHeight="1">
      <c r="B11" s="9"/>
      <c r="C11" s="11" t="s">
        <v>79</v>
      </c>
      <c r="L11" s="12" t="s">
        <v>0</v>
      </c>
      <c r="M11" s="10"/>
      <c r="O11"/>
    </row>
    <row r="12" spans="1:15" ht="19.5" customHeight="1">
      <c r="B12" s="9"/>
      <c r="C12" s="13"/>
      <c r="K12" s="14"/>
      <c r="M12" s="10"/>
      <c r="O12"/>
    </row>
    <row r="13" spans="1:15" ht="19.5" customHeight="1">
      <c r="B13" s="9"/>
      <c r="C13" s="15" t="s">
        <v>18</v>
      </c>
      <c r="D13" s="16"/>
      <c r="E13" s="16"/>
      <c r="F13" s="16"/>
      <c r="G13" s="28"/>
      <c r="H13" s="29"/>
      <c r="I13" s="29"/>
      <c r="J13" s="29"/>
      <c r="K13" s="30"/>
      <c r="M13" s="10"/>
      <c r="O13"/>
    </row>
    <row r="14" spans="1:15" ht="19.5" customHeight="1">
      <c r="B14" s="9"/>
      <c r="C14" s="17"/>
      <c r="D14" s="16"/>
      <c r="E14" s="16"/>
      <c r="F14" s="16"/>
      <c r="G14" s="28"/>
      <c r="H14" s="29"/>
      <c r="I14" s="29"/>
      <c r="J14" s="29"/>
      <c r="K14" s="30"/>
      <c r="M14" s="10"/>
      <c r="O14"/>
    </row>
    <row r="15" spans="1:15" ht="19.5" customHeight="1">
      <c r="B15" s="9"/>
      <c r="C15" s="193" t="s">
        <v>70</v>
      </c>
      <c r="D15" s="16"/>
      <c r="E15" s="16"/>
      <c r="F15" s="16"/>
      <c r="G15" s="28"/>
      <c r="H15" s="29"/>
      <c r="I15" s="29"/>
      <c r="J15" s="29"/>
      <c r="K15" s="30"/>
      <c r="M15" s="10"/>
      <c r="O15"/>
    </row>
    <row r="16" spans="1:15" ht="19.5" customHeight="1">
      <c r="B16" s="9"/>
      <c r="C16" s="193" t="s">
        <v>154</v>
      </c>
      <c r="D16" s="16"/>
      <c r="E16" s="16"/>
      <c r="F16" s="16"/>
      <c r="G16" s="28"/>
      <c r="H16" s="29"/>
      <c r="I16" s="29"/>
      <c r="J16" s="29"/>
      <c r="K16" s="30"/>
      <c r="M16" s="10"/>
      <c r="O16"/>
    </row>
    <row r="17" spans="2:15" ht="19.5" customHeight="1">
      <c r="B17" s="9"/>
      <c r="C17" s="193" t="s">
        <v>155</v>
      </c>
      <c r="D17" s="16"/>
      <c r="E17" s="16"/>
      <c r="F17" s="16"/>
      <c r="G17" s="28"/>
      <c r="H17" s="29"/>
      <c r="I17" s="29"/>
      <c r="J17" s="29"/>
      <c r="K17" s="30"/>
      <c r="M17" s="10"/>
      <c r="O17"/>
    </row>
    <row r="18" spans="2:15" ht="19.5" customHeight="1">
      <c r="B18" s="9"/>
      <c r="C18" s="16"/>
      <c r="D18" s="16"/>
      <c r="E18" s="16"/>
      <c r="F18" s="16"/>
      <c r="G18" s="28"/>
      <c r="H18" s="29"/>
      <c r="I18" s="29"/>
      <c r="J18" s="29"/>
      <c r="K18" s="30"/>
      <c r="M18" s="10"/>
      <c r="O18"/>
    </row>
    <row r="19" spans="2:15" ht="19.5" customHeight="1">
      <c r="B19" s="9"/>
      <c r="C19"/>
      <c r="D19" s="16"/>
      <c r="E19" s="16"/>
      <c r="F19" s="16"/>
      <c r="G19" s="28"/>
      <c r="H19" s="29"/>
      <c r="I19" s="29"/>
      <c r="J19" s="29"/>
      <c r="K19" s="30"/>
      <c r="M19" s="10"/>
    </row>
    <row r="20" spans="2:15" ht="19.5" customHeight="1">
      <c r="B20" s="9"/>
      <c r="C20"/>
      <c r="D20" s="16"/>
      <c r="E20" s="16"/>
      <c r="F20" s="16"/>
      <c r="G20" s="28"/>
      <c r="H20" s="29"/>
      <c r="I20" s="29"/>
      <c r="J20" s="29"/>
      <c r="K20" s="30"/>
      <c r="M20" s="10"/>
    </row>
    <row r="21" spans="2:15" ht="19.5" customHeight="1">
      <c r="B21" s="9"/>
      <c r="C21"/>
      <c r="D21" s="16"/>
      <c r="E21" s="16"/>
      <c r="F21" s="16"/>
      <c r="G21" s="16"/>
      <c r="H21" s="16"/>
      <c r="I21" s="16"/>
      <c r="J21" s="16"/>
      <c r="K21" s="16"/>
      <c r="L21" s="16"/>
      <c r="M21" s="10"/>
    </row>
    <row r="22" spans="2:15" ht="19.5" customHeight="1">
      <c r="B22" s="9"/>
      <c r="C22"/>
      <c r="D22" s="16"/>
      <c r="E22" s="16"/>
      <c r="F22" s="16"/>
      <c r="G22" s="16"/>
      <c r="H22" s="16"/>
      <c r="I22" s="16"/>
      <c r="J22" s="16"/>
      <c r="K22" s="16"/>
      <c r="L22" s="16"/>
      <c r="M22" s="10"/>
    </row>
    <row r="23" spans="2:15" ht="19.5" customHeight="1">
      <c r="B23" s="9"/>
      <c r="C23"/>
      <c r="D23" s="16"/>
      <c r="E23" s="16"/>
      <c r="F23" s="16"/>
      <c r="G23" s="16"/>
      <c r="H23" s="16"/>
      <c r="I23" s="16"/>
      <c r="J23" s="16"/>
      <c r="K23" s="16"/>
      <c r="L23" s="16"/>
      <c r="M23" s="10"/>
    </row>
    <row r="24" spans="2:15" ht="19.5" customHeight="1">
      <c r="B24" s="9"/>
      <c r="C24"/>
      <c r="D24" s="16"/>
      <c r="E24" s="16"/>
      <c r="F24" s="16"/>
      <c r="G24" s="16"/>
      <c r="H24" s="16"/>
      <c r="I24" s="16"/>
      <c r="J24" s="16"/>
      <c r="K24" s="16"/>
      <c r="L24" s="16"/>
      <c r="M24" s="10"/>
    </row>
    <row r="25" spans="2:15" ht="19.5" customHeight="1">
      <c r="B25" s="9"/>
      <c r="C25"/>
      <c r="D25" s="16"/>
      <c r="E25" s="16"/>
      <c r="F25" s="16"/>
      <c r="G25" s="16"/>
      <c r="H25" s="16"/>
      <c r="I25" s="16"/>
      <c r="J25" s="16"/>
      <c r="K25" s="16"/>
      <c r="L25" s="16"/>
      <c r="M25" s="10"/>
    </row>
    <row r="26" spans="2:15" ht="19.5" customHeight="1">
      <c r="B26" s="9"/>
      <c r="C26" s="122"/>
      <c r="D26" s="16"/>
      <c r="E26" s="16"/>
      <c r="F26" s="16"/>
      <c r="G26" s="16"/>
      <c r="H26" s="16"/>
      <c r="I26" s="16"/>
      <c r="J26" s="16"/>
      <c r="K26" s="16"/>
      <c r="L26" s="16"/>
      <c r="M26" s="10"/>
    </row>
    <row r="27" spans="2:15" ht="19.5" customHeight="1">
      <c r="B27" s="9"/>
      <c r="C27" s="18"/>
      <c r="D27" s="16"/>
      <c r="E27" s="16"/>
      <c r="F27" s="16"/>
      <c r="G27" s="16"/>
      <c r="H27" s="16"/>
      <c r="I27" s="16"/>
      <c r="J27" s="16"/>
      <c r="K27" s="16"/>
      <c r="L27" s="16"/>
      <c r="M27" s="10"/>
    </row>
    <row r="28" spans="2:15" ht="19.5" customHeight="1">
      <c r="B28" s="9"/>
      <c r="C28" s="19"/>
      <c r="D28" s="16"/>
      <c r="E28" s="16"/>
      <c r="F28" s="16"/>
      <c r="G28" s="16"/>
      <c r="H28" s="16"/>
      <c r="I28" s="16"/>
      <c r="J28" s="16"/>
      <c r="K28" s="16"/>
      <c r="L28" s="16"/>
      <c r="M28" s="10"/>
    </row>
    <row r="29" spans="2:15" ht="19.5" customHeight="1">
      <c r="B29" s="9"/>
      <c r="C29" s="20"/>
      <c r="D29" s="16"/>
      <c r="E29" s="16"/>
      <c r="F29" s="16"/>
      <c r="G29" s="16"/>
      <c r="H29" s="16"/>
      <c r="I29" s="16"/>
      <c r="J29" s="16"/>
      <c r="K29" s="16"/>
      <c r="L29" s="16"/>
      <c r="M29" s="10"/>
    </row>
    <row r="30" spans="2:15" ht="19.5" customHeight="1">
      <c r="B30" s="9"/>
      <c r="C30" s="20"/>
      <c r="D30" s="16"/>
      <c r="E30" s="16"/>
      <c r="F30" s="16"/>
      <c r="G30" s="16"/>
      <c r="H30" s="16"/>
      <c r="I30" s="16"/>
      <c r="J30" s="16"/>
      <c r="K30" s="16"/>
      <c r="L30" s="16"/>
      <c r="M30" s="10"/>
    </row>
    <row r="31" spans="2:15" ht="19.5" customHeight="1">
      <c r="B31" s="9"/>
      <c r="C31" s="21" t="s">
        <v>57</v>
      </c>
      <c r="D31" s="22"/>
      <c r="E31" s="22"/>
      <c r="F31" s="22"/>
      <c r="G31" s="22"/>
      <c r="H31" s="22"/>
      <c r="I31" s="22"/>
      <c r="J31" s="22"/>
      <c r="K31" s="22"/>
      <c r="L31" s="22"/>
      <c r="M31" s="10"/>
    </row>
    <row r="32" spans="2:15" ht="19.5" customHeight="1">
      <c r="B32" s="9"/>
      <c r="C32" s="23" t="s">
        <v>58</v>
      </c>
      <c r="D32" s="24"/>
      <c r="E32" s="24"/>
      <c r="F32" s="24"/>
      <c r="G32" s="24"/>
      <c r="H32" s="24"/>
      <c r="I32" s="24"/>
      <c r="J32" s="24"/>
      <c r="K32" s="24"/>
      <c r="L32" s="24"/>
      <c r="M32" s="10"/>
    </row>
    <row r="33" spans="2:14" ht="19.5" customHeight="1">
      <c r="B33" s="9"/>
      <c r="C33" s="23" t="s">
        <v>59</v>
      </c>
      <c r="D33" s="24"/>
      <c r="E33" s="24"/>
      <c r="F33" s="24"/>
      <c r="G33" s="24"/>
      <c r="H33" s="24"/>
      <c r="I33" s="24"/>
      <c r="J33" s="24"/>
      <c r="K33" s="24"/>
      <c r="L33" s="24"/>
      <c r="M33" s="10"/>
    </row>
    <row r="34" spans="2:14" ht="19.5" customHeight="1">
      <c r="B34" s="9"/>
      <c r="C34" s="23" t="s">
        <v>60</v>
      </c>
      <c r="D34" s="24"/>
      <c r="E34" s="24"/>
      <c r="F34" s="24"/>
      <c r="G34" s="24"/>
      <c r="H34" s="24"/>
      <c r="I34" s="24"/>
      <c r="J34" s="24"/>
      <c r="K34" s="24"/>
      <c r="L34" s="24"/>
      <c r="M34" s="10"/>
    </row>
    <row r="35" spans="2:14" ht="19.5" customHeight="1">
      <c r="B35" s="9"/>
      <c r="C35" s="23" t="s">
        <v>61</v>
      </c>
      <c r="D35" s="24"/>
      <c r="E35" s="24"/>
      <c r="F35" s="24"/>
      <c r="G35" s="24"/>
      <c r="H35" s="24"/>
      <c r="I35" s="24"/>
      <c r="J35" s="24"/>
      <c r="K35" s="24"/>
      <c r="L35" s="24"/>
      <c r="M35" s="10"/>
    </row>
    <row r="36" spans="2:14" ht="19.5" customHeight="1">
      <c r="B36" s="9"/>
      <c r="C36" s="23" t="s">
        <v>62</v>
      </c>
      <c r="D36" s="24"/>
      <c r="E36" s="24"/>
      <c r="F36" s="24"/>
      <c r="G36" s="24"/>
      <c r="H36" s="24"/>
      <c r="I36" s="24"/>
      <c r="J36" s="24"/>
      <c r="K36" s="24"/>
      <c r="L36" s="24"/>
      <c r="M36" s="10"/>
    </row>
    <row r="37" spans="2:14" ht="19.5" customHeight="1">
      <c r="B37" s="9"/>
      <c r="C37" s="23"/>
      <c r="D37" s="24"/>
      <c r="E37" s="24"/>
      <c r="F37" s="24"/>
      <c r="G37" s="24"/>
      <c r="H37" s="24"/>
      <c r="I37" s="24"/>
      <c r="J37" s="24"/>
      <c r="K37" s="24"/>
      <c r="L37" s="24"/>
      <c r="M37" s="10"/>
    </row>
    <row r="38" spans="2:14" ht="19.5" customHeight="1">
      <c r="B38" s="9"/>
      <c r="C38" s="23" t="s">
        <v>1</v>
      </c>
      <c r="D38" s="24"/>
      <c r="E38" s="24"/>
      <c r="F38" s="24"/>
      <c r="G38" s="24"/>
      <c r="H38" s="24"/>
      <c r="I38" s="24"/>
      <c r="J38" s="24"/>
      <c r="K38" s="24"/>
      <c r="L38" s="24"/>
      <c r="M38" s="10"/>
    </row>
    <row r="39" spans="2:14" ht="19.5" customHeight="1" thickBot="1">
      <c r="B39" s="25"/>
      <c r="C39" s="26"/>
      <c r="D39" s="26"/>
      <c r="E39" s="26"/>
      <c r="F39" s="26"/>
      <c r="G39" s="26"/>
      <c r="H39" s="26"/>
      <c r="I39" s="26"/>
      <c r="J39" s="26"/>
      <c r="K39" s="26"/>
      <c r="L39" s="26"/>
      <c r="M39" s="27" t="s">
        <v>20</v>
      </c>
    </row>
    <row r="40" spans="2:14" ht="19.5" customHeight="1" thickTop="1">
      <c r="N40" s="2" t="s">
        <v>20</v>
      </c>
    </row>
  </sheetData>
  <hyperlinks>
    <hyperlink ref="C38" r:id="rId1" xr:uid="{002D6B14-609D-4515-AED6-2247333DA476}"/>
    <hyperlink ref="C15" location="Summary!A1" tooltip="Summary" display="Summary" xr:uid="{2C375B80-68C6-445D-9282-24E4AF4F5110}"/>
    <hyperlink ref="C16" location="TSCO!A1" tooltip="Tesco (TSCO)" display="Tesco (TSCO)" xr:uid="{AF528E1E-758C-4AF5-9AC4-7F7D7D61E2AE}"/>
    <hyperlink ref="C17" location="SBRY!A1" tooltip="Sainsbury (SBRY)" display="Sainsbury (SBRY)" xr:uid="{8C122F06-F5EF-4B95-851A-D00D3136E1A6}"/>
  </hyperlinks>
  <printOptions horizontalCentered="1" verticalCentered="1"/>
  <pageMargins left="0.31496062992125984" right="0.31496062992125984" top="0.31496062992125984" bottom="0.31496062992125984" header="0.31496062992125984" footer="0.31496062992125984"/>
  <pageSetup scale="75"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49F0-AAD4-4D07-957D-B61BD31F4385}">
  <dimension ref="B1:AJ103"/>
  <sheetViews>
    <sheetView showGridLines="0" zoomScale="75" zoomScaleNormal="75" zoomScaleSheetLayoutView="90" workbookViewId="0">
      <pane ySplit="1" topLeftCell="A2" activePane="bottomLeft" state="frozen"/>
      <selection activeCell="A2" sqref="A2"/>
      <selection pane="bottomLeft" activeCell="A2" sqref="A2"/>
    </sheetView>
  </sheetViews>
  <sheetFormatPr defaultColWidth="8.83984375" defaultRowHeight="14.4"/>
  <cols>
    <col min="1" max="1" width="8.83984375" style="190"/>
    <col min="2" max="2" width="21" style="190" bestFit="1" customWidth="1"/>
    <col min="3" max="10" width="15.578125" style="190" customWidth="1"/>
    <col min="11" max="11" width="8.83984375" style="190"/>
    <col min="12" max="12" width="17" style="190" bestFit="1" customWidth="1"/>
    <col min="13" max="13" width="11" style="190" bestFit="1" customWidth="1"/>
    <col min="14" max="14" width="8.15625" style="190" bestFit="1" customWidth="1"/>
    <col min="15" max="15" width="9.83984375" style="190" bestFit="1" customWidth="1"/>
    <col min="16" max="27" width="8.68359375" style="190" customWidth="1"/>
    <col min="28" max="16384" width="8.83984375" style="190"/>
  </cols>
  <sheetData>
    <row r="1" spans="2:36" customFormat="1" ht="50.1" customHeight="1">
      <c r="B1" s="174"/>
      <c r="C1" s="174"/>
      <c r="D1" s="174"/>
      <c r="E1" s="174"/>
      <c r="F1" s="174"/>
      <c r="G1" s="175"/>
      <c r="H1" s="175"/>
      <c r="I1" s="174"/>
      <c r="J1" s="174"/>
      <c r="L1" s="42"/>
      <c r="M1" s="32"/>
      <c r="N1" s="32"/>
      <c r="O1" s="32"/>
      <c r="P1" s="32"/>
      <c r="Q1" s="32"/>
      <c r="R1" s="32"/>
      <c r="S1" s="32"/>
      <c r="T1" s="32"/>
      <c r="U1" s="32"/>
      <c r="V1" s="32"/>
      <c r="W1" s="32"/>
      <c r="X1" s="32"/>
      <c r="Y1" s="32"/>
      <c r="Z1" s="32"/>
      <c r="AA1" s="32"/>
      <c r="AC1" s="219"/>
      <c r="AJ1" s="219"/>
    </row>
    <row r="2" spans="2:36" customFormat="1" ht="15" customHeight="1">
      <c r="B2" s="176"/>
      <c r="C2" s="176"/>
      <c r="D2" s="177"/>
      <c r="E2" s="177"/>
      <c r="F2" s="177"/>
      <c r="G2" s="178"/>
      <c r="H2" s="179"/>
      <c r="I2" s="179"/>
      <c r="J2" s="179"/>
      <c r="L2" s="47"/>
      <c r="M2" s="48"/>
      <c r="N2" s="48"/>
      <c r="O2" s="48"/>
      <c r="P2" s="48"/>
      <c r="Q2" s="48"/>
      <c r="R2" s="48"/>
      <c r="S2" s="48"/>
      <c r="T2" s="48"/>
      <c r="U2" s="48"/>
      <c r="V2" s="48"/>
      <c r="W2" s="48"/>
      <c r="X2" s="48"/>
      <c r="Y2" s="48"/>
      <c r="Z2" s="48"/>
      <c r="AA2" s="49"/>
      <c r="AC2" s="190"/>
      <c r="AJ2" s="253"/>
    </row>
    <row r="3" spans="2:36" customFormat="1" ht="15" customHeight="1">
      <c r="B3" s="180" t="s">
        <v>158</v>
      </c>
      <c r="C3" s="180"/>
      <c r="D3" s="181"/>
      <c r="E3" s="181"/>
      <c r="F3" s="182"/>
      <c r="G3" s="183"/>
      <c r="H3" s="183"/>
      <c r="I3" s="184"/>
      <c r="J3" s="185"/>
      <c r="L3" s="78" t="s">
        <v>79</v>
      </c>
      <c r="M3" s="79"/>
      <c r="N3" s="79"/>
      <c r="O3" s="79"/>
      <c r="P3" s="80"/>
      <c r="Q3" s="80"/>
      <c r="R3" s="81"/>
      <c r="S3" s="81"/>
      <c r="T3" s="81"/>
      <c r="U3" s="81"/>
      <c r="V3" s="82"/>
      <c r="W3" s="82"/>
      <c r="X3" s="82"/>
      <c r="Y3" s="82"/>
      <c r="Z3" s="82"/>
      <c r="AA3" s="82"/>
      <c r="AJ3" s="253"/>
    </row>
    <row r="4" spans="2:36" customFormat="1" ht="15" customHeight="1">
      <c r="L4" s="190"/>
      <c r="M4" s="190"/>
      <c r="N4" s="190"/>
      <c r="O4" s="190"/>
      <c r="P4" s="190"/>
      <c r="Q4" s="190"/>
      <c r="R4" s="190"/>
      <c r="S4" s="190"/>
      <c r="T4" s="190"/>
      <c r="U4" s="190"/>
      <c r="V4" s="190"/>
      <c r="W4" s="190"/>
      <c r="X4" s="190"/>
      <c r="Y4" s="190"/>
      <c r="Z4" s="190"/>
      <c r="AA4" s="190"/>
      <c r="AJ4" s="253"/>
    </row>
    <row r="5" spans="2:36" customFormat="1" ht="15" customHeight="1">
      <c r="B5" s="142" t="s">
        <v>120</v>
      </c>
      <c r="L5" s="47"/>
      <c r="M5" s="268" t="s">
        <v>80</v>
      </c>
      <c r="N5" s="47"/>
      <c r="O5" s="47"/>
      <c r="P5" s="47"/>
      <c r="Q5" s="47"/>
      <c r="R5" s="47"/>
      <c r="S5" s="47"/>
      <c r="T5" s="47"/>
      <c r="U5" s="47"/>
      <c r="V5" s="47"/>
      <c r="W5" s="47"/>
      <c r="X5" s="47"/>
      <c r="Y5" s="47"/>
      <c r="Z5" s="190"/>
      <c r="AA5" s="190"/>
      <c r="AJ5" s="253"/>
    </row>
    <row r="6" spans="2:36" customFormat="1" ht="15" customHeight="1">
      <c r="B6" s="142"/>
      <c r="L6" s="266" t="s">
        <v>66</v>
      </c>
      <c r="M6" s="257">
        <v>44804</v>
      </c>
      <c r="N6" s="40"/>
      <c r="O6" s="40"/>
      <c r="P6" s="40"/>
      <c r="Q6" s="40"/>
      <c r="R6" s="40"/>
      <c r="S6" s="190"/>
      <c r="T6" s="40"/>
      <c r="U6" s="40"/>
      <c r="V6" s="40"/>
      <c r="W6" s="40"/>
      <c r="X6" s="40"/>
      <c r="Y6" s="40"/>
      <c r="Z6" s="190"/>
      <c r="AA6" s="267" t="str">
        <f>+TSCO!B5</f>
        <v>All figures in GBP millions unless stated</v>
      </c>
      <c r="AC6" s="253"/>
      <c r="AJ6" s="253"/>
    </row>
    <row r="7" spans="2:36" customFormat="1" ht="15" customHeight="1">
      <c r="L7" s="266" t="s">
        <v>159</v>
      </c>
      <c r="M7" s="258">
        <v>2023</v>
      </c>
      <c r="N7" s="40"/>
      <c r="O7" s="40"/>
      <c r="P7" s="40"/>
      <c r="Q7" s="40"/>
      <c r="R7" s="40"/>
      <c r="S7" s="190"/>
      <c r="T7" s="40"/>
      <c r="U7" s="40"/>
      <c r="V7" s="40"/>
      <c r="W7" s="40"/>
      <c r="X7" s="40"/>
      <c r="Y7" s="40"/>
      <c r="Z7" s="190"/>
      <c r="AA7" s="267" t="str">
        <f>+TSCO!B6</f>
        <v>100 pence = 1 GBP</v>
      </c>
      <c r="AJ7" s="254"/>
    </row>
    <row r="8" spans="2:36" customFormat="1" ht="15" customHeight="1">
      <c r="L8" s="71"/>
      <c r="M8" s="40"/>
      <c r="N8" s="40"/>
      <c r="O8" s="40"/>
      <c r="P8" s="40"/>
      <c r="R8" s="40"/>
      <c r="S8" s="40"/>
      <c r="T8" s="40"/>
      <c r="U8" s="40"/>
      <c r="W8" s="40"/>
      <c r="X8" s="40"/>
      <c r="Y8" s="40"/>
      <c r="Z8" s="16"/>
      <c r="AA8" s="16"/>
      <c r="AJ8" s="254"/>
    </row>
    <row r="9" spans="2:36" customFormat="1" ht="15" customHeight="1">
      <c r="L9" s="71"/>
      <c r="M9" s="40"/>
      <c r="N9" s="40"/>
      <c r="O9" s="40"/>
      <c r="P9" s="40"/>
      <c r="R9" s="40"/>
      <c r="S9" s="40"/>
      <c r="T9" s="40"/>
      <c r="U9" s="40"/>
      <c r="W9" s="40"/>
      <c r="X9" s="40"/>
      <c r="Y9" s="40"/>
      <c r="Z9" s="16"/>
      <c r="AA9" s="16"/>
      <c r="AJ9" s="253"/>
    </row>
    <row r="10" spans="2:36" customFormat="1" ht="15" customHeight="1">
      <c r="L10" s="190"/>
      <c r="M10" s="190"/>
      <c r="N10" s="190"/>
      <c r="O10" s="190"/>
      <c r="P10" s="190"/>
      <c r="Q10" s="190"/>
      <c r="R10" s="190"/>
      <c r="S10" s="190"/>
      <c r="T10" s="190"/>
      <c r="U10" s="190"/>
      <c r="V10" s="190"/>
      <c r="W10" s="190"/>
      <c r="X10" s="190"/>
      <c r="Y10" s="340"/>
      <c r="Z10" s="190"/>
      <c r="AA10" s="190"/>
      <c r="AB10" s="190"/>
      <c r="AC10" s="190"/>
      <c r="AJ10" s="254"/>
    </row>
    <row r="11" spans="2:36" customFormat="1" ht="15" customHeight="1">
      <c r="L11" s="190"/>
      <c r="M11" s="190"/>
      <c r="N11" s="190"/>
      <c r="O11" s="190"/>
      <c r="P11" s="190"/>
      <c r="Q11" s="190"/>
      <c r="R11" s="190"/>
      <c r="S11" s="190"/>
      <c r="T11" s="190"/>
      <c r="U11" s="190"/>
      <c r="V11" s="190"/>
      <c r="W11" s="190"/>
      <c r="X11" s="190"/>
      <c r="Y11" s="190"/>
      <c r="Z11" s="190"/>
      <c r="AA11" s="190"/>
      <c r="AB11" s="190"/>
      <c r="AC11" s="190"/>
      <c r="AJ11" s="254"/>
    </row>
    <row r="12" spans="2:36" customFormat="1" ht="15" customHeight="1">
      <c r="L12" s="43"/>
      <c r="M12" s="37"/>
      <c r="N12" s="37"/>
      <c r="O12" s="37"/>
      <c r="P12" s="68"/>
      <c r="Q12" s="68"/>
      <c r="R12" s="38"/>
      <c r="S12" s="38"/>
      <c r="T12" s="38"/>
      <c r="U12" s="38"/>
      <c r="V12" s="38"/>
      <c r="W12" s="38"/>
      <c r="X12" s="38"/>
      <c r="Y12" s="50"/>
      <c r="Z12" s="50"/>
      <c r="AA12" s="50"/>
      <c r="AJ12" s="254"/>
    </row>
    <row r="13" spans="2:36" customFormat="1" ht="15" customHeight="1">
      <c r="L13" s="44" t="s">
        <v>20</v>
      </c>
      <c r="M13" s="87" t="s">
        <v>8</v>
      </c>
      <c r="N13" s="87" t="s">
        <v>7</v>
      </c>
      <c r="O13" s="251" t="s">
        <v>113</v>
      </c>
      <c r="P13" s="90" t="s">
        <v>128</v>
      </c>
      <c r="Q13" s="88"/>
      <c r="R13" s="162"/>
      <c r="S13" s="89" t="s">
        <v>162</v>
      </c>
      <c r="T13" s="89"/>
      <c r="U13" s="89"/>
      <c r="V13" s="90" t="s">
        <v>73</v>
      </c>
      <c r="W13" s="37"/>
      <c r="X13" s="89"/>
      <c r="Y13" s="167" t="s">
        <v>127</v>
      </c>
      <c r="Z13" s="37"/>
      <c r="AA13" s="162"/>
      <c r="AJ13" s="254"/>
    </row>
    <row r="14" spans="2:36" customFormat="1" ht="15" customHeight="1">
      <c r="L14" s="35" t="s">
        <v>81</v>
      </c>
      <c r="M14" s="86" t="s">
        <v>9</v>
      </c>
      <c r="N14" s="86" t="s">
        <v>2</v>
      </c>
      <c r="O14" s="252" t="s">
        <v>114</v>
      </c>
      <c r="P14" s="259" t="s">
        <v>71</v>
      </c>
      <c r="Q14" s="260">
        <f>$M$7</f>
        <v>2023</v>
      </c>
      <c r="R14" s="261">
        <f>Q14+1</f>
        <v>2024</v>
      </c>
      <c r="S14" s="259" t="s">
        <v>71</v>
      </c>
      <c r="T14" s="260">
        <f>$M$7</f>
        <v>2023</v>
      </c>
      <c r="U14" s="261">
        <f>T14+1</f>
        <v>2024</v>
      </c>
      <c r="V14" s="262" t="s">
        <v>71</v>
      </c>
      <c r="W14" s="260">
        <f>$M$7</f>
        <v>2023</v>
      </c>
      <c r="X14" s="261">
        <f>W14+1</f>
        <v>2024</v>
      </c>
      <c r="Y14" s="262" t="s">
        <v>71</v>
      </c>
      <c r="Z14" s="260">
        <f>$M$7</f>
        <v>2023</v>
      </c>
      <c r="AA14" s="261">
        <f>Z14+1</f>
        <v>2024</v>
      </c>
      <c r="AC14" s="253"/>
      <c r="AJ14" s="254"/>
    </row>
    <row r="15" spans="2:36" customFormat="1" ht="15" customHeight="1">
      <c r="L15" s="34"/>
      <c r="M15" s="36"/>
      <c r="N15" s="165" t="s">
        <v>120</v>
      </c>
      <c r="O15" s="36"/>
      <c r="P15" s="91"/>
      <c r="Q15" s="36"/>
      <c r="R15" s="163"/>
      <c r="S15" s="36"/>
      <c r="T15" s="36"/>
      <c r="U15" s="36"/>
      <c r="V15" s="91"/>
      <c r="W15" s="36"/>
      <c r="X15" s="36"/>
      <c r="Y15" s="91"/>
      <c r="Z15" s="36"/>
      <c r="AA15" s="163"/>
      <c r="AJ15" s="254"/>
    </row>
    <row r="16" spans="2:36" customFormat="1" ht="15" customHeight="1">
      <c r="L16" s="342" t="str">
        <f>TSCO!$D$12</f>
        <v>Tesco PLC</v>
      </c>
      <c r="M16" s="118">
        <f>TSCO!$D$26</f>
        <v>28216.299063259798</v>
      </c>
      <c r="N16" s="343">
        <f>TSCO!$I$11</f>
        <v>2.4870000000000001</v>
      </c>
      <c r="O16" s="118">
        <f>TSCO!$D$19</f>
        <v>19205.299063259798</v>
      </c>
      <c r="P16" s="344">
        <f>TSCO!$G$90</f>
        <v>4543</v>
      </c>
      <c r="Q16" s="345">
        <f>TSCO!$H$90</f>
        <v>4435.76</v>
      </c>
      <c r="R16" s="346">
        <f>TSCO!$I$90</f>
        <v>4596.49</v>
      </c>
      <c r="S16" s="347">
        <f>TSCO!$G$95</f>
        <v>0.21830622256648594</v>
      </c>
      <c r="T16" s="347">
        <f>TSCO!$H$95</f>
        <v>0.21</v>
      </c>
      <c r="U16" s="347">
        <f>TSCO!$I$95</f>
        <v>0.22</v>
      </c>
      <c r="V16" s="348">
        <f>IF(OR(P16&lt;=0,P16=""),"na",$M16/P16)</f>
        <v>6.2109397013558878</v>
      </c>
      <c r="W16" s="349">
        <f t="shared" ref="W16:X16" si="0">IF(OR(Q16&lt;=0,Q16=""),"na",$M16/Q16)</f>
        <v>6.3610968725223627</v>
      </c>
      <c r="X16" s="349">
        <f t="shared" si="0"/>
        <v>6.1386621233288441</v>
      </c>
      <c r="Y16" s="348">
        <f>IF(OR(S16&lt;=0,S16=""),"na",$N16/S16)</f>
        <v>11.392254287403903</v>
      </c>
      <c r="Z16" s="349">
        <f t="shared" ref="Z16:AA16" si="1">IF(OR(T16&lt;=0,T16=""),"na",$N16/T16)</f>
        <v>11.842857142857143</v>
      </c>
      <c r="AA16" s="350">
        <f t="shared" si="1"/>
        <v>11.304545454545455</v>
      </c>
      <c r="AJ16" s="254"/>
    </row>
    <row r="17" spans="12:36" customFormat="1" ht="15" customHeight="1">
      <c r="L17" s="342" t="str">
        <f>SBRY!$D$12</f>
        <v>J Sainsbury plc</v>
      </c>
      <c r="M17" s="118">
        <f>SBRY!$D$26</f>
        <v>10583.639800000001</v>
      </c>
      <c r="N17" s="343">
        <f>SBRY!$I$11</f>
        <v>2.0339999999999998</v>
      </c>
      <c r="O17" s="118">
        <f>SBRY!$D$19</f>
        <v>4837.6397999999999</v>
      </c>
      <c r="P17" s="344">
        <f>SBRY!$G$90</f>
        <v>2259</v>
      </c>
      <c r="Q17" s="345">
        <f>SBRY!$H$90</f>
        <v>2196.7800000000002</v>
      </c>
      <c r="R17" s="346">
        <f>SBRY!$I$90</f>
        <v>2221.46</v>
      </c>
      <c r="S17" s="347">
        <f>SBRY!$G$95</f>
        <v>0.24500212675457253</v>
      </c>
      <c r="T17" s="347">
        <f>SBRY!$H$95</f>
        <v>0.21</v>
      </c>
      <c r="U17" s="347">
        <f>SBRY!$I$95</f>
        <v>0.22</v>
      </c>
      <c r="V17" s="348">
        <f>IF(OR(P17&lt;=0,P17=""),"na",$M17/P17)</f>
        <v>4.6850995130588764</v>
      </c>
      <c r="W17" s="349">
        <f t="shared" ref="W17" si="2">IF(OR(Q17&lt;=0,Q17=""),"na",$M17/Q17)</f>
        <v>4.8177968663225261</v>
      </c>
      <c r="X17" s="349">
        <f t="shared" ref="X17" si="3">IF(OR(R17&lt;=0,R17=""),"na",$M17/R17)</f>
        <v>4.7642720553149731</v>
      </c>
      <c r="Y17" s="348">
        <f>IF(OR(S17&lt;=0,S17=""),"na",$N17/S17)</f>
        <v>8.3019687499999986</v>
      </c>
      <c r="Z17" s="349">
        <f t="shared" ref="Z17" si="4">IF(OR(T17&lt;=0,T17=""),"na",$N17/T17)</f>
        <v>9.6857142857142851</v>
      </c>
      <c r="AA17" s="350">
        <f t="shared" ref="AA17" si="5">IF(OR(U17&lt;=0,U17=""),"na",$N17/U17)</f>
        <v>9.2454545454545443</v>
      </c>
      <c r="AJ17" s="254"/>
    </row>
    <row r="18" spans="12:36" customFormat="1" ht="15" customHeight="1">
      <c r="L18" s="117"/>
      <c r="M18" s="118"/>
      <c r="N18" s="118"/>
      <c r="O18" s="118"/>
      <c r="P18" s="119"/>
      <c r="Q18" s="118"/>
      <c r="R18" s="164"/>
      <c r="S18" s="118"/>
      <c r="T18" s="118"/>
      <c r="U18" s="118"/>
      <c r="V18" s="120"/>
      <c r="W18" s="121"/>
      <c r="X18" s="121"/>
      <c r="Y18" s="120"/>
      <c r="Z18" s="121"/>
      <c r="AA18" s="168"/>
      <c r="AJ18" s="254"/>
    </row>
    <row r="19" spans="12:36" customFormat="1" ht="15" customHeight="1">
      <c r="L19" s="117"/>
      <c r="M19" s="118"/>
      <c r="N19" s="118"/>
      <c r="O19" s="118"/>
      <c r="P19" s="119"/>
      <c r="Q19" s="118"/>
      <c r="R19" s="164"/>
      <c r="S19" s="118"/>
      <c r="T19" s="118"/>
      <c r="U19" s="118"/>
      <c r="V19" s="120"/>
      <c r="W19" s="121"/>
      <c r="X19" s="121"/>
      <c r="Y19" s="120"/>
      <c r="Z19" s="121"/>
      <c r="AA19" s="168"/>
      <c r="AJ19" s="254"/>
    </row>
    <row r="20" spans="12:36" customFormat="1" ht="15" customHeight="1">
      <c r="L20" s="117"/>
      <c r="M20" s="118"/>
      <c r="N20" s="118"/>
      <c r="O20" s="118"/>
      <c r="P20" s="119"/>
      <c r="Q20" s="118"/>
      <c r="R20" s="164"/>
      <c r="S20" s="118"/>
      <c r="T20" s="118"/>
      <c r="U20" s="118"/>
      <c r="V20" s="120"/>
      <c r="W20" s="121"/>
      <c r="X20" s="121"/>
      <c r="Y20" s="120"/>
      <c r="Z20" s="121"/>
      <c r="AA20" s="168"/>
      <c r="AJ20" s="254"/>
    </row>
    <row r="21" spans="12:36" customFormat="1" ht="15" customHeight="1">
      <c r="L21" s="117"/>
      <c r="M21" s="118"/>
      <c r="N21" s="118"/>
      <c r="O21" s="118"/>
      <c r="P21" s="119"/>
      <c r="Q21" s="118"/>
      <c r="R21" s="164"/>
      <c r="S21" s="118"/>
      <c r="T21" s="118"/>
      <c r="U21" s="118"/>
      <c r="V21" s="120"/>
      <c r="W21" s="121"/>
      <c r="X21" s="121"/>
      <c r="Y21" s="120"/>
      <c r="Z21" s="121"/>
      <c r="AA21" s="168"/>
      <c r="AJ21" s="254"/>
    </row>
    <row r="22" spans="12:36" customFormat="1" ht="15" customHeight="1">
      <c r="L22" s="117"/>
      <c r="M22" s="118"/>
      <c r="N22" s="118"/>
      <c r="O22" s="118"/>
      <c r="P22" s="119"/>
      <c r="Q22" s="118"/>
      <c r="R22" s="164"/>
      <c r="S22" s="118"/>
      <c r="T22" s="118"/>
      <c r="U22" s="118"/>
      <c r="V22" s="120"/>
      <c r="W22" s="121"/>
      <c r="X22" s="121"/>
      <c r="Y22" s="120"/>
      <c r="Z22" s="121"/>
      <c r="AA22" s="168"/>
      <c r="AJ22" s="254"/>
    </row>
    <row r="23" spans="12:36" customFormat="1" ht="15" customHeight="1">
      <c r="L23" s="117"/>
      <c r="M23" s="118"/>
      <c r="N23" s="118"/>
      <c r="O23" s="118"/>
      <c r="P23" s="119"/>
      <c r="Q23" s="118"/>
      <c r="R23" s="164"/>
      <c r="S23" s="118"/>
      <c r="T23" s="118"/>
      <c r="U23" s="118"/>
      <c r="V23" s="120"/>
      <c r="W23" s="121"/>
      <c r="X23" s="121"/>
      <c r="Y23" s="120"/>
      <c r="Z23" s="121"/>
      <c r="AA23" s="168"/>
      <c r="AJ23" s="254"/>
    </row>
    <row r="24" spans="12:36" customFormat="1" ht="15" customHeight="1">
      <c r="L24" s="117"/>
      <c r="M24" s="118"/>
      <c r="N24" s="118"/>
      <c r="O24" s="118"/>
      <c r="P24" s="119"/>
      <c r="Q24" s="118"/>
      <c r="R24" s="164"/>
      <c r="S24" s="118"/>
      <c r="T24" s="118"/>
      <c r="U24" s="118"/>
      <c r="V24" s="120"/>
      <c r="W24" s="121"/>
      <c r="X24" s="121"/>
      <c r="Y24" s="120"/>
      <c r="Z24" s="121"/>
      <c r="AA24" s="168"/>
      <c r="AJ24" s="254"/>
    </row>
    <row r="25" spans="12:36" customFormat="1" ht="15" customHeight="1">
      <c r="L25" s="117"/>
      <c r="M25" s="118"/>
      <c r="N25" s="118"/>
      <c r="O25" s="118"/>
      <c r="P25" s="119"/>
      <c r="Q25" s="118"/>
      <c r="R25" s="164"/>
      <c r="S25" s="118"/>
      <c r="T25" s="118"/>
      <c r="U25" s="118"/>
      <c r="V25" s="120"/>
      <c r="W25" s="121"/>
      <c r="X25" s="121"/>
      <c r="Y25" s="120"/>
      <c r="Z25" s="121"/>
      <c r="AA25" s="168"/>
      <c r="AJ25" s="254"/>
    </row>
    <row r="26" spans="12:36" customFormat="1" ht="15" customHeight="1">
      <c r="L26" s="85"/>
      <c r="M26" s="83"/>
      <c r="N26" s="83"/>
      <c r="O26" s="83"/>
      <c r="P26" s="190"/>
      <c r="Q26" s="190"/>
      <c r="R26" s="190"/>
      <c r="S26" s="190"/>
      <c r="T26" s="190"/>
      <c r="U26" s="190"/>
      <c r="V26" s="190"/>
      <c r="W26" s="190"/>
      <c r="X26" s="190"/>
      <c r="Y26" s="190"/>
      <c r="Z26" s="190"/>
      <c r="AA26" s="190"/>
      <c r="AJ26" s="254"/>
    </row>
    <row r="27" spans="12:36" customFormat="1" ht="15" customHeight="1">
      <c r="M27" s="83"/>
      <c r="N27" s="83"/>
      <c r="O27" s="83"/>
      <c r="P27" s="190"/>
      <c r="Q27" s="190"/>
      <c r="R27" s="190"/>
      <c r="S27" s="190"/>
      <c r="T27" s="190"/>
      <c r="U27" s="190"/>
      <c r="V27" s="190"/>
      <c r="W27" s="190"/>
      <c r="X27" s="190"/>
      <c r="Y27" s="190"/>
      <c r="Z27" s="190"/>
      <c r="AA27" s="190"/>
      <c r="AJ27" s="254"/>
    </row>
    <row r="28" spans="12:36" customFormat="1" ht="15" customHeight="1">
      <c r="M28" s="83"/>
      <c r="N28" s="83"/>
      <c r="O28" s="83"/>
      <c r="P28" s="190"/>
      <c r="Q28" s="190"/>
      <c r="R28" s="190"/>
      <c r="S28" s="190"/>
      <c r="T28" s="190"/>
      <c r="U28" s="190"/>
      <c r="V28" s="190"/>
      <c r="W28" s="190"/>
      <c r="X28" s="190"/>
      <c r="Y28" s="190"/>
      <c r="Z28" s="190"/>
      <c r="AA28" s="190"/>
      <c r="AJ28" s="254"/>
    </row>
    <row r="29" spans="12:36" customFormat="1" ht="15" customHeight="1">
      <c r="M29" s="83"/>
      <c r="N29" s="83"/>
      <c r="O29" s="83"/>
      <c r="P29" s="190"/>
      <c r="Q29" s="190"/>
      <c r="R29" s="190"/>
      <c r="S29" s="190"/>
      <c r="T29" s="190"/>
      <c r="U29" s="190"/>
      <c r="V29" s="190"/>
      <c r="W29" s="190"/>
      <c r="X29" s="190"/>
      <c r="Y29" s="190"/>
      <c r="Z29" s="190"/>
      <c r="AA29" s="190"/>
      <c r="AJ29" s="254"/>
    </row>
    <row r="30" spans="12:36" customFormat="1" ht="15" customHeight="1">
      <c r="L30" s="40"/>
      <c r="M30" s="40"/>
      <c r="N30" s="40"/>
      <c r="O30" s="40"/>
      <c r="P30" s="83"/>
      <c r="Q30" s="84"/>
      <c r="R30" s="83" t="s">
        <v>5</v>
      </c>
      <c r="S30" s="83"/>
      <c r="T30" s="83"/>
      <c r="U30" s="83"/>
      <c r="V30" s="263">
        <f t="shared" ref="V30:AA30" si="6">IFERROR(AVERAGE(V16:V25),"n/a")</f>
        <v>5.4480196072073817</v>
      </c>
      <c r="W30" s="263">
        <f t="shared" si="6"/>
        <v>5.589446869422444</v>
      </c>
      <c r="X30" s="339">
        <f t="shared" si="6"/>
        <v>5.451467089321909</v>
      </c>
      <c r="Y30" s="263">
        <f t="shared" si="6"/>
        <v>9.8471115187019507</v>
      </c>
      <c r="Z30" s="263">
        <f t="shared" si="6"/>
        <v>10.764285714285714</v>
      </c>
      <c r="AA30" s="263">
        <f t="shared" si="6"/>
        <v>10.274999999999999</v>
      </c>
      <c r="AJ30" s="254"/>
    </row>
    <row r="31" spans="12:36" customFormat="1" ht="15" customHeight="1">
      <c r="L31" s="40"/>
      <c r="M31" s="72"/>
      <c r="N31" s="72"/>
      <c r="O31" s="72"/>
      <c r="P31" s="83"/>
      <c r="Q31" s="84"/>
      <c r="R31" s="83" t="s">
        <v>6</v>
      </c>
      <c r="S31" s="83"/>
      <c r="T31" s="83"/>
      <c r="U31" s="83"/>
      <c r="V31" s="263">
        <f t="shared" ref="V31:AA31" si="7">IFERROR(MEDIAN(V16:V25),"n/a")</f>
        <v>5.4480196072073817</v>
      </c>
      <c r="W31" s="263">
        <f t="shared" si="7"/>
        <v>5.589446869422444</v>
      </c>
      <c r="X31" s="339">
        <f t="shared" si="7"/>
        <v>5.451467089321909</v>
      </c>
      <c r="Y31" s="263">
        <f t="shared" si="7"/>
        <v>9.8471115187019507</v>
      </c>
      <c r="Z31" s="263">
        <f t="shared" si="7"/>
        <v>10.764285714285714</v>
      </c>
      <c r="AA31" s="263">
        <f t="shared" si="7"/>
        <v>10.274999999999999</v>
      </c>
      <c r="AJ31" s="254"/>
    </row>
    <row r="32" spans="12:36" customFormat="1" ht="15" customHeight="1">
      <c r="L32" s="40"/>
      <c r="M32" s="74"/>
      <c r="N32" s="74"/>
      <c r="O32" s="74"/>
      <c r="P32" s="83"/>
      <c r="Q32" s="84"/>
      <c r="R32" s="83" t="s">
        <v>67</v>
      </c>
      <c r="S32" s="83"/>
      <c r="T32" s="83"/>
      <c r="U32" s="83"/>
      <c r="V32" s="263">
        <f t="shared" ref="V32:AA32" si="8">IFERROR(MAX(V16:V25),"n/a")</f>
        <v>6.2109397013558878</v>
      </c>
      <c r="W32" s="263">
        <f t="shared" si="8"/>
        <v>6.3610968725223627</v>
      </c>
      <c r="X32" s="339">
        <f t="shared" si="8"/>
        <v>6.1386621233288441</v>
      </c>
      <c r="Y32" s="263">
        <f t="shared" si="8"/>
        <v>11.392254287403903</v>
      </c>
      <c r="Z32" s="263">
        <f t="shared" si="8"/>
        <v>11.842857142857143</v>
      </c>
      <c r="AA32" s="263">
        <f t="shared" si="8"/>
        <v>11.304545454545455</v>
      </c>
      <c r="AJ32" s="254"/>
    </row>
    <row r="33" spans="12:36" customFormat="1" ht="15" customHeight="1">
      <c r="L33" s="16"/>
      <c r="M33" s="16"/>
      <c r="N33" s="16"/>
      <c r="O33" s="16"/>
      <c r="P33" s="83"/>
      <c r="Q33" s="84"/>
      <c r="R33" s="83" t="s">
        <v>68</v>
      </c>
      <c r="S33" s="83"/>
      <c r="T33" s="83"/>
      <c r="U33" s="83"/>
      <c r="V33" s="263">
        <f t="shared" ref="V33:AA33" si="9">IFERROR(MIN(V16:V25),"n/a")</f>
        <v>4.6850995130588764</v>
      </c>
      <c r="W33" s="263">
        <f t="shared" si="9"/>
        <v>4.8177968663225261</v>
      </c>
      <c r="X33" s="339">
        <f t="shared" si="9"/>
        <v>4.7642720553149731</v>
      </c>
      <c r="Y33" s="263">
        <f t="shared" si="9"/>
        <v>8.3019687499999986</v>
      </c>
      <c r="Z33" s="263">
        <f t="shared" si="9"/>
        <v>9.6857142857142851</v>
      </c>
      <c r="AA33" s="263">
        <f t="shared" si="9"/>
        <v>9.2454545454545443</v>
      </c>
      <c r="AJ33" s="254"/>
    </row>
    <row r="34" spans="12:36" customFormat="1" ht="15" customHeight="1">
      <c r="L34" s="16"/>
      <c r="M34" s="16"/>
      <c r="N34" s="16"/>
      <c r="O34" s="16"/>
      <c r="P34" s="40"/>
      <c r="Q34" s="40"/>
      <c r="R34" s="40"/>
      <c r="S34" s="40"/>
      <c r="T34" s="40"/>
      <c r="U34" s="40"/>
      <c r="V34" s="40"/>
      <c r="W34" s="40"/>
      <c r="X34" s="40"/>
      <c r="Y34" s="40"/>
      <c r="Z34" s="40"/>
      <c r="AA34" s="40"/>
      <c r="AJ34" s="253"/>
    </row>
    <row r="35" spans="12:36" customFormat="1" ht="15" customHeight="1">
      <c r="L35" s="16"/>
      <c r="M35" s="16"/>
      <c r="N35" s="16"/>
      <c r="O35" s="16"/>
      <c r="P35" s="72"/>
      <c r="Q35" s="73"/>
      <c r="R35" s="73"/>
      <c r="S35" s="73"/>
      <c r="T35" s="73"/>
      <c r="U35" s="73"/>
      <c r="V35" s="73"/>
      <c r="W35" s="73"/>
      <c r="X35" s="73"/>
      <c r="Y35" s="73"/>
      <c r="Z35" s="73"/>
      <c r="AA35" s="73"/>
      <c r="AJ35" s="253"/>
    </row>
    <row r="36" spans="12:36" customFormat="1" ht="15" customHeight="1">
      <c r="L36" s="16"/>
      <c r="M36" s="16"/>
      <c r="N36" s="16"/>
      <c r="O36" s="16"/>
      <c r="P36" s="74"/>
      <c r="Q36" s="40"/>
      <c r="R36" s="40"/>
      <c r="S36" s="40"/>
      <c r="T36" s="40"/>
      <c r="U36" s="40"/>
      <c r="V36" s="40"/>
      <c r="W36" s="40"/>
      <c r="X36" s="40"/>
      <c r="Y36" s="40"/>
      <c r="Z36" s="40"/>
      <c r="AA36" s="166" t="s">
        <v>82</v>
      </c>
      <c r="AJ36" s="253"/>
    </row>
    <row r="37" spans="12:36" customFormat="1" ht="15" customHeight="1">
      <c r="L37" s="16"/>
      <c r="M37" s="16"/>
      <c r="N37" s="16"/>
      <c r="O37" s="16"/>
      <c r="P37" s="16"/>
      <c r="Q37" s="16"/>
      <c r="R37" s="16"/>
      <c r="S37" s="16"/>
      <c r="T37" s="16"/>
      <c r="U37" s="16"/>
      <c r="V37" s="16"/>
      <c r="W37" s="16"/>
      <c r="X37" s="16"/>
      <c r="Y37" s="16"/>
      <c r="Z37" s="16"/>
      <c r="AA37" s="264" t="s">
        <v>161</v>
      </c>
      <c r="AJ37" s="254"/>
    </row>
    <row r="38" spans="12:36" customFormat="1" ht="15" customHeight="1">
      <c r="L38" s="16"/>
      <c r="M38" s="16"/>
      <c r="N38" s="16"/>
      <c r="O38" s="16"/>
      <c r="P38" s="16"/>
      <c r="Q38" s="16"/>
      <c r="R38" s="16"/>
      <c r="S38" s="16"/>
      <c r="T38" s="16"/>
      <c r="U38" s="16"/>
      <c r="V38" s="16"/>
      <c r="W38" s="16"/>
      <c r="X38" s="16"/>
      <c r="Y38" s="16"/>
      <c r="Z38" s="16"/>
      <c r="AA38" s="264" t="s">
        <v>160</v>
      </c>
      <c r="AJ38" s="254"/>
    </row>
    <row r="39" spans="12:36" customFormat="1" ht="15" customHeight="1">
      <c r="L39" s="16"/>
      <c r="M39" s="16"/>
      <c r="N39" s="16"/>
      <c r="O39" s="16"/>
      <c r="P39" s="190"/>
      <c r="Q39" s="190"/>
      <c r="R39" s="190"/>
      <c r="S39" s="190"/>
      <c r="T39" s="190"/>
      <c r="U39" s="190"/>
      <c r="V39" s="190"/>
      <c r="W39" s="190"/>
      <c r="X39" s="190"/>
      <c r="Y39" s="190"/>
      <c r="Z39" s="190"/>
      <c r="AA39" s="190"/>
      <c r="AJ39" s="254"/>
    </row>
    <row r="40" spans="12:36" customFormat="1" ht="15" customHeight="1">
      <c r="L40" s="16"/>
      <c r="M40" s="16"/>
      <c r="N40" s="16"/>
      <c r="O40" s="16"/>
      <c r="P40" s="16"/>
      <c r="Q40" s="16"/>
      <c r="R40" s="16"/>
      <c r="S40" s="16"/>
      <c r="T40" s="16"/>
      <c r="U40" s="16"/>
      <c r="V40" s="16"/>
      <c r="W40" s="16"/>
      <c r="X40" s="16"/>
      <c r="Y40" s="16"/>
      <c r="Z40" s="16"/>
      <c r="AA40" s="16"/>
      <c r="AJ40" s="254"/>
    </row>
    <row r="41" spans="12:36" customFormat="1" ht="15" customHeight="1">
      <c r="L41" s="16"/>
      <c r="M41" s="16"/>
      <c r="N41" s="16"/>
      <c r="O41" s="16"/>
      <c r="P41" s="16"/>
      <c r="Q41" s="16"/>
      <c r="R41" s="16"/>
      <c r="S41" s="16"/>
      <c r="T41" s="16"/>
      <c r="U41" s="16"/>
      <c r="V41" s="16"/>
      <c r="W41" s="16"/>
      <c r="X41" s="16"/>
      <c r="Y41" s="16"/>
      <c r="Z41" s="16"/>
      <c r="AA41" s="16"/>
      <c r="AJ41" s="254"/>
    </row>
    <row r="42" spans="12:36" customFormat="1" ht="15" customHeight="1">
      <c r="L42" s="16"/>
      <c r="M42" s="16"/>
      <c r="N42" s="16"/>
      <c r="O42" s="16"/>
      <c r="P42" s="16"/>
      <c r="Q42" s="16"/>
      <c r="R42" s="16"/>
      <c r="S42" s="16"/>
      <c r="T42" s="16"/>
      <c r="U42" s="16"/>
      <c r="V42" s="16"/>
      <c r="W42" s="16"/>
      <c r="X42" s="16"/>
      <c r="Y42" s="16"/>
      <c r="Z42" s="16"/>
      <c r="AA42" s="16"/>
      <c r="AJ42" s="254"/>
    </row>
    <row r="43" spans="12:36" customFormat="1" ht="15" customHeight="1">
      <c r="L43" s="16"/>
      <c r="M43" s="16"/>
      <c r="N43" s="16"/>
      <c r="O43" s="16"/>
      <c r="P43" s="16"/>
      <c r="Q43" s="16"/>
      <c r="R43" s="16"/>
      <c r="S43" s="16"/>
      <c r="T43" s="16"/>
      <c r="U43" s="16"/>
      <c r="V43" s="16"/>
      <c r="W43" s="16"/>
      <c r="X43" s="16"/>
      <c r="Y43" s="16"/>
      <c r="Z43" s="16"/>
      <c r="AA43" s="16"/>
      <c r="AJ43" s="254"/>
    </row>
    <row r="44" spans="12:36" customFormat="1" ht="15" customHeight="1">
      <c r="L44" s="16"/>
      <c r="M44" s="16"/>
      <c r="N44" s="16"/>
      <c r="O44" s="16"/>
      <c r="P44" s="16"/>
      <c r="Q44" s="16"/>
      <c r="R44" s="16"/>
      <c r="S44" s="16"/>
      <c r="T44" s="16"/>
      <c r="U44" s="16"/>
      <c r="V44" s="16"/>
      <c r="W44" s="16"/>
      <c r="X44" s="16"/>
      <c r="Y44" s="16"/>
      <c r="Z44" s="16"/>
      <c r="AA44" s="16"/>
      <c r="AJ44" s="254"/>
    </row>
    <row r="45" spans="12:36" customFormat="1" ht="15" customHeight="1">
      <c r="L45" s="16"/>
      <c r="M45" s="16"/>
      <c r="N45" s="16"/>
      <c r="O45" s="16"/>
      <c r="P45" s="16"/>
      <c r="Q45" s="16"/>
      <c r="R45" s="16"/>
      <c r="S45" s="16"/>
      <c r="T45" s="16"/>
      <c r="U45" s="16"/>
      <c r="V45" s="16"/>
      <c r="W45" s="16"/>
      <c r="X45" s="16"/>
      <c r="Y45" s="16"/>
      <c r="Z45" s="16"/>
      <c r="AA45" s="16"/>
      <c r="AJ45" s="254"/>
    </row>
    <row r="46" spans="12:36" customFormat="1" ht="15" customHeight="1">
      <c r="L46" s="16"/>
      <c r="M46" s="16"/>
      <c r="N46" s="16"/>
      <c r="O46" s="16"/>
      <c r="P46" s="16"/>
      <c r="Q46" s="16"/>
      <c r="R46" s="16"/>
      <c r="S46" s="16"/>
      <c r="T46" s="16"/>
      <c r="U46" s="16"/>
      <c r="V46" s="16"/>
      <c r="W46" s="16"/>
      <c r="X46" s="16"/>
      <c r="Y46" s="16"/>
      <c r="Z46" s="16"/>
      <c r="AA46" s="16"/>
      <c r="AJ46" s="254"/>
    </row>
    <row r="47" spans="12:36" customFormat="1" ht="15" customHeight="1">
      <c r="L47" s="16"/>
      <c r="M47" s="16"/>
      <c r="N47" s="16"/>
      <c r="O47" s="16"/>
      <c r="P47" s="16"/>
      <c r="Q47" s="16"/>
      <c r="R47" s="16"/>
      <c r="S47" s="16"/>
      <c r="T47" s="16"/>
      <c r="U47" s="16"/>
      <c r="V47" s="16"/>
      <c r="W47" s="16"/>
      <c r="X47" s="16"/>
      <c r="Y47" s="16"/>
      <c r="Z47" s="16"/>
      <c r="AA47" s="16"/>
      <c r="AJ47" s="254"/>
    </row>
    <row r="48" spans="12:36" customFormat="1" ht="15" customHeight="1">
      <c r="L48" s="16"/>
      <c r="M48" s="16"/>
      <c r="N48" s="16"/>
      <c r="O48" s="16"/>
      <c r="P48" s="16"/>
      <c r="Q48" s="16"/>
      <c r="R48" s="16"/>
      <c r="S48" s="16"/>
      <c r="T48" s="16"/>
      <c r="U48" s="16"/>
      <c r="V48" s="16"/>
      <c r="W48" s="16"/>
      <c r="X48" s="16"/>
      <c r="Y48" s="16"/>
      <c r="Z48" s="16"/>
      <c r="AA48" s="16"/>
      <c r="AJ48" s="254"/>
    </row>
    <row r="49" spans="2:36" ht="15" customHeight="1">
      <c r="AJ49" s="255"/>
    </row>
    <row r="50" spans="2:36" ht="15" customHeight="1">
      <c r="B50" s="186"/>
      <c r="D50" s="187" t="s">
        <v>71</v>
      </c>
      <c r="E50" s="188"/>
      <c r="F50" s="265">
        <f>$M$7</f>
        <v>2023</v>
      </c>
      <c r="G50" s="188"/>
      <c r="H50" s="265">
        <f>F50+1</f>
        <v>2024</v>
      </c>
      <c r="I50" s="188"/>
      <c r="AJ50" s="253"/>
    </row>
    <row r="51" spans="2:36" ht="15" customHeight="1">
      <c r="B51" s="191"/>
      <c r="C51" s="226"/>
      <c r="D51" s="221" t="s">
        <v>73</v>
      </c>
      <c r="E51" s="220" t="s">
        <v>127</v>
      </c>
      <c r="F51" s="221" t="s">
        <v>73</v>
      </c>
      <c r="G51" s="220" t="s">
        <v>127</v>
      </c>
      <c r="H51" s="221" t="s">
        <v>73</v>
      </c>
      <c r="I51" s="220" t="s">
        <v>127</v>
      </c>
      <c r="AJ51" s="253"/>
    </row>
    <row r="52" spans="2:36" ht="15" customHeight="1">
      <c r="B52" s="41" t="s">
        <v>5</v>
      </c>
      <c r="C52" s="225"/>
      <c r="D52" s="222">
        <f>Summary!$V$30</f>
        <v>5.4480196072073817</v>
      </c>
      <c r="E52" s="223">
        <f>Summary!$Y$30</f>
        <v>9.8471115187019507</v>
      </c>
      <c r="F52" s="224">
        <f>Summary!$W$30</f>
        <v>5.589446869422444</v>
      </c>
      <c r="G52" s="223">
        <f>Summary!$Z$30</f>
        <v>10.764285714285714</v>
      </c>
      <c r="H52" s="224">
        <f>Summary!$X$30</f>
        <v>5.451467089321909</v>
      </c>
      <c r="I52" s="223">
        <f>Summary!$AA$30</f>
        <v>10.274999999999999</v>
      </c>
      <c r="AJ52" s="253"/>
    </row>
    <row r="53" spans="2:36" ht="15" customHeight="1">
      <c r="B53" s="41" t="s">
        <v>140</v>
      </c>
      <c r="D53" s="222">
        <f>Summary!$V$32</f>
        <v>6.2109397013558878</v>
      </c>
      <c r="E53" s="223">
        <f>Summary!$Y$32</f>
        <v>11.392254287403903</v>
      </c>
      <c r="F53" s="224">
        <f>Summary!$W$32</f>
        <v>6.3610968725223627</v>
      </c>
      <c r="G53" s="223">
        <f>Summary!$Z$32</f>
        <v>11.842857142857143</v>
      </c>
      <c r="H53" s="224">
        <f>Summary!$X$32</f>
        <v>6.1386621233288441</v>
      </c>
      <c r="I53" s="223">
        <f>Summary!$AA$32</f>
        <v>11.304545454545455</v>
      </c>
      <c r="AJ53" s="253"/>
    </row>
    <row r="54" spans="2:36" ht="15" customHeight="1">
      <c r="B54" s="41" t="s">
        <v>141</v>
      </c>
      <c r="D54" s="222">
        <f>Summary!$V$33</f>
        <v>4.6850995130588764</v>
      </c>
      <c r="E54" s="223">
        <f>Summary!$Y$33</f>
        <v>8.3019687499999986</v>
      </c>
      <c r="F54" s="224">
        <f>Summary!$W$33</f>
        <v>4.8177968663225261</v>
      </c>
      <c r="G54" s="223">
        <f>Summary!$Z$33</f>
        <v>9.6857142857142851</v>
      </c>
      <c r="H54" s="224">
        <f>Summary!$X$33</f>
        <v>4.7642720553149731</v>
      </c>
      <c r="I54" s="223">
        <f>Summary!$AA$33</f>
        <v>9.2454545454545443</v>
      </c>
      <c r="AJ54" s="253"/>
    </row>
    <row r="55" spans="2:36" ht="15" customHeight="1">
      <c r="C55" s="189"/>
      <c r="D55" s="192"/>
      <c r="E55" s="192"/>
      <c r="F55" s="192"/>
      <c r="G55" s="192"/>
      <c r="H55" s="192"/>
      <c r="I55" s="192"/>
      <c r="J55" s="192"/>
      <c r="AJ55" s="256"/>
    </row>
    <row r="56" spans="2:36" ht="15" customHeight="1">
      <c r="C56" s="189"/>
      <c r="D56" s="192"/>
      <c r="E56" s="192"/>
      <c r="F56" s="192"/>
      <c r="G56" s="192"/>
      <c r="H56" s="192"/>
      <c r="I56" s="192"/>
      <c r="J56" s="192"/>
      <c r="AJ56" s="256"/>
    </row>
    <row r="57" spans="2:36" ht="15" customHeight="1">
      <c r="AJ57" s="255"/>
    </row>
    <row r="58" spans="2:36" ht="15" customHeight="1">
      <c r="C58" s="186"/>
      <c r="D58" s="187" t="s">
        <v>71</v>
      </c>
      <c r="E58" s="189"/>
      <c r="F58" s="265">
        <f>$M$7</f>
        <v>2023</v>
      </c>
      <c r="G58" s="188"/>
      <c r="H58" s="265">
        <f>F58+1</f>
        <v>2024</v>
      </c>
      <c r="I58" s="188"/>
      <c r="J58" s="186"/>
      <c r="AJ58" s="253"/>
    </row>
    <row r="59" spans="2:36" ht="15" customHeight="1">
      <c r="B59" s="66" t="s">
        <v>139</v>
      </c>
      <c r="C59" s="191"/>
      <c r="D59" s="239"/>
      <c r="E59" s="191"/>
      <c r="F59" s="239"/>
      <c r="G59" s="191"/>
      <c r="H59" s="239"/>
      <c r="I59" s="226"/>
      <c r="J59" s="186"/>
      <c r="AJ59" s="255"/>
    </row>
    <row r="60" spans="2:36" ht="15" customHeight="1">
      <c r="B60" s="241" t="s">
        <v>130</v>
      </c>
      <c r="C60" s="186"/>
      <c r="D60" s="229">
        <v>1234</v>
      </c>
      <c r="E60" s="235"/>
      <c r="F60" s="228">
        <v>1320</v>
      </c>
      <c r="G60" s="235"/>
      <c r="H60" s="228">
        <v>1360</v>
      </c>
      <c r="I60" s="235"/>
      <c r="J60" s="186"/>
      <c r="AJ60" s="253"/>
    </row>
    <row r="61" spans="2:36" ht="15" customHeight="1">
      <c r="B61" s="241" t="s">
        <v>142</v>
      </c>
      <c r="C61" s="186"/>
      <c r="D61" s="230"/>
      <c r="E61" s="236">
        <v>0.32500000000000001</v>
      </c>
      <c r="F61" s="227"/>
      <c r="G61" s="238">
        <v>0.35749999999999998</v>
      </c>
      <c r="H61" s="227"/>
      <c r="I61" s="236">
        <v>0.37540000000000001</v>
      </c>
      <c r="J61" s="186"/>
      <c r="AJ61" s="253"/>
    </row>
    <row r="62" spans="2:36" ht="15" customHeight="1">
      <c r="B62" s="186"/>
      <c r="C62" s="186"/>
      <c r="D62" s="230"/>
      <c r="E62" s="235"/>
      <c r="F62" s="227"/>
      <c r="G62" s="235"/>
      <c r="H62" s="227"/>
      <c r="I62" s="235"/>
      <c r="J62" s="186"/>
      <c r="AJ62" s="253"/>
    </row>
    <row r="63" spans="2:36" ht="15" customHeight="1">
      <c r="B63" s="66" t="s">
        <v>5</v>
      </c>
      <c r="C63" s="191"/>
      <c r="D63" s="248"/>
      <c r="E63" s="249"/>
      <c r="F63" s="250"/>
      <c r="G63" s="249"/>
      <c r="H63" s="250"/>
      <c r="I63" s="249"/>
      <c r="J63" s="186"/>
      <c r="AJ63" s="255"/>
    </row>
    <row r="64" spans="2:36" ht="15" customHeight="1">
      <c r="B64" s="241" t="s">
        <v>95</v>
      </c>
      <c r="C64" s="186"/>
      <c r="D64" s="231">
        <f>D52*D60</f>
        <v>6722.856195293909</v>
      </c>
      <c r="E64" s="235"/>
      <c r="F64" s="233">
        <f>F52*F60</f>
        <v>7378.069867637626</v>
      </c>
      <c r="G64" s="235"/>
      <c r="H64" s="233">
        <f>H52*H60</f>
        <v>7413.9952414777963</v>
      </c>
      <c r="I64" s="235"/>
      <c r="J64" s="186"/>
      <c r="AJ64" s="253"/>
    </row>
    <row r="65" spans="2:36" ht="15" customHeight="1">
      <c r="B65" s="240" t="s">
        <v>3</v>
      </c>
      <c r="C65" s="186"/>
      <c r="D65" s="229">
        <v>1725</v>
      </c>
      <c r="E65" s="235"/>
      <c r="F65" s="233">
        <f>$D65</f>
        <v>1725</v>
      </c>
      <c r="G65" s="235"/>
      <c r="H65" s="233">
        <f>$D65</f>
        <v>1725</v>
      </c>
      <c r="I65" s="235"/>
      <c r="J65" s="186"/>
      <c r="AJ65" s="255"/>
    </row>
    <row r="66" spans="2:36" ht="15" customHeight="1">
      <c r="B66" s="240" t="s">
        <v>86</v>
      </c>
      <c r="C66" s="186"/>
      <c r="D66" s="229">
        <v>1525</v>
      </c>
      <c r="E66" s="235"/>
      <c r="F66" s="233">
        <f>$D66</f>
        <v>1525</v>
      </c>
      <c r="G66" s="235"/>
      <c r="H66" s="233">
        <f>$D66</f>
        <v>1525</v>
      </c>
      <c r="I66" s="235"/>
      <c r="J66" s="186"/>
      <c r="AJ66" s="255"/>
    </row>
    <row r="67" spans="2:36" ht="15" customHeight="1">
      <c r="B67" s="240" t="s">
        <v>143</v>
      </c>
      <c r="C67" s="186"/>
      <c r="D67" s="232">
        <f>(D64-D65)/D66</f>
        <v>3.2772827510123994</v>
      </c>
      <c r="E67" s="235"/>
      <c r="F67" s="234">
        <f>(F64-F65)/F66</f>
        <v>3.7069310607459842</v>
      </c>
      <c r="G67" s="235"/>
      <c r="H67" s="234">
        <f>(H64-H65)/H66</f>
        <v>3.7304886829362598</v>
      </c>
      <c r="I67" s="235"/>
      <c r="J67" s="186"/>
      <c r="AJ67" s="255"/>
    </row>
    <row r="68" spans="2:36" ht="15" customHeight="1">
      <c r="B68" s="240" t="s">
        <v>144</v>
      </c>
      <c r="C68" s="186"/>
      <c r="D68" s="230"/>
      <c r="E68" s="237">
        <f>E52*E61</f>
        <v>3.2003112435781342</v>
      </c>
      <c r="F68" s="227"/>
      <c r="G68" s="237">
        <f>G52*G61</f>
        <v>3.8482321428571429</v>
      </c>
      <c r="H68" s="227"/>
      <c r="I68" s="237">
        <f>I52*I61</f>
        <v>3.8572349999999997</v>
      </c>
      <c r="J68" s="186"/>
      <c r="AJ68" s="255"/>
    </row>
    <row r="69" spans="2:36" ht="15" customHeight="1">
      <c r="C69" s="186"/>
      <c r="D69" s="230"/>
      <c r="E69" s="235"/>
      <c r="F69" s="227"/>
      <c r="G69" s="235"/>
      <c r="H69" s="227"/>
      <c r="I69" s="235"/>
      <c r="J69" s="186"/>
      <c r="AJ69" s="255"/>
    </row>
    <row r="70" spans="2:36" ht="15" customHeight="1">
      <c r="B70" s="66" t="s">
        <v>140</v>
      </c>
      <c r="C70" s="191"/>
      <c r="D70" s="248"/>
      <c r="E70" s="249"/>
      <c r="F70" s="250"/>
      <c r="G70" s="249"/>
      <c r="H70" s="250"/>
      <c r="I70" s="249"/>
      <c r="J70" s="186"/>
      <c r="AJ70" s="255"/>
    </row>
    <row r="71" spans="2:36" ht="15" customHeight="1">
      <c r="B71" s="241" t="s">
        <v>95</v>
      </c>
      <c r="C71" s="186"/>
      <c r="D71" s="231">
        <f>+D53*D60</f>
        <v>7664.2995914731655</v>
      </c>
      <c r="E71" s="235"/>
      <c r="F71" s="233">
        <f>+F53*F60</f>
        <v>8396.6478717295195</v>
      </c>
      <c r="G71" s="235"/>
      <c r="H71" s="233">
        <f>+H53*H60</f>
        <v>8348.5804877272276</v>
      </c>
      <c r="I71" s="235"/>
      <c r="J71" s="186"/>
      <c r="AJ71" s="255"/>
    </row>
    <row r="72" spans="2:36" ht="15" customHeight="1">
      <c r="B72" s="240" t="s">
        <v>3</v>
      </c>
      <c r="C72" s="186"/>
      <c r="D72" s="229">
        <v>1725</v>
      </c>
      <c r="E72" s="235"/>
      <c r="F72" s="233">
        <f>$D72</f>
        <v>1725</v>
      </c>
      <c r="G72" s="235"/>
      <c r="H72" s="233">
        <f>$D72</f>
        <v>1725</v>
      </c>
      <c r="I72" s="235"/>
      <c r="J72" s="186"/>
      <c r="AJ72" s="255"/>
    </row>
    <row r="73" spans="2:36" ht="15" customHeight="1">
      <c r="B73" s="240" t="s">
        <v>86</v>
      </c>
      <c r="C73" s="186"/>
      <c r="D73" s="229">
        <v>1525</v>
      </c>
      <c r="E73" s="235"/>
      <c r="F73" s="233">
        <f>$D73</f>
        <v>1525</v>
      </c>
      <c r="G73" s="235"/>
      <c r="H73" s="233">
        <f>$D73</f>
        <v>1525</v>
      </c>
      <c r="I73" s="235"/>
      <c r="J73" s="186"/>
      <c r="AJ73" s="255"/>
    </row>
    <row r="74" spans="2:36" ht="15" customHeight="1">
      <c r="B74" s="240" t="s">
        <v>143</v>
      </c>
      <c r="C74" s="186"/>
      <c r="D74" s="232">
        <f>(D71-D72)/D73</f>
        <v>3.8946226829332233</v>
      </c>
      <c r="E74" s="235"/>
      <c r="F74" s="234">
        <f>(F71-F72)/F73</f>
        <v>4.3748510634291931</v>
      </c>
      <c r="G74" s="235"/>
      <c r="H74" s="234">
        <f>(H71-H72)/H73</f>
        <v>4.3433314673621162</v>
      </c>
      <c r="I74" s="235"/>
      <c r="J74" s="186"/>
      <c r="AJ74" s="255"/>
    </row>
    <row r="75" spans="2:36" ht="15" customHeight="1">
      <c r="B75" s="240" t="s">
        <v>144</v>
      </c>
      <c r="C75" s="186"/>
      <c r="D75" s="230"/>
      <c r="E75" s="237">
        <f>E61*E53</f>
        <v>3.7024826434062685</v>
      </c>
      <c r="F75" s="227"/>
      <c r="G75" s="237">
        <f>G61*G53</f>
        <v>4.2338214285714288</v>
      </c>
      <c r="H75" s="227"/>
      <c r="I75" s="237">
        <f>I61*I53</f>
        <v>4.2437263636363642</v>
      </c>
      <c r="J75" s="186"/>
      <c r="AJ75" s="255"/>
    </row>
    <row r="76" spans="2:36" ht="15" customHeight="1">
      <c r="C76" s="186"/>
      <c r="D76" s="230"/>
      <c r="E76" s="235"/>
      <c r="F76" s="227"/>
      <c r="G76" s="235"/>
      <c r="H76" s="227"/>
      <c r="I76" s="235"/>
      <c r="J76" s="186"/>
      <c r="AJ76" s="255"/>
    </row>
    <row r="77" spans="2:36" ht="15" customHeight="1">
      <c r="B77" s="66" t="s">
        <v>141</v>
      </c>
      <c r="C77" s="191"/>
      <c r="D77" s="248"/>
      <c r="E77" s="249"/>
      <c r="F77" s="250"/>
      <c r="G77" s="249"/>
      <c r="H77" s="250"/>
      <c r="I77" s="249"/>
      <c r="J77" s="186"/>
      <c r="AJ77" s="255"/>
    </row>
    <row r="78" spans="2:36" ht="15" customHeight="1">
      <c r="B78" s="241" t="s">
        <v>95</v>
      </c>
      <c r="C78" s="186"/>
      <c r="D78" s="231">
        <f>+D54*D60</f>
        <v>5781.4127991146534</v>
      </c>
      <c r="E78" s="235"/>
      <c r="F78" s="233">
        <f>+F54*F60</f>
        <v>6359.4918635457343</v>
      </c>
      <c r="G78" s="235"/>
      <c r="H78" s="233">
        <f>+H54*H60</f>
        <v>6479.4099952283632</v>
      </c>
      <c r="I78" s="235"/>
      <c r="J78" s="186"/>
      <c r="AJ78" s="255"/>
    </row>
    <row r="79" spans="2:36" ht="15" customHeight="1">
      <c r="B79" s="240" t="s">
        <v>3</v>
      </c>
      <c r="C79" s="186"/>
      <c r="D79" s="229">
        <v>1725</v>
      </c>
      <c r="E79" s="235"/>
      <c r="F79" s="233">
        <f>$D79</f>
        <v>1725</v>
      </c>
      <c r="G79" s="235"/>
      <c r="H79" s="233">
        <f>$D79</f>
        <v>1725</v>
      </c>
      <c r="I79" s="235"/>
      <c r="J79" s="186"/>
      <c r="AJ79" s="255"/>
    </row>
    <row r="80" spans="2:36" ht="15" customHeight="1">
      <c r="B80" s="240" t="s">
        <v>86</v>
      </c>
      <c r="C80" s="186"/>
      <c r="D80" s="229">
        <v>1525</v>
      </c>
      <c r="E80" s="235"/>
      <c r="F80" s="233">
        <f>$D80</f>
        <v>1525</v>
      </c>
      <c r="G80" s="235"/>
      <c r="H80" s="233">
        <f>$D80</f>
        <v>1525</v>
      </c>
      <c r="I80" s="235"/>
      <c r="J80" s="186"/>
      <c r="AJ80" s="255"/>
    </row>
    <row r="81" spans="2:36" ht="15" customHeight="1">
      <c r="B81" s="240" t="s">
        <v>143</v>
      </c>
      <c r="C81" s="186"/>
      <c r="D81" s="232">
        <f>(D78-D79)/D80</f>
        <v>2.6599428190915759</v>
      </c>
      <c r="E81" s="235"/>
      <c r="F81" s="234">
        <f>(F78-F79)/F80</f>
        <v>3.0390110580627767</v>
      </c>
      <c r="G81" s="235"/>
      <c r="H81" s="234">
        <f>(H78-H79)/H80</f>
        <v>3.1176458985104021</v>
      </c>
      <c r="I81" s="235"/>
      <c r="J81" s="186"/>
      <c r="AJ81" s="255"/>
    </row>
    <row r="82" spans="2:36" ht="15" customHeight="1">
      <c r="B82" s="240" t="s">
        <v>144</v>
      </c>
      <c r="C82" s="186"/>
      <c r="D82" s="230"/>
      <c r="E82" s="237">
        <f>E61*E54</f>
        <v>2.6981398437499995</v>
      </c>
      <c r="F82" s="227"/>
      <c r="G82" s="237">
        <f>G61*G54</f>
        <v>3.4626428571428569</v>
      </c>
      <c r="H82" s="227"/>
      <c r="I82" s="237">
        <f>I61*I54</f>
        <v>3.4707436363636361</v>
      </c>
      <c r="J82" s="186"/>
      <c r="AJ82" s="255"/>
    </row>
    <row r="83" spans="2:36" ht="15" customHeight="1">
      <c r="AJ83" s="255"/>
    </row>
    <row r="84" spans="2:36" ht="15" customHeight="1">
      <c r="AJ84" s="255"/>
    </row>
    <row r="85" spans="2:36" ht="15" customHeight="1">
      <c r="AJ85" s="255"/>
    </row>
    <row r="86" spans="2:36" ht="15" customHeight="1">
      <c r="AJ86" s="255"/>
    </row>
    <row r="87" spans="2:36" ht="15" customHeight="1">
      <c r="B87" s="41" t="s">
        <v>145</v>
      </c>
      <c r="C87" s="97" t="s">
        <v>141</v>
      </c>
      <c r="D87" s="97" t="s">
        <v>146</v>
      </c>
      <c r="E87" s="97" t="s">
        <v>140</v>
      </c>
      <c r="F87" s="97" t="s">
        <v>163</v>
      </c>
      <c r="AJ87" s="253"/>
    </row>
    <row r="88" spans="2:36" ht="30" customHeight="1">
      <c r="B88" s="245" t="s">
        <v>156</v>
      </c>
      <c r="C88" s="246">
        <f>D81</f>
        <v>2.6599428190915759</v>
      </c>
      <c r="D88" s="247">
        <f>E88-C88</f>
        <v>1.2346798638416474</v>
      </c>
      <c r="E88" s="246">
        <f>D74</f>
        <v>3.8946226829332233</v>
      </c>
      <c r="F88" s="246">
        <f>D67</f>
        <v>3.2772827510123994</v>
      </c>
      <c r="AJ88" s="255"/>
    </row>
    <row r="89" spans="2:36" ht="30" customHeight="1">
      <c r="B89" s="245" t="str">
        <f>CONCATENATE("FY ",$M$7,
" 
EV / EBITDA")</f>
        <v>FY 2023 
EV / EBITDA</v>
      </c>
      <c r="C89" s="246">
        <f>F81</f>
        <v>3.0390110580627767</v>
      </c>
      <c r="D89" s="247">
        <f>E89-C89</f>
        <v>1.3358400053664163</v>
      </c>
      <c r="E89" s="246">
        <f>F74</f>
        <v>4.3748510634291931</v>
      </c>
      <c r="F89" s="246">
        <f>F67</f>
        <v>3.7069310607459842</v>
      </c>
      <c r="AJ89" s="255"/>
    </row>
    <row r="90" spans="2:36" ht="30" customHeight="1">
      <c r="B90" s="245" t="str">
        <f>CONCATENATE("FY ",$M$7+1,
" 
EV / EBITDA")</f>
        <v>FY 2024 
EV / EBITDA</v>
      </c>
      <c r="C90" s="246">
        <f>H81</f>
        <v>3.1176458985104021</v>
      </c>
      <c r="D90" s="247">
        <f>E90-C90</f>
        <v>1.2256855688517141</v>
      </c>
      <c r="E90" s="246">
        <f>H74</f>
        <v>4.3433314673621162</v>
      </c>
      <c r="F90" s="246">
        <f>H67</f>
        <v>3.7304886829362598</v>
      </c>
      <c r="AJ90" s="255"/>
    </row>
    <row r="91" spans="2:36" ht="30" customHeight="1">
      <c r="B91" s="245" t="s">
        <v>157</v>
      </c>
      <c r="C91" s="246">
        <f>E82</f>
        <v>2.6981398437499995</v>
      </c>
      <c r="D91" s="247">
        <f t="shared" ref="D91:D93" si="10">E91-C91</f>
        <v>1.004342799656269</v>
      </c>
      <c r="E91" s="246">
        <f>E75</f>
        <v>3.7024826434062685</v>
      </c>
      <c r="F91" s="246">
        <f>E68</f>
        <v>3.2003112435781342</v>
      </c>
      <c r="AJ91" s="255"/>
    </row>
    <row r="92" spans="2:36" ht="30" customHeight="1">
      <c r="B92" s="245" t="str">
        <f>CONCATENATE("FY ",$M$7,
" 
P / E")</f>
        <v>FY 2023 
P / E</v>
      </c>
      <c r="C92" s="246">
        <f>G82</f>
        <v>3.4626428571428569</v>
      </c>
      <c r="D92" s="247">
        <f t="shared" si="10"/>
        <v>0.77117857142857194</v>
      </c>
      <c r="E92" s="246">
        <f>G75</f>
        <v>4.2338214285714288</v>
      </c>
      <c r="F92" s="246">
        <f>G68</f>
        <v>3.8482321428571429</v>
      </c>
      <c r="AJ92" s="255"/>
    </row>
    <row r="93" spans="2:36" ht="30" customHeight="1">
      <c r="B93" s="242" t="str">
        <f>CONCATENATE("FY ",$M$7+1,
" 
P / E")</f>
        <v>FY 2024 
P / E</v>
      </c>
      <c r="C93" s="243">
        <f>I82</f>
        <v>3.4707436363636361</v>
      </c>
      <c r="D93" s="244">
        <f t="shared" si="10"/>
        <v>0.7729827272727281</v>
      </c>
      <c r="E93" s="243">
        <f>I75</f>
        <v>4.2437263636363642</v>
      </c>
      <c r="F93" s="243">
        <f>I68</f>
        <v>3.8572349999999997</v>
      </c>
      <c r="AJ93" s="255"/>
    </row>
    <row r="94" spans="2:36" ht="15" customHeight="1">
      <c r="B94" s="186"/>
      <c r="C94" s="186"/>
      <c r="D94" s="186"/>
      <c r="E94" s="186"/>
      <c r="F94" s="186"/>
      <c r="AJ94" s="255"/>
    </row>
    <row r="95" spans="2:36" ht="15" customHeight="1"/>
    <row r="96" spans="2:36" ht="15" customHeight="1"/>
    <row r="97" ht="15" customHeight="1"/>
    <row r="98" ht="15" customHeight="1"/>
    <row r="99" ht="15" customHeight="1"/>
    <row r="100" ht="15" customHeight="1"/>
    <row r="101" ht="15" customHeight="1"/>
    <row r="102" ht="15" customHeight="1"/>
    <row r="103" ht="15" customHeight="1"/>
  </sheetData>
  <printOptions horizontalCentered="1"/>
  <pageMargins left="0.11811023622047245" right="0.11811023622047245" top="0.11811023622047245" bottom="0.11811023622047245" header="0.11811023622047245" footer="0.11811023622047245"/>
  <pageSetup scale="88" orientation="landscape" r:id="rId1"/>
  <headerFooter>
    <oddFooter>&amp;L&amp;"Open Sans,Bold"&amp;10&amp;K02+000Comparable Trading Analysis&amp;C&amp;"Open Sans,Bold"&amp;10&amp;K02+000Page &amp;P of &amp;N&amp;R&amp;G</oddFooter>
  </headerFooter>
  <colBreaks count="1" manualBreakCount="1">
    <brk id="35" max="1048575" man="1"/>
  </colBreaks>
  <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F1B2-8273-4BE3-980C-0BE69768C2E2}">
  <sheetPr>
    <pageSetUpPr autoPageBreaks="0"/>
  </sheetPr>
  <dimension ref="A1:S158"/>
  <sheetViews>
    <sheetView showGridLines="0" zoomScaleNormal="100" zoomScaleSheetLayoutView="80" workbookViewId="0">
      <pane ySplit="1" topLeftCell="A2" activePane="bottomLeft" state="frozen"/>
      <selection activeCell="A2" sqref="A2"/>
      <selection pane="bottomLeft" activeCell="A2" sqref="A2"/>
    </sheetView>
  </sheetViews>
  <sheetFormatPr defaultColWidth="11.68359375" defaultRowHeight="15" customHeight="1" outlineLevelRow="1"/>
  <cols>
    <col min="1" max="1" width="5.578125" style="49" customWidth="1"/>
    <col min="2" max="2" width="41.41796875" style="31" customWidth="1"/>
    <col min="3" max="3" width="11.26171875" style="31" customWidth="1"/>
    <col min="4" max="6" width="15.578125" style="31" customWidth="1"/>
    <col min="7" max="7" width="17.578125" style="31" customWidth="1"/>
    <col min="8" max="9" width="15.578125" style="31" customWidth="1"/>
    <col min="10" max="10" width="1.68359375" style="31" customWidth="1"/>
    <col min="11" max="16384" width="11.68359375" style="31"/>
  </cols>
  <sheetData>
    <row r="1" spans="1:19" ht="50.1" customHeight="1">
      <c r="A1" s="51"/>
      <c r="B1" s="32"/>
      <c r="C1" s="32"/>
      <c r="D1" s="32"/>
      <c r="E1" s="32"/>
      <c r="F1" s="32"/>
      <c r="G1" s="32"/>
      <c r="H1" s="32"/>
      <c r="I1" s="32"/>
      <c r="J1" s="32"/>
    </row>
    <row r="3" spans="1:19" ht="15" customHeight="1">
      <c r="A3" s="114" t="s">
        <v>20</v>
      </c>
      <c r="B3" s="145" t="str">
        <f>CONCATENATE($D$12&amp;": Enterprise and Equity Value")</f>
        <v>Tesco PLC: Enterprise and Equity Value</v>
      </c>
      <c r="C3" s="123"/>
      <c r="D3" s="77"/>
      <c r="E3" s="77"/>
      <c r="F3" s="77"/>
      <c r="G3" s="77"/>
      <c r="H3" s="77"/>
      <c r="I3" s="77"/>
      <c r="J3" s="77"/>
    </row>
    <row r="4" spans="1:19" ht="15" hidden="1" customHeight="1" outlineLevel="1">
      <c r="I4" s="39"/>
      <c r="J4" s="46"/>
    </row>
    <row r="5" spans="1:19" ht="15" hidden="1" customHeight="1" outlineLevel="1">
      <c r="B5" s="142" t="s">
        <v>118</v>
      </c>
      <c r="C5" s="142"/>
      <c r="E5" s="71"/>
      <c r="J5" s="49"/>
    </row>
    <row r="6" spans="1:19" ht="15" hidden="1" customHeight="1" outlineLevel="1">
      <c r="B6" s="142" t="s">
        <v>126</v>
      </c>
      <c r="C6" s="142"/>
      <c r="E6" s="71"/>
      <c r="I6" s="142"/>
      <c r="J6" s="49"/>
    </row>
    <row r="7" spans="1:19" ht="15" hidden="1" customHeight="1" outlineLevel="1">
      <c r="B7" s="39"/>
      <c r="C7" s="39"/>
      <c r="D7" s="39"/>
      <c r="E7" s="39"/>
      <c r="J7" s="46"/>
    </row>
    <row r="8" spans="1:19" ht="15" hidden="1" customHeight="1" outlineLevel="1">
      <c r="B8" s="39"/>
      <c r="C8" s="39"/>
      <c r="D8" s="39"/>
      <c r="E8" s="39"/>
      <c r="J8" s="46"/>
    </row>
    <row r="9" spans="1:19" ht="15" hidden="1" customHeight="1" outlineLevel="1">
      <c r="B9" s="66" t="s">
        <v>164</v>
      </c>
      <c r="C9" s="66"/>
      <c r="D9" s="109"/>
      <c r="E9" s="149"/>
      <c r="F9" s="66" t="s">
        <v>165</v>
      </c>
      <c r="G9" s="59"/>
      <c r="H9" s="59"/>
      <c r="I9" s="59"/>
      <c r="L9"/>
      <c r="M9"/>
      <c r="N9"/>
      <c r="O9"/>
      <c r="P9"/>
      <c r="Q9"/>
      <c r="R9"/>
      <c r="S9"/>
    </row>
    <row r="10" spans="1:19" ht="15" hidden="1" customHeight="1" outlineLevel="1">
      <c r="B10" s="39"/>
      <c r="C10" s="39"/>
      <c r="D10" s="39"/>
      <c r="F10" s="39"/>
      <c r="G10" s="39"/>
      <c r="H10" s="39"/>
      <c r="I10" s="39"/>
      <c r="L10"/>
      <c r="M10"/>
      <c r="N10"/>
      <c r="O10"/>
      <c r="P10"/>
      <c r="Q10"/>
      <c r="R10"/>
      <c r="S10"/>
    </row>
    <row r="11" spans="1:19" ht="15" hidden="1" customHeight="1" outlineLevel="1">
      <c r="A11" s="46"/>
      <c r="B11" s="110" t="s">
        <v>11</v>
      </c>
      <c r="C11" s="110"/>
      <c r="D11" s="63" t="s">
        <v>135</v>
      </c>
      <c r="E11" s="39"/>
      <c r="F11" s="277" t="s">
        <v>170</v>
      </c>
      <c r="H11" s="278" t="s">
        <v>167</v>
      </c>
      <c r="I11" s="153">
        <v>2.4870000000000001</v>
      </c>
      <c r="K11"/>
      <c r="L11"/>
      <c r="M11"/>
      <c r="N11"/>
      <c r="O11"/>
      <c r="P11"/>
      <c r="Q11"/>
      <c r="R11"/>
      <c r="S11"/>
    </row>
    <row r="12" spans="1:19" ht="15" hidden="1" customHeight="1" outlineLevel="1">
      <c r="A12" s="46"/>
      <c r="B12" s="110" t="s">
        <v>4</v>
      </c>
      <c r="C12" s="110"/>
      <c r="D12" s="63" t="s">
        <v>119</v>
      </c>
      <c r="E12" s="39"/>
      <c r="F12" s="280" t="s">
        <v>86</v>
      </c>
      <c r="H12" s="278" t="s">
        <v>168</v>
      </c>
      <c r="I12" s="351">
        <f>IFERROR(D127,"n/a")</f>
        <v>7722.2754576838752</v>
      </c>
      <c r="K12"/>
      <c r="L12"/>
      <c r="M12"/>
      <c r="N12"/>
      <c r="O12"/>
      <c r="P12"/>
      <c r="Q12"/>
      <c r="R12"/>
      <c r="S12"/>
    </row>
    <row r="13" spans="1:19" ht="15" hidden="1" customHeight="1" outlineLevel="1">
      <c r="A13" s="46"/>
      <c r="B13" s="113" t="s">
        <v>66</v>
      </c>
      <c r="C13" s="278" t="s">
        <v>80</v>
      </c>
      <c r="D13" s="159">
        <f>Summary!$M$6</f>
        <v>44804</v>
      </c>
      <c r="E13" s="39"/>
      <c r="F13" s="280" t="s">
        <v>165</v>
      </c>
      <c r="H13" s="278" t="s">
        <v>169</v>
      </c>
      <c r="I13" s="94">
        <f>I11*I12</f>
        <v>19205.299063259798</v>
      </c>
      <c r="L13"/>
      <c r="M13"/>
      <c r="N13"/>
      <c r="O13"/>
      <c r="P13"/>
      <c r="Q13"/>
      <c r="R13"/>
      <c r="S13"/>
    </row>
    <row r="14" spans="1:19" ht="15" hidden="1" customHeight="1" outlineLevel="1">
      <c r="A14" s="46"/>
      <c r="B14" s="113"/>
      <c r="C14" s="113"/>
      <c r="D14" s="159"/>
      <c r="E14" s="39"/>
      <c r="F14" s="137"/>
      <c r="H14" s="138"/>
      <c r="I14" s="94"/>
      <c r="L14"/>
      <c r="M14"/>
      <c r="N14"/>
      <c r="O14"/>
      <c r="P14"/>
      <c r="Q14"/>
      <c r="R14"/>
      <c r="S14"/>
    </row>
    <row r="15" spans="1:19" ht="15" hidden="1" customHeight="1" outlineLevel="1">
      <c r="A15" s="46"/>
      <c r="B15" s="113"/>
      <c r="C15" s="113"/>
      <c r="D15" s="159"/>
      <c r="E15" s="39"/>
      <c r="F15" s="137"/>
      <c r="H15" s="138"/>
      <c r="I15" s="94"/>
      <c r="L15"/>
      <c r="M15"/>
      <c r="N15"/>
      <c r="O15"/>
      <c r="P15"/>
      <c r="Q15"/>
      <c r="R15"/>
      <c r="S15"/>
    </row>
    <row r="16" spans="1:19" ht="15" hidden="1" customHeight="1" outlineLevel="1">
      <c r="A16" s="46"/>
      <c r="E16" s="39"/>
      <c r="L16"/>
      <c r="M16"/>
      <c r="N16"/>
      <c r="O16"/>
      <c r="P16"/>
      <c r="Q16"/>
      <c r="R16"/>
      <c r="S16"/>
    </row>
    <row r="17" spans="1:19" ht="15" hidden="1" customHeight="1" outlineLevel="1">
      <c r="B17" s="66" t="s">
        <v>95</v>
      </c>
      <c r="C17" s="66"/>
      <c r="D17" s="109"/>
      <c r="E17" s="149"/>
      <c r="F17" s="66" t="s">
        <v>3</v>
      </c>
      <c r="G17" s="59"/>
      <c r="H17" s="59"/>
      <c r="I17" s="59"/>
      <c r="L17"/>
      <c r="M17"/>
      <c r="N17"/>
      <c r="O17"/>
      <c r="P17"/>
      <c r="Q17"/>
      <c r="R17"/>
      <c r="S17"/>
    </row>
    <row r="18" spans="1:19" ht="15" hidden="1" customHeight="1" outlineLevel="1">
      <c r="B18" s="39"/>
      <c r="C18" s="39"/>
      <c r="D18" s="39"/>
      <c r="F18" s="39"/>
      <c r="G18" s="39"/>
      <c r="H18" s="39"/>
      <c r="I18" s="39"/>
      <c r="L18"/>
      <c r="M18"/>
      <c r="N18"/>
      <c r="O18"/>
      <c r="P18"/>
      <c r="Q18"/>
      <c r="R18"/>
      <c r="S18"/>
    </row>
    <row r="19" spans="1:19" ht="15" hidden="1" customHeight="1" outlineLevel="1">
      <c r="B19" s="137" t="s">
        <v>165</v>
      </c>
      <c r="C19" s="278" t="s">
        <v>169</v>
      </c>
      <c r="D19" s="353">
        <f>I13</f>
        <v>19205.299063259798</v>
      </c>
      <c r="E19" s="49"/>
      <c r="F19" s="171" t="s">
        <v>132</v>
      </c>
      <c r="H19" s="46"/>
      <c r="I19" s="199">
        <f>725</f>
        <v>725</v>
      </c>
      <c r="K19" s="127"/>
      <c r="L19"/>
      <c r="M19"/>
      <c r="N19"/>
      <c r="O19"/>
      <c r="P19"/>
      <c r="Q19"/>
      <c r="R19"/>
      <c r="S19"/>
    </row>
    <row r="20" spans="1:19" ht="15" hidden="1" customHeight="1" outlineLevel="1">
      <c r="B20" s="103" t="s">
        <v>93</v>
      </c>
      <c r="C20" s="103"/>
      <c r="D20" s="94">
        <f>I26</f>
        <v>5054</v>
      </c>
      <c r="E20"/>
      <c r="F20" s="171" t="s">
        <v>133</v>
      </c>
      <c r="H20" s="49"/>
      <c r="I20" s="199">
        <f>6674</f>
        <v>6674</v>
      </c>
      <c r="L20"/>
      <c r="M20"/>
      <c r="N20"/>
      <c r="O20"/>
      <c r="P20"/>
      <c r="Q20"/>
      <c r="R20"/>
      <c r="S20"/>
    </row>
    <row r="21" spans="1:19" ht="15" hidden="1" customHeight="1" outlineLevel="1">
      <c r="B21" s="276" t="s">
        <v>171</v>
      </c>
      <c r="C21" s="279"/>
      <c r="D21" s="199">
        <f>547+7411</f>
        <v>7958</v>
      </c>
      <c r="E21"/>
      <c r="F21" s="171" t="s">
        <v>134</v>
      </c>
      <c r="I21" s="200">
        <v>0</v>
      </c>
      <c r="L21"/>
      <c r="M21"/>
      <c r="N21"/>
      <c r="O21"/>
      <c r="P21"/>
      <c r="Q21"/>
      <c r="R21"/>
      <c r="S21"/>
    </row>
    <row r="22" spans="1:19" ht="15" hidden="1" customHeight="1" outlineLevel="1">
      <c r="B22" s="103" t="s">
        <v>92</v>
      </c>
      <c r="C22" s="103"/>
      <c r="D22" s="199">
        <v>0</v>
      </c>
      <c r="E22" s="49"/>
      <c r="F22" s="171" t="s">
        <v>131</v>
      </c>
      <c r="H22" s="46"/>
      <c r="I22" s="352">
        <f>SUM(I19:I21)</f>
        <v>7399</v>
      </c>
      <c r="L22"/>
      <c r="M22"/>
      <c r="N22"/>
      <c r="O22"/>
      <c r="P22"/>
      <c r="Q22"/>
      <c r="R22"/>
      <c r="S22"/>
    </row>
    <row r="23" spans="1:19" ht="15" hidden="1" customHeight="1" outlineLevel="1">
      <c r="B23" s="103" t="s">
        <v>94</v>
      </c>
      <c r="C23" s="103"/>
      <c r="D23" s="199">
        <v>16</v>
      </c>
      <c r="E23" s="148"/>
      <c r="F23" s="111"/>
      <c r="I23" s="94"/>
      <c r="L23"/>
      <c r="M23"/>
      <c r="N23"/>
      <c r="O23"/>
      <c r="P23"/>
      <c r="Q23"/>
      <c r="R23"/>
      <c r="S23"/>
    </row>
    <row r="24" spans="1:19" ht="15" hidden="1" customHeight="1" outlineLevel="1">
      <c r="B24" s="276" t="s">
        <v>166</v>
      </c>
      <c r="C24" s="103"/>
      <c r="D24" s="199">
        <v>-86</v>
      </c>
      <c r="E24" s="148"/>
      <c r="F24" s="111"/>
      <c r="I24" s="94"/>
      <c r="L24"/>
      <c r="M24"/>
      <c r="N24"/>
      <c r="O24"/>
      <c r="P24"/>
      <c r="Q24"/>
      <c r="R24"/>
      <c r="S24"/>
    </row>
    <row r="25" spans="1:19" ht="15" hidden="1" customHeight="1" outlineLevel="1">
      <c r="B25" s="154" t="s">
        <v>124</v>
      </c>
      <c r="C25" s="139"/>
      <c r="D25" s="199">
        <f>-(22+226+1253+2076+368-14)</f>
        <v>-3931</v>
      </c>
      <c r="E25"/>
      <c r="F25" s="170" t="s">
        <v>96</v>
      </c>
      <c r="H25" s="33"/>
      <c r="I25" s="199">
        <f>-2345</f>
        <v>-2345</v>
      </c>
      <c r="K25" s="127"/>
    </row>
    <row r="26" spans="1:19" ht="15" hidden="1" customHeight="1" outlineLevel="1">
      <c r="B26" s="112" t="s">
        <v>95</v>
      </c>
      <c r="C26" s="112"/>
      <c r="D26" s="354">
        <f>SUM(D19:D25)</f>
        <v>28216.299063259798</v>
      </c>
      <c r="E26"/>
      <c r="F26" s="106" t="s">
        <v>3</v>
      </c>
      <c r="H26" s="33"/>
      <c r="I26" s="354">
        <f>SUM(I22:I25)</f>
        <v>5054</v>
      </c>
    </row>
    <row r="27" spans="1:19" ht="15" hidden="1" customHeight="1" outlineLevel="1">
      <c r="E27"/>
      <c r="F27"/>
      <c r="J27" s="58"/>
    </row>
    <row r="28" spans="1:19" s="49" customFormat="1" ht="15" hidden="1" customHeight="1" outlineLevel="1">
      <c r="B28" s="208"/>
      <c r="C28" s="208"/>
      <c r="D28" s="208"/>
      <c r="E28" s="208"/>
      <c r="F28" s="208"/>
      <c r="G28" s="208"/>
      <c r="H28" s="208"/>
      <c r="I28" s="208"/>
      <c r="J28" s="208"/>
    </row>
    <row r="29" spans="1:19" s="49" customFormat="1" ht="15" customHeight="1" collapsed="1">
      <c r="B29" s="46"/>
      <c r="C29" s="46"/>
      <c r="D29" s="46"/>
      <c r="E29" s="46"/>
      <c r="F29" s="46"/>
      <c r="G29" s="46"/>
      <c r="H29" s="46"/>
      <c r="I29" s="46"/>
      <c r="J29" s="46"/>
    </row>
    <row r="30" spans="1:19" ht="15" customHeight="1">
      <c r="A30" s="114" t="s">
        <v>20</v>
      </c>
      <c r="B30" s="77" t="str">
        <f>CONCATENATE($D$12&amp;": Income Statement Data (As Reported)")</f>
        <v>Tesco PLC: Income Statement Data (As Reported)</v>
      </c>
      <c r="C30" s="124"/>
      <c r="D30" s="77"/>
      <c r="E30" s="77"/>
      <c r="F30" s="77"/>
      <c r="G30" s="77"/>
      <c r="H30" s="77"/>
      <c r="I30" s="77"/>
      <c r="J30" s="77"/>
    </row>
    <row r="31" spans="1:19" customFormat="1" ht="15" hidden="1" customHeight="1" outlineLevel="1"/>
    <row r="32" spans="1:19" customFormat="1" ht="15" hidden="1" customHeight="1" outlineLevel="1">
      <c r="B32" s="142" t="s">
        <v>118</v>
      </c>
    </row>
    <row r="33" spans="2:14" ht="15" hidden="1" customHeight="1" outlineLevel="1">
      <c r="B33" s="142" t="s">
        <v>126</v>
      </c>
      <c r="D33" s="274"/>
      <c r="E33" s="274"/>
      <c r="F33" s="274"/>
      <c r="G33" s="274"/>
      <c r="H33" s="160"/>
    </row>
    <row r="34" spans="2:14" ht="15" hidden="1" customHeight="1" outlineLevel="1">
      <c r="C34" s="39"/>
      <c r="D34" s="292" t="s">
        <v>78</v>
      </c>
      <c r="E34" s="302" t="s">
        <v>90</v>
      </c>
      <c r="F34" s="303" t="s">
        <v>91</v>
      </c>
      <c r="G34" s="294"/>
      <c r="H34" s="295"/>
    </row>
    <row r="35" spans="2:14" ht="15" hidden="1" customHeight="1" outlineLevel="1">
      <c r="C35" s="275"/>
      <c r="D35" s="296" t="s">
        <v>72</v>
      </c>
      <c r="E35" s="304" t="s">
        <v>136</v>
      </c>
      <c r="F35" s="304" t="s">
        <v>136</v>
      </c>
      <c r="G35" s="297" t="s">
        <v>71</v>
      </c>
      <c r="H35" s="295"/>
      <c r="L35"/>
      <c r="M35"/>
      <c r="N35"/>
    </row>
    <row r="36" spans="2:14" ht="15" hidden="1" customHeight="1" outlineLevel="1">
      <c r="B36" s="66" t="s">
        <v>172</v>
      </c>
      <c r="C36" s="39"/>
      <c r="D36" s="355">
        <v>44618</v>
      </c>
      <c r="E36" s="355">
        <v>44618</v>
      </c>
      <c r="F36" s="355">
        <v>44253</v>
      </c>
      <c r="G36" s="307">
        <f>IF(E36,E36,D36)</f>
        <v>44618</v>
      </c>
      <c r="H36" s="298"/>
      <c r="I36" s="49"/>
    </row>
    <row r="37" spans="2:14" ht="15" hidden="1" customHeight="1" outlineLevel="1">
      <c r="B37" s="33"/>
      <c r="D37" s="299"/>
      <c r="E37" s="299"/>
      <c r="F37" s="299"/>
      <c r="G37" s="300"/>
      <c r="H37" s="160"/>
    </row>
    <row r="38" spans="2:14" ht="15" hidden="1" customHeight="1" outlineLevel="1">
      <c r="B38" s="33"/>
      <c r="D38" s="274"/>
      <c r="E38" s="274"/>
      <c r="F38" s="274"/>
      <c r="G38" s="274"/>
      <c r="H38" s="160"/>
    </row>
    <row r="39" spans="2:14" ht="15" hidden="1" customHeight="1" outlineLevel="1">
      <c r="B39" s="281" t="s">
        <v>10</v>
      </c>
      <c r="C39" s="131"/>
      <c r="D39" s="144">
        <v>61344</v>
      </c>
      <c r="E39" s="144">
        <v>0</v>
      </c>
      <c r="F39" s="144">
        <v>0</v>
      </c>
      <c r="G39" s="287">
        <f>D39+E39-F39</f>
        <v>61344</v>
      </c>
      <c r="H39"/>
      <c r="I39"/>
      <c r="J39"/>
      <c r="K39" s="127"/>
      <c r="L39"/>
      <c r="M39"/>
      <c r="N39"/>
    </row>
    <row r="40" spans="2:14" ht="15" hidden="1" customHeight="1" outlineLevel="1">
      <c r="B40" s="282" t="s">
        <v>99</v>
      </c>
      <c r="C40" s="129"/>
      <c r="D40" s="291">
        <f>56750-39</f>
        <v>56711</v>
      </c>
      <c r="E40" s="291">
        <v>0</v>
      </c>
      <c r="F40" s="291">
        <v>0</v>
      </c>
      <c r="G40" s="356">
        <f>D40+E40-F40</f>
        <v>56711</v>
      </c>
      <c r="H40"/>
      <c r="I40"/>
      <c r="J40"/>
      <c r="L40"/>
      <c r="M40"/>
      <c r="N40"/>
    </row>
    <row r="41" spans="2:14" ht="15" hidden="1" customHeight="1" outlineLevel="1">
      <c r="B41" s="283" t="s">
        <v>100</v>
      </c>
      <c r="C41" s="129"/>
      <c r="D41" s="143">
        <f>D39-D40</f>
        <v>4633</v>
      </c>
      <c r="E41" s="143">
        <f>E39-E40</f>
        <v>0</v>
      </c>
      <c r="F41" s="143">
        <f>F39-F40</f>
        <v>0</v>
      </c>
      <c r="G41" s="287">
        <f>D41+E41-F41</f>
        <v>4633</v>
      </c>
      <c r="H41"/>
      <c r="I41"/>
      <c r="J41"/>
      <c r="L41"/>
      <c r="M41"/>
      <c r="N41"/>
    </row>
    <row r="42" spans="2:14" ht="15" hidden="1" customHeight="1" outlineLevel="1">
      <c r="B42" s="283"/>
      <c r="C42" s="129"/>
      <c r="D42" s="143"/>
      <c r="E42" s="143"/>
      <c r="F42" s="143"/>
      <c r="G42" s="287"/>
      <c r="H42" s="204"/>
      <c r="I42"/>
      <c r="J42"/>
      <c r="L42"/>
      <c r="M42"/>
      <c r="N42"/>
    </row>
    <row r="43" spans="2:14" ht="15" hidden="1" customHeight="1" outlineLevel="1">
      <c r="B43" s="282" t="s">
        <v>115</v>
      </c>
      <c r="C43" s="140"/>
      <c r="D43" s="291">
        <v>2073</v>
      </c>
      <c r="E43" s="291">
        <v>0</v>
      </c>
      <c r="F43" s="291">
        <v>0</v>
      </c>
      <c r="G43" s="356">
        <f>D43+E43-F43</f>
        <v>2073</v>
      </c>
      <c r="H43"/>
      <c r="I43"/>
      <c r="J43"/>
      <c r="K43" s="127"/>
      <c r="L43"/>
      <c r="M43"/>
      <c r="N43"/>
    </row>
    <row r="44" spans="2:14" ht="15" hidden="1" customHeight="1" outlineLevel="1">
      <c r="B44" s="277" t="s">
        <v>105</v>
      </c>
      <c r="C44" s="306"/>
      <c r="D44" s="143">
        <f>D41-D43</f>
        <v>2560</v>
      </c>
      <c r="E44" s="143">
        <f t="shared" ref="E44:F44" si="0">E41-E43</f>
        <v>0</v>
      </c>
      <c r="F44" s="143">
        <f t="shared" si="0"/>
        <v>0</v>
      </c>
      <c r="G44" s="287">
        <f>D44+E44-F44</f>
        <v>2560</v>
      </c>
      <c r="H44"/>
      <c r="I44"/>
      <c r="J44"/>
      <c r="L44"/>
      <c r="M44"/>
      <c r="N44"/>
    </row>
    <row r="45" spans="2:14" ht="15" hidden="1" customHeight="1" outlineLevel="1">
      <c r="B45" s="209"/>
      <c r="C45" s="146"/>
      <c r="D45" s="147"/>
      <c r="E45" s="147"/>
      <c r="F45" s="147"/>
      <c r="G45" s="288"/>
      <c r="H45" s="204"/>
      <c r="I45"/>
      <c r="J45"/>
      <c r="L45"/>
      <c r="M45"/>
      <c r="N45"/>
    </row>
    <row r="46" spans="2:14" ht="15" hidden="1" customHeight="1" outlineLevel="1">
      <c r="B46" s="284" t="s">
        <v>101</v>
      </c>
      <c r="C46" s="130"/>
      <c r="D46" s="144">
        <v>551</v>
      </c>
      <c r="E46" s="144">
        <v>0</v>
      </c>
      <c r="F46" s="144">
        <v>0</v>
      </c>
      <c r="G46" s="287">
        <f>D46+E46-F46</f>
        <v>551</v>
      </c>
      <c r="H46"/>
      <c r="I46"/>
      <c r="J46"/>
      <c r="L46"/>
      <c r="M46"/>
      <c r="N46"/>
    </row>
    <row r="47" spans="2:14" ht="15" hidden="1" customHeight="1" outlineLevel="1">
      <c r="B47" s="285" t="s">
        <v>150</v>
      </c>
      <c r="C47" s="130"/>
      <c r="D47" s="144">
        <v>9</v>
      </c>
      <c r="E47" s="144">
        <v>0</v>
      </c>
      <c r="F47" s="144">
        <v>0</v>
      </c>
      <c r="G47" s="287">
        <f>D47+E47-F47</f>
        <v>9</v>
      </c>
      <c r="H47"/>
      <c r="I47"/>
      <c r="J47"/>
      <c r="L47"/>
      <c r="M47"/>
      <c r="N47"/>
    </row>
    <row r="48" spans="2:14" ht="15" hidden="1" customHeight="1" outlineLevel="1">
      <c r="B48" s="277" t="s">
        <v>175</v>
      </c>
      <c r="C48" s="130"/>
      <c r="D48" s="291">
        <v>15</v>
      </c>
      <c r="E48" s="291">
        <v>0</v>
      </c>
      <c r="F48" s="291">
        <v>0</v>
      </c>
      <c r="G48" s="356">
        <f>D48+E48-F48</f>
        <v>15</v>
      </c>
      <c r="H48"/>
      <c r="I48"/>
      <c r="J48"/>
      <c r="L48"/>
      <c r="M48"/>
      <c r="N48"/>
    </row>
    <row r="49" spans="2:16" ht="15" hidden="1" customHeight="1" outlineLevel="1">
      <c r="B49" s="284" t="s">
        <v>107</v>
      </c>
      <c r="C49" s="130"/>
      <c r="D49" s="143">
        <f>D44-D46+D47+D48</f>
        <v>2033</v>
      </c>
      <c r="E49" s="143">
        <f>E44-E46+E47+E48</f>
        <v>0</v>
      </c>
      <c r="F49" s="143">
        <f>F44-F46+F47+F48</f>
        <v>0</v>
      </c>
      <c r="G49" s="287">
        <f>D49+E49-F49</f>
        <v>2033</v>
      </c>
      <c r="H49"/>
      <c r="I49"/>
      <c r="J49"/>
    </row>
    <row r="50" spans="2:16" ht="15" hidden="1" customHeight="1" outlineLevel="1">
      <c r="B50" s="284"/>
      <c r="C50" s="130"/>
      <c r="D50" s="143"/>
      <c r="E50" s="143"/>
      <c r="F50" s="143"/>
      <c r="G50" s="287"/>
      <c r="H50" s="204"/>
      <c r="I50"/>
      <c r="J50"/>
    </row>
    <row r="51" spans="2:16" ht="15" hidden="1" customHeight="1" outlineLevel="1">
      <c r="B51" s="284" t="s">
        <v>102</v>
      </c>
      <c r="C51" s="130"/>
      <c r="D51" s="291">
        <v>510</v>
      </c>
      <c r="E51" s="291">
        <v>0</v>
      </c>
      <c r="F51" s="291">
        <v>0</v>
      </c>
      <c r="G51" s="356">
        <f>D51+E51-F51</f>
        <v>510</v>
      </c>
      <c r="H51"/>
      <c r="I51"/>
      <c r="J51"/>
      <c r="K51"/>
      <c r="L51"/>
      <c r="M51"/>
      <c r="N51"/>
      <c r="O51"/>
      <c r="P51"/>
    </row>
    <row r="52" spans="2:16" ht="15" hidden="1" customHeight="1" outlineLevel="1">
      <c r="B52" s="152" t="s">
        <v>110</v>
      </c>
      <c r="C52" s="130"/>
      <c r="D52" s="143">
        <f>D49-D51</f>
        <v>1523</v>
      </c>
      <c r="E52" s="143">
        <f>E49-E51</f>
        <v>0</v>
      </c>
      <c r="F52" s="143">
        <f>F49-F51</f>
        <v>0</v>
      </c>
      <c r="G52" s="287">
        <f>D52+E52-F52</f>
        <v>1523</v>
      </c>
      <c r="H52"/>
      <c r="I52" s="173"/>
      <c r="J52"/>
    </row>
    <row r="53" spans="2:16" ht="15" hidden="1" customHeight="1" outlineLevel="1">
      <c r="B53" s="152"/>
      <c r="C53" s="130"/>
      <c r="D53" s="143"/>
      <c r="E53" s="143"/>
      <c r="F53" s="143"/>
      <c r="G53" s="287"/>
      <c r="H53" s="204"/>
      <c r="I53" s="173"/>
      <c r="J53"/>
    </row>
    <row r="54" spans="2:16" ht="15" hidden="1" customHeight="1" outlineLevel="1">
      <c r="B54" s="152" t="s">
        <v>121</v>
      </c>
      <c r="C54" s="130"/>
      <c r="D54" s="144">
        <v>40</v>
      </c>
      <c r="E54" s="144">
        <v>0</v>
      </c>
      <c r="F54" s="144">
        <v>0</v>
      </c>
      <c r="G54" s="287">
        <f>D54+E54-F54</f>
        <v>40</v>
      </c>
      <c r="H54"/>
      <c r="I54"/>
      <c r="J54"/>
    </row>
    <row r="55" spans="2:16" ht="15" hidden="1" customHeight="1" outlineLevel="1">
      <c r="B55" s="277" t="s">
        <v>173</v>
      </c>
      <c r="C55" s="130"/>
      <c r="D55" s="144">
        <v>2</v>
      </c>
      <c r="E55" s="144">
        <v>0</v>
      </c>
      <c r="F55" s="144">
        <v>0</v>
      </c>
      <c r="G55" s="287">
        <f>D55+E55-F55</f>
        <v>2</v>
      </c>
      <c r="H55"/>
      <c r="I55"/>
      <c r="J55"/>
    </row>
    <row r="56" spans="2:16" ht="15" hidden="1" customHeight="1" outlineLevel="1" thickBot="1">
      <c r="B56" s="209" t="s">
        <v>103</v>
      </c>
      <c r="C56" s="146"/>
      <c r="D56" s="317">
        <f>D52-D55-D54</f>
        <v>1481</v>
      </c>
      <c r="E56" s="317">
        <f t="shared" ref="E56:F56" si="1">E52-E55-E54</f>
        <v>0</v>
      </c>
      <c r="F56" s="317">
        <f t="shared" si="1"/>
        <v>0</v>
      </c>
      <c r="G56" s="357">
        <f>D56+E56-F56</f>
        <v>1481</v>
      </c>
      <c r="H56"/>
      <c r="I56"/>
      <c r="J56"/>
    </row>
    <row r="57" spans="2:16" ht="15" hidden="1" customHeight="1" outlineLevel="1">
      <c r="B57" s="110"/>
      <c r="C57" s="39"/>
      <c r="D57" s="135"/>
      <c r="E57" s="76"/>
      <c r="F57" s="76"/>
      <c r="G57" s="289"/>
      <c r="H57" s="76"/>
      <c r="I57" s="76"/>
      <c r="J57" s="126"/>
    </row>
    <row r="58" spans="2:16" ht="15" hidden="1" customHeight="1" outlineLevel="1">
      <c r="B58" s="110"/>
      <c r="C58" s="39"/>
      <c r="D58" s="135"/>
      <c r="E58" s="76"/>
      <c r="F58" s="76"/>
      <c r="G58" s="290"/>
      <c r="H58" s="76"/>
      <c r="I58" s="76"/>
      <c r="J58" s="126"/>
    </row>
    <row r="59" spans="2:16" ht="15" hidden="1" customHeight="1" outlineLevel="1">
      <c r="B59" s="331" t="s">
        <v>184</v>
      </c>
      <c r="C59" s="278" t="s">
        <v>167</v>
      </c>
      <c r="D59" s="358">
        <f>+IFERROR(D56/D61,"na")</f>
        <v>0.19119545571908081</v>
      </c>
      <c r="E59" s="358" t="str">
        <f>+IFERROR(E56/E61,"na")</f>
        <v>na</v>
      </c>
      <c r="F59" s="358" t="str">
        <f>+IFERROR(F56/F61,"na")</f>
        <v>na</v>
      </c>
      <c r="G59" s="358">
        <f>+IFERROR(G56/G61,"na")</f>
        <v>0.19119545571908081</v>
      </c>
      <c r="H59"/>
      <c r="I59"/>
      <c r="J59"/>
    </row>
    <row r="60" spans="2:16" ht="15" hidden="1" customHeight="1" outlineLevel="1">
      <c r="B60" s="110"/>
      <c r="C60" s="39"/>
      <c r="D60" s="204"/>
      <c r="E60" s="76"/>
      <c r="F60" s="76"/>
      <c r="G60" s="290"/>
      <c r="H60"/>
      <c r="I60"/>
      <c r="J60"/>
    </row>
    <row r="61" spans="2:16" ht="15" hidden="1" customHeight="1" outlineLevel="1">
      <c r="B61" s="286" t="s">
        <v>104</v>
      </c>
      <c r="C61" s="278" t="s">
        <v>186</v>
      </c>
      <c r="D61" s="144">
        <v>7746</v>
      </c>
      <c r="E61" s="144">
        <v>0</v>
      </c>
      <c r="F61" s="144">
        <v>0</v>
      </c>
      <c r="G61" s="143">
        <f>D61+E61-F61</f>
        <v>7746</v>
      </c>
      <c r="H61"/>
      <c r="K61"/>
    </row>
    <row r="62" spans="2:16" ht="15" hidden="1" customHeight="1" outlineLevel="1">
      <c r="B62" s="131"/>
      <c r="C62" s="131"/>
      <c r="D62" s="144"/>
      <c r="E62" s="144"/>
      <c r="F62" s="144"/>
      <c r="G62" s="143"/>
      <c r="H62"/>
      <c r="K62"/>
    </row>
    <row r="63" spans="2:16" ht="15" hidden="1" customHeight="1" outlineLevel="1">
      <c r="B63" s="131"/>
      <c r="C63" s="131"/>
      <c r="D63" s="144"/>
      <c r="E63" s="144"/>
      <c r="F63" s="144"/>
      <c r="G63" s="143"/>
      <c r="H63"/>
      <c r="K63"/>
    </row>
    <row r="64" spans="2:16" ht="15" hidden="1" customHeight="1" outlineLevel="1">
      <c r="B64" s="131"/>
      <c r="C64" s="131"/>
      <c r="D64" s="144"/>
      <c r="E64" s="144"/>
      <c r="F64" s="144"/>
      <c r="G64" s="143"/>
      <c r="H64"/>
      <c r="K64"/>
    </row>
    <row r="65" spans="1:11" ht="15" hidden="1" customHeight="1" outlineLevel="1">
      <c r="B65" s="131"/>
      <c r="C65" s="131"/>
      <c r="D65" s="144"/>
      <c r="E65" s="144"/>
      <c r="F65" s="144"/>
      <c r="G65" s="172" t="s">
        <v>125</v>
      </c>
      <c r="H65"/>
      <c r="K65"/>
    </row>
    <row r="66" spans="1:11" ht="15" hidden="1" customHeight="1" outlineLevel="1">
      <c r="B66" s="131"/>
      <c r="C66" s="131"/>
      <c r="D66" s="144"/>
      <c r="E66" s="144"/>
      <c r="F66" s="144"/>
      <c r="G66" s="305" t="s">
        <v>176</v>
      </c>
      <c r="H66"/>
      <c r="K66"/>
    </row>
    <row r="67" spans="1:11" ht="15" hidden="1" customHeight="1" outlineLevel="1">
      <c r="B67" s="39"/>
      <c r="C67" s="39"/>
      <c r="D67" s="76"/>
      <c r="E67" s="76"/>
      <c r="F67" s="76"/>
      <c r="G67" s="75"/>
      <c r="K67"/>
    </row>
    <row r="68" spans="1:11" ht="15" hidden="1" customHeight="1" outlineLevel="1">
      <c r="B68" s="59"/>
      <c r="C68" s="59"/>
      <c r="D68" s="270"/>
      <c r="E68" s="270"/>
      <c r="F68" s="270"/>
      <c r="G68" s="271"/>
      <c r="H68" s="59"/>
      <c r="I68" s="272"/>
      <c r="J68" s="272"/>
      <c r="K68"/>
    </row>
    <row r="69" spans="1:11" ht="15" customHeight="1" collapsed="1">
      <c r="B69" s="39"/>
      <c r="C69" s="39"/>
      <c r="D69" s="76"/>
      <c r="E69" s="76"/>
      <c r="F69" s="76"/>
      <c r="G69" s="75"/>
      <c r="H69" s="269"/>
      <c r="I69" s="269"/>
      <c r="J69" s="269"/>
      <c r="K69" s="127"/>
    </row>
    <row r="70" spans="1:11" ht="15" customHeight="1">
      <c r="A70" s="273" t="s">
        <v>20</v>
      </c>
      <c r="B70" s="77" t="str">
        <f>CONCATENATE($D$12&amp;": Non-IFRS/Non-GAAP Metrics &amp; Analyst Estimates")</f>
        <v>Tesco PLC: Non-IFRS/Non-GAAP Metrics &amp; Analyst Estimates</v>
      </c>
      <c r="C70" s="124"/>
      <c r="D70" s="77"/>
      <c r="E70" s="77"/>
      <c r="F70" s="77"/>
      <c r="G70" s="77"/>
      <c r="H70" s="77"/>
      <c r="I70" s="77"/>
      <c r="J70" s="77"/>
      <c r="K70" s="127"/>
    </row>
    <row r="71" spans="1:11" ht="15" hidden="1" customHeight="1" outlineLevel="1">
      <c r="B71" s="39"/>
      <c r="C71" s="39"/>
      <c r="D71" s="76"/>
      <c r="E71" s="76"/>
      <c r="F71" s="76"/>
      <c r="G71" s="75"/>
      <c r="K71" s="127"/>
    </row>
    <row r="72" spans="1:11" ht="15" hidden="1" customHeight="1" outlineLevel="1">
      <c r="B72" s="142" t="s">
        <v>118</v>
      </c>
      <c r="C72" s="39"/>
      <c r="D72" s="76"/>
      <c r="E72" s="76"/>
      <c r="F72" s="76"/>
      <c r="G72" s="75"/>
      <c r="K72" s="127"/>
    </row>
    <row r="73" spans="1:11" ht="15" hidden="1" customHeight="1" outlineLevel="1">
      <c r="B73" s="142" t="s">
        <v>126</v>
      </c>
      <c r="C73" s="39"/>
      <c r="D73" s="76"/>
      <c r="E73" s="76"/>
      <c r="F73" s="76"/>
      <c r="G73" s="75"/>
      <c r="K73" s="127"/>
    </row>
    <row r="74" spans="1:11" ht="15" hidden="1" customHeight="1" outlineLevel="1">
      <c r="B74" s="39"/>
      <c r="C74" s="39"/>
      <c r="D74" s="292" t="s">
        <v>78</v>
      </c>
      <c r="E74" s="302" t="s">
        <v>90</v>
      </c>
      <c r="F74" s="303" t="s">
        <v>91</v>
      </c>
      <c r="G74" s="294"/>
      <c r="H74" s="295"/>
      <c r="K74" s="127"/>
    </row>
    <row r="75" spans="1:11" ht="15" hidden="1" customHeight="1" outlineLevel="1">
      <c r="C75" s="41"/>
      <c r="D75" s="296" t="s">
        <v>72</v>
      </c>
      <c r="E75" s="304" t="s">
        <v>174</v>
      </c>
      <c r="F75" s="304" t="s">
        <v>174</v>
      </c>
      <c r="G75" s="297" t="s">
        <v>71</v>
      </c>
      <c r="H75" s="295"/>
    </row>
    <row r="76" spans="1:11" ht="15" hidden="1" customHeight="1" outlineLevel="1">
      <c r="B76" s="158" t="s">
        <v>153</v>
      </c>
      <c r="C76" s="41"/>
      <c r="D76" s="309">
        <f>D$36</f>
        <v>44618</v>
      </c>
      <c r="E76" s="311">
        <f t="shared" ref="E76:G76" si="2">E$36</f>
        <v>44618</v>
      </c>
      <c r="F76" s="311">
        <f t="shared" si="2"/>
        <v>44253</v>
      </c>
      <c r="G76" s="307">
        <f t="shared" si="2"/>
        <v>44618</v>
      </c>
      <c r="H76" s="295"/>
    </row>
    <row r="77" spans="1:11" ht="15" hidden="1" customHeight="1" outlineLevel="1">
      <c r="B77" s="146"/>
      <c r="C77" s="41"/>
      <c r="D77" s="310"/>
      <c r="E77" s="312"/>
      <c r="F77" s="293"/>
      <c r="G77" s="313"/>
    </row>
    <row r="78" spans="1:11" ht="15" hidden="1" customHeight="1" outlineLevel="1">
      <c r="B78" s="277" t="s">
        <v>178</v>
      </c>
      <c r="C78" s="141"/>
      <c r="D78" s="326">
        <v>265</v>
      </c>
      <c r="E78" s="326">
        <v>0</v>
      </c>
      <c r="F78" s="326">
        <v>0</v>
      </c>
      <c r="G78" s="359">
        <f>D78+E78-F78</f>
        <v>265</v>
      </c>
      <c r="H78" s="159"/>
      <c r="I78" s="159"/>
      <c r="J78"/>
    </row>
    <row r="79" spans="1:11" ht="15" hidden="1" customHeight="1" outlineLevel="1">
      <c r="B79" s="321" t="s">
        <v>109</v>
      </c>
      <c r="C79" s="141"/>
      <c r="D79" s="326">
        <f>-101+38</f>
        <v>-63</v>
      </c>
      <c r="E79" s="326">
        <v>0</v>
      </c>
      <c r="F79" s="326">
        <v>0</v>
      </c>
      <c r="G79" s="359">
        <f>D79+E79-F79</f>
        <v>-63</v>
      </c>
      <c r="H79" s="169"/>
      <c r="I79" s="169"/>
      <c r="J79"/>
    </row>
    <row r="80" spans="1:11" ht="15" hidden="1" customHeight="1" outlineLevel="1">
      <c r="B80" s="321" t="s">
        <v>108</v>
      </c>
      <c r="C80" s="141"/>
      <c r="D80" s="326">
        <v>8</v>
      </c>
      <c r="E80" s="326">
        <v>0</v>
      </c>
      <c r="F80" s="326">
        <v>0</v>
      </c>
      <c r="G80" s="359">
        <f>D80+E80-F80</f>
        <v>8</v>
      </c>
      <c r="H80" s="169"/>
      <c r="I80" s="169"/>
      <c r="J80"/>
    </row>
    <row r="81" spans="2:14" ht="15" hidden="1" customHeight="1" outlineLevel="1">
      <c r="B81" s="39"/>
      <c r="C81" s="39"/>
      <c r="D81" s="49"/>
      <c r="E81" s="49"/>
      <c r="F81" s="49"/>
      <c r="G81" s="203"/>
      <c r="H81" s="76"/>
      <c r="I81" s="76"/>
      <c r="J81"/>
      <c r="K81"/>
      <c r="L81"/>
      <c r="M81"/>
      <c r="N81"/>
    </row>
    <row r="82" spans="2:14" ht="15" hidden="1" customHeight="1" outlineLevel="1">
      <c r="B82" s="39"/>
      <c r="C82" s="39"/>
      <c r="D82" s="46"/>
      <c r="E82" s="46"/>
      <c r="F82" s="46"/>
      <c r="G82" s="203"/>
      <c r="H82" s="46"/>
      <c r="I82" s="46"/>
      <c r="K82"/>
      <c r="L82"/>
      <c r="M82"/>
      <c r="N82"/>
    </row>
    <row r="83" spans="2:14" ht="15" hidden="1" customHeight="1" outlineLevel="1">
      <c r="B83" s="39"/>
      <c r="C83" s="39"/>
      <c r="D83" s="303" t="s">
        <v>78</v>
      </c>
      <c r="E83" s="302" t="s">
        <v>90</v>
      </c>
      <c r="F83" s="303" t="s">
        <v>91</v>
      </c>
      <c r="G83" s="294"/>
      <c r="H83" s="301"/>
      <c r="I83" s="301"/>
      <c r="J83" s="316"/>
      <c r="K83"/>
      <c r="L83"/>
      <c r="M83"/>
      <c r="N83"/>
    </row>
    <row r="84" spans="2:14" ht="15" hidden="1" customHeight="1" outlineLevel="1">
      <c r="B84" s="39"/>
      <c r="C84" s="39"/>
      <c r="D84" s="360" t="s">
        <v>72</v>
      </c>
      <c r="E84" s="304" t="s">
        <v>174</v>
      </c>
      <c r="F84" s="304" t="s">
        <v>174</v>
      </c>
      <c r="G84" s="297" t="s">
        <v>71</v>
      </c>
      <c r="H84" s="315">
        <f>Summary!$M$7</f>
        <v>2023</v>
      </c>
      <c r="I84" s="315">
        <f>H84+1</f>
        <v>2024</v>
      </c>
      <c r="J84" s="316"/>
      <c r="K84"/>
      <c r="L84"/>
      <c r="M84"/>
      <c r="N84"/>
    </row>
    <row r="85" spans="2:14" ht="15" hidden="1" customHeight="1" outlineLevel="1">
      <c r="B85" s="158" t="s">
        <v>180</v>
      </c>
      <c r="C85" s="146"/>
      <c r="D85" s="309">
        <f>D$36</f>
        <v>44618</v>
      </c>
      <c r="E85" s="361">
        <f t="shared" ref="E85:G85" si="3">E$36</f>
        <v>44618</v>
      </c>
      <c r="F85" s="361">
        <f t="shared" si="3"/>
        <v>44253</v>
      </c>
      <c r="G85" s="307">
        <f t="shared" si="3"/>
        <v>44618</v>
      </c>
      <c r="H85" s="308">
        <f>EOMONTH(D36,12)</f>
        <v>44985</v>
      </c>
      <c r="I85" s="308">
        <f>EOMONTH(H85,12)</f>
        <v>45351</v>
      </c>
      <c r="J85" s="316"/>
      <c r="K85"/>
      <c r="L85"/>
      <c r="M85"/>
      <c r="N85"/>
    </row>
    <row r="86" spans="2:14" ht="15" hidden="1" customHeight="1" outlineLevel="1">
      <c r="B86" s="146"/>
      <c r="C86" s="146"/>
      <c r="D86" s="293"/>
      <c r="E86" s="312"/>
      <c r="F86" s="293"/>
      <c r="G86" s="362"/>
      <c r="H86" s="363"/>
      <c r="I86" s="363"/>
      <c r="J86"/>
      <c r="K86"/>
      <c r="L86"/>
      <c r="M86"/>
      <c r="N86"/>
    </row>
    <row r="87" spans="2:14" ht="15" hidden="1" customHeight="1" outlineLevel="1">
      <c r="B87" s="284" t="s">
        <v>10</v>
      </c>
      <c r="C87" s="130"/>
      <c r="D87" s="143">
        <f>D39</f>
        <v>61344</v>
      </c>
      <c r="E87" s="143">
        <f>E39</f>
        <v>0</v>
      </c>
      <c r="F87" s="143">
        <f>F39</f>
        <v>0</v>
      </c>
      <c r="G87" s="201">
        <f t="shared" ref="G87:G94" si="4">D87+E87-F87</f>
        <v>61344</v>
      </c>
      <c r="H87" s="150">
        <v>63466.14</v>
      </c>
      <c r="I87" s="150">
        <v>64719.61</v>
      </c>
      <c r="J87"/>
      <c r="K87" s="127"/>
      <c r="L87"/>
      <c r="M87"/>
      <c r="N87"/>
    </row>
    <row r="88" spans="2:14" ht="15" hidden="1" customHeight="1" outlineLevel="1">
      <c r="B88" s="286" t="s">
        <v>106</v>
      </c>
      <c r="C88" s="131"/>
      <c r="D88" s="143">
        <f>D44+D78</f>
        <v>2825</v>
      </c>
      <c r="E88" s="143">
        <f>E44+E78</f>
        <v>0</v>
      </c>
      <c r="F88" s="143">
        <f>F44+F78</f>
        <v>0</v>
      </c>
      <c r="G88" s="201">
        <f t="shared" si="4"/>
        <v>2825</v>
      </c>
      <c r="H88" s="144">
        <v>2675.31</v>
      </c>
      <c r="I88" s="144">
        <v>2813.6</v>
      </c>
      <c r="J88"/>
      <c r="K88"/>
      <c r="L88"/>
      <c r="M88"/>
      <c r="N88"/>
    </row>
    <row r="89" spans="2:14" ht="15" hidden="1" customHeight="1" outlineLevel="1">
      <c r="B89" s="331" t="s">
        <v>181</v>
      </c>
      <c r="C89" s="128"/>
      <c r="D89" s="144">
        <v>1718</v>
      </c>
      <c r="E89" s="144">
        <v>0</v>
      </c>
      <c r="F89" s="144">
        <v>0</v>
      </c>
      <c r="G89" s="201">
        <f t="shared" si="4"/>
        <v>1718</v>
      </c>
      <c r="H89" s="199" t="s">
        <v>147</v>
      </c>
      <c r="I89" s="199" t="s">
        <v>147</v>
      </c>
      <c r="J89"/>
      <c r="K89"/>
      <c r="L89"/>
      <c r="M89"/>
      <c r="N89"/>
    </row>
    <row r="90" spans="2:14" ht="15" hidden="1" customHeight="1" outlineLevel="1">
      <c r="B90" s="322" t="s">
        <v>130</v>
      </c>
      <c r="C90" s="131"/>
      <c r="D90" s="364">
        <f>D89+D88</f>
        <v>4543</v>
      </c>
      <c r="E90" s="364">
        <f t="shared" ref="E90:F90" si="5">E89+E88</f>
        <v>0</v>
      </c>
      <c r="F90" s="364">
        <f t="shared" si="5"/>
        <v>0</v>
      </c>
      <c r="G90" s="365">
        <f t="shared" si="4"/>
        <v>4543</v>
      </c>
      <c r="H90" s="291">
        <v>4435.76</v>
      </c>
      <c r="I90" s="291">
        <v>4596.49</v>
      </c>
      <c r="J90"/>
      <c r="K90" s="127"/>
      <c r="L90"/>
      <c r="M90"/>
      <c r="N90"/>
    </row>
    <row r="91" spans="2:14" ht="15" hidden="1" customHeight="1" outlineLevel="1">
      <c r="B91" s="331" t="s">
        <v>182</v>
      </c>
      <c r="C91" s="134"/>
      <c r="D91" s="143">
        <f>D52+D78+D79+D80-D55-D54</f>
        <v>1691</v>
      </c>
      <c r="E91" s="143">
        <f>E52+E78+E79+E80-E55-E54</f>
        <v>0</v>
      </c>
      <c r="F91" s="143">
        <f>F52+F78+F79+F80-F55-F54</f>
        <v>0</v>
      </c>
      <c r="G91" s="201">
        <f t="shared" si="4"/>
        <v>1691</v>
      </c>
      <c r="H91" s="144">
        <v>1579.6</v>
      </c>
      <c r="I91" s="144">
        <v>1625.7</v>
      </c>
      <c r="J91"/>
      <c r="K91"/>
      <c r="L91"/>
      <c r="M91"/>
      <c r="N91"/>
    </row>
    <row r="92" spans="2:14" ht="15" hidden="1" customHeight="1" outlineLevel="1">
      <c r="B92" s="286"/>
      <c r="C92" s="131"/>
      <c r="D92" s="136"/>
      <c r="E92" s="136"/>
      <c r="F92" s="136"/>
      <c r="G92" s="75"/>
      <c r="H92" s="76"/>
      <c r="I92" s="76"/>
      <c r="J92"/>
      <c r="K92"/>
      <c r="L92"/>
      <c r="M92"/>
      <c r="N92"/>
    </row>
    <row r="93" spans="2:14" ht="15" hidden="1" customHeight="1" outlineLevel="1">
      <c r="B93" s="276" t="s">
        <v>185</v>
      </c>
      <c r="C93" s="131"/>
      <c r="D93" s="144">
        <v>0</v>
      </c>
      <c r="E93" s="144">
        <v>0</v>
      </c>
      <c r="F93" s="144">
        <v>0</v>
      </c>
      <c r="G93" s="132">
        <f t="shared" si="4"/>
        <v>0</v>
      </c>
      <c r="H93"/>
      <c r="I93"/>
      <c r="J93"/>
      <c r="K93"/>
      <c r="L93"/>
      <c r="M93"/>
      <c r="N93"/>
    </row>
    <row r="94" spans="2:14" ht="15" hidden="1" customHeight="1" outlineLevel="1">
      <c r="B94" s="323" t="s">
        <v>98</v>
      </c>
      <c r="C94" s="278" t="s">
        <v>186</v>
      </c>
      <c r="D94" s="291">
        <v>0</v>
      </c>
      <c r="E94" s="291">
        <v>0</v>
      </c>
      <c r="F94" s="291">
        <v>0</v>
      </c>
      <c r="G94" s="329">
        <f t="shared" si="4"/>
        <v>0</v>
      </c>
      <c r="H94" s="330"/>
      <c r="I94" s="330"/>
      <c r="J94"/>
      <c r="K94"/>
      <c r="L94"/>
      <c r="M94"/>
      <c r="N94"/>
    </row>
    <row r="95" spans="2:14" ht="15" hidden="1" customHeight="1" outlineLevel="1">
      <c r="B95" s="276" t="s">
        <v>184</v>
      </c>
      <c r="C95" s="278" t="s">
        <v>167</v>
      </c>
      <c r="D95" s="358">
        <f>IFERROR((D91+D93)/(D61+D94),"na")</f>
        <v>0.21830622256648594</v>
      </c>
      <c r="E95" s="358" t="str">
        <f>IFERROR((E91+E93)/(E61+E94),"na")</f>
        <v>na</v>
      </c>
      <c r="F95" s="358" t="str">
        <f>IFERROR((F91+F93)/(F61+F94),"na")</f>
        <v>na</v>
      </c>
      <c r="G95" s="358">
        <f>IFERROR((G91+G93)/(G61+G94),"na")</f>
        <v>0.21830622256648594</v>
      </c>
      <c r="H95" s="366">
        <v>0.21</v>
      </c>
      <c r="I95" s="366">
        <v>0.22</v>
      </c>
      <c r="J95"/>
      <c r="K95"/>
      <c r="L95"/>
      <c r="M95"/>
      <c r="N95"/>
    </row>
    <row r="96" spans="2:14" ht="15" hidden="1" customHeight="1" outlineLevel="1">
      <c r="B96" s="131"/>
      <c r="C96" s="131"/>
      <c r="D96" s="136"/>
      <c r="E96" s="204"/>
      <c r="F96" s="204"/>
      <c r="G96" s="203"/>
      <c r="H96" s="76"/>
      <c r="I96" s="76"/>
      <c r="J96"/>
      <c r="K96"/>
      <c r="L96"/>
      <c r="M96"/>
      <c r="N96"/>
    </row>
    <row r="97" spans="2:14" ht="15" hidden="1" customHeight="1" outlineLevel="1">
      <c r="B97" s="131"/>
      <c r="C97" s="131"/>
      <c r="D97" s="136"/>
      <c r="E97" s="204"/>
      <c r="F97" s="204"/>
      <c r="G97" s="203"/>
      <c r="H97" s="76"/>
      <c r="I97" s="76"/>
      <c r="J97"/>
      <c r="K97"/>
      <c r="L97"/>
      <c r="M97"/>
      <c r="N97"/>
    </row>
    <row r="98" spans="2:14" ht="15" hidden="1" customHeight="1" outlineLevel="1">
      <c r="C98" s="39"/>
      <c r="D98" s="49"/>
      <c r="E98" s="49"/>
      <c r="F98" s="49"/>
      <c r="G98" s="46"/>
      <c r="H98" s="46"/>
      <c r="I98" s="213"/>
      <c r="J98" s="52"/>
    </row>
    <row r="99" spans="2:14" ht="15" hidden="1" customHeight="1" outlineLevel="1">
      <c r="C99" s="318"/>
      <c r="D99" s="49"/>
      <c r="E99" s="49"/>
      <c r="F99" s="46"/>
      <c r="G99" s="294"/>
      <c r="H99" s="301"/>
      <c r="I99" s="301"/>
      <c r="J99" s="319"/>
    </row>
    <row r="100" spans="2:14" ht="15" hidden="1" customHeight="1" outlineLevel="1">
      <c r="C100" s="318"/>
      <c r="D100" s="49"/>
      <c r="E100" s="49"/>
      <c r="F100" s="46"/>
      <c r="G100" s="297" t="s">
        <v>71</v>
      </c>
      <c r="H100" s="315">
        <f>Summary!$M$7</f>
        <v>2023</v>
      </c>
      <c r="I100" s="315">
        <f>H100+1</f>
        <v>2024</v>
      </c>
      <c r="J100" s="319"/>
    </row>
    <row r="101" spans="2:14" ht="15" hidden="1" customHeight="1" outlineLevel="1">
      <c r="C101" s="318"/>
      <c r="D101" s="62" t="s">
        <v>12</v>
      </c>
      <c r="E101" s="62"/>
      <c r="F101" s="318"/>
      <c r="G101" s="307">
        <f>G$36</f>
        <v>44618</v>
      </c>
      <c r="H101" s="308">
        <f>EOMONTH(G101,12)</f>
        <v>44985</v>
      </c>
      <c r="I101" s="308">
        <f>EOMONTH(H101,12)</f>
        <v>45351</v>
      </c>
      <c r="J101" s="316"/>
    </row>
    <row r="102" spans="2:14" ht="15" hidden="1" customHeight="1" outlineLevel="1">
      <c r="C102" s="318"/>
      <c r="D102" s="318"/>
      <c r="E102" s="318"/>
      <c r="F102" s="318"/>
      <c r="G102" s="320"/>
      <c r="H102" s="320"/>
      <c r="I102" s="320"/>
      <c r="J102"/>
    </row>
    <row r="103" spans="2:14" ht="15" hidden="1" customHeight="1" outlineLevel="1">
      <c r="C103" s="116"/>
      <c r="D103" s="171" t="s">
        <v>137</v>
      </c>
      <c r="E103" s="76"/>
      <c r="F103" s="76"/>
      <c r="G103" s="367">
        <f>IFERROR($D$26/G87,"-")</f>
        <v>0.45996835979492368</v>
      </c>
      <c r="H103" s="367">
        <f>IFERROR($D$26/H87,"-")</f>
        <v>0.44458823339909748</v>
      </c>
      <c r="I103" s="367">
        <f>IFERROR($D$26/I87,"-")</f>
        <v>0.43597758180650031</v>
      </c>
      <c r="J103"/>
    </row>
    <row r="104" spans="2:14" ht="15" hidden="1" customHeight="1" outlineLevel="1">
      <c r="C104" s="115"/>
      <c r="D104" s="368" t="s">
        <v>138</v>
      </c>
      <c r="E104" s="76"/>
      <c r="F104" s="76"/>
      <c r="G104" s="367">
        <f>IFERROR($D$26/G90,"-")</f>
        <v>6.2109397013558878</v>
      </c>
      <c r="H104" s="367">
        <f>IFERROR($D$26/H90,"-")</f>
        <v>6.3610968725223627</v>
      </c>
      <c r="I104" s="367">
        <f>IFERROR($D$26/I90,"-")</f>
        <v>6.1386621233288441</v>
      </c>
      <c r="J104"/>
    </row>
    <row r="105" spans="2:14" ht="15" hidden="1" customHeight="1" outlineLevel="1">
      <c r="C105" s="161"/>
      <c r="D105" s="325" t="s">
        <v>97</v>
      </c>
      <c r="E105" s="76"/>
      <c r="F105" s="76"/>
      <c r="G105" s="369">
        <f>IFERROR($I$11/G95,"-")</f>
        <v>11.392254287403903</v>
      </c>
      <c r="H105" s="369">
        <f>IFERROR($I$11/H95,"-")</f>
        <v>11.842857142857143</v>
      </c>
      <c r="I105" s="369">
        <f>IFERROR($I$11/I95,"-")</f>
        <v>11.304545454545455</v>
      </c>
      <c r="J105"/>
    </row>
    <row r="106" spans="2:14" ht="15" hidden="1" customHeight="1" outlineLevel="1">
      <c r="B106" s="70"/>
      <c r="C106" s="70"/>
      <c r="D106" s="70"/>
      <c r="E106" s="70"/>
      <c r="F106" s="70"/>
      <c r="G106" s="70"/>
      <c r="I106" s="69"/>
    </row>
    <row r="107" spans="2:14" ht="15" hidden="1" customHeight="1" outlineLevel="1">
      <c r="I107" s="53"/>
    </row>
    <row r="108" spans="2:14" ht="15" hidden="1" customHeight="1" outlineLevel="1">
      <c r="I108" s="197" t="s">
        <v>151</v>
      </c>
    </row>
    <row r="109" spans="2:14" ht="15" hidden="1" customHeight="1" outlineLevel="1">
      <c r="I109" s="305" t="s">
        <v>179</v>
      </c>
    </row>
    <row r="110" spans="2:14" ht="15" hidden="1" customHeight="1" outlineLevel="1">
      <c r="I110" s="332" t="s">
        <v>177</v>
      </c>
    </row>
    <row r="111" spans="2:14" ht="15" hidden="1" customHeight="1" outlineLevel="1">
      <c r="I111" s="333" t="s">
        <v>152</v>
      </c>
    </row>
    <row r="112" spans="2:14" ht="15" hidden="1" customHeight="1" outlineLevel="1">
      <c r="I112" s="334" t="s">
        <v>183</v>
      </c>
    </row>
    <row r="113" spans="1:14" ht="15" hidden="1" customHeight="1" outlineLevel="1">
      <c r="B113" s="59"/>
      <c r="C113" s="59"/>
      <c r="D113" s="270"/>
      <c r="E113" s="270"/>
      <c r="F113" s="270"/>
      <c r="G113" s="271"/>
      <c r="H113" s="59"/>
      <c r="I113" s="272"/>
      <c r="J113" s="272"/>
      <c r="K113"/>
    </row>
    <row r="114" spans="1:14" ht="15" customHeight="1" collapsed="1">
      <c r="B114" s="39"/>
      <c r="C114" s="39"/>
      <c r="D114" s="76"/>
      <c r="E114" s="76"/>
      <c r="F114" s="76"/>
      <c r="G114" s="75"/>
      <c r="H114" s="269"/>
      <c r="I114" s="269"/>
      <c r="J114" s="269"/>
      <c r="K114" s="127"/>
    </row>
    <row r="115" spans="1:14" ht="15" customHeight="1">
      <c r="A115" s="114" t="s">
        <v>20</v>
      </c>
      <c r="B115" s="77" t="str">
        <f>CONCATENATE($D$12&amp;": Fully Diluted Shares Outstanding")</f>
        <v>Tesco PLC: Fully Diluted Shares Outstanding</v>
      </c>
      <c r="C115" s="124"/>
      <c r="D115" s="77"/>
      <c r="E115" s="77"/>
      <c r="F115" s="77"/>
      <c r="G115" s="77"/>
      <c r="H115" s="77"/>
      <c r="I115" s="77"/>
      <c r="J115" s="77"/>
    </row>
    <row r="116" spans="1:14" ht="15" hidden="1" customHeight="1" outlineLevel="1">
      <c r="J116" s="64"/>
    </row>
    <row r="117" spans="1:14" ht="15" hidden="1" customHeight="1" outlineLevel="1">
      <c r="B117" s="142" t="s">
        <v>118</v>
      </c>
      <c r="C117" s="45"/>
      <c r="D117" s="45"/>
      <c r="E117" s="45"/>
      <c r="F117" s="45"/>
      <c r="G117" s="45"/>
      <c r="J117" s="60"/>
    </row>
    <row r="118" spans="1:14" ht="15" hidden="1" customHeight="1" outlineLevel="1">
      <c r="B118" s="142" t="s">
        <v>126</v>
      </c>
      <c r="C118" s="142"/>
      <c r="E118" s="71"/>
      <c r="I118" s="142"/>
      <c r="J118" s="49"/>
    </row>
    <row r="119" spans="1:14" ht="15" hidden="1" customHeight="1" outlineLevel="1">
      <c r="B119" s="45"/>
      <c r="C119" s="45"/>
      <c r="D119" s="45"/>
      <c r="E119" s="45"/>
      <c r="F119" s="45"/>
      <c r="G119" s="45"/>
      <c r="J119" s="60"/>
    </row>
    <row r="120" spans="1:14" ht="15" hidden="1" customHeight="1" outlineLevel="1">
      <c r="B120" s="45"/>
      <c r="C120" s="45"/>
      <c r="D120" s="45"/>
      <c r="E120" s="97"/>
      <c r="F120" s="45"/>
      <c r="G120" s="45"/>
      <c r="H120" s="55"/>
      <c r="I120" s="65" t="s">
        <v>19</v>
      </c>
      <c r="J120" s="49"/>
    </row>
    <row r="121" spans="1:14" ht="15" hidden="1" customHeight="1" outlineLevel="1">
      <c r="B121" s="66" t="s">
        <v>86</v>
      </c>
      <c r="C121" s="66"/>
      <c r="D121" s="67" t="s">
        <v>188</v>
      </c>
      <c r="G121" s="35" t="s">
        <v>187</v>
      </c>
      <c r="H121" s="59"/>
      <c r="I121" s="92" t="s">
        <v>16</v>
      </c>
      <c r="J121" s="49"/>
    </row>
    <row r="122" spans="1:14" ht="15" hidden="1" customHeight="1" outlineLevel="1">
      <c r="D122" s="278" t="s">
        <v>186</v>
      </c>
      <c r="G122" s="39"/>
      <c r="H122" s="39"/>
      <c r="I122" s="278" t="s">
        <v>186</v>
      </c>
      <c r="J122" s="49"/>
      <c r="M122" s="125"/>
      <c r="N122" s="133"/>
    </row>
    <row r="123" spans="1:14" ht="6" hidden="1" customHeight="1" outlineLevel="1">
      <c r="D123" s="278"/>
      <c r="G123" s="39"/>
      <c r="H123" s="39"/>
      <c r="I123" s="278"/>
      <c r="J123" s="49"/>
      <c r="M123" s="125"/>
      <c r="N123" s="133"/>
    </row>
    <row r="124" spans="1:14" ht="15" hidden="1" customHeight="1" outlineLevel="1">
      <c r="B124" s="100" t="s">
        <v>63</v>
      </c>
      <c r="C124" s="100"/>
      <c r="D124" s="150">
        <v>7637.9865309999996</v>
      </c>
      <c r="G124" s="101" t="s">
        <v>83</v>
      </c>
      <c r="I124" s="199">
        <v>0</v>
      </c>
      <c r="J124" s="58"/>
      <c r="K124"/>
      <c r="L124"/>
      <c r="M124"/>
    </row>
    <row r="125" spans="1:14" ht="15" hidden="1" customHeight="1" outlineLevel="1">
      <c r="B125" s="95" t="s">
        <v>84</v>
      </c>
      <c r="C125" s="95"/>
      <c r="D125" s="370">
        <f>I127</f>
        <v>54.689289000000002</v>
      </c>
      <c r="E125" s="49"/>
      <c r="F125" s="49"/>
      <c r="G125" s="101" t="s">
        <v>122</v>
      </c>
      <c r="H125" s="49"/>
      <c r="I125" s="199">
        <v>41.639088999999998</v>
      </c>
      <c r="J125" s="58"/>
      <c r="K125"/>
      <c r="L125"/>
      <c r="M125"/>
    </row>
    <row r="126" spans="1:14" ht="15" hidden="1" customHeight="1" outlineLevel="1">
      <c r="B126" s="335" t="s">
        <v>129</v>
      </c>
      <c r="C126" s="336"/>
      <c r="D126" s="371">
        <f>I152</f>
        <v>29.599637683876125</v>
      </c>
      <c r="E126" s="49"/>
      <c r="F126" s="49"/>
      <c r="G126" s="337" t="s">
        <v>123</v>
      </c>
      <c r="H126" s="46"/>
      <c r="I126" s="372">
        <f>10.713313+2.336887</f>
        <v>13.0502</v>
      </c>
      <c r="J126" s="57"/>
    </row>
    <row r="127" spans="1:14" ht="15" hidden="1" customHeight="1" outlineLevel="1">
      <c r="B127" s="96" t="s">
        <v>69</v>
      </c>
      <c r="C127" s="96"/>
      <c r="D127" s="341">
        <f>SUM(D124:D126)</f>
        <v>7722.2754576838752</v>
      </c>
      <c r="E127" s="49"/>
      <c r="F127" s="49"/>
      <c r="G127" s="209" t="s">
        <v>17</v>
      </c>
      <c r="H127" s="46"/>
      <c r="I127" s="373">
        <f>SUM(I124:I126)</f>
        <v>54.689289000000002</v>
      </c>
      <c r="J127" s="57"/>
    </row>
    <row r="128" spans="1:14" ht="15" hidden="1" customHeight="1" outlineLevel="1">
      <c r="B128" s="56"/>
      <c r="C128" s="56"/>
      <c r="D128" s="374"/>
      <c r="E128" s="64"/>
      <c r="F128" s="49"/>
      <c r="G128" s="49"/>
      <c r="H128" s="49"/>
      <c r="I128" s="49"/>
      <c r="J128" s="57"/>
    </row>
    <row r="129" spans="2:14" ht="15" hidden="1" customHeight="1" outlineLevel="1">
      <c r="B129" s="56"/>
      <c r="C129" s="56"/>
      <c r="D129" s="374"/>
      <c r="E129" s="64"/>
      <c r="F129" s="49"/>
      <c r="G129" s="49"/>
      <c r="H129" s="49"/>
      <c r="I129" s="49"/>
      <c r="J129" s="57"/>
    </row>
    <row r="130" spans="2:14" ht="15" hidden="1" customHeight="1" outlineLevel="1">
      <c r="D130" s="49"/>
      <c r="E130" s="49"/>
      <c r="F130" s="49"/>
      <c r="G130" s="49"/>
      <c r="H130" s="49"/>
      <c r="I130" s="49"/>
    </row>
    <row r="131" spans="2:14" ht="15" hidden="1" customHeight="1" outlineLevel="1">
      <c r="B131" s="54"/>
      <c r="C131" s="54"/>
      <c r="D131" s="210" t="s">
        <v>14</v>
      </c>
      <c r="E131" s="210" t="s">
        <v>7</v>
      </c>
      <c r="F131" s="210" t="s">
        <v>13</v>
      </c>
      <c r="G131" s="210" t="s">
        <v>64</v>
      </c>
      <c r="H131" s="210" t="s">
        <v>14</v>
      </c>
      <c r="I131" s="211"/>
    </row>
    <row r="132" spans="2:14" ht="15" hidden="1" customHeight="1" outlineLevel="1">
      <c r="B132" s="35" t="s">
        <v>87</v>
      </c>
      <c r="C132" s="35"/>
      <c r="D132" s="198" t="s">
        <v>16</v>
      </c>
      <c r="E132" s="198" t="s">
        <v>2</v>
      </c>
      <c r="F132" s="198" t="s">
        <v>2</v>
      </c>
      <c r="G132" s="198" t="s">
        <v>85</v>
      </c>
      <c r="H132" s="198" t="s">
        <v>21</v>
      </c>
      <c r="I132" s="198" t="s">
        <v>15</v>
      </c>
      <c r="L132" s="49"/>
      <c r="M132" s="49"/>
      <c r="N132" s="49"/>
    </row>
    <row r="133" spans="2:14" ht="15" hidden="1" customHeight="1" outlineLevel="1">
      <c r="B133" s="61"/>
      <c r="C133" s="61"/>
      <c r="D133" s="278" t="s">
        <v>186</v>
      </c>
      <c r="E133" s="278" t="s">
        <v>167</v>
      </c>
      <c r="F133" s="278" t="s">
        <v>167</v>
      </c>
      <c r="G133" s="213"/>
      <c r="H133" s="278" t="s">
        <v>186</v>
      </c>
      <c r="I133" s="165"/>
    </row>
    <row r="134" spans="2:14" ht="6" hidden="1" customHeight="1" outlineLevel="1">
      <c r="B134" s="61"/>
      <c r="C134" s="61"/>
      <c r="D134" s="214"/>
      <c r="E134" s="212"/>
      <c r="F134" s="212"/>
      <c r="G134" s="213"/>
      <c r="H134" s="214"/>
      <c r="I134" s="165"/>
    </row>
    <row r="135" spans="2:14" ht="15" hidden="1" customHeight="1" outlineLevel="1">
      <c r="B135" s="104" t="s">
        <v>74</v>
      </c>
      <c r="C135" s="104"/>
      <c r="D135" s="93">
        <v>160.48541299999999</v>
      </c>
      <c r="E135" s="215">
        <f t="shared" ref="E135:E143" si="6">$I$11</f>
        <v>2.4870000000000001</v>
      </c>
      <c r="F135" s="155">
        <v>2.0834000000000001</v>
      </c>
      <c r="G135" s="375">
        <f t="shared" ref="G135:G137" si="7">IF(AND(E135&gt;F135,D135&lt;&gt;0),1,0)</f>
        <v>1</v>
      </c>
      <c r="H135" s="376">
        <f>G135*D135</f>
        <v>160.48541299999999</v>
      </c>
      <c r="I135" s="353">
        <f>F135*H135</f>
        <v>334.35530944420003</v>
      </c>
    </row>
    <row r="136" spans="2:14" ht="15" hidden="1" customHeight="1" outlineLevel="1">
      <c r="B136" s="104" t="s">
        <v>75</v>
      </c>
      <c r="C136" s="104"/>
      <c r="D136" s="93">
        <v>6.8015109999999996</v>
      </c>
      <c r="E136" s="215">
        <f t="shared" si="6"/>
        <v>2.4870000000000001</v>
      </c>
      <c r="F136" s="155">
        <v>2.1223000000000001</v>
      </c>
      <c r="G136" s="375">
        <f t="shared" si="7"/>
        <v>1</v>
      </c>
      <c r="H136" s="376">
        <f>G136*D136</f>
        <v>6.8015109999999996</v>
      </c>
      <c r="I136" s="353">
        <f>F136*H136</f>
        <v>14.4348467953</v>
      </c>
    </row>
    <row r="137" spans="2:14" ht="15" hidden="1" customHeight="1" outlineLevel="1">
      <c r="B137" s="104" t="s">
        <v>76</v>
      </c>
      <c r="C137" s="104"/>
      <c r="D137" s="196">
        <v>2.012486</v>
      </c>
      <c r="E137" s="215">
        <f t="shared" si="6"/>
        <v>2.4870000000000001</v>
      </c>
      <c r="F137" s="155">
        <v>0</v>
      </c>
      <c r="G137" s="375">
        <f t="shared" si="7"/>
        <v>1</v>
      </c>
      <c r="H137" s="376">
        <f>G137*D137</f>
        <v>2.012486</v>
      </c>
      <c r="I137" s="353">
        <f>F137*H137</f>
        <v>0</v>
      </c>
    </row>
    <row r="138" spans="2:14" ht="15" hidden="1" customHeight="1" outlineLevel="1">
      <c r="B138" s="104" t="s">
        <v>77</v>
      </c>
      <c r="C138" s="104"/>
      <c r="D138" s="93">
        <f>10417/1000000</f>
        <v>1.0416999999999999E-2</v>
      </c>
      <c r="E138" s="215">
        <f t="shared" si="6"/>
        <v>2.4870000000000001</v>
      </c>
      <c r="F138" s="155">
        <v>1.5201</v>
      </c>
      <c r="G138" s="375">
        <f>IF(AND(E138&gt;F138,D138&lt;&gt;0),1,0)</f>
        <v>1</v>
      </c>
      <c r="H138" s="376">
        <f>G138*D138</f>
        <v>1.0416999999999999E-2</v>
      </c>
      <c r="I138" s="353">
        <f>F138*H138</f>
        <v>1.5834881699999998E-2</v>
      </c>
    </row>
    <row r="139" spans="2:14" ht="15" hidden="1" customHeight="1" outlineLevel="1">
      <c r="B139" s="104" t="s">
        <v>111</v>
      </c>
      <c r="C139" s="104"/>
      <c r="D139" s="377">
        <f>541516/1000000</f>
        <v>0.541516</v>
      </c>
      <c r="E139" s="215">
        <f t="shared" si="6"/>
        <v>2.4870000000000001</v>
      </c>
      <c r="F139" s="155">
        <v>0</v>
      </c>
      <c r="G139" s="375">
        <f t="shared" ref="G139:G143" si="8">IF(AND(E139&gt;F139,D139&lt;&gt;0),1,0)</f>
        <v>1</v>
      </c>
      <c r="H139" s="376">
        <f t="shared" ref="H139:H140" si="9">G139*D139</f>
        <v>0.541516</v>
      </c>
      <c r="I139" s="353">
        <f t="shared" ref="I139:I140" si="10">F139*H139</f>
        <v>0</v>
      </c>
    </row>
    <row r="140" spans="2:14" ht="15" hidden="1" customHeight="1" outlineLevel="1">
      <c r="B140" s="104" t="s">
        <v>112</v>
      </c>
      <c r="C140" s="104"/>
      <c r="D140" s="93">
        <v>0</v>
      </c>
      <c r="E140" s="215">
        <f t="shared" si="6"/>
        <v>2.4870000000000001</v>
      </c>
      <c r="F140" s="155">
        <v>0</v>
      </c>
      <c r="G140" s="375">
        <f t="shared" si="8"/>
        <v>0</v>
      </c>
      <c r="H140" s="376">
        <f t="shared" si="9"/>
        <v>0</v>
      </c>
      <c r="I140" s="353">
        <f t="shared" si="10"/>
        <v>0</v>
      </c>
    </row>
    <row r="141" spans="2:14" ht="15" hidden="1" customHeight="1" outlineLevel="1">
      <c r="B141" s="104" t="s">
        <v>116</v>
      </c>
      <c r="C141" s="104"/>
      <c r="D141" s="93">
        <v>0</v>
      </c>
      <c r="E141" s="215">
        <f t="shared" si="6"/>
        <v>2.4870000000000001</v>
      </c>
      <c r="F141" s="155">
        <v>0</v>
      </c>
      <c r="G141" s="375">
        <f t="shared" si="8"/>
        <v>0</v>
      </c>
      <c r="H141" s="376">
        <f t="shared" ref="H141:H142" si="11">G141*D141</f>
        <v>0</v>
      </c>
      <c r="I141" s="353">
        <f t="shared" ref="I141:I142" si="12">F141*H141</f>
        <v>0</v>
      </c>
    </row>
    <row r="142" spans="2:14" ht="15" hidden="1" customHeight="1" outlineLevel="1">
      <c r="B142" s="104" t="s">
        <v>117</v>
      </c>
      <c r="C142" s="104"/>
      <c r="D142" s="93">
        <v>0</v>
      </c>
      <c r="E142" s="215">
        <f t="shared" si="6"/>
        <v>2.4870000000000001</v>
      </c>
      <c r="F142" s="155">
        <v>0</v>
      </c>
      <c r="G142" s="375">
        <f t="shared" si="8"/>
        <v>0</v>
      </c>
      <c r="H142" s="376">
        <f t="shared" si="11"/>
        <v>0</v>
      </c>
      <c r="I142" s="353">
        <f t="shared" si="12"/>
        <v>0</v>
      </c>
    </row>
    <row r="143" spans="2:14" ht="15" hidden="1" customHeight="1" outlineLevel="1">
      <c r="B143" s="105" t="s">
        <v>22</v>
      </c>
      <c r="C143" s="105"/>
      <c r="D143" s="99">
        <v>0</v>
      </c>
      <c r="E143" s="216">
        <f t="shared" si="6"/>
        <v>2.4870000000000001</v>
      </c>
      <c r="F143" s="156">
        <v>0</v>
      </c>
      <c r="G143" s="378">
        <f t="shared" si="8"/>
        <v>0</v>
      </c>
      <c r="H143" s="379">
        <f>G143*D143</f>
        <v>0</v>
      </c>
      <c r="I143" s="380">
        <f>F143*H143</f>
        <v>0</v>
      </c>
    </row>
    <row r="144" spans="2:14" ht="15" hidden="1" customHeight="1" outlineLevel="1">
      <c r="B144" s="102" t="s">
        <v>17</v>
      </c>
      <c r="C144" s="102"/>
      <c r="D144" s="217"/>
      <c r="E144" s="46"/>
      <c r="F144" s="217"/>
      <c r="G144" s="46"/>
      <c r="H144" s="157">
        <f>SUM(H135:H143)</f>
        <v>169.85134299999999</v>
      </c>
      <c r="I144" s="98">
        <f>SUM(I135:I143)</f>
        <v>348.80599112120007</v>
      </c>
    </row>
    <row r="145" spans="1:11" ht="15" hidden="1" customHeight="1" outlineLevel="1">
      <c r="D145" s="205"/>
      <c r="E145" s="205"/>
      <c r="F145" s="49"/>
      <c r="G145" s="49"/>
      <c r="H145" s="218"/>
      <c r="I145" s="218"/>
    </row>
    <row r="146" spans="1:11" ht="15" hidden="1" customHeight="1" outlineLevel="1">
      <c r="D146" s="205"/>
      <c r="E146" s="205"/>
      <c r="F146" s="49"/>
      <c r="G146" s="49"/>
      <c r="H146" s="218"/>
      <c r="I146" s="218"/>
    </row>
    <row r="147" spans="1:11" ht="15" hidden="1" customHeight="1" outlineLevel="1">
      <c r="D147" s="205"/>
      <c r="E147" s="205"/>
      <c r="F147" s="49"/>
      <c r="G147" s="49"/>
      <c r="H147" s="218"/>
      <c r="I147" s="198" t="s">
        <v>188</v>
      </c>
    </row>
    <row r="148" spans="1:11" ht="15" hidden="1" customHeight="1" outlineLevel="1">
      <c r="D148" s="205"/>
      <c r="E148" s="205"/>
      <c r="F148" s="49"/>
      <c r="G148" s="49"/>
      <c r="H148" s="218"/>
      <c r="I148" s="278" t="s">
        <v>186</v>
      </c>
    </row>
    <row r="149" spans="1:11" ht="6" hidden="1" customHeight="1" outlineLevel="1">
      <c r="D149" s="205"/>
      <c r="E149" s="205"/>
      <c r="F149" s="49"/>
      <c r="G149" s="49"/>
      <c r="H149" s="218"/>
      <c r="I149" s="218"/>
    </row>
    <row r="150" spans="1:11" ht="15" hidden="1" customHeight="1" outlineLevel="1">
      <c r="C150" s="108"/>
      <c r="D150" s="205"/>
      <c r="E150" s="205"/>
      <c r="F150" s="103" t="s">
        <v>88</v>
      </c>
      <c r="G150" s="49"/>
      <c r="H150" s="49"/>
      <c r="I150" s="94">
        <f>H144</f>
        <v>169.85134299999999</v>
      </c>
    </row>
    <row r="151" spans="1:11" ht="15" hidden="1" customHeight="1" outlineLevel="1">
      <c r="C151" s="107"/>
      <c r="D151" s="213"/>
      <c r="E151" s="205"/>
      <c r="F151" s="381" t="s">
        <v>89</v>
      </c>
      <c r="G151" s="46"/>
      <c r="H151" s="278"/>
      <c r="I151" s="94">
        <f>-$I144/E135</f>
        <v>-140.25170531612386</v>
      </c>
    </row>
    <row r="152" spans="1:11" ht="15" hidden="1" customHeight="1" outlineLevel="1">
      <c r="C152" s="102"/>
      <c r="D152" s="213"/>
      <c r="E152" s="205"/>
      <c r="F152" s="209" t="s">
        <v>65</v>
      </c>
      <c r="G152" s="46"/>
      <c r="H152" s="278"/>
      <c r="I152" s="354">
        <f>SUM(I150:I151)</f>
        <v>29.599637683876125</v>
      </c>
    </row>
    <row r="153" spans="1:11" ht="15" hidden="1" customHeight="1" outlineLevel="1">
      <c r="D153" s="49"/>
      <c r="E153" s="49"/>
      <c r="F153" s="49"/>
      <c r="G153" s="49"/>
      <c r="H153" s="49"/>
      <c r="I153" s="49"/>
    </row>
    <row r="154" spans="1:11" ht="15" hidden="1" customHeight="1" outlineLevel="1"/>
    <row r="155" spans="1:11" ht="15" hidden="1" customHeight="1" outlineLevel="1">
      <c r="A155" s="46"/>
      <c r="I155" s="338" t="s">
        <v>189</v>
      </c>
      <c r="J155" s="49"/>
    </row>
    <row r="156" spans="1:11" ht="15" hidden="1" customHeight="1" outlineLevel="1">
      <c r="I156"/>
      <c r="J156" s="58"/>
    </row>
    <row r="157" spans="1:11" ht="15" hidden="1" customHeight="1" outlineLevel="1">
      <c r="B157" s="59"/>
      <c r="C157" s="59"/>
      <c r="D157" s="270"/>
      <c r="E157" s="270"/>
      <c r="F157" s="270"/>
      <c r="G157" s="271"/>
      <c r="H157" s="59"/>
      <c r="I157" s="272"/>
      <c r="K157"/>
    </row>
    <row r="158" spans="1:11" ht="15" customHeight="1" collapsed="1">
      <c r="B158" s="39"/>
      <c r="C158" s="39"/>
      <c r="D158" s="76"/>
      <c r="E158" s="76"/>
      <c r="F158" s="76"/>
      <c r="G158" s="75"/>
      <c r="H158" s="269"/>
      <c r="I158" s="269"/>
      <c r="J158"/>
      <c r="K158" s="127"/>
    </row>
  </sheetData>
  <printOptions horizontalCentered="1"/>
  <pageMargins left="0.11811023622047245" right="0.11811023622047245" top="0.11811023622047245" bottom="0.11811023622047245" header="0.11811023622047245" footer="0.11811023622047245"/>
  <pageSetup scale="88" fitToHeight="0" orientation="landscape" r:id="rId1"/>
  <headerFooter>
    <oddFooter>&amp;L&amp;"Open Sans,Bold"&amp;10&amp;K02+000Comparable Trading Analysis&amp;C&amp;"Open Sans,Bold"&amp;10&amp;K02+000Page &amp;P of &amp;N&amp;R&amp;G</oddFooter>
  </headerFooter>
  <rowBreaks count="2" manualBreakCount="2">
    <brk id="69" min="1" max="9" man="1"/>
    <brk id="114" max="16383" man="1"/>
  </rowBreaks>
  <colBreaks count="1" manualBreakCount="1">
    <brk id="1" max="1048575" man="1"/>
  </colBreaks>
  <drawing r:id="rId2"/>
  <legacyDrawing r:id="rId3"/>
  <legacyDrawingHF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7F02-312A-46B4-B2B5-BF8864311F57}">
  <sheetPr>
    <pageSetUpPr autoPageBreaks="0"/>
  </sheetPr>
  <dimension ref="A1:S158"/>
  <sheetViews>
    <sheetView showGridLines="0" zoomScaleNormal="100" zoomScaleSheetLayoutView="110" workbookViewId="0">
      <pane ySplit="1" topLeftCell="A2" activePane="bottomLeft" state="frozen"/>
      <selection activeCell="L37" sqref="L37"/>
      <selection pane="bottomLeft" activeCell="A2" sqref="A2"/>
    </sheetView>
  </sheetViews>
  <sheetFormatPr defaultColWidth="11.68359375" defaultRowHeight="15" customHeight="1" outlineLevelRow="1"/>
  <cols>
    <col min="1" max="1" width="5.578125" style="49" customWidth="1"/>
    <col min="2" max="2" width="41.41796875" style="31" customWidth="1"/>
    <col min="3" max="3" width="11.26171875" style="31" customWidth="1"/>
    <col min="4" max="6" width="15.578125" style="31" customWidth="1"/>
    <col min="7" max="7" width="17.578125" style="31" customWidth="1"/>
    <col min="8" max="9" width="15.578125" style="31" customWidth="1"/>
    <col min="10" max="10" width="1.68359375" style="31" customWidth="1"/>
    <col min="11" max="16384" width="11.68359375" style="31"/>
  </cols>
  <sheetData>
    <row r="1" spans="1:19" ht="50.1" customHeight="1">
      <c r="A1" s="51"/>
      <c r="B1" s="32"/>
      <c r="C1" s="32"/>
      <c r="D1" s="32"/>
      <c r="E1" s="32"/>
      <c r="F1" s="32"/>
      <c r="G1" s="32"/>
      <c r="H1" s="32"/>
      <c r="I1" s="32"/>
      <c r="J1" s="32"/>
    </row>
    <row r="3" spans="1:19" ht="15" customHeight="1">
      <c r="A3" s="114" t="s">
        <v>20</v>
      </c>
      <c r="B3" s="145" t="str">
        <f>CONCATENATE($D$12&amp;": Enterprise and Equity Value")</f>
        <v>J Sainsbury plc: Enterprise and Equity Value</v>
      </c>
      <c r="C3" s="123"/>
      <c r="D3" s="77"/>
      <c r="E3" s="77"/>
      <c r="F3" s="77"/>
      <c r="G3" s="77"/>
      <c r="H3" s="77"/>
      <c r="I3" s="77"/>
      <c r="J3" s="77"/>
    </row>
    <row r="4" spans="1:19" ht="15" hidden="1" customHeight="1" outlineLevel="1">
      <c r="I4" s="39"/>
      <c r="J4" s="46"/>
    </row>
    <row r="5" spans="1:19" ht="15" hidden="1" customHeight="1" outlineLevel="1">
      <c r="B5" s="142" t="s">
        <v>118</v>
      </c>
      <c r="C5" s="142"/>
      <c r="E5" s="71"/>
      <c r="J5" s="49"/>
    </row>
    <row r="6" spans="1:19" ht="15" hidden="1" customHeight="1" outlineLevel="1">
      <c r="B6" s="142" t="s">
        <v>126</v>
      </c>
      <c r="C6" s="142"/>
      <c r="E6" s="71"/>
      <c r="I6" s="142"/>
      <c r="J6" s="49"/>
    </row>
    <row r="7" spans="1:19" ht="15" hidden="1" customHeight="1" outlineLevel="1">
      <c r="B7" s="39"/>
      <c r="C7" s="39"/>
      <c r="D7" s="39"/>
      <c r="E7" s="39"/>
      <c r="J7" s="46"/>
    </row>
    <row r="8" spans="1:19" ht="15" hidden="1" customHeight="1" outlineLevel="1">
      <c r="B8" s="39"/>
      <c r="C8" s="39"/>
      <c r="D8" s="39"/>
      <c r="E8" s="39"/>
      <c r="J8" s="46"/>
    </row>
    <row r="9" spans="1:19" ht="15" hidden="1" customHeight="1" outlineLevel="1">
      <c r="B9" s="66" t="s">
        <v>164</v>
      </c>
      <c r="C9" s="66"/>
      <c r="D9" s="109"/>
      <c r="E9" s="149"/>
      <c r="F9" s="66" t="s">
        <v>165</v>
      </c>
      <c r="G9" s="59"/>
      <c r="H9" s="59"/>
      <c r="I9" s="59"/>
      <c r="L9"/>
      <c r="M9"/>
      <c r="N9"/>
      <c r="O9"/>
      <c r="P9"/>
      <c r="Q9"/>
      <c r="R9"/>
      <c r="S9"/>
    </row>
    <row r="10" spans="1:19" ht="15" hidden="1" customHeight="1" outlineLevel="1">
      <c r="B10" s="39"/>
      <c r="C10" s="39"/>
      <c r="D10" s="39"/>
      <c r="F10" s="39"/>
      <c r="G10" s="39"/>
      <c r="H10" s="39"/>
      <c r="I10" s="39"/>
      <c r="L10"/>
      <c r="M10"/>
      <c r="N10"/>
      <c r="O10"/>
      <c r="P10"/>
      <c r="Q10"/>
      <c r="R10"/>
      <c r="S10"/>
    </row>
    <row r="11" spans="1:19" ht="15" hidden="1" customHeight="1" outlineLevel="1">
      <c r="A11" s="46"/>
      <c r="B11" s="110" t="s">
        <v>11</v>
      </c>
      <c r="C11" s="110"/>
      <c r="D11" s="63" t="s">
        <v>148</v>
      </c>
      <c r="E11" s="39"/>
      <c r="F11" s="277" t="s">
        <v>170</v>
      </c>
      <c r="H11" s="278" t="s">
        <v>167</v>
      </c>
      <c r="I11" s="153">
        <v>2.0339999999999998</v>
      </c>
      <c r="K11"/>
      <c r="L11"/>
      <c r="M11"/>
      <c r="N11"/>
      <c r="O11"/>
      <c r="P11"/>
      <c r="Q11"/>
      <c r="R11"/>
      <c r="S11"/>
    </row>
    <row r="12" spans="1:19" ht="15" hidden="1" customHeight="1" outlineLevel="1">
      <c r="A12" s="46"/>
      <c r="B12" s="110" t="s">
        <v>4</v>
      </c>
      <c r="C12" s="110"/>
      <c r="D12" s="63" t="s">
        <v>149</v>
      </c>
      <c r="E12" s="46"/>
      <c r="F12" s="276" t="s">
        <v>86</v>
      </c>
      <c r="G12" s="49"/>
      <c r="H12" s="278" t="s">
        <v>168</v>
      </c>
      <c r="I12" s="351">
        <f>IFERROR(D127,"n/a")</f>
        <v>2378.3873156342183</v>
      </c>
      <c r="K12"/>
      <c r="L12"/>
      <c r="M12"/>
      <c r="N12"/>
      <c r="O12"/>
      <c r="P12"/>
      <c r="Q12"/>
      <c r="R12"/>
      <c r="S12"/>
    </row>
    <row r="13" spans="1:19" ht="15" hidden="1" customHeight="1" outlineLevel="1">
      <c r="A13" s="46"/>
      <c r="B13" s="113" t="s">
        <v>66</v>
      </c>
      <c r="C13" s="278" t="s">
        <v>80</v>
      </c>
      <c r="D13" s="159">
        <f>Summary!$M$6</f>
        <v>44804</v>
      </c>
      <c r="E13" s="46"/>
      <c r="F13" s="276" t="s">
        <v>165</v>
      </c>
      <c r="G13" s="49"/>
      <c r="H13" s="278" t="s">
        <v>169</v>
      </c>
      <c r="I13" s="94">
        <f>I11*I12</f>
        <v>4837.6397999999999</v>
      </c>
      <c r="L13"/>
      <c r="M13"/>
      <c r="N13"/>
      <c r="O13"/>
      <c r="P13"/>
      <c r="Q13"/>
      <c r="R13"/>
      <c r="S13"/>
    </row>
    <row r="14" spans="1:19" ht="15" hidden="1" customHeight="1" outlineLevel="1">
      <c r="A14" s="46"/>
      <c r="B14" s="113"/>
      <c r="C14" s="113"/>
      <c r="D14" s="159"/>
      <c r="E14" s="46"/>
      <c r="F14" s="139"/>
      <c r="G14" s="49"/>
      <c r="H14" s="382"/>
      <c r="I14" s="94"/>
      <c r="L14"/>
      <c r="M14"/>
      <c r="N14"/>
      <c r="O14"/>
      <c r="P14"/>
      <c r="Q14"/>
      <c r="R14"/>
      <c r="S14"/>
    </row>
    <row r="15" spans="1:19" ht="15" hidden="1" customHeight="1" outlineLevel="1">
      <c r="A15" s="46"/>
      <c r="B15" s="113"/>
      <c r="C15" s="113"/>
      <c r="D15" s="159"/>
      <c r="E15" s="46"/>
      <c r="F15" s="139"/>
      <c r="G15" s="49"/>
      <c r="H15" s="382"/>
      <c r="I15" s="94"/>
      <c r="L15"/>
      <c r="M15"/>
      <c r="N15"/>
      <c r="O15"/>
      <c r="P15"/>
      <c r="Q15"/>
      <c r="R15"/>
      <c r="S15"/>
    </row>
    <row r="16" spans="1:19" ht="15" hidden="1" customHeight="1" outlineLevel="1">
      <c r="A16" s="46"/>
      <c r="D16" s="49"/>
      <c r="E16" s="46"/>
      <c r="F16" s="49"/>
      <c r="G16" s="49"/>
      <c r="H16" s="49"/>
      <c r="I16" s="49"/>
      <c r="L16"/>
      <c r="M16"/>
      <c r="N16"/>
      <c r="O16"/>
      <c r="P16"/>
      <c r="Q16"/>
      <c r="R16"/>
      <c r="S16"/>
    </row>
    <row r="17" spans="1:19" ht="15" hidden="1" customHeight="1" outlineLevel="1">
      <c r="B17" s="66" t="s">
        <v>95</v>
      </c>
      <c r="C17" s="66"/>
      <c r="D17" s="383"/>
      <c r="E17" s="384"/>
      <c r="F17" s="158" t="s">
        <v>3</v>
      </c>
      <c r="G17" s="208"/>
      <c r="H17" s="208"/>
      <c r="I17" s="208"/>
      <c r="L17"/>
      <c r="M17"/>
      <c r="N17"/>
      <c r="O17"/>
      <c r="P17"/>
      <c r="Q17"/>
      <c r="R17"/>
      <c r="S17"/>
    </row>
    <row r="18" spans="1:19" ht="15" hidden="1" customHeight="1" outlineLevel="1">
      <c r="B18" s="39"/>
      <c r="C18" s="39"/>
      <c r="D18" s="46"/>
      <c r="E18" s="49"/>
      <c r="F18" s="46"/>
      <c r="G18" s="46"/>
      <c r="H18" s="46"/>
      <c r="I18" s="46"/>
      <c r="L18"/>
      <c r="M18"/>
      <c r="N18"/>
      <c r="O18"/>
      <c r="P18"/>
      <c r="Q18"/>
      <c r="R18"/>
      <c r="S18"/>
    </row>
    <row r="19" spans="1:19" ht="15" hidden="1" customHeight="1" outlineLevel="1">
      <c r="B19" s="137" t="s">
        <v>165</v>
      </c>
      <c r="C19" s="278" t="s">
        <v>169</v>
      </c>
      <c r="D19" s="353">
        <f>I13</f>
        <v>4837.6397999999999</v>
      </c>
      <c r="E19" s="49"/>
      <c r="F19" s="171" t="s">
        <v>132</v>
      </c>
      <c r="G19" s="49"/>
      <c r="H19" s="46"/>
      <c r="I19" s="199">
        <v>54</v>
      </c>
      <c r="J19" s="194"/>
      <c r="K19" s="195"/>
      <c r="L19"/>
      <c r="M19"/>
      <c r="N19"/>
      <c r="O19"/>
      <c r="P19"/>
      <c r="Q19"/>
      <c r="R19"/>
      <c r="S19"/>
    </row>
    <row r="20" spans="1:19" ht="15" hidden="1" customHeight="1" outlineLevel="1">
      <c r="B20" s="103" t="s">
        <v>93</v>
      </c>
      <c r="C20" s="103"/>
      <c r="D20" s="94">
        <f>I26</f>
        <v>-64</v>
      </c>
      <c r="E20" s="204"/>
      <c r="F20" s="171" t="s">
        <v>133</v>
      </c>
      <c r="G20" s="49"/>
      <c r="H20" s="49"/>
      <c r="I20" s="199">
        <v>707</v>
      </c>
      <c r="J20" s="194"/>
      <c r="L20"/>
      <c r="M20"/>
      <c r="N20"/>
      <c r="O20"/>
      <c r="P20"/>
      <c r="Q20"/>
      <c r="R20"/>
      <c r="S20"/>
    </row>
    <row r="21" spans="1:19" ht="15" hidden="1" customHeight="1" outlineLevel="1">
      <c r="B21" s="276" t="s">
        <v>171</v>
      </c>
      <c r="C21" s="279"/>
      <c r="D21" s="199">
        <f>526+6095</f>
        <v>6621</v>
      </c>
      <c r="E21" s="204"/>
      <c r="F21" s="171" t="s">
        <v>134</v>
      </c>
      <c r="G21" s="49"/>
      <c r="H21" s="49"/>
      <c r="I21" s="200">
        <v>0</v>
      </c>
      <c r="L21"/>
      <c r="M21"/>
      <c r="N21"/>
      <c r="O21"/>
      <c r="P21"/>
      <c r="Q21"/>
      <c r="R21"/>
      <c r="S21"/>
    </row>
    <row r="22" spans="1:19" ht="15" hidden="1" customHeight="1" outlineLevel="1">
      <c r="B22" s="103" t="s">
        <v>92</v>
      </c>
      <c r="C22" s="103"/>
      <c r="D22" s="199">
        <v>0</v>
      </c>
      <c r="E22" s="49"/>
      <c r="F22" s="171" t="s">
        <v>131</v>
      </c>
      <c r="G22" s="49"/>
      <c r="H22" s="46"/>
      <c r="I22" s="352">
        <f>SUM(I19:I21)</f>
        <v>761</v>
      </c>
      <c r="L22"/>
      <c r="M22"/>
      <c r="N22"/>
      <c r="O22"/>
      <c r="P22"/>
      <c r="Q22"/>
      <c r="R22"/>
      <c r="S22"/>
    </row>
    <row r="23" spans="1:19" ht="15" hidden="1" customHeight="1" outlineLevel="1">
      <c r="B23" s="103" t="s">
        <v>94</v>
      </c>
      <c r="C23" s="103"/>
      <c r="D23" s="199">
        <v>0</v>
      </c>
      <c r="E23" s="148"/>
      <c r="F23" s="385"/>
      <c r="G23" s="49"/>
      <c r="H23" s="49"/>
      <c r="I23" s="94"/>
      <c r="L23"/>
      <c r="M23"/>
      <c r="N23"/>
      <c r="O23"/>
      <c r="P23"/>
      <c r="Q23"/>
      <c r="R23"/>
      <c r="S23"/>
    </row>
    <row r="24" spans="1:19" ht="15" hidden="1" customHeight="1" outlineLevel="1">
      <c r="B24" s="276" t="s">
        <v>166</v>
      </c>
      <c r="C24" s="103"/>
      <c r="D24" s="199">
        <v>-3</v>
      </c>
      <c r="E24" s="148"/>
      <c r="F24" s="385"/>
      <c r="G24" s="49"/>
      <c r="H24" s="49"/>
      <c r="I24" s="94"/>
      <c r="L24"/>
      <c r="M24"/>
      <c r="N24"/>
      <c r="O24"/>
      <c r="P24"/>
      <c r="Q24"/>
      <c r="R24"/>
      <c r="S24"/>
    </row>
    <row r="25" spans="1:19" ht="15" hidden="1" customHeight="1" outlineLevel="1">
      <c r="B25" s="154" t="s">
        <v>124</v>
      </c>
      <c r="C25" s="139"/>
      <c r="D25" s="199">
        <f>-196-604-8</f>
        <v>-808</v>
      </c>
      <c r="E25" s="204"/>
      <c r="F25" s="386" t="s">
        <v>96</v>
      </c>
      <c r="G25" s="49"/>
      <c r="H25" s="55"/>
      <c r="I25" s="199">
        <f>-825</f>
        <v>-825</v>
      </c>
      <c r="J25" s="194"/>
      <c r="K25" s="127"/>
    </row>
    <row r="26" spans="1:19" ht="15" hidden="1" customHeight="1" outlineLevel="1">
      <c r="B26" s="112" t="s">
        <v>95</v>
      </c>
      <c r="C26" s="112"/>
      <c r="D26" s="354">
        <f>SUM(D19:D25)</f>
        <v>10583.639800000001</v>
      </c>
      <c r="E26" s="204"/>
      <c r="F26" s="387" t="s">
        <v>3</v>
      </c>
      <c r="G26" s="49"/>
      <c r="H26" s="55"/>
      <c r="I26" s="354">
        <f>SUM(I22:I25)</f>
        <v>-64</v>
      </c>
    </row>
    <row r="27" spans="1:19" ht="15" hidden="1" customHeight="1" outlineLevel="1">
      <c r="E27"/>
      <c r="F27"/>
      <c r="J27" s="58"/>
    </row>
    <row r="28" spans="1:19" s="49" customFormat="1" ht="15" hidden="1" customHeight="1" outlineLevel="1">
      <c r="B28" s="208"/>
      <c r="C28" s="208"/>
      <c r="D28" s="208"/>
      <c r="E28" s="208"/>
      <c r="F28" s="208"/>
      <c r="G28" s="208"/>
      <c r="H28" s="208"/>
      <c r="I28" s="208"/>
      <c r="J28" s="208"/>
    </row>
    <row r="29" spans="1:19" s="49" customFormat="1" ht="15" customHeight="1" collapsed="1">
      <c r="B29" s="46"/>
      <c r="C29" s="46"/>
      <c r="D29" s="46"/>
      <c r="E29" s="46"/>
      <c r="F29" s="46"/>
      <c r="G29" s="46"/>
      <c r="H29" s="46"/>
      <c r="I29" s="46"/>
      <c r="J29" s="46"/>
    </row>
    <row r="30" spans="1:19" ht="15" customHeight="1">
      <c r="A30" s="114" t="s">
        <v>20</v>
      </c>
      <c r="B30" s="77" t="str">
        <f>CONCATENATE($D$12&amp;": Income Statement Data (As Reported)")</f>
        <v>J Sainsbury plc: Income Statement Data (As Reported)</v>
      </c>
      <c r="C30" s="124"/>
      <c r="D30" s="77"/>
      <c r="E30" s="77"/>
      <c r="F30" s="77"/>
      <c r="G30" s="77"/>
      <c r="H30" s="77"/>
      <c r="I30" s="77"/>
      <c r="J30" s="77"/>
      <c r="K30"/>
    </row>
    <row r="31" spans="1:19" customFormat="1" ht="15" hidden="1" customHeight="1" outlineLevel="1"/>
    <row r="32" spans="1:19" customFormat="1" ht="15" hidden="1" customHeight="1" outlineLevel="1">
      <c r="B32" s="142" t="s">
        <v>118</v>
      </c>
    </row>
    <row r="33" spans="2:14" ht="15" hidden="1" customHeight="1" outlineLevel="1">
      <c r="B33" s="142" t="s">
        <v>126</v>
      </c>
      <c r="D33" s="274"/>
      <c r="E33" s="274"/>
      <c r="F33" s="274"/>
      <c r="G33" s="274"/>
      <c r="H33" s="274"/>
    </row>
    <row r="34" spans="2:14" ht="15" hidden="1" customHeight="1" outlineLevel="1">
      <c r="C34" s="39"/>
      <c r="D34" s="292" t="s">
        <v>78</v>
      </c>
      <c r="E34" s="302" t="s">
        <v>90</v>
      </c>
      <c r="F34" s="303" t="s">
        <v>91</v>
      </c>
      <c r="G34" s="294"/>
      <c r="H34" s="295"/>
    </row>
    <row r="35" spans="2:14" ht="15" hidden="1" customHeight="1" outlineLevel="1">
      <c r="B35" s="151"/>
      <c r="C35" s="275"/>
      <c r="D35" s="296" t="s">
        <v>72</v>
      </c>
      <c r="E35" s="304" t="s">
        <v>136</v>
      </c>
      <c r="F35" s="304" t="s">
        <v>136</v>
      </c>
      <c r="G35" s="297" t="s">
        <v>71</v>
      </c>
      <c r="H35" s="295"/>
      <c r="L35"/>
      <c r="M35"/>
      <c r="N35"/>
    </row>
    <row r="36" spans="2:14" ht="15" hidden="1" customHeight="1" outlineLevel="1">
      <c r="B36" s="66" t="s">
        <v>172</v>
      </c>
      <c r="C36" s="39"/>
      <c r="D36" s="355">
        <v>44625</v>
      </c>
      <c r="E36" s="355">
        <v>44625</v>
      </c>
      <c r="F36" s="355">
        <v>44260</v>
      </c>
      <c r="G36" s="307">
        <f>IF(E36,E36,D36)</f>
        <v>44625</v>
      </c>
      <c r="H36" s="298"/>
    </row>
    <row r="37" spans="2:14" ht="15" hidden="1" customHeight="1" outlineLevel="1">
      <c r="B37" s="33"/>
      <c r="D37" s="299"/>
      <c r="E37" s="299"/>
      <c r="F37" s="299"/>
      <c r="G37" s="300"/>
      <c r="H37" s="160"/>
    </row>
    <row r="38" spans="2:14" ht="15" hidden="1" customHeight="1" outlineLevel="1">
      <c r="B38" s="33"/>
      <c r="D38" s="274"/>
      <c r="E38" s="274"/>
      <c r="F38" s="274"/>
      <c r="G38" s="274"/>
      <c r="H38" s="160"/>
    </row>
    <row r="39" spans="2:14" ht="15" hidden="1" customHeight="1" outlineLevel="1">
      <c r="B39" s="281" t="s">
        <v>10</v>
      </c>
      <c r="C39" s="131"/>
      <c r="D39" s="144">
        <v>29895</v>
      </c>
      <c r="E39" s="144">
        <v>0</v>
      </c>
      <c r="F39" s="144">
        <v>0</v>
      </c>
      <c r="G39" s="201">
        <f t="shared" ref="G39:G56" si="0">D39+E39-F39</f>
        <v>29895</v>
      </c>
      <c r="H39"/>
      <c r="I39"/>
      <c r="J39"/>
      <c r="K39" s="127"/>
      <c r="L39"/>
      <c r="M39"/>
      <c r="N39"/>
    </row>
    <row r="40" spans="2:14" ht="15" hidden="1" customHeight="1" outlineLevel="1">
      <c r="B40" s="282" t="s">
        <v>99</v>
      </c>
      <c r="C40" s="129"/>
      <c r="D40" s="291">
        <v>27529</v>
      </c>
      <c r="E40" s="291">
        <v>0</v>
      </c>
      <c r="F40" s="291">
        <v>0</v>
      </c>
      <c r="G40" s="365">
        <f t="shared" si="0"/>
        <v>27529</v>
      </c>
      <c r="H40"/>
      <c r="I40"/>
      <c r="J40"/>
      <c r="L40"/>
      <c r="M40"/>
      <c r="N40"/>
    </row>
    <row r="41" spans="2:14" ht="15" hidden="1" customHeight="1" outlineLevel="1">
      <c r="B41" s="283" t="s">
        <v>100</v>
      </c>
      <c r="C41" s="129"/>
      <c r="D41" s="143">
        <f>D39-D40</f>
        <v>2366</v>
      </c>
      <c r="E41" s="143">
        <f>E39-E40</f>
        <v>0</v>
      </c>
      <c r="F41" s="143">
        <f>F39-F40</f>
        <v>0</v>
      </c>
      <c r="G41" s="201">
        <f t="shared" si="0"/>
        <v>2366</v>
      </c>
      <c r="H41"/>
      <c r="I41"/>
      <c r="J41"/>
      <c r="L41"/>
      <c r="M41"/>
      <c r="N41"/>
    </row>
    <row r="42" spans="2:14" ht="15" hidden="1" customHeight="1" outlineLevel="1">
      <c r="B42" s="283"/>
      <c r="C42" s="129"/>
      <c r="D42" s="143"/>
      <c r="E42" s="143"/>
      <c r="F42" s="143"/>
      <c r="G42" s="201"/>
      <c r="H42"/>
      <c r="I42"/>
      <c r="J42"/>
      <c r="L42"/>
      <c r="M42"/>
      <c r="N42"/>
    </row>
    <row r="43" spans="2:14" ht="15" hidden="1" customHeight="1" outlineLevel="1">
      <c r="B43" s="282" t="s">
        <v>115</v>
      </c>
      <c r="C43" s="140"/>
      <c r="D43" s="291">
        <f>1430-220</f>
        <v>1210</v>
      </c>
      <c r="E43" s="291">
        <v>0</v>
      </c>
      <c r="F43" s="291">
        <v>0</v>
      </c>
      <c r="G43" s="365">
        <f t="shared" si="0"/>
        <v>1210</v>
      </c>
      <c r="H43"/>
      <c r="I43"/>
      <c r="J43"/>
      <c r="K43" s="127"/>
      <c r="L43"/>
      <c r="M43"/>
      <c r="N43"/>
    </row>
    <row r="44" spans="2:14" ht="15" hidden="1" customHeight="1" outlineLevel="1">
      <c r="B44" s="277" t="s">
        <v>105</v>
      </c>
      <c r="C44" s="146"/>
      <c r="D44" s="143">
        <f>D41-D43</f>
        <v>1156</v>
      </c>
      <c r="E44" s="143">
        <f t="shared" ref="E44:F44" si="1">E41-E43</f>
        <v>0</v>
      </c>
      <c r="F44" s="143">
        <f t="shared" si="1"/>
        <v>0</v>
      </c>
      <c r="G44" s="388">
        <f t="shared" si="0"/>
        <v>1156</v>
      </c>
      <c r="H44"/>
      <c r="I44"/>
      <c r="J44"/>
      <c r="L44"/>
      <c r="M44"/>
      <c r="N44"/>
    </row>
    <row r="45" spans="2:14" ht="15" hidden="1" customHeight="1" outlineLevel="1">
      <c r="B45" s="209"/>
      <c r="C45" s="146"/>
      <c r="D45" s="147"/>
      <c r="E45" s="147"/>
      <c r="F45" s="147"/>
      <c r="G45" s="202"/>
      <c r="H45"/>
      <c r="I45"/>
      <c r="J45"/>
      <c r="L45"/>
      <c r="M45"/>
      <c r="N45"/>
    </row>
    <row r="46" spans="2:14" ht="15" hidden="1" customHeight="1" outlineLevel="1">
      <c r="B46" s="284" t="s">
        <v>101</v>
      </c>
      <c r="C46" s="130"/>
      <c r="D46" s="144">
        <v>322</v>
      </c>
      <c r="E46" s="144">
        <v>0</v>
      </c>
      <c r="F46" s="144">
        <v>0</v>
      </c>
      <c r="G46" s="201">
        <f t="shared" si="0"/>
        <v>322</v>
      </c>
      <c r="H46"/>
      <c r="I46"/>
      <c r="J46"/>
      <c r="L46"/>
      <c r="M46"/>
      <c r="N46"/>
    </row>
    <row r="47" spans="2:14" ht="15" hidden="1" customHeight="1" outlineLevel="1">
      <c r="B47" s="285" t="s">
        <v>150</v>
      </c>
      <c r="C47" s="130"/>
      <c r="D47" s="144">
        <v>20</v>
      </c>
      <c r="E47" s="144">
        <v>0</v>
      </c>
      <c r="F47" s="144">
        <v>0</v>
      </c>
      <c r="G47" s="201">
        <f t="shared" si="0"/>
        <v>20</v>
      </c>
      <c r="H47"/>
      <c r="I47"/>
      <c r="J47"/>
      <c r="L47"/>
      <c r="M47"/>
      <c r="N47"/>
    </row>
    <row r="48" spans="2:14" ht="15" hidden="1" customHeight="1" outlineLevel="1">
      <c r="B48" s="277" t="s">
        <v>175</v>
      </c>
      <c r="C48" s="130"/>
      <c r="D48" s="291">
        <v>0</v>
      </c>
      <c r="E48" s="291">
        <v>0</v>
      </c>
      <c r="F48" s="291">
        <v>0</v>
      </c>
      <c r="G48" s="365">
        <f t="shared" si="0"/>
        <v>0</v>
      </c>
      <c r="H48"/>
      <c r="I48"/>
      <c r="J48"/>
      <c r="L48"/>
      <c r="M48"/>
      <c r="N48"/>
    </row>
    <row r="49" spans="2:16" ht="15" hidden="1" customHeight="1" outlineLevel="1">
      <c r="B49" s="284" t="s">
        <v>107</v>
      </c>
      <c r="C49" s="130"/>
      <c r="D49" s="143">
        <f>D44-D46+D47+D48</f>
        <v>854</v>
      </c>
      <c r="E49" s="143">
        <f>E44-E46+E47+E48</f>
        <v>0</v>
      </c>
      <c r="F49" s="143">
        <f>F44-F46+F47+F48</f>
        <v>0</v>
      </c>
      <c r="G49" s="201">
        <f t="shared" si="0"/>
        <v>854</v>
      </c>
      <c r="H49"/>
      <c r="I49"/>
      <c r="J49"/>
    </row>
    <row r="50" spans="2:16" ht="15" hidden="1" customHeight="1" outlineLevel="1">
      <c r="B50" s="284"/>
      <c r="C50" s="130"/>
      <c r="D50" s="143"/>
      <c r="E50" s="143"/>
      <c r="F50" s="143"/>
      <c r="G50" s="201"/>
      <c r="H50"/>
      <c r="I50"/>
      <c r="J50"/>
    </row>
    <row r="51" spans="2:16" ht="15" hidden="1" customHeight="1" outlineLevel="1">
      <c r="B51" s="284" t="s">
        <v>102</v>
      </c>
      <c r="C51" s="130"/>
      <c r="D51" s="291">
        <v>177</v>
      </c>
      <c r="E51" s="291">
        <v>0</v>
      </c>
      <c r="F51" s="291">
        <v>0</v>
      </c>
      <c r="G51" s="365">
        <f t="shared" si="0"/>
        <v>177</v>
      </c>
      <c r="H51"/>
      <c r="I51"/>
      <c r="J51"/>
      <c r="K51"/>
      <c r="L51"/>
      <c r="M51"/>
      <c r="N51"/>
      <c r="O51"/>
      <c r="P51"/>
    </row>
    <row r="52" spans="2:16" ht="15" hidden="1" customHeight="1" outlineLevel="1">
      <c r="B52" s="152" t="s">
        <v>110</v>
      </c>
      <c r="C52" s="130"/>
      <c r="D52" s="143">
        <f>D49-D51</f>
        <v>677</v>
      </c>
      <c r="E52" s="143">
        <f>E49-E51</f>
        <v>0</v>
      </c>
      <c r="F52" s="143">
        <f>F49-F51</f>
        <v>0</v>
      </c>
      <c r="G52" s="201">
        <f t="shared" si="0"/>
        <v>677</v>
      </c>
      <c r="H52"/>
      <c r="I52" s="173"/>
      <c r="J52"/>
    </row>
    <row r="53" spans="2:16" ht="15" hidden="1" customHeight="1" outlineLevel="1">
      <c r="B53" s="152"/>
      <c r="C53" s="130"/>
      <c r="D53" s="143"/>
      <c r="E53" s="143"/>
      <c r="F53" s="143"/>
      <c r="G53" s="201"/>
      <c r="H53"/>
      <c r="I53" s="173"/>
      <c r="J53"/>
    </row>
    <row r="54" spans="2:16" ht="15" hidden="1" customHeight="1" outlineLevel="1">
      <c r="B54" s="152" t="s">
        <v>121</v>
      </c>
      <c r="C54" s="130"/>
      <c r="D54" s="144">
        <v>0</v>
      </c>
      <c r="E54" s="144">
        <v>0</v>
      </c>
      <c r="F54" s="144">
        <v>0</v>
      </c>
      <c r="G54" s="201">
        <f t="shared" si="0"/>
        <v>0</v>
      </c>
      <c r="H54"/>
      <c r="I54"/>
      <c r="J54"/>
    </row>
    <row r="55" spans="2:16" ht="15" hidden="1" customHeight="1" outlineLevel="1">
      <c r="B55" s="277" t="s">
        <v>173</v>
      </c>
      <c r="C55" s="130"/>
      <c r="D55" s="144">
        <v>0</v>
      </c>
      <c r="E55" s="144">
        <v>0</v>
      </c>
      <c r="F55" s="144">
        <v>0</v>
      </c>
      <c r="G55" s="201">
        <f t="shared" si="0"/>
        <v>0</v>
      </c>
      <c r="H55"/>
      <c r="I55"/>
      <c r="J55"/>
    </row>
    <row r="56" spans="2:16" ht="15" hidden="1" customHeight="1" outlineLevel="1" thickBot="1">
      <c r="B56" s="209" t="s">
        <v>103</v>
      </c>
      <c r="C56" s="146"/>
      <c r="D56" s="317">
        <f>D52-D55-D54</f>
        <v>677</v>
      </c>
      <c r="E56" s="317">
        <f t="shared" ref="E56:F56" si="2">E52-E55-E54</f>
        <v>0</v>
      </c>
      <c r="F56" s="317">
        <f t="shared" si="2"/>
        <v>0</v>
      </c>
      <c r="G56" s="389">
        <f t="shared" si="0"/>
        <v>677</v>
      </c>
      <c r="H56"/>
      <c r="I56"/>
      <c r="J56"/>
    </row>
    <row r="57" spans="2:16" ht="15" hidden="1" customHeight="1" outlineLevel="1">
      <c r="B57" s="110"/>
      <c r="C57" s="39"/>
      <c r="D57" s="135"/>
      <c r="E57" s="76"/>
      <c r="F57" s="76"/>
      <c r="G57" s="203"/>
      <c r="H57" s="76"/>
      <c r="I57" s="76"/>
      <c r="J57" s="126"/>
    </row>
    <row r="58" spans="2:16" ht="15" hidden="1" customHeight="1" outlineLevel="1">
      <c r="B58" s="110"/>
      <c r="C58" s="39"/>
      <c r="D58" s="135"/>
      <c r="E58" s="76"/>
      <c r="F58" s="76"/>
      <c r="G58" s="203"/>
      <c r="H58" s="76"/>
      <c r="I58" s="76"/>
      <c r="J58" s="126"/>
    </row>
    <row r="59" spans="2:16" ht="15" hidden="1" customHeight="1" outlineLevel="1">
      <c r="B59" s="331" t="s">
        <v>184</v>
      </c>
      <c r="C59" s="278" t="s">
        <v>167</v>
      </c>
      <c r="D59" s="358">
        <f>+IFERROR(D56/D61,"na")</f>
        <v>0.28796256911952361</v>
      </c>
      <c r="E59" s="358" t="str">
        <f>+IFERROR(E56/E61,"na")</f>
        <v>na</v>
      </c>
      <c r="F59" s="358" t="str">
        <f>+IFERROR(F56/F61,"na")</f>
        <v>na</v>
      </c>
      <c r="G59" s="358">
        <f>+IFERROR(G56/G61,"na")</f>
        <v>0.28796256911952361</v>
      </c>
      <c r="H59"/>
      <c r="I59"/>
      <c r="J59"/>
    </row>
    <row r="60" spans="2:16" ht="15" hidden="1" customHeight="1" outlineLevel="1">
      <c r="B60" s="110"/>
      <c r="C60" s="39"/>
      <c r="D60" s="204"/>
      <c r="E60" s="76"/>
      <c r="F60" s="76"/>
      <c r="G60" s="203"/>
      <c r="H60"/>
      <c r="I60"/>
      <c r="J60"/>
    </row>
    <row r="61" spans="2:16" ht="15" hidden="1" customHeight="1" outlineLevel="1">
      <c r="B61" s="286" t="s">
        <v>104</v>
      </c>
      <c r="C61" s="278" t="s">
        <v>186</v>
      </c>
      <c r="D61" s="144">
        <v>2351</v>
      </c>
      <c r="E61" s="144">
        <v>0</v>
      </c>
      <c r="F61" s="144">
        <v>0</v>
      </c>
      <c r="G61" s="143">
        <f>D61+E61-F61</f>
        <v>2351</v>
      </c>
      <c r="H61"/>
      <c r="K61"/>
    </row>
    <row r="62" spans="2:16" ht="15" hidden="1" customHeight="1" outlineLevel="1">
      <c r="B62" s="131"/>
      <c r="C62" s="131"/>
      <c r="D62" s="144"/>
      <c r="E62" s="144"/>
      <c r="F62" s="144"/>
      <c r="G62" s="143"/>
      <c r="H62"/>
      <c r="K62"/>
    </row>
    <row r="63" spans="2:16" ht="15" hidden="1" customHeight="1" outlineLevel="1">
      <c r="B63" s="131"/>
      <c r="C63" s="131"/>
      <c r="D63" s="144"/>
      <c r="E63" s="144"/>
      <c r="F63" s="144"/>
      <c r="G63" s="143"/>
      <c r="H63"/>
      <c r="K63"/>
    </row>
    <row r="64" spans="2:16" ht="15" hidden="1" customHeight="1" outlineLevel="1">
      <c r="B64" s="131"/>
      <c r="C64" s="131"/>
      <c r="D64" s="144"/>
      <c r="E64" s="144"/>
      <c r="F64" s="144"/>
      <c r="G64" s="143"/>
      <c r="H64"/>
      <c r="K64"/>
    </row>
    <row r="65" spans="1:14" ht="15" hidden="1" customHeight="1" outlineLevel="1">
      <c r="B65" s="131"/>
      <c r="C65" s="131"/>
      <c r="D65" s="144"/>
      <c r="E65" s="144"/>
      <c r="F65" s="144"/>
      <c r="G65" s="172" t="s">
        <v>125</v>
      </c>
      <c r="H65"/>
      <c r="K65"/>
    </row>
    <row r="66" spans="1:14" ht="15" hidden="1" customHeight="1" outlineLevel="1">
      <c r="B66" s="131"/>
      <c r="C66" s="131"/>
      <c r="D66" s="144"/>
      <c r="E66" s="144"/>
      <c r="F66" s="144"/>
      <c r="G66" s="305" t="s">
        <v>176</v>
      </c>
      <c r="H66"/>
      <c r="K66"/>
    </row>
    <row r="67" spans="1:14" ht="15" hidden="1" customHeight="1" outlineLevel="1">
      <c r="B67" s="39"/>
      <c r="C67" s="39"/>
      <c r="D67" s="76"/>
      <c r="E67" s="76"/>
      <c r="F67" s="76"/>
      <c r="G67" s="75"/>
      <c r="I67" s="172"/>
      <c r="K67"/>
    </row>
    <row r="68" spans="1:14" ht="15" hidden="1" customHeight="1" outlineLevel="1">
      <c r="B68" s="59"/>
      <c r="C68" s="59"/>
      <c r="D68" s="270"/>
      <c r="E68" s="270"/>
      <c r="F68" s="270"/>
      <c r="G68" s="271"/>
      <c r="H68" s="59"/>
      <c r="I68" s="272"/>
      <c r="J68" s="272"/>
      <c r="K68"/>
    </row>
    <row r="69" spans="1:14" ht="15" customHeight="1" collapsed="1">
      <c r="B69" s="39"/>
      <c r="C69" s="39"/>
      <c r="D69" s="76"/>
      <c r="E69" s="76"/>
      <c r="F69" s="76"/>
      <c r="G69" s="75"/>
      <c r="H69" s="269"/>
      <c r="I69" s="269"/>
      <c r="J69" s="269"/>
      <c r="K69" s="127"/>
    </row>
    <row r="70" spans="1:14" ht="15" customHeight="1">
      <c r="A70" s="273" t="s">
        <v>20</v>
      </c>
      <c r="B70" s="77" t="str">
        <f>CONCATENATE($D$12&amp;": Non-IFRS/Non-GAAP Metrics &amp; Analyst Estimates")</f>
        <v>J Sainsbury plc: Non-IFRS/Non-GAAP Metrics &amp; Analyst Estimates</v>
      </c>
      <c r="C70" s="124"/>
      <c r="D70" s="77"/>
      <c r="E70" s="77"/>
      <c r="F70" s="77"/>
      <c r="G70" s="77"/>
      <c r="H70" s="77"/>
      <c r="I70" s="77"/>
      <c r="J70" s="77"/>
      <c r="K70" s="127"/>
    </row>
    <row r="71" spans="1:14" ht="15" hidden="1" customHeight="1" outlineLevel="1">
      <c r="B71" s="39"/>
      <c r="K71" s="127"/>
    </row>
    <row r="72" spans="1:14" ht="15" hidden="1" customHeight="1" outlineLevel="1">
      <c r="B72" s="142" t="s">
        <v>118</v>
      </c>
      <c r="K72" s="127"/>
    </row>
    <row r="73" spans="1:14" ht="15" hidden="1" customHeight="1" outlineLevel="1">
      <c r="B73" s="142" t="s">
        <v>126</v>
      </c>
    </row>
    <row r="74" spans="1:14" ht="15" hidden="1" customHeight="1" outlineLevel="1">
      <c r="C74" s="39"/>
      <c r="D74" s="292" t="s">
        <v>78</v>
      </c>
      <c r="E74" s="302" t="s">
        <v>90</v>
      </c>
      <c r="F74" s="303" t="s">
        <v>91</v>
      </c>
      <c r="G74" s="294"/>
      <c r="H74" s="295"/>
    </row>
    <row r="75" spans="1:14" ht="15" hidden="1" customHeight="1" outlineLevel="1">
      <c r="C75" s="39"/>
      <c r="D75" s="296" t="s">
        <v>72</v>
      </c>
      <c r="E75" s="304" t="s">
        <v>174</v>
      </c>
      <c r="F75" s="304" t="s">
        <v>174</v>
      </c>
      <c r="G75" s="297" t="s">
        <v>71</v>
      </c>
      <c r="H75" s="295"/>
    </row>
    <row r="76" spans="1:14" ht="15" hidden="1" customHeight="1" outlineLevel="1">
      <c r="B76" s="158" t="s">
        <v>153</v>
      </c>
      <c r="C76" s="39"/>
      <c r="D76" s="309">
        <f>D$36</f>
        <v>44625</v>
      </c>
      <c r="E76" s="311">
        <f t="shared" ref="E76:G85" si="3">E$36</f>
        <v>44625</v>
      </c>
      <c r="F76" s="311">
        <f t="shared" si="3"/>
        <v>44260</v>
      </c>
      <c r="G76" s="307">
        <f t="shared" si="3"/>
        <v>44625</v>
      </c>
      <c r="H76" s="295"/>
      <c r="I76" s="314"/>
      <c r="J76"/>
    </row>
    <row r="77" spans="1:14" ht="15" hidden="1" customHeight="1" outlineLevel="1">
      <c r="B77" s="146"/>
      <c r="C77" s="146"/>
      <c r="D77" s="310"/>
      <c r="E77" s="312"/>
      <c r="F77" s="293"/>
      <c r="G77" s="313"/>
      <c r="H77" s="314"/>
      <c r="I77" s="159"/>
      <c r="J77"/>
    </row>
    <row r="78" spans="1:14" ht="15" hidden="1" customHeight="1" outlineLevel="1">
      <c r="B78" s="277" t="s">
        <v>178</v>
      </c>
      <c r="C78" s="141"/>
      <c r="D78" s="327">
        <v>-117</v>
      </c>
      <c r="E78" s="327">
        <v>0</v>
      </c>
      <c r="F78" s="327">
        <v>0</v>
      </c>
      <c r="G78" s="390">
        <f>D78+E78-F78</f>
        <v>-117</v>
      </c>
      <c r="H78" s="159"/>
      <c r="I78" s="169"/>
      <c r="J78"/>
    </row>
    <row r="79" spans="1:14" ht="15" hidden="1" customHeight="1" outlineLevel="1">
      <c r="B79" s="321" t="s">
        <v>109</v>
      </c>
      <c r="C79" s="141"/>
      <c r="D79" s="328">
        <f>10-17</f>
        <v>-7</v>
      </c>
      <c r="E79" s="328">
        <v>0</v>
      </c>
      <c r="F79" s="328">
        <v>0</v>
      </c>
      <c r="G79" s="390">
        <f>D79+E79-F79</f>
        <v>-7</v>
      </c>
      <c r="H79" s="169"/>
      <c r="I79" s="169"/>
      <c r="J79"/>
    </row>
    <row r="80" spans="1:14" ht="15" hidden="1" customHeight="1" outlineLevel="1">
      <c r="B80" s="321" t="s">
        <v>108</v>
      </c>
      <c r="C80" s="141"/>
      <c r="D80" s="328">
        <v>23</v>
      </c>
      <c r="E80" s="328">
        <v>0</v>
      </c>
      <c r="F80" s="328">
        <v>0</v>
      </c>
      <c r="G80" s="390">
        <f>D80+E80-F80</f>
        <v>23</v>
      </c>
      <c r="H80" s="169"/>
      <c r="I80" s="76"/>
      <c r="J80"/>
      <c r="K80"/>
      <c r="L80"/>
      <c r="M80"/>
      <c r="N80"/>
    </row>
    <row r="81" spans="2:14" ht="15" hidden="1" customHeight="1" outlineLevel="1">
      <c r="B81" s="39"/>
      <c r="C81" s="39"/>
      <c r="D81" s="49"/>
      <c r="E81" s="49"/>
      <c r="F81" s="49"/>
      <c r="G81" s="203"/>
      <c r="H81" s="76"/>
      <c r="I81" s="76"/>
      <c r="J81"/>
      <c r="K81"/>
      <c r="L81"/>
      <c r="M81"/>
      <c r="N81"/>
    </row>
    <row r="82" spans="2:14" ht="15" hidden="1" customHeight="1" outlineLevel="1">
      <c r="B82" s="39"/>
      <c r="C82" s="39"/>
      <c r="D82" s="46"/>
      <c r="E82" s="46"/>
      <c r="F82" s="46"/>
      <c r="G82" s="203"/>
      <c r="H82" s="46"/>
      <c r="I82" s="46"/>
      <c r="K82"/>
      <c r="L82"/>
      <c r="M82"/>
      <c r="N82"/>
    </row>
    <row r="83" spans="2:14" ht="15" hidden="1" customHeight="1" outlineLevel="1">
      <c r="B83" s="39"/>
      <c r="C83" s="39"/>
      <c r="D83" s="303" t="s">
        <v>78</v>
      </c>
      <c r="E83" s="302" t="s">
        <v>90</v>
      </c>
      <c r="F83" s="303" t="s">
        <v>91</v>
      </c>
      <c r="G83" s="294"/>
      <c r="H83" s="301"/>
      <c r="I83" s="301"/>
      <c r="J83" s="316"/>
      <c r="K83"/>
      <c r="L83"/>
      <c r="M83"/>
      <c r="N83"/>
    </row>
    <row r="84" spans="2:14" ht="15" hidden="1" customHeight="1" outlineLevel="1">
      <c r="B84" s="39"/>
      <c r="C84" s="39"/>
      <c r="D84" s="360" t="s">
        <v>72</v>
      </c>
      <c r="E84" s="304" t="s">
        <v>174</v>
      </c>
      <c r="F84" s="304" t="s">
        <v>174</v>
      </c>
      <c r="G84" s="297" t="s">
        <v>71</v>
      </c>
      <c r="H84" s="315">
        <f>Summary!$M$7</f>
        <v>2023</v>
      </c>
      <c r="I84" s="315">
        <f>H84+1</f>
        <v>2024</v>
      </c>
      <c r="J84" s="316"/>
      <c r="K84"/>
      <c r="L84"/>
      <c r="M84"/>
      <c r="N84"/>
    </row>
    <row r="85" spans="2:14" ht="15" hidden="1" customHeight="1" outlineLevel="1">
      <c r="B85" s="158" t="s">
        <v>180</v>
      </c>
      <c r="C85" s="146"/>
      <c r="D85" s="309">
        <f>D$36</f>
        <v>44625</v>
      </c>
      <c r="E85" s="361">
        <f t="shared" si="3"/>
        <v>44625</v>
      </c>
      <c r="F85" s="361">
        <f t="shared" si="3"/>
        <v>44260</v>
      </c>
      <c r="G85" s="307">
        <f t="shared" si="3"/>
        <v>44625</v>
      </c>
      <c r="H85" s="308">
        <f>EOMONTH(D36,12)</f>
        <v>45016</v>
      </c>
      <c r="I85" s="308">
        <f>EOMONTH(H85,12)</f>
        <v>45382</v>
      </c>
      <c r="J85" s="316"/>
      <c r="K85"/>
      <c r="L85"/>
      <c r="M85"/>
      <c r="N85"/>
    </row>
    <row r="86" spans="2:14" ht="15" hidden="1" customHeight="1" outlineLevel="1">
      <c r="B86" s="146"/>
      <c r="C86" s="146"/>
      <c r="D86" s="293"/>
      <c r="E86" s="312"/>
      <c r="F86" s="293"/>
      <c r="G86" s="362"/>
      <c r="H86" s="363"/>
      <c r="I86" s="363"/>
      <c r="J86"/>
      <c r="K86"/>
      <c r="L86"/>
      <c r="M86"/>
      <c r="N86"/>
    </row>
    <row r="87" spans="2:14" ht="15" hidden="1" customHeight="1" outlineLevel="1">
      <c r="B87" s="284" t="s">
        <v>10</v>
      </c>
      <c r="C87" s="130"/>
      <c r="D87" s="143">
        <f>D39</f>
        <v>29895</v>
      </c>
      <c r="E87" s="143">
        <f>E39</f>
        <v>0</v>
      </c>
      <c r="F87" s="143">
        <f>F39</f>
        <v>0</v>
      </c>
      <c r="G87" s="201">
        <f t="shared" ref="G87:G94" si="4">D87+E87-F87</f>
        <v>29895</v>
      </c>
      <c r="H87" s="150">
        <v>30416.2</v>
      </c>
      <c r="I87" s="150">
        <v>30768.14</v>
      </c>
      <c r="J87"/>
      <c r="K87" s="127"/>
      <c r="L87"/>
      <c r="M87"/>
      <c r="N87"/>
    </row>
    <row r="88" spans="2:14" ht="15" hidden="1" customHeight="1" outlineLevel="1">
      <c r="B88" s="286" t="s">
        <v>106</v>
      </c>
      <c r="C88" s="131"/>
      <c r="D88" s="143">
        <f>D44+D78</f>
        <v>1039</v>
      </c>
      <c r="E88" s="143">
        <f>E44+E78</f>
        <v>0</v>
      </c>
      <c r="F88" s="143">
        <f>F44+F78</f>
        <v>0</v>
      </c>
      <c r="G88" s="201">
        <f t="shared" si="4"/>
        <v>1039</v>
      </c>
      <c r="H88" s="144">
        <v>969.82</v>
      </c>
      <c r="I88" s="144">
        <v>998.83</v>
      </c>
      <c r="J88"/>
      <c r="K88"/>
      <c r="L88"/>
      <c r="M88"/>
      <c r="N88"/>
    </row>
    <row r="89" spans="2:14" ht="15" hidden="1" customHeight="1" outlineLevel="1">
      <c r="B89" s="331" t="s">
        <v>181</v>
      </c>
      <c r="C89" s="128"/>
      <c r="D89" s="144">
        <f>1069+151</f>
        <v>1220</v>
      </c>
      <c r="E89" s="144">
        <v>0</v>
      </c>
      <c r="F89" s="144">
        <v>0</v>
      </c>
      <c r="G89" s="201">
        <f t="shared" si="4"/>
        <v>1220</v>
      </c>
      <c r="H89" s="199" t="s">
        <v>147</v>
      </c>
      <c r="I89" s="199" t="s">
        <v>147</v>
      </c>
      <c r="J89"/>
      <c r="K89"/>
      <c r="L89"/>
      <c r="M89"/>
      <c r="N89"/>
    </row>
    <row r="90" spans="2:14" ht="15" hidden="1" customHeight="1" outlineLevel="1">
      <c r="B90" s="322" t="s">
        <v>130</v>
      </c>
      <c r="C90" s="131"/>
      <c r="D90" s="364">
        <f>D89+D88</f>
        <v>2259</v>
      </c>
      <c r="E90" s="364">
        <f t="shared" ref="E90:F90" si="5">E89+E88</f>
        <v>0</v>
      </c>
      <c r="F90" s="364">
        <f t="shared" si="5"/>
        <v>0</v>
      </c>
      <c r="G90" s="365">
        <f t="shared" si="4"/>
        <v>2259</v>
      </c>
      <c r="H90" s="291">
        <v>2196.7800000000002</v>
      </c>
      <c r="I90" s="291">
        <v>2221.46</v>
      </c>
      <c r="J90"/>
      <c r="K90" s="127"/>
      <c r="L90"/>
      <c r="M90"/>
      <c r="N90"/>
    </row>
    <row r="91" spans="2:14" ht="15" hidden="1" customHeight="1" outlineLevel="1">
      <c r="B91" s="331" t="s">
        <v>182</v>
      </c>
      <c r="C91" s="134"/>
      <c r="D91" s="143">
        <f>D52+D78+D79+D80-D55-D54</f>
        <v>576</v>
      </c>
      <c r="E91" s="143">
        <f>E52+E78+E79+E80-E55-E54</f>
        <v>0</v>
      </c>
      <c r="F91" s="143">
        <f>F52+F78+F79+F80-F55-F54</f>
        <v>0</v>
      </c>
      <c r="G91" s="201">
        <f t="shared" si="4"/>
        <v>576</v>
      </c>
      <c r="H91" s="144">
        <v>486.68</v>
      </c>
      <c r="I91" s="144">
        <v>506.01</v>
      </c>
      <c r="J91"/>
      <c r="K91"/>
      <c r="L91"/>
      <c r="M91"/>
      <c r="N91"/>
    </row>
    <row r="92" spans="2:14" ht="15" hidden="1" customHeight="1" outlineLevel="1">
      <c r="B92" s="286"/>
      <c r="C92" s="131"/>
      <c r="D92" s="136"/>
      <c r="E92" s="136"/>
      <c r="F92" s="136"/>
      <c r="G92" s="203"/>
      <c r="H92" s="76"/>
      <c r="I92" s="76"/>
      <c r="J92"/>
      <c r="K92"/>
      <c r="L92"/>
      <c r="M92"/>
      <c r="N92"/>
    </row>
    <row r="93" spans="2:14" ht="15" hidden="1" customHeight="1" outlineLevel="1">
      <c r="B93" s="276" t="s">
        <v>185</v>
      </c>
      <c r="C93" s="131"/>
      <c r="D93" s="144">
        <v>0</v>
      </c>
      <c r="E93" s="144">
        <v>0</v>
      </c>
      <c r="F93" s="144">
        <v>0</v>
      </c>
      <c r="G93" s="201">
        <f t="shared" si="4"/>
        <v>0</v>
      </c>
      <c r="H93" s="204"/>
      <c r="I93" s="204"/>
      <c r="J93"/>
      <c r="K93"/>
      <c r="L93"/>
      <c r="M93"/>
      <c r="N93"/>
    </row>
    <row r="94" spans="2:14" ht="15" hidden="1" customHeight="1" outlineLevel="1">
      <c r="B94" s="323" t="s">
        <v>98</v>
      </c>
      <c r="C94" s="278" t="s">
        <v>186</v>
      </c>
      <c r="D94" s="291">
        <v>0</v>
      </c>
      <c r="E94" s="291">
        <v>0</v>
      </c>
      <c r="F94" s="291">
        <v>0</v>
      </c>
      <c r="G94" s="365">
        <f t="shared" si="4"/>
        <v>0</v>
      </c>
      <c r="H94" s="391"/>
      <c r="I94" s="391"/>
      <c r="J94"/>
      <c r="K94"/>
      <c r="L94"/>
      <c r="M94"/>
      <c r="N94"/>
    </row>
    <row r="95" spans="2:14" ht="15" hidden="1" customHeight="1" outlineLevel="1">
      <c r="B95" s="276" t="s">
        <v>184</v>
      </c>
      <c r="C95" s="278" t="s">
        <v>167</v>
      </c>
      <c r="D95" s="358">
        <f>IFERROR((D91+D93)/(D61+D94),"na")</f>
        <v>0.24500212675457253</v>
      </c>
      <c r="E95" s="358" t="str">
        <f>IFERROR((E91+E93)/(E61+E94),"na")</f>
        <v>na</v>
      </c>
      <c r="F95" s="358" t="str">
        <f>IFERROR((F91+F93)/(F61+F94),"na")</f>
        <v>na</v>
      </c>
      <c r="G95" s="358">
        <f>IFERROR((G91+G93)/(G61+G94),"na")</f>
        <v>0.24500212675457253</v>
      </c>
      <c r="H95" s="366">
        <v>0.21</v>
      </c>
      <c r="I95" s="366">
        <v>0.22</v>
      </c>
      <c r="J95"/>
      <c r="K95"/>
      <c r="L95"/>
      <c r="M95"/>
      <c r="N95"/>
    </row>
    <row r="96" spans="2:14" ht="15" hidden="1" customHeight="1" outlineLevel="1">
      <c r="B96" s="131"/>
      <c r="C96" s="131"/>
      <c r="D96" s="136"/>
      <c r="E96" s="204"/>
      <c r="F96" s="204"/>
      <c r="G96" s="203"/>
      <c r="H96" s="76"/>
      <c r="I96" s="76"/>
      <c r="J96"/>
      <c r="K96"/>
      <c r="L96"/>
      <c r="M96"/>
      <c r="N96"/>
    </row>
    <row r="97" spans="2:14" ht="15" hidden="1" customHeight="1" outlineLevel="1">
      <c r="B97" s="131"/>
      <c r="C97" s="131"/>
      <c r="D97" s="136"/>
      <c r="E97" s="204"/>
      <c r="F97" s="204"/>
      <c r="G97" s="203"/>
      <c r="H97" s="76"/>
      <c r="I97" s="76"/>
      <c r="J97"/>
      <c r="K97"/>
      <c r="L97"/>
      <c r="M97"/>
      <c r="N97"/>
    </row>
    <row r="98" spans="2:14" ht="15" hidden="1" customHeight="1" outlineLevel="1">
      <c r="C98" s="39"/>
      <c r="D98" s="49"/>
      <c r="E98" s="49"/>
      <c r="F98" s="49"/>
      <c r="G98" s="46"/>
      <c r="H98" s="46"/>
      <c r="I98" s="213"/>
      <c r="J98" s="52"/>
    </row>
    <row r="99" spans="2:14" ht="15" hidden="1" customHeight="1" outlineLevel="1">
      <c r="C99" s="318"/>
      <c r="D99" s="49"/>
      <c r="E99" s="49"/>
      <c r="F99" s="46"/>
      <c r="G99" s="294"/>
      <c r="H99" s="301"/>
      <c r="I99" s="301"/>
      <c r="J99" s="319"/>
    </row>
    <row r="100" spans="2:14" ht="15" hidden="1" customHeight="1" outlineLevel="1">
      <c r="C100" s="318"/>
      <c r="E100" s="49"/>
      <c r="F100" s="46"/>
      <c r="G100" s="297" t="s">
        <v>71</v>
      </c>
      <c r="H100" s="315">
        <f>Summary!$M$7</f>
        <v>2023</v>
      </c>
      <c r="I100" s="315">
        <f>H100+1</f>
        <v>2024</v>
      </c>
      <c r="J100" s="319"/>
    </row>
    <row r="101" spans="2:14" ht="15" hidden="1" customHeight="1" outlineLevel="1">
      <c r="C101" s="318"/>
      <c r="D101" s="62" t="s">
        <v>12</v>
      </c>
      <c r="E101" s="62"/>
      <c r="F101" s="318"/>
      <c r="G101" s="307">
        <f t="shared" ref="G101" si="6">G$36</f>
        <v>44625</v>
      </c>
      <c r="H101" s="308">
        <f>EOMONTH(G101,12)</f>
        <v>45016</v>
      </c>
      <c r="I101" s="308">
        <f>EOMONTH(H101,12)</f>
        <v>45382</v>
      </c>
      <c r="J101" s="316"/>
    </row>
    <row r="102" spans="2:14" ht="15" hidden="1" customHeight="1" outlineLevel="1">
      <c r="C102" s="318"/>
      <c r="D102" s="318"/>
      <c r="E102" s="318"/>
      <c r="F102" s="318"/>
      <c r="G102" s="320"/>
      <c r="H102" s="320"/>
      <c r="I102" s="320"/>
      <c r="J102"/>
    </row>
    <row r="103" spans="2:14" ht="15" hidden="1" customHeight="1" outlineLevel="1">
      <c r="C103" s="116"/>
      <c r="D103" s="322" t="s">
        <v>137</v>
      </c>
      <c r="E103" s="76"/>
      <c r="F103" s="76"/>
      <c r="G103" s="367">
        <f>IFERROR($D$26/G87,"-")</f>
        <v>0.35402708814182976</v>
      </c>
      <c r="H103" s="367">
        <f>IFERROR($D$26/H87,"-")</f>
        <v>0.34796061966978126</v>
      </c>
      <c r="I103" s="367">
        <f>IFERROR($D$26/I87,"-")</f>
        <v>0.34398048760828576</v>
      </c>
      <c r="J103"/>
    </row>
    <row r="104" spans="2:14" ht="15" hidden="1" customHeight="1" outlineLevel="1">
      <c r="C104" s="115"/>
      <c r="D104" s="324" t="s">
        <v>138</v>
      </c>
      <c r="E104" s="76"/>
      <c r="F104" s="76"/>
      <c r="G104" s="367">
        <f>IFERROR($D$26/G90,"-")</f>
        <v>4.6850995130588764</v>
      </c>
      <c r="H104" s="367">
        <f>IFERROR($D$26/H90,"-")</f>
        <v>4.8177968663225261</v>
      </c>
      <c r="I104" s="367">
        <f>IFERROR($D$26/I90,"-")</f>
        <v>4.7642720553149731</v>
      </c>
      <c r="J104"/>
    </row>
    <row r="105" spans="2:14" ht="15" hidden="1" customHeight="1" outlineLevel="1">
      <c r="C105" s="161"/>
      <c r="D105" s="325" t="s">
        <v>97</v>
      </c>
      <c r="E105" s="76"/>
      <c r="F105" s="76"/>
      <c r="G105" s="369">
        <f>IFERROR($I$11/G95,"-")</f>
        <v>8.3019687499999986</v>
      </c>
      <c r="H105" s="369">
        <f>IFERROR($I$11/H95,"-")</f>
        <v>9.6857142857142851</v>
      </c>
      <c r="I105" s="369">
        <f>IFERROR($I$11/I95,"-")</f>
        <v>9.2454545454545443</v>
      </c>
      <c r="J105"/>
    </row>
    <row r="106" spans="2:14" ht="15" hidden="1" customHeight="1" outlineLevel="1">
      <c r="B106" s="70"/>
      <c r="C106" s="70"/>
      <c r="D106" s="206"/>
      <c r="E106" s="206"/>
      <c r="F106" s="206"/>
      <c r="G106" s="206"/>
      <c r="H106" s="49"/>
      <c r="I106" s="207"/>
    </row>
    <row r="107" spans="2:14" ht="15" hidden="1" customHeight="1" outlineLevel="1">
      <c r="I107" s="53"/>
    </row>
    <row r="108" spans="2:14" ht="15" hidden="1" customHeight="1" outlineLevel="1">
      <c r="I108" s="197" t="s">
        <v>151</v>
      </c>
    </row>
    <row r="109" spans="2:14" ht="15" hidden="1" customHeight="1" outlineLevel="1">
      <c r="I109" s="305" t="s">
        <v>179</v>
      </c>
    </row>
    <row r="110" spans="2:14" ht="15" hidden="1" customHeight="1" outlineLevel="1">
      <c r="I110" s="332" t="s">
        <v>177</v>
      </c>
    </row>
    <row r="111" spans="2:14" ht="15" hidden="1" customHeight="1" outlineLevel="1">
      <c r="I111" s="333" t="s">
        <v>152</v>
      </c>
    </row>
    <row r="112" spans="2:14" ht="15" hidden="1" customHeight="1" outlineLevel="1">
      <c r="I112" s="334" t="s">
        <v>183</v>
      </c>
    </row>
    <row r="113" spans="1:14" ht="15" hidden="1" customHeight="1" outlineLevel="1">
      <c r="B113" s="59"/>
      <c r="C113" s="59"/>
      <c r="D113" s="270"/>
      <c r="E113" s="270"/>
      <c r="F113" s="270"/>
      <c r="G113" s="271"/>
      <c r="H113" s="59"/>
      <c r="I113" s="272"/>
      <c r="J113" s="272"/>
      <c r="K113"/>
    </row>
    <row r="114" spans="1:14" ht="15" customHeight="1" collapsed="1">
      <c r="B114" s="39"/>
      <c r="C114" s="39"/>
      <c r="D114" s="76"/>
      <c r="E114" s="76"/>
      <c r="F114" s="76"/>
      <c r="G114" s="75"/>
      <c r="H114" s="269"/>
      <c r="I114" s="269"/>
      <c r="J114" s="269"/>
      <c r="K114" s="127"/>
    </row>
    <row r="115" spans="1:14" ht="15" customHeight="1">
      <c r="A115" s="114" t="s">
        <v>20</v>
      </c>
      <c r="B115" s="77" t="str">
        <f>CONCATENATE($D$12&amp;": Fully Diluted Shares Outstanding")</f>
        <v>J Sainsbury plc: Fully Diluted Shares Outstanding</v>
      </c>
      <c r="C115" s="124"/>
      <c r="D115" s="77"/>
      <c r="E115" s="77"/>
      <c r="F115" s="77"/>
      <c r="G115" s="77"/>
      <c r="H115" s="77"/>
      <c r="I115" s="77"/>
      <c r="J115" s="77"/>
    </row>
    <row r="116" spans="1:14" ht="15" hidden="1" customHeight="1" outlineLevel="1">
      <c r="J116" s="64"/>
    </row>
    <row r="117" spans="1:14" ht="15" hidden="1" customHeight="1" outlineLevel="1">
      <c r="B117" s="142" t="s">
        <v>118</v>
      </c>
      <c r="C117" s="45"/>
      <c r="D117" s="45"/>
      <c r="E117" s="45"/>
      <c r="F117" s="45"/>
      <c r="G117" s="45"/>
      <c r="J117" s="60"/>
    </row>
    <row r="118" spans="1:14" ht="15" hidden="1" customHeight="1" outlineLevel="1">
      <c r="B118" s="142" t="s">
        <v>126</v>
      </c>
      <c r="C118" s="142"/>
      <c r="E118" s="71"/>
      <c r="I118" s="142"/>
      <c r="J118" s="49"/>
    </row>
    <row r="119" spans="1:14" ht="15" hidden="1" customHeight="1" outlineLevel="1">
      <c r="B119" s="45"/>
      <c r="C119" s="45"/>
      <c r="D119" s="45"/>
      <c r="E119" s="45"/>
      <c r="F119" s="45"/>
      <c r="G119" s="45"/>
      <c r="J119" s="60"/>
    </row>
    <row r="120" spans="1:14" ht="15" hidden="1" customHeight="1" outlineLevel="1">
      <c r="B120" s="45"/>
      <c r="C120" s="45"/>
      <c r="D120" s="45"/>
      <c r="E120" s="97"/>
      <c r="F120" s="45"/>
      <c r="G120" s="45"/>
      <c r="H120" s="55"/>
      <c r="I120" s="65" t="s">
        <v>19</v>
      </c>
      <c r="J120" s="49"/>
    </row>
    <row r="121" spans="1:14" ht="15" hidden="1" customHeight="1" outlineLevel="1">
      <c r="B121" s="66" t="s">
        <v>86</v>
      </c>
      <c r="C121" s="66"/>
      <c r="D121" s="67" t="s">
        <v>188</v>
      </c>
      <c r="G121" s="35" t="s">
        <v>187</v>
      </c>
      <c r="H121" s="59"/>
      <c r="I121" s="92" t="s">
        <v>16</v>
      </c>
      <c r="J121" s="49"/>
    </row>
    <row r="122" spans="1:14" ht="15" hidden="1" customHeight="1" outlineLevel="1">
      <c r="D122" s="278" t="s">
        <v>186</v>
      </c>
      <c r="G122" s="39"/>
      <c r="H122" s="39"/>
      <c r="I122" s="278" t="s">
        <v>186</v>
      </c>
      <c r="J122" s="49"/>
      <c r="M122" s="125"/>
      <c r="N122" s="133"/>
    </row>
    <row r="123" spans="1:14" ht="6" hidden="1" customHeight="1" outlineLevel="1">
      <c r="D123" s="278"/>
      <c r="G123" s="39"/>
      <c r="H123" s="39"/>
      <c r="I123" s="278"/>
      <c r="J123" s="49"/>
      <c r="M123" s="125"/>
      <c r="N123" s="133"/>
    </row>
    <row r="124" spans="1:14" ht="15" hidden="1" customHeight="1" outlineLevel="1">
      <c r="B124" s="100" t="s">
        <v>63</v>
      </c>
      <c r="C124" s="100"/>
      <c r="D124" s="150">
        <v>2336</v>
      </c>
      <c r="G124" s="101" t="s">
        <v>83</v>
      </c>
      <c r="H124" s="278"/>
      <c r="I124" s="199">
        <v>0</v>
      </c>
      <c r="J124" s="58"/>
      <c r="K124"/>
      <c r="L124"/>
      <c r="M124"/>
    </row>
    <row r="125" spans="1:14" ht="15" hidden="1" customHeight="1" outlineLevel="1">
      <c r="B125" s="95" t="s">
        <v>84</v>
      </c>
      <c r="C125" s="95"/>
      <c r="D125" s="392">
        <f>I127</f>
        <v>37.4</v>
      </c>
      <c r="E125" s="49"/>
      <c r="F125" s="49"/>
      <c r="G125" s="101" t="s">
        <v>122</v>
      </c>
      <c r="H125" s="278"/>
      <c r="I125" s="199">
        <v>18.5</v>
      </c>
      <c r="J125" s="58"/>
      <c r="K125"/>
      <c r="L125"/>
      <c r="M125"/>
    </row>
    <row r="126" spans="1:14" ht="15" hidden="1" customHeight="1" outlineLevel="1">
      <c r="B126" s="335" t="s">
        <v>129</v>
      </c>
      <c r="C126" s="336"/>
      <c r="D126" s="371">
        <f>I152</f>
        <v>4.9873156342182767</v>
      </c>
      <c r="E126" s="49"/>
      <c r="F126" s="49"/>
      <c r="G126" s="337" t="s">
        <v>123</v>
      </c>
      <c r="H126" s="278"/>
      <c r="I126" s="372">
        <f>1.7+17.2</f>
        <v>18.899999999999999</v>
      </c>
      <c r="J126" s="57"/>
    </row>
    <row r="127" spans="1:14" ht="15" hidden="1" customHeight="1" outlineLevel="1">
      <c r="B127" s="96" t="s">
        <v>69</v>
      </c>
      <c r="C127" s="96"/>
      <c r="D127" s="341">
        <f>SUM(D124:D126)</f>
        <v>2378.3873156342183</v>
      </c>
      <c r="E127" s="49"/>
      <c r="F127" s="49"/>
      <c r="G127" s="209" t="s">
        <v>17</v>
      </c>
      <c r="H127" s="278"/>
      <c r="I127" s="373">
        <f>SUM(I124:I126)</f>
        <v>37.4</v>
      </c>
      <c r="J127" s="57"/>
    </row>
    <row r="128" spans="1:14" ht="15" hidden="1" customHeight="1" outlineLevel="1">
      <c r="B128" s="56"/>
      <c r="C128" s="56"/>
      <c r="D128" s="374"/>
      <c r="E128" s="64"/>
      <c r="F128" s="49"/>
      <c r="G128" s="49"/>
      <c r="H128" s="49"/>
      <c r="I128" s="49"/>
      <c r="J128" s="57"/>
    </row>
    <row r="129" spans="2:14" ht="15" hidden="1" customHeight="1" outlineLevel="1">
      <c r="B129" s="56"/>
      <c r="C129" s="56"/>
      <c r="D129" s="374"/>
      <c r="E129" s="64"/>
      <c r="F129" s="49"/>
      <c r="G129" s="49"/>
      <c r="H129" s="49"/>
      <c r="I129" s="49"/>
      <c r="J129" s="57"/>
    </row>
    <row r="130" spans="2:14" ht="15" hidden="1" customHeight="1" outlineLevel="1">
      <c r="D130" s="49"/>
      <c r="E130" s="49"/>
      <c r="F130" s="49"/>
      <c r="G130" s="49"/>
      <c r="H130" s="49"/>
      <c r="I130" s="49"/>
    </row>
    <row r="131" spans="2:14" ht="15" hidden="1" customHeight="1" outlineLevel="1">
      <c r="B131" s="54"/>
      <c r="C131" s="54"/>
      <c r="D131" s="210" t="s">
        <v>14</v>
      </c>
      <c r="E131" s="210" t="s">
        <v>7</v>
      </c>
      <c r="F131" s="210" t="s">
        <v>13</v>
      </c>
      <c r="G131" s="210" t="s">
        <v>64</v>
      </c>
      <c r="H131" s="210" t="s">
        <v>14</v>
      </c>
      <c r="I131" s="211"/>
    </row>
    <row r="132" spans="2:14" ht="15" hidden="1" customHeight="1" outlineLevel="1">
      <c r="B132" s="35" t="s">
        <v>87</v>
      </c>
      <c r="C132" s="35"/>
      <c r="D132" s="198" t="s">
        <v>16</v>
      </c>
      <c r="E132" s="198" t="s">
        <v>2</v>
      </c>
      <c r="F132" s="198" t="s">
        <v>2</v>
      </c>
      <c r="G132" s="198" t="s">
        <v>85</v>
      </c>
      <c r="H132" s="198" t="s">
        <v>21</v>
      </c>
      <c r="I132" s="198" t="s">
        <v>15</v>
      </c>
      <c r="L132" s="49"/>
      <c r="M132" s="49"/>
      <c r="N132" s="49"/>
    </row>
    <row r="133" spans="2:14" ht="15" hidden="1" customHeight="1" outlineLevel="1">
      <c r="B133" s="61"/>
      <c r="C133" s="61"/>
      <c r="D133" s="278" t="s">
        <v>186</v>
      </c>
      <c r="E133" s="278" t="s">
        <v>167</v>
      </c>
      <c r="F133" s="278" t="s">
        <v>167</v>
      </c>
      <c r="G133" s="213"/>
      <c r="H133" s="278" t="s">
        <v>186</v>
      </c>
      <c r="I133" s="165"/>
    </row>
    <row r="134" spans="2:14" ht="6" hidden="1" customHeight="1" outlineLevel="1">
      <c r="B134" s="61"/>
      <c r="C134" s="61"/>
      <c r="D134" s="214"/>
      <c r="E134" s="212"/>
      <c r="F134" s="212"/>
      <c r="G134" s="213"/>
      <c r="H134" s="214"/>
      <c r="I134" s="165"/>
    </row>
    <row r="135" spans="2:14" ht="15" hidden="1" customHeight="1" outlineLevel="1">
      <c r="B135" s="104" t="s">
        <v>74</v>
      </c>
      <c r="C135" s="104"/>
      <c r="D135" s="93">
        <v>58.3</v>
      </c>
      <c r="E135" s="215">
        <f t="shared" ref="E135:E143" si="7">$I$11</f>
        <v>2.0339999999999998</v>
      </c>
      <c r="F135" s="155">
        <v>1.86</v>
      </c>
      <c r="G135" s="375">
        <f t="shared" ref="G135:G137" si="8">IF(AND(E135&gt;F135,D135&lt;&gt;0),1,0)</f>
        <v>1</v>
      </c>
      <c r="H135" s="376">
        <f>G135*D135</f>
        <v>58.3</v>
      </c>
      <c r="I135" s="353">
        <f>F135*H135</f>
        <v>108.438</v>
      </c>
    </row>
    <row r="136" spans="2:14" ht="15" hidden="1" customHeight="1" outlineLevel="1">
      <c r="B136" s="104" t="s">
        <v>75</v>
      </c>
      <c r="C136" s="104"/>
      <c r="D136" s="93">
        <v>0</v>
      </c>
      <c r="E136" s="215">
        <f t="shared" si="7"/>
        <v>2.0339999999999998</v>
      </c>
      <c r="F136" s="155">
        <v>0</v>
      </c>
      <c r="G136" s="375">
        <f t="shared" si="8"/>
        <v>0</v>
      </c>
      <c r="H136" s="376">
        <f>G136*D136</f>
        <v>0</v>
      </c>
      <c r="I136" s="353">
        <f>F136*H136</f>
        <v>0</v>
      </c>
    </row>
    <row r="137" spans="2:14" ht="15" hidden="1" customHeight="1" outlineLevel="1">
      <c r="B137" s="104" t="s">
        <v>76</v>
      </c>
      <c r="C137" s="104"/>
      <c r="D137" s="196">
        <v>0</v>
      </c>
      <c r="E137" s="215">
        <f t="shared" si="7"/>
        <v>2.0339999999999998</v>
      </c>
      <c r="F137" s="155">
        <v>0</v>
      </c>
      <c r="G137" s="375">
        <f t="shared" si="8"/>
        <v>0</v>
      </c>
      <c r="H137" s="376">
        <f>G137*D137</f>
        <v>0</v>
      </c>
      <c r="I137" s="353">
        <f>F137*H137</f>
        <v>0</v>
      </c>
    </row>
    <row r="138" spans="2:14" ht="15" hidden="1" customHeight="1" outlineLevel="1">
      <c r="B138" s="104" t="s">
        <v>77</v>
      </c>
      <c r="C138" s="104"/>
      <c r="D138" s="93">
        <v>0</v>
      </c>
      <c r="E138" s="215">
        <f t="shared" si="7"/>
        <v>2.0339999999999998</v>
      </c>
      <c r="F138" s="155">
        <v>0</v>
      </c>
      <c r="G138" s="375">
        <f>IF(AND(E138&gt;F138,D138&lt;&gt;0),1,0)</f>
        <v>0</v>
      </c>
      <c r="H138" s="376">
        <f>G138*D138</f>
        <v>0</v>
      </c>
      <c r="I138" s="353">
        <f>F138*H138</f>
        <v>0</v>
      </c>
    </row>
    <row r="139" spans="2:14" ht="15" hidden="1" customHeight="1" outlineLevel="1">
      <c r="B139" s="104" t="s">
        <v>111</v>
      </c>
      <c r="C139" s="104"/>
      <c r="D139" s="93">
        <v>0</v>
      </c>
      <c r="E139" s="215">
        <f t="shared" si="7"/>
        <v>2.0339999999999998</v>
      </c>
      <c r="F139" s="155">
        <v>0</v>
      </c>
      <c r="G139" s="375">
        <f t="shared" ref="G139:G143" si="9">IF(AND(E139&gt;F139,D139&lt;&gt;0),1,0)</f>
        <v>0</v>
      </c>
      <c r="H139" s="376">
        <f t="shared" ref="H139:H142" si="10">G139*D139</f>
        <v>0</v>
      </c>
      <c r="I139" s="353">
        <f t="shared" ref="I139:I142" si="11">F139*H139</f>
        <v>0</v>
      </c>
    </row>
    <row r="140" spans="2:14" ht="15" hidden="1" customHeight="1" outlineLevel="1">
      <c r="B140" s="104" t="s">
        <v>112</v>
      </c>
      <c r="C140" s="104"/>
      <c r="D140" s="93">
        <v>0</v>
      </c>
      <c r="E140" s="215">
        <f t="shared" si="7"/>
        <v>2.0339999999999998</v>
      </c>
      <c r="F140" s="155">
        <v>0</v>
      </c>
      <c r="G140" s="375">
        <f t="shared" si="9"/>
        <v>0</v>
      </c>
      <c r="H140" s="376">
        <f t="shared" si="10"/>
        <v>0</v>
      </c>
      <c r="I140" s="353">
        <f t="shared" si="11"/>
        <v>0</v>
      </c>
    </row>
    <row r="141" spans="2:14" ht="15" hidden="1" customHeight="1" outlineLevel="1">
      <c r="B141" s="104" t="s">
        <v>116</v>
      </c>
      <c r="C141" s="104"/>
      <c r="D141" s="93">
        <v>0</v>
      </c>
      <c r="E141" s="215">
        <f t="shared" si="7"/>
        <v>2.0339999999999998</v>
      </c>
      <c r="F141" s="155">
        <v>0</v>
      </c>
      <c r="G141" s="375">
        <f t="shared" si="9"/>
        <v>0</v>
      </c>
      <c r="H141" s="376">
        <f t="shared" si="10"/>
        <v>0</v>
      </c>
      <c r="I141" s="353">
        <f t="shared" si="11"/>
        <v>0</v>
      </c>
    </row>
    <row r="142" spans="2:14" ht="15" hidden="1" customHeight="1" outlineLevel="1">
      <c r="B142" s="104" t="s">
        <v>117</v>
      </c>
      <c r="C142" s="104"/>
      <c r="D142" s="93">
        <v>0</v>
      </c>
      <c r="E142" s="215">
        <f t="shared" si="7"/>
        <v>2.0339999999999998</v>
      </c>
      <c r="F142" s="155">
        <v>0</v>
      </c>
      <c r="G142" s="375">
        <f t="shared" si="9"/>
        <v>0</v>
      </c>
      <c r="H142" s="376">
        <f t="shared" si="10"/>
        <v>0</v>
      </c>
      <c r="I142" s="353">
        <f t="shared" si="11"/>
        <v>0</v>
      </c>
    </row>
    <row r="143" spans="2:14" ht="15" hidden="1" customHeight="1" outlineLevel="1">
      <c r="B143" s="105" t="s">
        <v>22</v>
      </c>
      <c r="C143" s="105"/>
      <c r="D143" s="99">
        <v>0</v>
      </c>
      <c r="E143" s="216">
        <f t="shared" si="7"/>
        <v>2.0339999999999998</v>
      </c>
      <c r="F143" s="156">
        <v>0</v>
      </c>
      <c r="G143" s="378">
        <f t="shared" si="9"/>
        <v>0</v>
      </c>
      <c r="H143" s="379">
        <f>G143*D143</f>
        <v>0</v>
      </c>
      <c r="I143" s="380">
        <f>F143*H143</f>
        <v>0</v>
      </c>
    </row>
    <row r="144" spans="2:14" ht="15" hidden="1" customHeight="1" outlineLevel="1">
      <c r="B144" s="102" t="s">
        <v>17</v>
      </c>
      <c r="C144" s="102"/>
      <c r="D144" s="217"/>
      <c r="E144" s="46"/>
      <c r="F144" s="217"/>
      <c r="G144" s="46"/>
      <c r="H144" s="157">
        <f>SUM(H135:H143)</f>
        <v>58.3</v>
      </c>
      <c r="I144" s="98">
        <f>SUM(I135:I143)</f>
        <v>108.438</v>
      </c>
    </row>
    <row r="145" spans="1:11" ht="15" hidden="1" customHeight="1" outlineLevel="1">
      <c r="D145" s="205"/>
      <c r="E145" s="205"/>
      <c r="F145" s="49"/>
      <c r="G145" s="49"/>
      <c r="H145" s="218"/>
      <c r="I145" s="218"/>
    </row>
    <row r="146" spans="1:11" ht="15" hidden="1" customHeight="1" outlineLevel="1">
      <c r="D146" s="205"/>
      <c r="E146" s="205"/>
      <c r="F146" s="49"/>
      <c r="G146" s="49"/>
      <c r="H146" s="218"/>
      <c r="I146" s="218"/>
    </row>
    <row r="147" spans="1:11" ht="15" hidden="1" customHeight="1" outlineLevel="1">
      <c r="D147" s="205"/>
      <c r="E147" s="205"/>
      <c r="F147" s="49"/>
      <c r="G147" s="49"/>
      <c r="H147" s="218"/>
      <c r="I147" s="198" t="s">
        <v>188</v>
      </c>
    </row>
    <row r="148" spans="1:11" ht="15" hidden="1" customHeight="1" outlineLevel="1">
      <c r="D148" s="205"/>
      <c r="E148" s="205"/>
      <c r="F148" s="49"/>
      <c r="G148" s="49"/>
      <c r="H148" s="218"/>
      <c r="I148" s="278" t="s">
        <v>186</v>
      </c>
    </row>
    <row r="149" spans="1:11" ht="6" hidden="1" customHeight="1" outlineLevel="1">
      <c r="D149" s="205"/>
      <c r="E149" s="205"/>
      <c r="F149" s="49"/>
      <c r="G149" s="49"/>
      <c r="H149" s="218"/>
      <c r="I149" s="218"/>
    </row>
    <row r="150" spans="1:11" ht="15" hidden="1" customHeight="1" outlineLevel="1">
      <c r="C150" s="108"/>
      <c r="D150" s="205"/>
      <c r="E150" s="205"/>
      <c r="F150" s="103" t="s">
        <v>88</v>
      </c>
      <c r="G150" s="49"/>
      <c r="H150" s="49"/>
      <c r="I150" s="94">
        <f>H144</f>
        <v>58.3</v>
      </c>
    </row>
    <row r="151" spans="1:11" ht="15" hidden="1" customHeight="1" outlineLevel="1">
      <c r="C151" s="107"/>
      <c r="D151" s="213"/>
      <c r="E151" s="205"/>
      <c r="F151" s="381" t="s">
        <v>89</v>
      </c>
      <c r="G151" s="46"/>
      <c r="H151" s="278"/>
      <c r="I151" s="94">
        <f>-$I144/E135</f>
        <v>-53.31268436578172</v>
      </c>
    </row>
    <row r="152" spans="1:11" ht="15" hidden="1" customHeight="1" outlineLevel="1">
      <c r="C152" s="102"/>
      <c r="D152" s="213"/>
      <c r="E152" s="205"/>
      <c r="F152" s="209" t="s">
        <v>65</v>
      </c>
      <c r="G152" s="46"/>
      <c r="H152" s="278"/>
      <c r="I152" s="354">
        <f>SUM(I150:I151)</f>
        <v>4.9873156342182767</v>
      </c>
    </row>
    <row r="153" spans="1:11" ht="15" hidden="1" customHeight="1" outlineLevel="1">
      <c r="D153" s="49"/>
      <c r="E153" s="49"/>
      <c r="F153" s="49"/>
      <c r="G153" s="49"/>
      <c r="H153" s="49"/>
      <c r="I153" s="49"/>
    </row>
    <row r="154" spans="1:11" ht="15" hidden="1" customHeight="1" outlineLevel="1"/>
    <row r="155" spans="1:11" ht="15" hidden="1" customHeight="1" outlineLevel="1">
      <c r="A155" s="46"/>
      <c r="I155" s="338" t="s">
        <v>189</v>
      </c>
      <c r="J155" s="49"/>
    </row>
    <row r="156" spans="1:11" ht="15" hidden="1" customHeight="1" outlineLevel="1">
      <c r="I156"/>
      <c r="J156" s="58"/>
    </row>
    <row r="157" spans="1:11" ht="15" hidden="1" customHeight="1" outlineLevel="1">
      <c r="B157" s="59"/>
      <c r="C157" s="59"/>
      <c r="D157" s="270"/>
      <c r="E157" s="270"/>
      <c r="F157" s="270"/>
      <c r="G157" s="271"/>
      <c r="H157" s="59"/>
      <c r="I157" s="272"/>
      <c r="K157"/>
    </row>
    <row r="158" spans="1:11" ht="15" customHeight="1" collapsed="1">
      <c r="B158" s="39"/>
      <c r="C158" s="39"/>
      <c r="D158" s="76"/>
      <c r="E158" s="76"/>
      <c r="F158" s="76"/>
      <c r="G158" s="75"/>
      <c r="H158" s="269"/>
      <c r="I158" s="269"/>
      <c r="J158"/>
      <c r="K158" s="127"/>
    </row>
  </sheetData>
  <printOptions horizontalCentered="1"/>
  <pageMargins left="0.11811023622047245" right="0.11811023622047245" top="0.11811023622047245" bottom="0.11811023622047245" header="0.11811023622047245" footer="0.11811023622047245"/>
  <pageSetup scale="88" fitToHeight="0" orientation="landscape" r:id="rId1"/>
  <headerFooter>
    <oddFooter>&amp;L&amp;"Open Sans,Bold"&amp;10&amp;K02+000Comparable Trading Analysis&amp;C&amp;"Open Sans,Bold"&amp;10&amp;K02+000Page &amp;P of &amp;N&amp;R&amp;G</oddFooter>
  </headerFooter>
  <rowBreaks count="2" manualBreakCount="2">
    <brk id="69" min="1" max="9" man="1"/>
    <brk id="114" max="16383" man="1"/>
  </rowBreaks>
  <colBreaks count="1" manualBreakCount="1">
    <brk id="1" max="1048575" man="1"/>
  </colBreaks>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acheModel xmlns:xsd="http://www.w3.org/2001/XMLSchema" xmlns:xsi="http://www.w3.org/2001/XMLSchema-instance" xmlns="TagniFiModelState">
  <SerializedJson>[]</SerializedJson>
</CacheModel>
</file>

<file path=customXml/itemProps1.xml><?xml version="1.0" encoding="utf-8"?>
<ds:datastoreItem xmlns:ds="http://schemas.openxmlformats.org/officeDocument/2006/customXml" ds:itemID="{95F0EB6B-FD7D-4AAD-ADDF-02C6A3AFB3C0}">
  <ds:schemaRefs>
    <ds:schemaRef ds:uri="http://www.w3.org/2001/XMLSchema"/>
    <ds:schemaRef ds:uri="TagniFiModelStat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vt:lpstr>
      <vt:lpstr>Summary</vt:lpstr>
      <vt:lpstr>TSCO</vt:lpstr>
      <vt:lpstr>SBRY</vt:lpstr>
      <vt:lpstr>Cover!Print_Area</vt:lpstr>
      <vt:lpstr>SBRY!Print_Area</vt:lpstr>
      <vt:lpstr>Summary!Print_Area</vt:lpstr>
      <vt:lpstr>TSCO!Print_Area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Corporate Finance Institute (CFI)</dc:creator>
  <cp:keywords/>
  <dc:description/>
  <cp:lastModifiedBy>Corporate Finance Institute</cp:lastModifiedBy>
  <cp:revision/>
  <cp:lastPrinted>2022-10-13T15:52:50Z</cp:lastPrinted>
  <dcterms:created xsi:type="dcterms:W3CDTF">1899-12-30T07:00:00Z</dcterms:created>
  <dcterms:modified xsi:type="dcterms:W3CDTF">2022-10-13T15:53:33Z</dcterms:modified>
  <cp:category/>
  <cp:contentStatus/>
  <dc:language/>
  <cp:version/>
</cp:coreProperties>
</file>