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8. Introduction to Business Valuation\Downloads\"/>
    </mc:Choice>
  </mc:AlternateContent>
  <xr:revisionPtr revIDLastSave="0" documentId="13_ncr:1_{A8C5FC8A-C8E3-4D4C-A3C8-BCFAB48318A1}" xr6:coauthVersionLast="47" xr6:coauthVersionMax="47" xr10:uidLastSave="{00000000-0000-0000-0000-000000000000}"/>
  <bookViews>
    <workbookView xWindow="-96" yWindow="-96" windowWidth="23232" windowHeight="13152" xr2:uid="{1EE4A064-C994-4E24-95E5-D88032823A25}"/>
  </bookViews>
  <sheets>
    <sheet name="Cover" sheetId="12" r:id="rId1"/>
    <sheet name="DCF Model" sheetId="20" r:id="rId2"/>
    <sheet name="Relative Valuation" sheetId="24" r:id="rId3"/>
    <sheet name="Football Field Chart" sheetId="23" r:id="rId4"/>
  </sheets>
  <externalReferences>
    <externalReference r:id="rId5"/>
  </externalReferences>
  <definedNames>
    <definedName name="CIQWBGuid" hidden="1">"2cd8126d-26c3-430c-b7fa-a069e3a1fc62"</definedName>
    <definedName name="Gross_Profit">'[1]Advanced Financial Analysis'!$9:$9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Cover!$B$2:$O$39</definedName>
    <definedName name="_xlnm.Print_Area" localSheetId="1">'DCF Model'!$B$3:$M$31,'DCF Model'!$B$34:$M$66,'DCF Model'!$B$69:$M$108,'DCF Model'!$B$111:$M$127,'DCF Model'!$B$130:$M$157,'DCF Model'!$B$160:$M$179,'DCF Model'!$B$182:$M$191,'DCF Model'!$B$194:$M$204,'DCF Model'!$B$207:$M$238,'DCF Model'!$B$241:$N$284,'DCF Model'!$B$287:$N$310,'DCF Model'!$B$313:$N$335</definedName>
    <definedName name="_xlnm.Print_Area" localSheetId="3">'Football Field Chart'!$B$3:$O$28</definedName>
    <definedName name="_xlnm.Print_Area" localSheetId="2">'Relative Valuation'!$B$3:$Q$39,'Relative Valuation'!$B$42:$Q$74</definedName>
    <definedName name="Sensitivity">'[1]Advanced Financial Analysis'!$D$49</definedName>
    <definedName name="SG_A">'[1]Advanced Financial Analysis'!$11:$11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8" i="20" l="1"/>
  <c r="B70" i="24"/>
  <c r="B69" i="24"/>
  <c r="B68" i="24"/>
  <c r="B33" i="24"/>
  <c r="B32" i="24"/>
  <c r="B31" i="24"/>
  <c r="B30" i="24"/>
  <c r="E68" i="24"/>
  <c r="E69" i="24" s="1"/>
  <c r="E70" i="24" s="1"/>
  <c r="H68" i="24"/>
  <c r="H69" i="24" s="1"/>
  <c r="H70" i="24" s="1"/>
  <c r="I50" i="24"/>
  <c r="K50" i="24" s="1"/>
  <c r="I51" i="24"/>
  <c r="K51" i="24" s="1"/>
  <c r="I52" i="24"/>
  <c r="K52" i="24" s="1"/>
  <c r="I53" i="24"/>
  <c r="K53" i="24" s="1"/>
  <c r="I54" i="24"/>
  <c r="K54" i="24" s="1"/>
  <c r="I55" i="24"/>
  <c r="K55" i="24" s="1"/>
  <c r="I56" i="24"/>
  <c r="K56" i="24" s="1"/>
  <c r="I57" i="24"/>
  <c r="K57" i="24" s="1"/>
  <c r="I58" i="24"/>
  <c r="K58" i="24" s="1"/>
  <c r="I49" i="24"/>
  <c r="K49" i="24" s="1"/>
  <c r="F30" i="24" l="1"/>
  <c r="F31" i="24" s="1"/>
  <c r="F32" i="24" s="1"/>
  <c r="F33" i="24" s="1"/>
  <c r="G12" i="24"/>
  <c r="I12" i="24" s="1"/>
  <c r="O12" i="24" s="1"/>
  <c r="G13" i="24"/>
  <c r="I13" i="24" s="1"/>
  <c r="O13" i="24" s="1"/>
  <c r="G14" i="24"/>
  <c r="Q14" i="24" s="1"/>
  <c r="G15" i="24"/>
  <c r="I15" i="24" s="1"/>
  <c r="G16" i="24"/>
  <c r="Q16" i="24" s="1"/>
  <c r="G17" i="24"/>
  <c r="P17" i="24" s="1"/>
  <c r="G18" i="24"/>
  <c r="P18" i="24" s="1"/>
  <c r="G19" i="24"/>
  <c r="Q19" i="24" s="1"/>
  <c r="G20" i="24"/>
  <c r="Q20" i="24" s="1"/>
  <c r="G11" i="24"/>
  <c r="P11" i="24" s="1"/>
  <c r="Q58" i="24"/>
  <c r="P58" i="24"/>
  <c r="O58" i="24"/>
  <c r="G58" i="24"/>
  <c r="Q57" i="24"/>
  <c r="P57" i="24"/>
  <c r="O57" i="24"/>
  <c r="G57" i="24"/>
  <c r="Q56" i="24"/>
  <c r="P56" i="24"/>
  <c r="O56" i="24"/>
  <c r="G56" i="24"/>
  <c r="Q55" i="24"/>
  <c r="P55" i="24"/>
  <c r="O55" i="24"/>
  <c r="G55" i="24"/>
  <c r="Q54" i="24"/>
  <c r="P54" i="24"/>
  <c r="O54" i="24"/>
  <c r="G54" i="24"/>
  <c r="Q53" i="24"/>
  <c r="P53" i="24"/>
  <c r="O53" i="24"/>
  <c r="G53" i="24"/>
  <c r="Q52" i="24"/>
  <c r="P52" i="24"/>
  <c r="O52" i="24"/>
  <c r="G52" i="24"/>
  <c r="Q51" i="24"/>
  <c r="P51" i="24"/>
  <c r="O51" i="24"/>
  <c r="G51" i="24"/>
  <c r="Q50" i="24"/>
  <c r="P50" i="24"/>
  <c r="O50" i="24"/>
  <c r="G50" i="24"/>
  <c r="Q49" i="24"/>
  <c r="P49" i="24"/>
  <c r="O49" i="24"/>
  <c r="G49" i="24"/>
  <c r="G40" i="23"/>
  <c r="E40" i="23"/>
  <c r="E329" i="20"/>
  <c r="D329" i="20" s="1"/>
  <c r="G329" i="20"/>
  <c r="H329" i="20" s="1"/>
  <c r="C333" i="20"/>
  <c r="C334" i="20" s="1"/>
  <c r="C331" i="20"/>
  <c r="C330" i="20" s="1"/>
  <c r="Q18" i="24" l="1"/>
  <c r="I11" i="24"/>
  <c r="N11" i="24" s="1"/>
  <c r="I20" i="24"/>
  <c r="I18" i="24"/>
  <c r="O18" i="24" s="1"/>
  <c r="P19" i="24"/>
  <c r="I19" i="24"/>
  <c r="O19" i="24" s="1"/>
  <c r="P15" i="24"/>
  <c r="Q15" i="24"/>
  <c r="N15" i="24"/>
  <c r="O15" i="24"/>
  <c r="P16" i="24"/>
  <c r="P12" i="24"/>
  <c r="Q12" i="24"/>
  <c r="P13" i="24"/>
  <c r="I17" i="24"/>
  <c r="Q13" i="24"/>
  <c r="I16" i="24"/>
  <c r="P14" i="24"/>
  <c r="I14" i="24"/>
  <c r="N12" i="24"/>
  <c r="N13" i="24"/>
  <c r="P20" i="24"/>
  <c r="Q17" i="24"/>
  <c r="Q11" i="24"/>
  <c r="O63" i="24"/>
  <c r="P64" i="24"/>
  <c r="P62" i="24"/>
  <c r="P69" i="24" s="1"/>
  <c r="Q63" i="24"/>
  <c r="O64" i="24"/>
  <c r="Q64" i="24"/>
  <c r="P63" i="24"/>
  <c r="O62" i="24"/>
  <c r="O68" i="24" s="1"/>
  <c r="Q62" i="24"/>
  <c r="Q70" i="24" s="1"/>
  <c r="O61" i="24"/>
  <c r="P61" i="24"/>
  <c r="Q61" i="24"/>
  <c r="F40" i="23"/>
  <c r="H127" i="20"/>
  <c r="H126" i="20"/>
  <c r="M118" i="20"/>
  <c r="L118" i="20"/>
  <c r="K118" i="20"/>
  <c r="J118" i="20"/>
  <c r="I118" i="20"/>
  <c r="H118" i="20"/>
  <c r="M125" i="20"/>
  <c r="L125" i="20"/>
  <c r="K125" i="20"/>
  <c r="J125" i="20"/>
  <c r="I125" i="20"/>
  <c r="H125" i="20"/>
  <c r="F41" i="23"/>
  <c r="G39" i="23"/>
  <c r="E39" i="23"/>
  <c r="O11" i="24" l="1"/>
  <c r="N19" i="24"/>
  <c r="N20" i="24"/>
  <c r="O20" i="24"/>
  <c r="P23" i="24"/>
  <c r="N18" i="24"/>
  <c r="P25" i="24"/>
  <c r="P24" i="24"/>
  <c r="P32" i="24" s="1"/>
  <c r="O14" i="24"/>
  <c r="N14" i="24"/>
  <c r="N16" i="24"/>
  <c r="O16" i="24"/>
  <c r="O17" i="24"/>
  <c r="N17" i="24"/>
  <c r="Q25" i="24"/>
  <c r="P26" i="24"/>
  <c r="Q26" i="24"/>
  <c r="Q24" i="24"/>
  <c r="Q33" i="24" s="1"/>
  <c r="Q23" i="24"/>
  <c r="F39" i="23"/>
  <c r="C322" i="20"/>
  <c r="C323" i="20" s="1"/>
  <c r="C320" i="20"/>
  <c r="C319" i="20" s="1"/>
  <c r="G318" i="20"/>
  <c r="H318" i="20" s="1"/>
  <c r="E318" i="20"/>
  <c r="D318" i="20" s="1"/>
  <c r="N26" i="24" l="1"/>
  <c r="O24" i="24"/>
  <c r="O31" i="24" s="1"/>
  <c r="O23" i="24"/>
  <c r="N25" i="24"/>
  <c r="O25" i="24"/>
  <c r="N24" i="24"/>
  <c r="N30" i="24" s="1"/>
  <c r="N23" i="24"/>
  <c r="O26" i="24"/>
  <c r="I295" i="20" l="1"/>
  <c r="J292" i="20"/>
  <c r="K292" i="20" s="1"/>
  <c r="L292" i="20" s="1"/>
  <c r="M292" i="20" s="1"/>
  <c r="N292" i="20" s="1"/>
  <c r="J291" i="20"/>
  <c r="K291" i="20" s="1"/>
  <c r="L291" i="20" s="1"/>
  <c r="M291" i="20" s="1"/>
  <c r="N291" i="20" s="1"/>
  <c r="H291" i="20"/>
  <c r="I249" i="20"/>
  <c r="J246" i="20"/>
  <c r="K246" i="20" s="1"/>
  <c r="L246" i="20" s="1"/>
  <c r="M246" i="20" s="1"/>
  <c r="N246" i="20" s="1"/>
  <c r="H245" i="20"/>
  <c r="H246" i="20" s="1"/>
  <c r="I262" i="20" s="1"/>
  <c r="J245" i="20"/>
  <c r="K245" i="20" s="1"/>
  <c r="L245" i="20" s="1"/>
  <c r="M245" i="20" s="1"/>
  <c r="N245" i="20" s="1"/>
  <c r="H292" i="20" l="1"/>
  <c r="J262" i="20"/>
  <c r="L262" i="20"/>
  <c r="M262" i="20"/>
  <c r="K262" i="20"/>
  <c r="I256" i="20"/>
  <c r="M256" i="20"/>
  <c r="L256" i="20"/>
  <c r="K256" i="20"/>
  <c r="J256" i="20"/>
  <c r="E167" i="20" l="1"/>
  <c r="E173" i="20"/>
  <c r="H124" i="20" l="1"/>
  <c r="H117" i="20"/>
  <c r="H101" i="20"/>
  <c r="G101" i="20"/>
  <c r="F101" i="20"/>
  <c r="H91" i="20"/>
  <c r="H94" i="20" s="1"/>
  <c r="G91" i="20"/>
  <c r="G94" i="20" s="1"/>
  <c r="F91" i="20"/>
  <c r="F94" i="20" s="1"/>
  <c r="H59" i="20"/>
  <c r="G59" i="20"/>
  <c r="F59" i="20"/>
  <c r="H51" i="20"/>
  <c r="G51" i="20"/>
  <c r="F51" i="20"/>
  <c r="H10" i="20"/>
  <c r="H15" i="20" s="1"/>
  <c r="G10" i="20"/>
  <c r="G15" i="20" s="1"/>
  <c r="G19" i="20" s="1"/>
  <c r="G24" i="20" s="1"/>
  <c r="F10" i="20"/>
  <c r="H5" i="20"/>
  <c r="H295" i="20" s="1"/>
  <c r="H210" i="20" l="1"/>
  <c r="H249" i="20"/>
  <c r="I210" i="20"/>
  <c r="I200" i="20"/>
  <c r="I188" i="20"/>
  <c r="E176" i="20"/>
  <c r="E177" i="20"/>
  <c r="G104" i="20"/>
  <c r="I36" i="20"/>
  <c r="H104" i="20"/>
  <c r="H114" i="20"/>
  <c r="H71" i="20"/>
  <c r="H36" i="20"/>
  <c r="G5" i="20"/>
  <c r="G30" i="20"/>
  <c r="H123" i="20"/>
  <c r="H19" i="20"/>
  <c r="I114" i="20"/>
  <c r="I133" i="20"/>
  <c r="F15" i="20"/>
  <c r="F19" i="20" s="1"/>
  <c r="F24" i="20" s="1"/>
  <c r="J5" i="20"/>
  <c r="F104" i="20"/>
  <c r="I71" i="20"/>
  <c r="L68" i="24" l="1"/>
  <c r="K68" i="24" s="1"/>
  <c r="J30" i="24"/>
  <c r="I30" i="24" s="1"/>
  <c r="I222" i="20"/>
  <c r="J249" i="20"/>
  <c r="J295" i="20"/>
  <c r="J210" i="20"/>
  <c r="J222" i="20" s="1"/>
  <c r="J188" i="20"/>
  <c r="J200" i="20"/>
  <c r="I10" i="20"/>
  <c r="I15" i="20" s="1"/>
  <c r="G46" i="20"/>
  <c r="G64" i="20" s="1"/>
  <c r="J133" i="20"/>
  <c r="J114" i="20"/>
  <c r="K5" i="20"/>
  <c r="J71" i="20"/>
  <c r="J36" i="20"/>
  <c r="G71" i="20"/>
  <c r="F5" i="20"/>
  <c r="G36" i="20"/>
  <c r="F30" i="20"/>
  <c r="F46" i="20" s="1"/>
  <c r="F64" i="20" s="1"/>
  <c r="F65" i="20" s="1"/>
  <c r="H121" i="20"/>
  <c r="H24" i="20"/>
  <c r="H119" i="20" s="1"/>
  <c r="K249" i="20" l="1"/>
  <c r="K295" i="20"/>
  <c r="C245" i="20"/>
  <c r="C291" i="20"/>
  <c r="C196" i="20"/>
  <c r="C184" i="20"/>
  <c r="K210" i="20"/>
  <c r="K222" i="20" s="1"/>
  <c r="F79" i="20"/>
  <c r="F84" i="20" s="1"/>
  <c r="F107" i="20" s="1"/>
  <c r="C220" i="20"/>
  <c r="K188" i="20"/>
  <c r="K200" i="20"/>
  <c r="J10" i="20"/>
  <c r="J15" i="20" s="1"/>
  <c r="J123" i="20" s="1"/>
  <c r="F36" i="20"/>
  <c r="F71" i="20"/>
  <c r="G63" i="20"/>
  <c r="G65" i="20" s="1"/>
  <c r="K133" i="20"/>
  <c r="K114" i="20"/>
  <c r="K36" i="20"/>
  <c r="K71" i="20"/>
  <c r="L5" i="20"/>
  <c r="H120" i="20"/>
  <c r="H30" i="20"/>
  <c r="I123" i="20"/>
  <c r="J152" i="20" l="1"/>
  <c r="N70" i="24"/>
  <c r="K70" i="24" s="1"/>
  <c r="I152" i="20"/>
  <c r="M69" i="24"/>
  <c r="K69" i="24" s="1"/>
  <c r="K31" i="24"/>
  <c r="I31" i="24" s="1"/>
  <c r="L249" i="20"/>
  <c r="L295" i="20"/>
  <c r="H122" i="20"/>
  <c r="L210" i="20"/>
  <c r="L222" i="20" s="1"/>
  <c r="G79" i="20"/>
  <c r="G84" i="20" s="1"/>
  <c r="G107" i="20" s="1"/>
  <c r="L200" i="20"/>
  <c r="L188" i="20"/>
  <c r="K10" i="20"/>
  <c r="K15" i="20" s="1"/>
  <c r="H116" i="20"/>
  <c r="L32" i="24" s="1"/>
  <c r="G32" i="24" s="1"/>
  <c r="H46" i="20"/>
  <c r="H63" i="20"/>
  <c r="L133" i="20"/>
  <c r="L114" i="20"/>
  <c r="M5" i="20"/>
  <c r="L36" i="20"/>
  <c r="L71" i="20"/>
  <c r="E32" i="24" l="1"/>
  <c r="M249" i="20"/>
  <c r="M295" i="20"/>
  <c r="M210" i="20"/>
  <c r="M222" i="20" s="1"/>
  <c r="M200" i="20"/>
  <c r="I231" i="20" s="1"/>
  <c r="M188" i="20"/>
  <c r="I226" i="20" s="1"/>
  <c r="K123" i="20"/>
  <c r="K152" i="20" s="1"/>
  <c r="I140" i="20"/>
  <c r="I148" i="20"/>
  <c r="I155" i="20" s="1"/>
  <c r="M114" i="20"/>
  <c r="M133" i="20"/>
  <c r="M36" i="20"/>
  <c r="M71" i="20"/>
  <c r="H64" i="20"/>
  <c r="H65" i="20" s="1"/>
  <c r="L10" i="20"/>
  <c r="L15" i="20" s="1"/>
  <c r="M10" i="20" l="1"/>
  <c r="M15" i="20" s="1"/>
  <c r="I63" i="20"/>
  <c r="L123" i="20"/>
  <c r="L152" i="20" s="1"/>
  <c r="J148" i="20"/>
  <c r="J155" i="20" s="1"/>
  <c r="J140" i="20"/>
  <c r="M123" i="20" l="1"/>
  <c r="H79" i="20"/>
  <c r="K148" i="20"/>
  <c r="K155" i="20" s="1"/>
  <c r="K140" i="20"/>
  <c r="M152" i="20" l="1"/>
  <c r="M202" i="20"/>
  <c r="H84" i="20"/>
  <c r="L140" i="20"/>
  <c r="L148" i="20"/>
  <c r="L155" i="20" s="1"/>
  <c r="M203" i="20" l="1"/>
  <c r="M231" i="20"/>
  <c r="M148" i="20"/>
  <c r="M155" i="20" s="1"/>
  <c r="M140" i="20"/>
  <c r="H107" i="20"/>
  <c r="M212" i="20" l="1"/>
  <c r="M227" i="20"/>
  <c r="L124" i="20" l="1"/>
  <c r="L51" i="20"/>
  <c r="M124" i="20"/>
  <c r="M51" i="20"/>
  <c r="I51" i="20"/>
  <c r="I124" i="20"/>
  <c r="J124" i="20"/>
  <c r="J51" i="20"/>
  <c r="K124" i="20"/>
  <c r="K51" i="20"/>
  <c r="J139" i="20" l="1"/>
  <c r="J147" i="20"/>
  <c r="J154" i="20" s="1"/>
  <c r="L147" i="20"/>
  <c r="L154" i="20" s="1"/>
  <c r="L139" i="20"/>
  <c r="M147" i="20"/>
  <c r="M154" i="20" s="1"/>
  <c r="M139" i="20"/>
  <c r="K147" i="20"/>
  <c r="K154" i="20" s="1"/>
  <c r="K139" i="20"/>
  <c r="I139" i="20"/>
  <c r="I147" i="20"/>
  <c r="I154" i="20" s="1"/>
  <c r="L117" i="20" l="1"/>
  <c r="L19" i="20"/>
  <c r="M19" i="20"/>
  <c r="M117" i="20"/>
  <c r="I117" i="20"/>
  <c r="I19" i="20"/>
  <c r="J117" i="20"/>
  <c r="J19" i="20"/>
  <c r="K117" i="20"/>
  <c r="K19" i="20"/>
  <c r="M145" i="20" l="1"/>
  <c r="M138" i="20"/>
  <c r="K145" i="20"/>
  <c r="K138" i="20"/>
  <c r="M121" i="20"/>
  <c r="J145" i="20"/>
  <c r="J138" i="20"/>
  <c r="I121" i="20"/>
  <c r="I24" i="20"/>
  <c r="L121" i="20"/>
  <c r="J121" i="20"/>
  <c r="K121" i="20"/>
  <c r="I138" i="20"/>
  <c r="I145" i="20"/>
  <c r="L138" i="20"/>
  <c r="L145" i="20"/>
  <c r="I30" i="20" l="1"/>
  <c r="I116" i="20" s="1"/>
  <c r="I119" i="20"/>
  <c r="I120" i="20" s="1"/>
  <c r="I146" i="20" s="1"/>
  <c r="I122" i="20"/>
  <c r="M135" i="20"/>
  <c r="I46" i="20"/>
  <c r="I135" i="20"/>
  <c r="K135" i="20"/>
  <c r="L135" i="20"/>
  <c r="J135" i="20"/>
  <c r="I144" i="20" l="1"/>
  <c r="I149" i="20" s="1"/>
  <c r="M33" i="24"/>
  <c r="G33" i="24" s="1"/>
  <c r="I136" i="20"/>
  <c r="I137" i="20" s="1"/>
  <c r="I141" i="20" s="1"/>
  <c r="I189" i="20" s="1"/>
  <c r="I201" i="20" s="1"/>
  <c r="I216" i="20" s="1"/>
  <c r="I153" i="20"/>
  <c r="I156" i="20" s="1"/>
  <c r="E33" i="24" l="1"/>
  <c r="I250" i="20"/>
  <c r="I296" i="20"/>
  <c r="I101" i="20"/>
  <c r="I59" i="20"/>
  <c r="I64" i="20" s="1"/>
  <c r="I218" i="20"/>
  <c r="I223" i="20" s="1"/>
  <c r="I252" i="20" l="1"/>
  <c r="I298" i="20"/>
  <c r="I65" i="20"/>
  <c r="I257" i="20" l="1"/>
  <c r="I263" i="20"/>
  <c r="D227" i="20"/>
  <c r="J63" i="20"/>
  <c r="I91" i="20"/>
  <c r="J68" i="24" l="1"/>
  <c r="H30" i="24"/>
  <c r="I94" i="20"/>
  <c r="I104" i="20" s="1"/>
  <c r="J24" i="20"/>
  <c r="I79" i="20"/>
  <c r="J30" i="20" l="1"/>
  <c r="J116" i="20" s="1"/>
  <c r="J144" i="20" s="1"/>
  <c r="J119" i="20"/>
  <c r="J69" i="24"/>
  <c r="I68" i="24"/>
  <c r="F68" i="24" s="1"/>
  <c r="H31" i="24"/>
  <c r="G30" i="24"/>
  <c r="E30" i="24" s="1"/>
  <c r="I84" i="20"/>
  <c r="J46" i="20"/>
  <c r="H32" i="24" l="1"/>
  <c r="G31" i="24"/>
  <c r="E31" i="24" s="1"/>
  <c r="E37" i="23" s="1"/>
  <c r="G68" i="24"/>
  <c r="J70" i="24"/>
  <c r="I70" i="24" s="1"/>
  <c r="F70" i="24" s="1"/>
  <c r="G70" i="24" s="1"/>
  <c r="I69" i="24"/>
  <c r="F69" i="24" s="1"/>
  <c r="G69" i="24" s="1"/>
  <c r="J122" i="20"/>
  <c r="J153" i="20" s="1"/>
  <c r="J156" i="20" s="1"/>
  <c r="J136" i="20"/>
  <c r="J137" i="20" s="1"/>
  <c r="J141" i="20" s="1"/>
  <c r="J189" i="20" s="1"/>
  <c r="J201" i="20" s="1"/>
  <c r="J216" i="20" s="1"/>
  <c r="J218" i="20" s="1"/>
  <c r="J223" i="20" s="1"/>
  <c r="J120" i="20"/>
  <c r="J146" i="20" s="1"/>
  <c r="J149" i="20" s="1"/>
  <c r="I107" i="20"/>
  <c r="G37" i="23" l="1"/>
  <c r="F37" i="23" s="1"/>
  <c r="J296" i="20"/>
  <c r="J250" i="20"/>
  <c r="E38" i="23"/>
  <c r="G38" i="23"/>
  <c r="H33" i="24"/>
  <c r="I33" i="24" s="1"/>
  <c r="I32" i="24"/>
  <c r="J101" i="20"/>
  <c r="J59" i="20"/>
  <c r="J64" i="20" s="1"/>
  <c r="F38" i="23" l="1"/>
  <c r="E42" i="23"/>
  <c r="D42" i="23" s="1"/>
  <c r="J252" i="20"/>
  <c r="J298" i="20"/>
  <c r="J65" i="20"/>
  <c r="J257" i="20" l="1"/>
  <c r="J263" i="20"/>
  <c r="K63" i="20"/>
  <c r="J91" i="20"/>
  <c r="K24" i="20" l="1"/>
  <c r="J94" i="20"/>
  <c r="J104" i="20" s="1"/>
  <c r="J79" i="20"/>
  <c r="K30" i="20" l="1"/>
  <c r="K116" i="20" s="1"/>
  <c r="K144" i="20" s="1"/>
  <c r="K119" i="20"/>
  <c r="J84" i="20"/>
  <c r="J107" i="20" s="1"/>
  <c r="K46" i="20"/>
  <c r="K122" i="20" l="1"/>
  <c r="K153" i="20" s="1"/>
  <c r="K156" i="20" s="1"/>
  <c r="K136" i="20"/>
  <c r="K137" i="20" s="1"/>
  <c r="K141" i="20" s="1"/>
  <c r="K189" i="20" s="1"/>
  <c r="K201" i="20" s="1"/>
  <c r="K216" i="20" s="1"/>
  <c r="K218" i="20" s="1"/>
  <c r="K223" i="20" s="1"/>
  <c r="K120" i="20"/>
  <c r="K146" i="20" s="1"/>
  <c r="K149" i="20" s="1"/>
  <c r="K250" i="20" l="1"/>
  <c r="K296" i="20"/>
  <c r="K101" i="20"/>
  <c r="K59" i="20"/>
  <c r="K64" i="20" s="1"/>
  <c r="K252" i="20" l="1"/>
  <c r="K298" i="20"/>
  <c r="K65" i="20"/>
  <c r="K263" i="20" l="1"/>
  <c r="K257" i="20"/>
  <c r="L63" i="20"/>
  <c r="K91" i="20"/>
  <c r="L24" i="20"/>
  <c r="L30" i="20" l="1"/>
  <c r="L116" i="20" s="1"/>
  <c r="L144" i="20" s="1"/>
  <c r="L119" i="20"/>
  <c r="K94" i="20"/>
  <c r="K104" i="20" s="1"/>
  <c r="K79" i="20"/>
  <c r="L46" i="20"/>
  <c r="L122" i="20" l="1"/>
  <c r="L153" i="20" s="1"/>
  <c r="L156" i="20" s="1"/>
  <c r="L136" i="20"/>
  <c r="L137" i="20" s="1"/>
  <c r="L141" i="20" s="1"/>
  <c r="L189" i="20" s="1"/>
  <c r="L201" i="20" s="1"/>
  <c r="L216" i="20" s="1"/>
  <c r="L120" i="20"/>
  <c r="L146" i="20" s="1"/>
  <c r="L149" i="20" s="1"/>
  <c r="K84" i="20"/>
  <c r="K107" i="20" s="1"/>
  <c r="L296" i="20" l="1"/>
  <c r="L250" i="20"/>
  <c r="L218" i="20"/>
  <c r="L223" i="20" s="1"/>
  <c r="L101" i="20"/>
  <c r="L252" i="20" l="1"/>
  <c r="L298" i="20"/>
  <c r="L59" i="20"/>
  <c r="L64" i="20" s="1"/>
  <c r="L263" i="20" l="1"/>
  <c r="L257" i="20"/>
  <c r="L65" i="20"/>
  <c r="L91" i="20"/>
  <c r="M63" i="20" l="1"/>
  <c r="L94" i="20"/>
  <c r="L104" i="20" s="1"/>
  <c r="L79" i="20" l="1"/>
  <c r="M24" i="20"/>
  <c r="M30" i="20" l="1"/>
  <c r="M116" i="20" s="1"/>
  <c r="M144" i="20" s="1"/>
  <c r="M119" i="20"/>
  <c r="L84" i="20"/>
  <c r="L107" i="20" s="1"/>
  <c r="M46" i="20"/>
  <c r="M122" i="20" l="1"/>
  <c r="M153" i="20" s="1"/>
  <c r="M156" i="20" s="1"/>
  <c r="M136" i="20"/>
  <c r="M137" i="20" s="1"/>
  <c r="M141" i="20" s="1"/>
  <c r="M189" i="20" s="1"/>
  <c r="M120" i="20"/>
  <c r="M146" i="20" s="1"/>
  <c r="M149" i="20" s="1"/>
  <c r="M59" i="20"/>
  <c r="M64" i="20" s="1"/>
  <c r="M101" i="20"/>
  <c r="M226" i="20" l="1"/>
  <c r="M201" i="20"/>
  <c r="M216" i="20" s="1"/>
  <c r="M190" i="20"/>
  <c r="M191" i="20" s="1"/>
  <c r="M232" i="20" s="1"/>
  <c r="M234" i="20" s="1"/>
  <c r="M65" i="20"/>
  <c r="M233" i="20" l="1"/>
  <c r="M211" i="20"/>
  <c r="M213" i="20" s="1"/>
  <c r="M297" i="20" s="1"/>
  <c r="M250" i="20"/>
  <c r="M296" i="20"/>
  <c r="M229" i="20"/>
  <c r="M228" i="20"/>
  <c r="M91" i="20"/>
  <c r="M94" i="20" s="1"/>
  <c r="M104" i="20" s="1"/>
  <c r="M217" i="20" l="1"/>
  <c r="M218" i="20" s="1"/>
  <c r="M223" i="20" s="1"/>
  <c r="D226" i="20" s="1"/>
  <c r="D228" i="20" s="1"/>
  <c r="E231" i="20" s="1"/>
  <c r="E233" i="20" s="1"/>
  <c r="E235" i="20" s="1"/>
  <c r="M251" i="20"/>
  <c r="M252" i="20" s="1"/>
  <c r="M79" i="20"/>
  <c r="M298" i="20" l="1"/>
  <c r="F307" i="20" s="1"/>
  <c r="C329" i="20"/>
  <c r="C318" i="20"/>
  <c r="F272" i="20"/>
  <c r="F273" i="20" s="1"/>
  <c r="F276" i="20"/>
  <c r="F277" i="20" s="1"/>
  <c r="F268" i="20"/>
  <c r="F269" i="20" s="1"/>
  <c r="M263" i="20"/>
  <c r="F264" i="20" s="1"/>
  <c r="F265" i="20" s="1"/>
  <c r="M257" i="20"/>
  <c r="F258" i="20" s="1"/>
  <c r="F259" i="20" s="1"/>
  <c r="M84" i="20"/>
  <c r="F301" i="20" l="1"/>
  <c r="F304" i="20"/>
  <c r="M107" i="20"/>
  <c r="N16" i="12" s="1"/>
</calcChain>
</file>

<file path=xl/sharedStrings.xml><?xml version="1.0" encoding="utf-8"?>
<sst xmlns="http://schemas.openxmlformats.org/spreadsheetml/2006/main" count="396" uniqueCount="238">
  <si>
    <t>Strictly Confidential</t>
  </si>
  <si>
    <t>Table of Contents</t>
  </si>
  <si>
    <t>https://corporatefinanceinstitute.com/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</si>
  <si>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</si>
  <si>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</si>
  <si>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</si>
  <si>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</si>
  <si>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Revenue</t>
  </si>
  <si>
    <t>Accounts Receivable</t>
  </si>
  <si>
    <t>Accounts Payable</t>
  </si>
  <si>
    <t>All figures in USD thousands unless stated</t>
  </si>
  <si>
    <t>Subtotal</t>
  </si>
  <si>
    <t>EBT</t>
  </si>
  <si>
    <t>Income Statement</t>
  </si>
  <si>
    <t>Gross Profit</t>
  </si>
  <si>
    <t>EBITDA</t>
  </si>
  <si>
    <t>Depreciation</t>
  </si>
  <si>
    <t>EBIT</t>
  </si>
  <si>
    <t>Net Income</t>
  </si>
  <si>
    <t>Other</t>
  </si>
  <si>
    <t>Tax Rate</t>
  </si>
  <si>
    <t>Capital Expenditure</t>
  </si>
  <si>
    <t>Interest Expense</t>
  </si>
  <si>
    <t>SG&amp;A</t>
  </si>
  <si>
    <t>Property Plant &amp; Equipment</t>
  </si>
  <si>
    <t>COGS</t>
  </si>
  <si>
    <t xml:space="preserve"> </t>
  </si>
  <si>
    <t>This Excel model is for educational purposes only and should not be used for any other reason. All content is Copyright material of CFI Education Inc.</t>
  </si>
  <si>
    <t>Model Checks</t>
  </si>
  <si>
    <t>Cash Flow Statement</t>
  </si>
  <si>
    <t>CASH FROM OPERATING</t>
  </si>
  <si>
    <t/>
  </si>
  <si>
    <t>CASH FROM INVESTING</t>
  </si>
  <si>
    <t>CASH FROM FINANCING</t>
  </si>
  <si>
    <t>Change in Long-Term Debt</t>
  </si>
  <si>
    <t>Change in Common Equity</t>
  </si>
  <si>
    <t>Dividends</t>
  </si>
  <si>
    <t>Beginning of the Year</t>
  </si>
  <si>
    <t>Increase / (Decrease)</t>
  </si>
  <si>
    <t>End of the Year</t>
  </si>
  <si>
    <t>Balance Sheet</t>
  </si>
  <si>
    <t>Cash</t>
  </si>
  <si>
    <t>Inventories</t>
  </si>
  <si>
    <t>Total Current Assets</t>
  </si>
  <si>
    <t>Long-Term Debt</t>
  </si>
  <si>
    <t>Common Equity</t>
  </si>
  <si>
    <t>Retained Earnings</t>
  </si>
  <si>
    <t>Total Shareholders' Equity</t>
  </si>
  <si>
    <t>Check</t>
  </si>
  <si>
    <t>Interest Income</t>
  </si>
  <si>
    <t>Cash From Accounts Receivable</t>
  </si>
  <si>
    <t>Cash From Inventory</t>
  </si>
  <si>
    <t>Cash From Accounts Payable</t>
  </si>
  <si>
    <t>Total Current Liabilities</t>
  </si>
  <si>
    <t>Total Liabilities</t>
  </si>
  <si>
    <t>ASSETS</t>
  </si>
  <si>
    <t>LIABILITIES</t>
  </si>
  <si>
    <t>EQUITY</t>
  </si>
  <si>
    <t>Total Liabilities &amp; Equity</t>
  </si>
  <si>
    <t>Total Assets</t>
  </si>
  <si>
    <t>Revolving Credit Line</t>
  </si>
  <si>
    <t>Change in Revolving Credit Line</t>
  </si>
  <si>
    <t>Provision for Taxes</t>
  </si>
  <si>
    <t>CASH BALANCE</t>
  </si>
  <si>
    <t>Change in working capital</t>
  </si>
  <si>
    <t>Capex Investment</t>
  </si>
  <si>
    <t>Shares Outstanding</t>
  </si>
  <si>
    <t>(FD 000)</t>
  </si>
  <si>
    <t>Terminal Growth Rate</t>
  </si>
  <si>
    <t>Unlevered Free Cash Flow (UFCF)</t>
  </si>
  <si>
    <t>Terminal Value</t>
  </si>
  <si>
    <t>Terminal Multiple</t>
  </si>
  <si>
    <t>WACC</t>
  </si>
  <si>
    <t>Enterprise Value</t>
  </si>
  <si>
    <t>Less: Net Debt</t>
  </si>
  <si>
    <t>Equity Value</t>
  </si>
  <si>
    <t>EQUITY VALUE PER SHARE</t>
  </si>
  <si>
    <t>($/sh)</t>
  </si>
  <si>
    <t>Balanced Sheet balanced?</t>
  </si>
  <si>
    <t>Discounting Period</t>
  </si>
  <si>
    <t>Unlevered Taxes</t>
  </si>
  <si>
    <t>UFCF Using Net Income</t>
  </si>
  <si>
    <t>UFCF Using EBIT</t>
  </si>
  <si>
    <t>UFCF Using EBITDA</t>
  </si>
  <si>
    <t>Excerpts Provided from Financial Statement</t>
  </si>
  <si>
    <t>Risk free rate</t>
  </si>
  <si>
    <t>Beta</t>
  </si>
  <si>
    <t>Cost of Equity</t>
  </si>
  <si>
    <t>Enterprise</t>
  </si>
  <si>
    <t>Market</t>
  </si>
  <si>
    <t>EV / EBITDA</t>
  </si>
  <si>
    <t>Peer Companies</t>
  </si>
  <si>
    <r>
      <t xml:space="preserve">Value </t>
    </r>
    <r>
      <rPr>
        <b/>
        <vertAlign val="superscript"/>
        <sz val="10"/>
        <rFont val="Open Sans"/>
        <family val="2"/>
      </rPr>
      <t>1</t>
    </r>
  </si>
  <si>
    <t>Cap</t>
  </si>
  <si>
    <t>Alpha.com</t>
  </si>
  <si>
    <t>Big Bucks Company</t>
  </si>
  <si>
    <t>Centibillions Inc.</t>
  </si>
  <si>
    <t>Deep Pockets Ltd.</t>
  </si>
  <si>
    <t>Evergreen Co.</t>
  </si>
  <si>
    <t>Fat Cat Inc.</t>
  </si>
  <si>
    <t>Average</t>
  </si>
  <si>
    <t>Median</t>
  </si>
  <si>
    <t>Maximum</t>
  </si>
  <si>
    <t>Minimum</t>
  </si>
  <si>
    <t xml:space="preserve">Enterprise Value = Market Cap + Net Debt. </t>
  </si>
  <si>
    <t xml:space="preserve">Calculated as Market Cap divided by Net Income. </t>
  </si>
  <si>
    <t>Date</t>
  </si>
  <si>
    <t>Acquirer</t>
  </si>
  <si>
    <t>Target</t>
  </si>
  <si>
    <t>Value</t>
  </si>
  <si>
    <t>(YYYY-MM-DD)</t>
  </si>
  <si>
    <t>Cake</t>
  </si>
  <si>
    <t>Ice Cream</t>
  </si>
  <si>
    <t>Salt</t>
  </si>
  <si>
    <t>Pepper</t>
  </si>
  <si>
    <t>Fish</t>
  </si>
  <si>
    <t>Chips</t>
  </si>
  <si>
    <t>Peanut Butter</t>
  </si>
  <si>
    <t>Jelly</t>
  </si>
  <si>
    <t>Brisket</t>
  </si>
  <si>
    <t>NoSauce</t>
  </si>
  <si>
    <t>Biscuits</t>
  </si>
  <si>
    <t>Gravy</t>
  </si>
  <si>
    <t>Location</t>
  </si>
  <si>
    <t>JJ Co.</t>
  </si>
  <si>
    <t>Canada</t>
  </si>
  <si>
    <t>USA</t>
  </si>
  <si>
    <t>Ghana</t>
  </si>
  <si>
    <t>China</t>
  </si>
  <si>
    <t>Industry</t>
  </si>
  <si>
    <t>CTM</t>
  </si>
  <si>
    <t>Jik</t>
  </si>
  <si>
    <t>Lime</t>
  </si>
  <si>
    <t>Octane</t>
  </si>
  <si>
    <t>HHV</t>
  </si>
  <si>
    <t>Dela</t>
  </si>
  <si>
    <t>Unlevered Free Cash Flow (UFCF) using EBITDA</t>
  </si>
  <si>
    <t>Unlevered Free Cash Flow (UFCF) using EBIT</t>
  </si>
  <si>
    <t>Unlevered Free Cash Flow (UFCF) using Net Income</t>
  </si>
  <si>
    <t>Cost of Debt</t>
  </si>
  <si>
    <t>Calculation of Weighted Average Cost of Capital (WACC)</t>
  </si>
  <si>
    <t>Long term debt</t>
  </si>
  <si>
    <t>Terminal Value using Perpetual Growth Rate</t>
  </si>
  <si>
    <t>Terminal Value using EBITDA Multiple</t>
  </si>
  <si>
    <t>Capital Expenditures</t>
  </si>
  <si>
    <t>Less: Unlevered Taxes</t>
  </si>
  <si>
    <t>Net Operating Profit After Taxes (NOPAT)</t>
  </si>
  <si>
    <t>After-tax Interest Expense (Int Exp * (1-Tax))</t>
  </si>
  <si>
    <t>Intrinsic Valuation - Financial Statement Extracts</t>
  </si>
  <si>
    <t>Intrinsic Valuation - Determining Unlevered Free Cashflow (UFCF)</t>
  </si>
  <si>
    <t>Intrinsic Valuation - Determining Terminal Value using a Perpetual Growth Rate</t>
  </si>
  <si>
    <t>Intrinsic Valuation - Calculating WACC</t>
  </si>
  <si>
    <t>Using the Capital Asset Pricing Model (CAPM) to calculate the Cost of Equity</t>
  </si>
  <si>
    <t>After-tax Cost of Debt</t>
  </si>
  <si>
    <r>
      <t xml:space="preserve">Perpetuity UFCF </t>
    </r>
    <r>
      <rPr>
        <vertAlign val="subscript"/>
        <sz val="10"/>
        <color theme="1"/>
        <rFont val="Open Sans"/>
        <family val="2"/>
      </rPr>
      <t>t+1</t>
    </r>
  </si>
  <si>
    <t>Terminal Value using a Perpetual Growth Rate</t>
  </si>
  <si>
    <t>Total Cash Flows</t>
  </si>
  <si>
    <t>Present Value of Cash Flows</t>
  </si>
  <si>
    <t>Relative Valuation - Using Precedent Transaction Analysis</t>
  </si>
  <si>
    <t>Relative Valuation - Using Comparable Company Analysis</t>
  </si>
  <si>
    <t>Intrinsic Valuation - Determining Terminal Value using an EBITDA Multiple</t>
  </si>
  <si>
    <t>Intrinsic Valuation - Discounting Unlevered Free CashFlows (UFCF) and Terminal Values</t>
  </si>
  <si>
    <t>Discrete Forecast</t>
  </si>
  <si>
    <t>(YY-MM-DD)</t>
  </si>
  <si>
    <t>Fiscal Year End</t>
  </si>
  <si>
    <t>Cash Flow Timing</t>
  </si>
  <si>
    <t>Valuation</t>
  </si>
  <si>
    <t>Terminal</t>
  </si>
  <si>
    <t>Average Terminal Value</t>
  </si>
  <si>
    <t>Manual End-of-Period Discounting Convention</t>
  </si>
  <si>
    <t>The NPV function assumes cash flows are evenly spaced;</t>
  </si>
  <si>
    <t xml:space="preserve"> you do not typically include the first cash flow (if there is one), as NPV will discount that cash flow as well.</t>
  </si>
  <si>
    <t>The XNPV function is more accurate as it takes into account precise dates;</t>
  </si>
  <si>
    <t>Intrinsic Valuation - Using IRR and XIRR</t>
  </si>
  <si>
    <t>Intrinsic Valuation - Using NPV and XNPV</t>
  </si>
  <si>
    <r>
      <t xml:space="preserve">Using the IRR function </t>
    </r>
    <r>
      <rPr>
        <b/>
        <vertAlign val="superscript"/>
        <sz val="10"/>
        <color theme="1"/>
        <rFont val="Open Sans"/>
        <family val="2"/>
      </rPr>
      <t>1</t>
    </r>
  </si>
  <si>
    <t>Internal Rate of Return (IRR)</t>
  </si>
  <si>
    <t>Both IRR and XIRR require an initial cash outflow to calculate;</t>
  </si>
  <si>
    <t>The XIRR function is more accurate as it takes into account precise dates.</t>
  </si>
  <si>
    <r>
      <t xml:space="preserve">Using the XNPV function (End-of-Period Discounting)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</si>
  <si>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Using the NPV function (End-of-Period Discounting) </t>
    </r>
    <r>
      <rPr>
        <b/>
        <vertAlign val="superscript"/>
        <sz val="10"/>
        <color theme="1"/>
        <rFont val="Open Sans"/>
        <family val="2"/>
      </rPr>
      <t>1</t>
    </r>
  </si>
  <si>
    <t>Using the XIRR function (End-of-Period Discounting)</t>
  </si>
  <si>
    <t>Relative Valuation</t>
  </si>
  <si>
    <t>Share</t>
  </si>
  <si>
    <t>Offer</t>
  </si>
  <si>
    <t>Control</t>
  </si>
  <si>
    <t>Price</t>
  </si>
  <si>
    <t>Premium</t>
  </si>
  <si>
    <t>GTM</t>
  </si>
  <si>
    <t>Data Table</t>
  </si>
  <si>
    <t>Precedent Transactions</t>
  </si>
  <si>
    <t>Comparable Companies</t>
  </si>
  <si>
    <t>Low</t>
  </si>
  <si>
    <t>Middle</t>
  </si>
  <si>
    <t>High</t>
  </si>
  <si>
    <t>52 Week High/Low</t>
  </si>
  <si>
    <t>Football Field Chart</t>
  </si>
  <si>
    <t>© 2015 to 2023 CFI Education Inc.</t>
  </si>
  <si>
    <t>Interest Expense, net</t>
  </si>
  <si>
    <t>IMPLIED PERPETUITY GROWTH AND TERMINAL MULTIPLE</t>
  </si>
  <si>
    <r>
      <t xml:space="preserve">Implied Perpetuity Growth Rate </t>
    </r>
    <r>
      <rPr>
        <i/>
        <vertAlign val="superscript"/>
        <sz val="10"/>
        <color theme="1"/>
        <rFont val="Open Sans"/>
        <family val="2"/>
      </rPr>
      <t>1</t>
    </r>
  </si>
  <si>
    <r>
      <t xml:space="preserve">Implied Perpetuity Growth Rate </t>
    </r>
    <r>
      <rPr>
        <i/>
        <vertAlign val="superscript"/>
        <sz val="10"/>
        <color theme="1"/>
        <rFont val="Open Sans"/>
        <family val="2"/>
      </rPr>
      <t>2</t>
    </r>
  </si>
  <si>
    <t xml:space="preserve">Assumes end-of-period discounting. </t>
  </si>
  <si>
    <t xml:space="preserve">Assumes mid-year discounting. </t>
  </si>
  <si>
    <t>DCF - Perpetuity Growth</t>
  </si>
  <si>
    <t>DCF - Terminal Multiple</t>
  </si>
  <si>
    <t>Equity Value per Share</t>
  </si>
  <si>
    <t>Perpetuity Growth Rate</t>
  </si>
  <si>
    <t>Supermarkets</t>
  </si>
  <si>
    <t>Shares</t>
  </si>
  <si>
    <t>$</t>
  </si>
  <si>
    <t>x</t>
  </si>
  <si>
    <t>mm</t>
  </si>
  <si>
    <t>Net</t>
  </si>
  <si>
    <t>Debt</t>
  </si>
  <si>
    <t>Target Company Value at Median Multiples</t>
  </si>
  <si>
    <t>Outstand.</t>
  </si>
  <si>
    <t>Market Cap</t>
  </si>
  <si>
    <t>at Offer</t>
  </si>
  <si>
    <t>Current Price</t>
  </si>
  <si>
    <t>Upside/(Downside)</t>
  </si>
  <si>
    <r>
      <t xml:space="preserve">EQUITY VALUE </t>
    </r>
    <r>
      <rPr>
        <b/>
        <vertAlign val="superscript"/>
        <sz val="10"/>
        <rFont val="Open Sans"/>
        <family val="2"/>
      </rPr>
      <t>1</t>
    </r>
  </si>
  <si>
    <r>
      <t xml:space="preserve">Implied Terminal Multiple </t>
    </r>
    <r>
      <rPr>
        <i/>
        <vertAlign val="superscript"/>
        <sz val="10"/>
        <color theme="1"/>
        <rFont val="Open Sans"/>
        <family val="2"/>
      </rPr>
      <t>1</t>
    </r>
  </si>
  <si>
    <r>
      <t xml:space="preserve">Implied Terminal Multiple </t>
    </r>
    <r>
      <rPr>
        <i/>
        <vertAlign val="superscript"/>
        <sz val="10"/>
        <color theme="1"/>
        <rFont val="Open Sans"/>
        <family val="2"/>
      </rPr>
      <t>2</t>
    </r>
  </si>
  <si>
    <t>Nav Inc.</t>
  </si>
  <si>
    <t>LRM Ltd.</t>
  </si>
  <si>
    <t>Zhao Ltd.</t>
  </si>
  <si>
    <t>Manual Mid-Period Discounting Convention</t>
  </si>
  <si>
    <t>Using the XIRR function (Mid-Period Discounting)</t>
  </si>
  <si>
    <t>it will not discount the first cash flow.</t>
  </si>
  <si>
    <t>DCF Model</t>
  </si>
  <si>
    <t>Introduction to Business Valuation Model</t>
  </si>
  <si>
    <t>Equity Risk Premium</t>
  </si>
  <si>
    <t>Target Debt Weight (% of Total Capital Structure)</t>
  </si>
  <si>
    <t>Target Equity Weight (% of Total Capital Structure)</t>
  </si>
  <si>
    <t>However, we must hardcode a zero value at the valuation date for XNPV to correctly discount the cash flows</t>
  </si>
  <si>
    <r>
      <t xml:space="preserve">Using the XNPV function (Mid-Period Discounting) </t>
    </r>
    <r>
      <rPr>
        <b/>
        <vertAlign val="superscript"/>
        <sz val="10"/>
        <color theme="1"/>
        <rFont val="Open Sans"/>
        <family val="2"/>
      </rPr>
      <t>2</t>
    </r>
  </si>
  <si>
    <r>
      <t xml:space="preserve">P / E </t>
    </r>
    <r>
      <rPr>
        <b/>
        <vertAlign val="superscript"/>
        <sz val="10"/>
        <color rgb="FF000000"/>
        <rFont val="Open Sans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</si>
</sst>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3" formatCode="_(* #,##0.00_);_(* \(#,##0.00\);_(* &quot;-&quot;??_);_(@_)"/>
    <numFmt numFmtId="164" formatCode="_-* #,##0.00_-;\-* #,##0.00_-;_-* &quot;-&quot;??_-;_-@_-"/>
    <numFmt numFmtId="165" formatCode="_(#,##0_)_%;\(#,##0\)_%;_(&quot;–&quot;_)_%;_(@_)_%"/>
    <numFmt numFmtId="166" formatCode="0&quot;A&quot;"/>
    <numFmt numFmtId="167" formatCode="0&quot;F&quot;"/>
    <numFmt numFmtId="168" formatCode="_(#,##0_);\(#,##0\);_(&quot;–&quot;_);_(@_)"/>
    <numFmt numFmtId="169" formatCode="#,##0_);[Red]\(#,##0\);\-"/>
    <numFmt numFmtId="170" formatCode="#,##0_);\(#,##0\);\-"/>
    <numFmt numFmtId="171" formatCode="_(#,##0.0%_);\(#,##0.0%\);_(&quot;–&quot;_)_%;_(@_)_%"/>
    <numFmt numFmtId="172" formatCode="0&quot;E&quot;"/>
    <numFmt numFmtId="173" formatCode="0.0%"/>
    <numFmt numFmtId="174" formatCode="_(#,##0.00_);\(#,##0.00\);_(&quot;–&quot;_);_(@_)"/>
    <numFmt numFmtId="175" formatCode="_(#,##0%_);\(#,##0%\);_(&quot;–&quot;_)_%;_(@_)_%"/>
    <numFmt numFmtId="176" formatCode="@\⁽\¹\⁾"/>
    <numFmt numFmtId="177" formatCode="@\⁽\²\⁾"/>
    <numFmt numFmtId="178" formatCode="&quot;Yes&quot;;&quot;ERROR&quot;;&quot;No&quot;;&quot;ERROR&quot;"/>
    <numFmt numFmtId="179" formatCode="_-* #,##0.00_-;\(#,##0.00\)_-;_-* &quot;-&quot;_-;_-@_-"/>
    <numFmt numFmtId="180" formatCode="[=1]&quot;Yes&quot;;[=0]&quot;No&quot;"/>
    <numFmt numFmtId="181" formatCode="_(0.0\x_);\(0.0\x\);_(&quot;–&quot;_);_(@_)"/>
    <numFmt numFmtId="182" formatCode="[=0]&quot;Yes&quot;;[=1]&quot;No&quot;"/>
    <numFmt numFmtId="183" formatCode="@\⁽\³\⁾"/>
    <numFmt numFmtId="184" formatCode="0.0\x"/>
    <numFmt numFmtId="185" formatCode="@\⁽\⁴\⁾"/>
    <numFmt numFmtId="186" formatCode="yyyy\-mm\-dd;@"/>
    <numFmt numFmtId="187" formatCode="_(#,##0.0_);\(#,##0.0\);_(&quot;–&quot;_);_(@_)"/>
    <numFmt numFmtId="188" formatCode="yy/mm/dd"/>
    <numFmt numFmtId="189" formatCode="_-&quot;$&quot;* #,##0.00_-;\-&quot;$&quot;* #,##0.00_-;_-&quot;$&quot;* &quot;-&quot;??_-;_-@_-"/>
    <numFmt numFmtId="190" formatCode="#,##0.00_);\(#,##0.00\);\-"/>
    <numFmt numFmtId="191" formatCode="0000\A"/>
    <numFmt numFmtId="192" formatCode="0000\F"/>
  </numFmts>
  <fonts count="77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1"/>
      <color theme="1"/>
      <name val="Open Sans"/>
      <family val="2"/>
    </font>
    <font>
      <b/>
      <sz val="14"/>
      <color rgb="FF132E57"/>
      <name val="Open Sans"/>
      <family val="2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name val="Bookman"/>
      <family val="1"/>
    </font>
    <font>
      <sz val="11"/>
      <color theme="1"/>
      <name val="Open Sans"/>
      <family val="2"/>
    </font>
    <font>
      <sz val="14"/>
      <color theme="1"/>
      <name val="Open Sans"/>
      <family val="2"/>
    </font>
    <font>
      <b/>
      <sz val="14"/>
      <color rgb="FF3271D2"/>
      <name val="Open Sans"/>
      <family val="2"/>
    </font>
    <font>
      <b/>
      <sz val="14"/>
      <color rgb="FF0000FF"/>
      <name val="Open Sans"/>
      <family val="2"/>
    </font>
    <font>
      <i/>
      <sz val="9"/>
      <name val="Open Sans"/>
      <family val="2"/>
    </font>
    <font>
      <b/>
      <sz val="10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10"/>
      <name val="Open Sans"/>
      <family val="2"/>
    </font>
    <font>
      <i/>
      <sz val="8"/>
      <name val="Open Sans"/>
      <family val="2"/>
    </font>
    <font>
      <sz val="10"/>
      <color rgb="FF0000FF"/>
      <name val="Open Sans"/>
      <family val="2"/>
    </font>
    <font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3271D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sz val="9"/>
      <name val="Open Sans"/>
      <family val="2"/>
    </font>
    <font>
      <sz val="12"/>
      <color rgb="FF000000"/>
      <name val="Open Sans"/>
      <family val="2"/>
    </font>
    <font>
      <sz val="10"/>
      <color rgb="FFFA621C"/>
      <name val="Open Sans"/>
      <family val="2"/>
    </font>
    <font>
      <sz val="11"/>
      <color rgb="FFFA621C"/>
      <name val="Open Sans"/>
      <family val="2"/>
    </font>
    <font>
      <sz val="12"/>
      <color rgb="FF002060"/>
      <name val="Open Sans"/>
      <family val="2"/>
    </font>
    <font>
      <sz val="11"/>
      <color rgb="FF000000"/>
      <name val="Open Sans"/>
      <family val="2"/>
    </font>
    <font>
      <b/>
      <vertAlign val="superscript"/>
      <sz val="10"/>
      <name val="Open Sans"/>
      <family val="2"/>
    </font>
    <font>
      <b/>
      <sz val="10"/>
      <color rgb="FFFA621C"/>
      <name val="Open Sans"/>
      <family val="2"/>
    </font>
    <font>
      <b/>
      <i/>
      <sz val="11"/>
      <color rgb="FFFA621C"/>
      <name val="Open Sans"/>
      <family val="2"/>
    </font>
    <font>
      <sz val="11"/>
      <color rgb="FF3271D2"/>
      <name val="Open Sans"/>
      <family val="2"/>
    </font>
    <font>
      <sz val="11"/>
      <name val="Arial Narrow"/>
      <family val="2"/>
    </font>
    <font>
      <sz val="10"/>
      <color rgb="FF002060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8"/>
      <color theme="1"/>
      <name val="Open Sans"/>
      <family val="2"/>
    </font>
    <font>
      <sz val="11"/>
      <color rgb="FF3271D2"/>
      <name val="Arial Narrow"/>
      <family val="2"/>
    </font>
    <font>
      <sz val="10"/>
      <color rgb="FF289A72"/>
      <name val="Open Sans"/>
      <family val="2"/>
    </font>
    <font>
      <sz val="10"/>
      <name val="Arial"/>
      <family val="2"/>
    </font>
    <font>
      <b/>
      <vertAlign val="superscript"/>
      <sz val="10"/>
      <color rgb="FF000000"/>
      <name val="Open Sans"/>
      <family val="2"/>
    </font>
    <font>
      <b/>
      <vertAlign val="superscript"/>
      <sz val="10"/>
      <color theme="1"/>
      <name val="Open Sans"/>
      <family val="2"/>
    </font>
    <font>
      <sz val="10"/>
      <color rgb="FFC00000"/>
      <name val="Open Sans"/>
      <family val="2"/>
    </font>
    <font>
      <i/>
      <sz val="9"/>
      <color rgb="FF000000"/>
      <name val="Open Sans"/>
      <family val="2"/>
    </font>
    <font>
      <b/>
      <sz val="11"/>
      <color rgb="FF000000"/>
      <name val="Open Sans"/>
      <family val="2"/>
    </font>
    <font>
      <sz val="9"/>
      <color rgb="FF000000"/>
      <name val="Open Sans"/>
      <family val="2"/>
    </font>
    <font>
      <vertAlign val="subscript"/>
      <sz val="10"/>
      <color theme="1"/>
      <name val="Open Sans"/>
      <family val="2"/>
    </font>
    <font>
      <u/>
      <sz val="12"/>
      <color rgb="FF3271D2"/>
      <name val="Open Sans"/>
      <family val="2"/>
    </font>
    <font>
      <b/>
      <sz val="9"/>
      <color rgb="FF000000"/>
      <name val="Open Sans"/>
      <family val="2"/>
    </font>
    <font>
      <sz val="8"/>
      <name val="Open Sans"/>
      <family val="2"/>
    </font>
    <font>
      <sz val="10"/>
      <color rgb="FFFFFFFF"/>
      <name val="Open Sans"/>
      <family val="2"/>
    </font>
    <font>
      <i/>
      <sz val="10"/>
      <color theme="1"/>
      <name val="Open Sans"/>
      <family val="2"/>
    </font>
    <font>
      <i/>
      <vertAlign val="superscript"/>
      <sz val="10"/>
      <color theme="1"/>
      <name val="Open Sans"/>
      <family val="2"/>
    </font>
    <font>
      <i/>
      <sz val="11"/>
      <color theme="1"/>
      <name val="Open Sans"/>
      <family val="2"/>
    </font>
    <font>
      <i/>
      <sz val="9"/>
      <color theme="1"/>
      <name val="Open Sans"/>
      <family val="2"/>
    </font>
    <font>
      <i/>
      <sz val="9"/>
      <color rgb="FFFF0000"/>
      <name val="Open Sans"/>
      <family val="2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thin">
        <color rgb="FF3271D2"/>
      </left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/>
      <right style="thin">
        <color rgb="FF3271D2"/>
      </right>
      <top/>
      <bottom/>
      <diagonal/>
    </border>
    <border>
      <left/>
      <right style="thin">
        <color rgb="FF3271D2"/>
      </right>
      <top style="thin">
        <color rgb="FF3271D2"/>
      </top>
      <bottom/>
      <diagonal/>
    </border>
    <border>
      <left style="thin">
        <color rgb="FF3271D2"/>
      </left>
      <right style="thin">
        <color rgb="FF3271D2"/>
      </right>
      <top/>
      <bottom style="medium">
        <color rgb="FF3271D2"/>
      </bottom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3271D2"/>
      </bottom>
      <diagonal/>
    </border>
    <border diagonalUp="1" diagonalDown="1">
      <left/>
      <right/>
      <top style="thin">
        <color rgb="FF000000"/>
      </top>
      <bottom/>
      <diagonal style="thin">
        <color auto="1"/>
      </diagonal>
    </border>
    <border diagonalUp="1" diagonalDown="1">
      <left/>
      <right/>
      <top/>
      <bottom style="thin">
        <color rgb="FF000000"/>
      </bottom>
      <diagonal style="thin">
        <color auto="1"/>
      </diagonal>
    </border>
    <border diagonalUp="1" diagonalDown="1">
      <left style="thin">
        <color rgb="FF000000"/>
      </left>
      <right/>
      <top style="thin">
        <color rgb="FF000000"/>
      </top>
      <bottom/>
      <diagonal style="thin">
        <color auto="1"/>
      </diagonal>
    </border>
    <border diagonalUp="1" diagonalDown="1">
      <left style="thin">
        <color rgb="FF000000"/>
      </left>
      <right/>
      <top/>
      <bottom style="thin">
        <color rgb="FF000000"/>
      </bottom>
      <diagonal style="thin">
        <color auto="1"/>
      </diagonal>
    </border>
    <border diagonalUp="1" diagonalDown="1">
      <left/>
      <right style="thin">
        <color rgb="FF000000"/>
      </right>
      <top style="thin">
        <color rgb="FF000000"/>
      </top>
      <bottom/>
      <diagonal style="thin">
        <color auto="1"/>
      </diagonal>
    </border>
    <border diagonalUp="1" diagonalDown="1">
      <left/>
      <right style="thin">
        <color rgb="FF000000"/>
      </right>
      <top/>
      <bottom style="thin">
        <color rgb="FF000000"/>
      </bottom>
      <diagonal style="thin">
        <color auto="1"/>
      </diagonal>
    </border>
  </borders>
  <cellStyleXfs count="12">
    <xf numFmtId="0" fontId="0" fillId="0" borderId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2" fillId="0" borderId="0"/>
    <xf numFmtId="164" fontId="2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59" fillId="0" borderId="0"/>
    <xf numFmtId="189" fontId="12" fillId="0" borderId="0" applyFont="0" applyFill="0" applyBorder="0" applyAlignment="0" applyProtection="0"/>
    <xf numFmtId="0" fontId="76" fillId="0" borderId="0"/>
    <xf numFmtId="43" fontId="76" fillId="0" borderId="0" applyFont="0" applyFill="0" applyBorder="0" applyAlignment="0" applyProtection="0"/>
  </cellStyleXfs>
  <cellXfs count="367">
    <xf numFmtId="0" fontId="0" fillId="0" borderId="0" xfId="0"/>
    <xf numFmtId="0" fontId="19" fillId="3" borderId="0" xfId="4" applyFont="1" applyFill="1"/>
    <xf numFmtId="165" fontId="20" fillId="3" borderId="0" xfId="4" applyNumberFormat="1" applyFont="1" applyFill="1"/>
    <xf numFmtId="37" fontId="23" fillId="0" borderId="0" xfId="0" applyNumberFormat="1" applyFont="1" applyAlignment="1">
      <alignment vertical="center"/>
    </xf>
    <xf numFmtId="37" fontId="25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37" fontId="14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vertical="center"/>
    </xf>
    <xf numFmtId="166" fontId="27" fillId="0" borderId="0" xfId="0" applyNumberFormat="1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left"/>
    </xf>
    <xf numFmtId="0" fontId="30" fillId="0" borderId="0" xfId="0" applyFont="1"/>
    <xf numFmtId="0" fontId="27" fillId="0" borderId="0" xfId="0" applyFont="1"/>
    <xf numFmtId="169" fontId="27" fillId="0" borderId="0" xfId="0" applyNumberFormat="1" applyFont="1"/>
    <xf numFmtId="170" fontId="30" fillId="0" borderId="0" xfId="0" applyNumberFormat="1" applyFont="1"/>
    <xf numFmtId="170" fontId="29" fillId="0" borderId="0" xfId="0" applyNumberFormat="1" applyFont="1"/>
    <xf numFmtId="0" fontId="29" fillId="0" borderId="0" xfId="0" applyFont="1"/>
    <xf numFmtId="0" fontId="34" fillId="0" borderId="0" xfId="0" applyFont="1" applyAlignment="1">
      <alignment horizontal="center"/>
    </xf>
    <xf numFmtId="170" fontId="35" fillId="0" borderId="0" xfId="0" applyNumberFormat="1" applyFont="1"/>
    <xf numFmtId="0" fontId="30" fillId="0" borderId="12" xfId="0" applyFont="1" applyBorder="1"/>
    <xf numFmtId="168" fontId="29" fillId="0" borderId="0" xfId="0" applyNumberFormat="1" applyFont="1"/>
    <xf numFmtId="168" fontId="29" fillId="0" borderId="12" xfId="0" applyNumberFormat="1" applyFont="1" applyBorder="1"/>
    <xf numFmtId="167" fontId="27" fillId="0" borderId="0" xfId="0" applyNumberFormat="1" applyFont="1" applyAlignment="1">
      <alignment horizontal="right"/>
    </xf>
    <xf numFmtId="168" fontId="31" fillId="0" borderId="0" xfId="0" applyNumberFormat="1" applyFont="1"/>
    <xf numFmtId="168" fontId="30" fillId="0" borderId="0" xfId="0" applyNumberFormat="1" applyFont="1"/>
    <xf numFmtId="0" fontId="36" fillId="0" borderId="0" xfId="0" applyFont="1" applyAlignment="1">
      <alignment horizontal="left"/>
    </xf>
    <xf numFmtId="0" fontId="27" fillId="0" borderId="12" xfId="0" applyFont="1" applyBorder="1"/>
    <xf numFmtId="169" fontId="27" fillId="0" borderId="12" xfId="0" applyNumberFormat="1" applyFont="1" applyBorder="1"/>
    <xf numFmtId="169" fontId="30" fillId="0" borderId="0" xfId="0" applyNumberFormat="1" applyFont="1"/>
    <xf numFmtId="170" fontId="31" fillId="0" borderId="0" xfId="0" applyNumberFormat="1" applyFont="1"/>
    <xf numFmtId="0" fontId="30" fillId="0" borderId="0" xfId="0" applyFont="1" applyAlignment="1">
      <alignment horizontal="left"/>
    </xf>
    <xf numFmtId="0" fontId="30" fillId="0" borderId="16" xfId="0" applyFont="1" applyBorder="1" applyAlignment="1">
      <alignment horizontal="left"/>
    </xf>
    <xf numFmtId="0" fontId="30" fillId="0" borderId="21" xfId="0" applyFont="1" applyBorder="1" applyAlignment="1">
      <alignment horizontal="left"/>
    </xf>
    <xf numFmtId="0" fontId="27" fillId="0" borderId="0" xfId="0" applyFont="1" applyAlignment="1">
      <alignment horizontal="left"/>
    </xf>
    <xf numFmtId="171" fontId="29" fillId="0" borderId="0" xfId="0" applyNumberFormat="1" applyFont="1"/>
    <xf numFmtId="37" fontId="24" fillId="4" borderId="0" xfId="0" applyNumberFormat="1" applyFont="1" applyFill="1" applyAlignment="1">
      <alignment vertical="center"/>
    </xf>
    <xf numFmtId="37" fontId="13" fillId="4" borderId="0" xfId="0" applyNumberFormat="1" applyFont="1" applyFill="1" applyAlignment="1">
      <alignment vertical="center"/>
    </xf>
    <xf numFmtId="37" fontId="14" fillId="4" borderId="0" xfId="0" applyNumberFormat="1" applyFont="1" applyFill="1" applyAlignment="1">
      <alignment vertical="center"/>
    </xf>
    <xf numFmtId="166" fontId="13" fillId="4" borderId="0" xfId="0" applyNumberFormat="1" applyFont="1" applyFill="1" applyAlignment="1">
      <alignment horizontal="right"/>
    </xf>
    <xf numFmtId="172" fontId="26" fillId="4" borderId="0" xfId="0" applyNumberFormat="1" applyFont="1" applyFill="1" applyAlignment="1">
      <alignment horizontal="centerContinuous"/>
    </xf>
    <xf numFmtId="172" fontId="27" fillId="4" borderId="0" xfId="0" applyNumberFormat="1" applyFont="1" applyFill="1" applyAlignment="1">
      <alignment horizontal="centerContinuous"/>
    </xf>
    <xf numFmtId="0" fontId="29" fillId="0" borderId="0" xfId="0" applyFont="1" applyAlignment="1">
      <alignment horizontal="left" indent="1"/>
    </xf>
    <xf numFmtId="37" fontId="24" fillId="0" borderId="0" xfId="0" applyNumberFormat="1" applyFont="1" applyAlignment="1">
      <alignment vertical="center"/>
    </xf>
    <xf numFmtId="0" fontId="22" fillId="0" borderId="0" xfId="0" applyFont="1"/>
    <xf numFmtId="168" fontId="27" fillId="0" borderId="0" xfId="0" applyNumberFormat="1" applyFont="1" applyAlignment="1">
      <alignment horizontal="right"/>
    </xf>
    <xf numFmtId="0" fontId="22" fillId="0" borderId="0" xfId="4" applyFont="1"/>
    <xf numFmtId="0" fontId="22" fillId="2" borderId="1" xfId="4" applyFont="1" applyFill="1" applyBorder="1"/>
    <xf numFmtId="0" fontId="22" fillId="2" borderId="2" xfId="4" applyFont="1" applyFill="1" applyBorder="1"/>
    <xf numFmtId="0" fontId="22" fillId="2" borderId="3" xfId="4" applyFont="1" applyFill="1" applyBorder="1"/>
    <xf numFmtId="0" fontId="22" fillId="2" borderId="4" xfId="4" applyFont="1" applyFill="1" applyBorder="1"/>
    <xf numFmtId="0" fontId="22" fillId="2" borderId="0" xfId="4" applyFont="1" applyFill="1"/>
    <xf numFmtId="0" fontId="22" fillId="2" borderId="5" xfId="4" applyFont="1" applyFill="1" applyBorder="1"/>
    <xf numFmtId="0" fontId="22" fillId="0" borderId="4" xfId="4" applyFont="1" applyBorder="1"/>
    <xf numFmtId="0" fontId="22" fillId="0" borderId="5" xfId="4" applyFont="1" applyBorder="1"/>
    <xf numFmtId="0" fontId="15" fillId="0" borderId="0" xfId="4" applyFont="1" applyProtection="1">
      <protection locked="0"/>
    </xf>
    <xf numFmtId="0" fontId="17" fillId="0" borderId="0" xfId="4" applyFont="1" applyAlignment="1">
      <alignment horizontal="right"/>
    </xf>
    <xf numFmtId="0" fontId="22" fillId="0" borderId="0" xfId="4" applyFont="1" applyProtection="1">
      <protection locked="0"/>
    </xf>
    <xf numFmtId="0" fontId="16" fillId="0" borderId="0" xfId="4" applyFont="1"/>
    <xf numFmtId="0" fontId="17" fillId="0" borderId="6" xfId="4" applyFont="1" applyBorder="1" applyProtection="1">
      <protection locked="0"/>
    </xf>
    <xf numFmtId="0" fontId="14" fillId="3" borderId="0" xfId="4" applyFont="1" applyFill="1"/>
    <xf numFmtId="0" fontId="22" fillId="0" borderId="7" xfId="4" applyFont="1" applyBorder="1"/>
    <xf numFmtId="0" fontId="22" fillId="0" borderId="8" xfId="4" applyFont="1" applyBorder="1"/>
    <xf numFmtId="0" fontId="22" fillId="0" borderId="9" xfId="4" applyFont="1" applyBorder="1"/>
    <xf numFmtId="165" fontId="43" fillId="0" borderId="0" xfId="2" applyNumberFormat="1" applyFont="1" applyFill="1" applyBorder="1" applyAlignment="1" applyProtection="1">
      <alignment horizontal="left"/>
      <protection locked="0"/>
    </xf>
    <xf numFmtId="0" fontId="28" fillId="2" borderId="0" xfId="0" applyFont="1" applyFill="1"/>
    <xf numFmtId="0" fontId="22" fillId="0" borderId="12" xfId="0" applyFont="1" applyBorder="1"/>
    <xf numFmtId="178" fontId="43" fillId="0" borderId="0" xfId="2" applyNumberFormat="1" applyFont="1" applyFill="1" applyBorder="1" applyAlignment="1" applyProtection="1">
      <alignment horizontal="center"/>
      <protection locked="0"/>
    </xf>
    <xf numFmtId="0" fontId="46" fillId="0" borderId="0" xfId="2" applyFont="1" applyFill="1" applyBorder="1" applyProtection="1">
      <protection locked="0"/>
    </xf>
    <xf numFmtId="0" fontId="41" fillId="0" borderId="0" xfId="3" applyFont="1" applyFill="1" applyBorder="1"/>
    <xf numFmtId="168" fontId="29" fillId="0" borderId="0" xfId="0" applyNumberFormat="1" applyFont="1" applyAlignment="1">
      <alignment horizontal="right"/>
    </xf>
    <xf numFmtId="0" fontId="17" fillId="0" borderId="23" xfId="4" applyFont="1" applyBorder="1" applyAlignment="1" applyProtection="1">
      <alignment horizontal="centerContinuous"/>
      <protection locked="0"/>
    </xf>
    <xf numFmtId="0" fontId="22" fillId="0" borderId="23" xfId="4" applyFont="1" applyBorder="1" applyAlignment="1">
      <alignment horizontal="centerContinuous"/>
    </xf>
    <xf numFmtId="0" fontId="32" fillId="0" borderId="0" xfId="0" applyFont="1" applyAlignment="1">
      <alignment horizontal="left" indent="1"/>
    </xf>
    <xf numFmtId="0" fontId="30" fillId="0" borderId="0" xfId="0" applyFont="1" applyAlignment="1">
      <alignment horizontal="left" indent="1"/>
    </xf>
    <xf numFmtId="0" fontId="49" fillId="0" borderId="0" xfId="0" applyFont="1" applyAlignment="1">
      <alignment horizontal="left"/>
    </xf>
    <xf numFmtId="179" fontId="50" fillId="0" borderId="0" xfId="5" applyNumberFormat="1" applyFont="1" applyAlignment="1" applyProtection="1">
      <alignment horizontal="center"/>
      <protection locked="0"/>
    </xf>
    <xf numFmtId="37" fontId="11" fillId="4" borderId="0" xfId="0" applyNumberFormat="1" applyFont="1" applyFill="1" applyAlignment="1">
      <alignment vertical="center"/>
    </xf>
    <xf numFmtId="0" fontId="11" fillId="0" borderId="0" xfId="4" applyFont="1"/>
    <xf numFmtId="0" fontId="11" fillId="0" borderId="23" xfId="4" applyFont="1" applyBorder="1" applyAlignment="1">
      <alignment horizontal="centerContinuous"/>
    </xf>
    <xf numFmtId="0" fontId="11" fillId="3" borderId="0" xfId="4" applyFont="1" applyFill="1"/>
    <xf numFmtId="0" fontId="17" fillId="0" borderId="23" xfId="4" applyFont="1" applyBorder="1" applyAlignment="1" applyProtection="1">
      <alignment horizontal="left"/>
      <protection locked="0"/>
    </xf>
    <xf numFmtId="170" fontId="35" fillId="0" borderId="0" xfId="0" applyNumberFormat="1" applyFont="1" applyAlignment="1">
      <alignment horizontal="right"/>
    </xf>
    <xf numFmtId="170" fontId="30" fillId="0" borderId="0" xfId="0" applyNumberFormat="1" applyFont="1" applyAlignment="1">
      <alignment horizontal="right"/>
    </xf>
    <xf numFmtId="0" fontId="27" fillId="0" borderId="0" xfId="0" applyFont="1" applyAlignment="1">
      <alignment horizontal="left" indent="1"/>
    </xf>
    <xf numFmtId="0" fontId="33" fillId="0" borderId="0" xfId="0" applyFont="1" applyAlignment="1">
      <alignment horizontal="left" indent="1"/>
    </xf>
    <xf numFmtId="170" fontId="22" fillId="0" borderId="0" xfId="0" applyNumberFormat="1" applyFont="1"/>
    <xf numFmtId="0" fontId="30" fillId="0" borderId="0" xfId="0" applyFont="1" applyAlignment="1">
      <alignment horizontal="left" indent="2"/>
    </xf>
    <xf numFmtId="0" fontId="53" fillId="0" borderId="0" xfId="3" applyFont="1" applyFill="1" applyBorder="1" applyProtection="1">
      <protection locked="0"/>
    </xf>
    <xf numFmtId="0" fontId="54" fillId="0" borderId="0" xfId="4" applyFont="1"/>
    <xf numFmtId="165" fontId="55" fillId="0" borderId="0" xfId="3" applyNumberFormat="1" applyFont="1" applyFill="1" applyBorder="1"/>
    <xf numFmtId="0" fontId="45" fillId="0" borderId="0" xfId="4" applyFont="1"/>
    <xf numFmtId="0" fontId="45" fillId="0" borderId="0" xfId="3" applyFont="1" applyFill="1" applyBorder="1"/>
    <xf numFmtId="168" fontId="37" fillId="0" borderId="0" xfId="6" applyNumberFormat="1" applyFont="1" applyFill="1" applyBorder="1" applyAlignment="1">
      <alignment horizontal="right"/>
    </xf>
    <xf numFmtId="168" fontId="31" fillId="0" borderId="0" xfId="0" applyNumberFormat="1" applyFont="1" applyAlignment="1">
      <alignment horizontal="right"/>
    </xf>
    <xf numFmtId="168" fontId="31" fillId="0" borderId="12" xfId="0" applyNumberFormat="1" applyFont="1" applyBorder="1" applyAlignment="1">
      <alignment horizontal="right"/>
    </xf>
    <xf numFmtId="170" fontId="52" fillId="0" borderId="0" xfId="0" applyNumberFormat="1" applyFont="1"/>
    <xf numFmtId="169" fontId="31" fillId="0" borderId="0" xfId="0" applyNumberFormat="1" applyFont="1"/>
    <xf numFmtId="180" fontId="43" fillId="0" borderId="0" xfId="2" applyNumberFormat="1" applyFont="1" applyFill="1" applyBorder="1" applyAlignment="1" applyProtection="1">
      <alignment horizontal="center"/>
      <protection locked="0"/>
    </xf>
    <xf numFmtId="0" fontId="56" fillId="5" borderId="0" xfId="4" applyFont="1" applyFill="1"/>
    <xf numFmtId="0" fontId="56" fillId="2" borderId="0" xfId="4" applyFont="1" applyFill="1"/>
    <xf numFmtId="0" fontId="11" fillId="0" borderId="0" xfId="4" applyFont="1" applyAlignment="1">
      <alignment horizontal="centerContinuous"/>
    </xf>
    <xf numFmtId="168" fontId="38" fillId="0" borderId="0" xfId="0" applyNumberFormat="1" applyFont="1" applyAlignment="1">
      <alignment horizontal="right"/>
    </xf>
    <xf numFmtId="168" fontId="38" fillId="0" borderId="0" xfId="1" applyNumberFormat="1" applyFont="1" applyFill="1" applyAlignment="1">
      <alignment horizontal="right"/>
    </xf>
    <xf numFmtId="170" fontId="57" fillId="0" borderId="0" xfId="0" applyNumberFormat="1" applyFont="1"/>
    <xf numFmtId="169" fontId="38" fillId="0" borderId="0" xfId="0" applyNumberFormat="1" applyFont="1"/>
    <xf numFmtId="168" fontId="30" fillId="0" borderId="0" xfId="0" applyNumberFormat="1" applyFont="1" applyAlignment="1">
      <alignment horizontal="right"/>
    </xf>
    <xf numFmtId="170" fontId="32" fillId="0" borderId="24" xfId="0" applyNumberFormat="1" applyFont="1" applyBorder="1" applyAlignment="1">
      <alignment horizontal="right" vertical="center"/>
    </xf>
    <xf numFmtId="168" fontId="27" fillId="0" borderId="0" xfId="1" applyNumberFormat="1" applyFont="1" applyFill="1" applyAlignment="1">
      <alignment horizontal="right"/>
    </xf>
    <xf numFmtId="168" fontId="27" fillId="0" borderId="0" xfId="1" applyNumberFormat="1" applyFont="1" applyFill="1" applyBorder="1" applyAlignment="1">
      <alignment horizontal="right"/>
    </xf>
    <xf numFmtId="166" fontId="32" fillId="0" borderId="10" xfId="0" applyNumberFormat="1" applyFont="1" applyBorder="1" applyAlignment="1">
      <alignment horizontal="right" vertical="center"/>
    </xf>
    <xf numFmtId="167" fontId="32" fillId="0" borderId="11" xfId="0" applyNumberFormat="1" applyFont="1" applyBorder="1" applyAlignment="1">
      <alignment horizontal="right" vertical="center"/>
    </xf>
    <xf numFmtId="168" fontId="32" fillId="0" borderId="0" xfId="0" applyNumberFormat="1" applyFont="1" applyAlignment="1">
      <alignment horizontal="right"/>
    </xf>
    <xf numFmtId="168" fontId="32" fillId="0" borderId="13" xfId="0" applyNumberFormat="1" applyFont="1" applyBorder="1" applyAlignment="1">
      <alignment horizontal="right" vertical="center"/>
    </xf>
    <xf numFmtId="170" fontId="29" fillId="0" borderId="17" xfId="0" applyNumberFormat="1" applyFont="1" applyBorder="1"/>
    <xf numFmtId="169" fontId="32" fillId="0" borderId="24" xfId="0" applyNumberFormat="1" applyFont="1" applyBorder="1" applyAlignment="1">
      <alignment horizontal="right" vertical="center"/>
    </xf>
    <xf numFmtId="169" fontId="29" fillId="0" borderId="17" xfId="0" applyNumberFormat="1" applyFont="1" applyBorder="1"/>
    <xf numFmtId="0" fontId="44" fillId="0" borderId="0" xfId="0" applyFont="1"/>
    <xf numFmtId="169" fontId="44" fillId="0" borderId="0" xfId="0" applyNumberFormat="1" applyFont="1"/>
    <xf numFmtId="175" fontId="31" fillId="0" borderId="0" xfId="0" applyNumberFormat="1" applyFont="1" applyAlignment="1">
      <alignment horizontal="right"/>
    </xf>
    <xf numFmtId="168" fontId="32" fillId="0" borderId="0" xfId="0" applyNumberFormat="1" applyFont="1" applyAlignment="1">
      <alignment horizontal="left"/>
    </xf>
    <xf numFmtId="168" fontId="22" fillId="0" borderId="0" xfId="0" applyNumberFormat="1" applyFont="1"/>
    <xf numFmtId="0" fontId="22" fillId="0" borderId="17" xfId="0" applyFont="1" applyBorder="1"/>
    <xf numFmtId="168" fontId="22" fillId="0" borderId="0" xfId="0" applyNumberFormat="1" applyFont="1" applyAlignment="1">
      <alignment vertical="center"/>
    </xf>
    <xf numFmtId="166" fontId="32" fillId="0" borderId="0" xfId="0" applyNumberFormat="1" applyFont="1" applyAlignment="1">
      <alignment horizontal="right" vertical="center"/>
    </xf>
    <xf numFmtId="167" fontId="32" fillId="0" borderId="0" xfId="0" applyNumberFormat="1" applyFont="1" applyAlignment="1">
      <alignment horizontal="right" vertical="center"/>
    </xf>
    <xf numFmtId="0" fontId="39" fillId="0" borderId="0" xfId="0" applyFont="1"/>
    <xf numFmtId="0" fontId="16" fillId="0" borderId="0" xfId="0" applyFont="1"/>
    <xf numFmtId="0" fontId="22" fillId="0" borderId="0" xfId="0" applyFont="1" applyAlignment="1">
      <alignment horizontal="left" indent="1"/>
    </xf>
    <xf numFmtId="171" fontId="29" fillId="0" borderId="0" xfId="1" applyNumberFormat="1" applyFont="1" applyFill="1" applyBorder="1" applyAlignment="1">
      <alignment horizontal="right" vertical="center"/>
    </xf>
    <xf numFmtId="0" fontId="30" fillId="0" borderId="19" xfId="0" applyFont="1" applyBorder="1" applyAlignment="1">
      <alignment horizontal="left"/>
    </xf>
    <xf numFmtId="0" fontId="30" fillId="0" borderId="16" xfId="0" applyFont="1" applyBorder="1" applyAlignment="1">
      <alignment horizontal="left" indent="1"/>
    </xf>
    <xf numFmtId="0" fontId="29" fillId="0" borderId="19" xfId="0" applyFont="1" applyBorder="1" applyAlignment="1">
      <alignment horizontal="left" indent="1"/>
    </xf>
    <xf numFmtId="0" fontId="30" fillId="0" borderId="21" xfId="0" applyFont="1" applyBorder="1" applyAlignment="1">
      <alignment horizontal="left" indent="1"/>
    </xf>
    <xf numFmtId="0" fontId="30" fillId="0" borderId="19" xfId="0" applyFont="1" applyBorder="1" applyAlignment="1">
      <alignment horizontal="left" indent="1"/>
    </xf>
    <xf numFmtId="182" fontId="43" fillId="0" borderId="0" xfId="2" applyNumberFormat="1" applyFont="1" applyFill="1" applyBorder="1" applyAlignment="1" applyProtection="1">
      <alignment horizontal="center"/>
      <protection locked="0"/>
    </xf>
    <xf numFmtId="0" fontId="17" fillId="0" borderId="0" xfId="4" applyFont="1" applyProtection="1">
      <protection locked="0"/>
    </xf>
    <xf numFmtId="0" fontId="28" fillId="0" borderId="0" xfId="4" applyFont="1" applyAlignment="1">
      <alignment horizontal="left" vertical="center"/>
    </xf>
    <xf numFmtId="0" fontId="51" fillId="0" borderId="0" xfId="4" applyFont="1" applyAlignment="1">
      <alignment horizontal="center" vertical="center"/>
    </xf>
    <xf numFmtId="0" fontId="30" fillId="0" borderId="0" xfId="4" applyFont="1" applyAlignment="1">
      <alignment horizontal="left"/>
    </xf>
    <xf numFmtId="0" fontId="29" fillId="0" borderId="0" xfId="4" applyFont="1" applyAlignment="1">
      <alignment horizontal="center"/>
    </xf>
    <xf numFmtId="0" fontId="29" fillId="0" borderId="0" xfId="4" applyFont="1" applyAlignment="1">
      <alignment horizontal="center" vertical="center"/>
    </xf>
    <xf numFmtId="0" fontId="32" fillId="0" borderId="0" xfId="4" applyFont="1" applyAlignment="1">
      <alignment horizontal="right" vertical="center"/>
    </xf>
    <xf numFmtId="0" fontId="32" fillId="0" borderId="0" xfId="8" applyFont="1" applyAlignment="1">
      <alignment horizontal="centerContinuous"/>
    </xf>
    <xf numFmtId="0" fontId="30" fillId="0" borderId="0" xfId="4" applyFont="1" applyAlignment="1">
      <alignment horizontal="center"/>
    </xf>
    <xf numFmtId="172" fontId="49" fillId="0" borderId="0" xfId="0" applyNumberFormat="1" applyFont="1" applyAlignment="1">
      <alignment horizontal="left"/>
    </xf>
    <xf numFmtId="0" fontId="33" fillId="0" borderId="0" xfId="4" applyFont="1" applyAlignment="1">
      <alignment horizontal="center" vertical="center"/>
    </xf>
    <xf numFmtId="0" fontId="30" fillId="0" borderId="0" xfId="4" applyFont="1"/>
    <xf numFmtId="37" fontId="29" fillId="0" borderId="0" xfId="4" applyNumberFormat="1" applyFont="1" applyAlignment="1">
      <alignment vertical="center"/>
    </xf>
    <xf numFmtId="170" fontId="31" fillId="0" borderId="0" xfId="0" applyNumberFormat="1" applyFont="1" applyAlignment="1">
      <alignment horizontal="right"/>
    </xf>
    <xf numFmtId="181" fontId="30" fillId="0" borderId="0" xfId="4" applyNumberFormat="1" applyFont="1" applyAlignment="1">
      <alignment horizontal="right" vertical="center"/>
    </xf>
    <xf numFmtId="0" fontId="62" fillId="0" borderId="0" xfId="4" applyFont="1"/>
    <xf numFmtId="170" fontId="31" fillId="0" borderId="12" xfId="0" applyNumberFormat="1" applyFont="1" applyBorder="1" applyAlignment="1">
      <alignment horizontal="right"/>
    </xf>
    <xf numFmtId="37" fontId="32" fillId="0" borderId="0" xfId="4" applyNumberFormat="1" applyFont="1" applyAlignment="1">
      <alignment horizontal="left" vertical="center"/>
    </xf>
    <xf numFmtId="0" fontId="29" fillId="0" borderId="0" xfId="4" applyFont="1" applyAlignment="1">
      <alignment horizontal="left" vertical="center" indent="1"/>
    </xf>
    <xf numFmtId="168" fontId="29" fillId="0" borderId="0" xfId="4" applyNumberFormat="1" applyFont="1" applyAlignment="1">
      <alignment horizontal="right" vertical="center"/>
    </xf>
    <xf numFmtId="170" fontId="29" fillId="0" borderId="0" xfId="0" applyNumberFormat="1" applyFont="1" applyAlignment="1">
      <alignment horizontal="right"/>
    </xf>
    <xf numFmtId="0" fontId="10" fillId="0" borderId="0" xfId="4" applyFont="1"/>
    <xf numFmtId="181" fontId="29" fillId="0" borderId="0" xfId="4" applyNumberFormat="1" applyFont="1" applyAlignment="1">
      <alignment horizontal="right" vertical="center"/>
    </xf>
    <xf numFmtId="170" fontId="29" fillId="0" borderId="12" xfId="0" applyNumberFormat="1" applyFont="1" applyBorder="1" applyAlignment="1">
      <alignment horizontal="right"/>
    </xf>
    <xf numFmtId="181" fontId="10" fillId="0" borderId="0" xfId="4" applyNumberFormat="1" applyFont="1" applyAlignment="1">
      <alignment horizontal="right" vertical="center"/>
    </xf>
    <xf numFmtId="176" fontId="10" fillId="0" borderId="0" xfId="4" applyNumberFormat="1" applyFont="1" applyAlignment="1">
      <alignment horizontal="right"/>
    </xf>
    <xf numFmtId="177" fontId="10" fillId="0" borderId="0" xfId="4" applyNumberFormat="1" applyFont="1" applyAlignment="1">
      <alignment horizontal="right"/>
    </xf>
    <xf numFmtId="183" fontId="10" fillId="0" borderId="0" xfId="4" applyNumberFormat="1" applyFont="1" applyAlignment="1">
      <alignment horizontal="right"/>
    </xf>
    <xf numFmtId="185" fontId="10" fillId="0" borderId="0" xfId="4" applyNumberFormat="1" applyFont="1" applyAlignment="1">
      <alignment horizontal="right"/>
    </xf>
    <xf numFmtId="165" fontId="63" fillId="0" borderId="0" xfId="0" applyNumberFormat="1" applyFont="1" applyAlignment="1">
      <alignment vertical="center"/>
    </xf>
    <xf numFmtId="0" fontId="32" fillId="0" borderId="0" xfId="4" applyFont="1" applyAlignment="1">
      <alignment horizontal="center" vertical="center"/>
    </xf>
    <xf numFmtId="168" fontId="32" fillId="0" borderId="0" xfId="8" applyNumberFormat="1" applyFont="1" applyAlignment="1">
      <alignment horizontal="right"/>
    </xf>
    <xf numFmtId="168" fontId="39" fillId="0" borderId="0" xfId="0" applyNumberFormat="1" applyFont="1" applyAlignment="1">
      <alignment horizontal="centerContinuous"/>
    </xf>
    <xf numFmtId="168" fontId="47" fillId="0" borderId="0" xfId="4" applyNumberFormat="1" applyFont="1" applyAlignment="1">
      <alignment horizontal="centerContinuous"/>
    </xf>
    <xf numFmtId="0" fontId="32" fillId="0" borderId="0" xfId="8" applyFont="1" applyAlignment="1">
      <alignment horizontal="left"/>
    </xf>
    <xf numFmtId="0" fontId="37" fillId="0" borderId="0" xfId="4" applyFont="1" applyAlignment="1">
      <alignment horizontal="center" vertical="center"/>
    </xf>
    <xf numFmtId="186" fontId="31" fillId="0" borderId="0" xfId="4" applyNumberFormat="1" applyFont="1" applyAlignment="1">
      <alignment horizontal="left" vertical="center"/>
    </xf>
    <xf numFmtId="0" fontId="31" fillId="0" borderId="0" xfId="4" applyFont="1" applyAlignment="1">
      <alignment vertical="center"/>
    </xf>
    <xf numFmtId="170" fontId="31" fillId="0" borderId="0" xfId="4" applyNumberFormat="1" applyFont="1" applyAlignment="1">
      <alignment horizontal="right" vertical="center"/>
    </xf>
    <xf numFmtId="170" fontId="31" fillId="0" borderId="0" xfId="4" applyNumberFormat="1" applyFont="1" applyAlignment="1">
      <alignment vertical="center"/>
    </xf>
    <xf numFmtId="0" fontId="28" fillId="0" borderId="0" xfId="4" applyFont="1"/>
    <xf numFmtId="170" fontId="44" fillId="0" borderId="0" xfId="4" applyNumberFormat="1" applyFont="1" applyAlignment="1">
      <alignment vertical="center"/>
    </xf>
    <xf numFmtId="181" fontId="44" fillId="0" borderId="0" xfId="4" applyNumberFormat="1" applyFont="1" applyAlignment="1">
      <alignment horizontal="right" vertical="center"/>
    </xf>
    <xf numFmtId="37" fontId="29" fillId="0" borderId="0" xfId="4" applyNumberFormat="1" applyFont="1" applyAlignment="1">
      <alignment horizontal="left" vertical="center" indent="1"/>
    </xf>
    <xf numFmtId="0" fontId="47" fillId="0" borderId="0" xfId="4" applyFont="1"/>
    <xf numFmtId="176" fontId="29" fillId="0" borderId="0" xfId="4" applyNumberFormat="1" applyFont="1" applyAlignment="1">
      <alignment horizontal="right"/>
    </xf>
    <xf numFmtId="181" fontId="10" fillId="0" borderId="0" xfId="4" applyNumberFormat="1" applyFont="1"/>
    <xf numFmtId="0" fontId="31" fillId="0" borderId="0" xfId="4" applyFont="1" applyAlignment="1">
      <alignment horizontal="left" vertical="center" indent="1"/>
    </xf>
    <xf numFmtId="37" fontId="31" fillId="0" borderId="0" xfId="4" applyNumberFormat="1" applyFont="1" applyAlignment="1">
      <alignment horizontal="center" vertical="center"/>
    </xf>
    <xf numFmtId="0" fontId="10" fillId="0" borderId="12" xfId="4" applyFont="1" applyBorder="1"/>
    <xf numFmtId="37" fontId="11" fillId="0" borderId="0" xfId="0" applyNumberFormat="1" applyFont="1" applyAlignment="1">
      <alignment vertical="center"/>
    </xf>
    <xf numFmtId="172" fontId="26" fillId="0" borderId="0" xfId="0" applyNumberFormat="1" applyFont="1" applyAlignment="1">
      <alignment horizontal="centerContinuous"/>
    </xf>
    <xf numFmtId="172" fontId="27" fillId="0" borderId="0" xfId="0" applyNumberFormat="1" applyFont="1" applyAlignment="1">
      <alignment horizontal="centerContinuous"/>
    </xf>
    <xf numFmtId="0" fontId="27" fillId="0" borderId="21" xfId="0" applyFont="1" applyBorder="1" applyAlignment="1">
      <alignment horizontal="left"/>
    </xf>
    <xf numFmtId="181" fontId="29" fillId="0" borderId="0" xfId="1" applyNumberFormat="1" applyFont="1" applyFill="1" applyBorder="1" applyAlignment="1">
      <alignment horizontal="right" vertical="center"/>
    </xf>
    <xf numFmtId="167" fontId="38" fillId="0" borderId="11" xfId="0" applyNumberFormat="1" applyFont="1" applyBorder="1" applyAlignment="1">
      <alignment horizontal="right" vertical="center"/>
    </xf>
    <xf numFmtId="0" fontId="9" fillId="0" borderId="0" xfId="0" applyFont="1"/>
    <xf numFmtId="168" fontId="9" fillId="0" borderId="0" xfId="0" applyNumberFormat="1" applyFont="1"/>
    <xf numFmtId="168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indent="1"/>
    </xf>
    <xf numFmtId="168" fontId="29" fillId="0" borderId="0" xfId="0" applyNumberFormat="1" applyFont="1" applyAlignment="1">
      <alignment vertical="center"/>
    </xf>
    <xf numFmtId="170" fontId="29" fillId="0" borderId="0" xfId="0" applyNumberFormat="1" applyFont="1" applyAlignment="1">
      <alignment vertical="center"/>
    </xf>
    <xf numFmtId="170" fontId="9" fillId="0" borderId="0" xfId="0" applyNumberFormat="1" applyFont="1"/>
    <xf numFmtId="171" fontId="29" fillId="0" borderId="18" xfId="0" applyNumberFormat="1" applyFont="1" applyBorder="1"/>
    <xf numFmtId="171" fontId="31" fillId="0" borderId="18" xfId="0" applyNumberFormat="1" applyFont="1" applyBorder="1"/>
    <xf numFmtId="187" fontId="31" fillId="0" borderId="20" xfId="0" applyNumberFormat="1" applyFont="1" applyBorder="1"/>
    <xf numFmtId="171" fontId="31" fillId="0" borderId="20" xfId="0" applyNumberFormat="1" applyFont="1" applyBorder="1"/>
    <xf numFmtId="171" fontId="31" fillId="0" borderId="22" xfId="0" applyNumberFormat="1" applyFont="1" applyBorder="1"/>
    <xf numFmtId="171" fontId="65" fillId="0" borderId="0" xfId="1" applyNumberFormat="1" applyFont="1" applyFill="1" applyBorder="1" applyAlignment="1">
      <alignment horizontal="right" vertical="center"/>
    </xf>
    <xf numFmtId="0" fontId="39" fillId="0" borderId="0" xfId="0" applyFont="1" applyAlignment="1">
      <alignment horizontal="left" indent="1"/>
    </xf>
    <xf numFmtId="168" fontId="39" fillId="0" borderId="0" xfId="0" applyNumberFormat="1" applyFont="1" applyAlignment="1">
      <alignment vertical="center"/>
    </xf>
    <xf numFmtId="0" fontId="9" fillId="0" borderId="14" xfId="0" applyFont="1" applyBorder="1" applyAlignment="1">
      <alignment horizontal="left" indent="1"/>
    </xf>
    <xf numFmtId="173" fontId="9" fillId="0" borderId="0" xfId="0" applyNumberFormat="1" applyFont="1"/>
    <xf numFmtId="171" fontId="29" fillId="0" borderId="15" xfId="0" applyNumberFormat="1" applyFont="1" applyBorder="1"/>
    <xf numFmtId="181" fontId="31" fillId="0" borderId="22" xfId="1" applyNumberFormat="1" applyFont="1" applyFill="1" applyBorder="1" applyAlignment="1">
      <alignment horizontal="right" vertical="center"/>
    </xf>
    <xf numFmtId="165" fontId="67" fillId="0" borderId="0" xfId="7" applyNumberFormat="1" applyFont="1" applyFill="1" applyBorder="1" applyProtection="1">
      <protection locked="0"/>
    </xf>
    <xf numFmtId="181" fontId="31" fillId="0" borderId="0" xfId="1" applyNumberFormat="1" applyFont="1" applyFill="1" applyBorder="1" applyAlignment="1">
      <alignment horizontal="right" vertical="center"/>
    </xf>
    <xf numFmtId="0" fontId="8" fillId="0" borderId="0" xfId="0" applyFont="1"/>
    <xf numFmtId="168" fontId="68" fillId="0" borderId="26" xfId="0" applyNumberFormat="1" applyFont="1" applyBorder="1" applyAlignment="1">
      <alignment horizontal="centerContinuous"/>
    </xf>
    <xf numFmtId="166" fontId="68" fillId="0" borderId="27" xfId="0" applyNumberFormat="1" applyFont="1" applyBorder="1" applyAlignment="1">
      <alignment horizontal="centerContinuous"/>
    </xf>
    <xf numFmtId="168" fontId="68" fillId="0" borderId="28" xfId="0" applyNumberFormat="1" applyFont="1" applyBorder="1" applyAlignment="1">
      <alignment horizontal="center"/>
    </xf>
    <xf numFmtId="0" fontId="69" fillId="0" borderId="26" xfId="0" applyFont="1" applyBorder="1" applyAlignment="1">
      <alignment horizontal="center"/>
    </xf>
    <xf numFmtId="0" fontId="69" fillId="0" borderId="27" xfId="0" applyFont="1" applyBorder="1" applyAlignment="1">
      <alignment horizontal="center"/>
    </xf>
    <xf numFmtId="168" fontId="68" fillId="0" borderId="0" xfId="0" applyNumberFormat="1" applyFont="1" applyAlignment="1">
      <alignment horizontal="left"/>
    </xf>
    <xf numFmtId="188" fontId="29" fillId="0" borderId="29" xfId="0" applyNumberFormat="1" applyFont="1" applyBorder="1" applyAlignment="1">
      <alignment horizontal="center"/>
    </xf>
    <xf numFmtId="188" fontId="31" fillId="0" borderId="29" xfId="0" applyNumberFormat="1" applyFont="1" applyBorder="1" applyAlignment="1">
      <alignment horizontal="center"/>
    </xf>
    <xf numFmtId="188" fontId="29" fillId="0" borderId="0" xfId="0" applyNumberFormat="1" applyFont="1" applyAlignment="1">
      <alignment horizontal="center"/>
    </xf>
    <xf numFmtId="168" fontId="68" fillId="0" borderId="26" xfId="0" applyNumberFormat="1" applyFont="1" applyBorder="1" applyAlignment="1">
      <alignment horizontal="center"/>
    </xf>
    <xf numFmtId="188" fontId="29" fillId="0" borderId="30" xfId="0" applyNumberFormat="1" applyFont="1" applyBorder="1" applyAlignment="1">
      <alignment horizontal="center"/>
    </xf>
    <xf numFmtId="0" fontId="69" fillId="0" borderId="31" xfId="0" applyFont="1" applyBorder="1" applyAlignment="1">
      <alignment horizontal="center"/>
    </xf>
    <xf numFmtId="188" fontId="29" fillId="0" borderId="32" xfId="0" applyNumberFormat="1" applyFont="1" applyBorder="1" applyAlignment="1">
      <alignment horizontal="center"/>
    </xf>
    <xf numFmtId="188" fontId="29" fillId="0" borderId="33" xfId="0" applyNumberFormat="1" applyFont="1" applyBorder="1" applyAlignment="1">
      <alignment horizontal="center"/>
    </xf>
    <xf numFmtId="188" fontId="31" fillId="0" borderId="33" xfId="0" applyNumberFormat="1" applyFont="1" applyBorder="1" applyAlignment="1">
      <alignment horizontal="center"/>
    </xf>
    <xf numFmtId="188" fontId="29" fillId="0" borderId="10" xfId="0" applyNumberFormat="1" applyFont="1" applyBorder="1" applyAlignment="1">
      <alignment horizontal="center"/>
    </xf>
    <xf numFmtId="168" fontId="8" fillId="0" borderId="0" xfId="0" applyNumberFormat="1" applyFont="1"/>
    <xf numFmtId="0" fontId="8" fillId="0" borderId="0" xfId="0" applyFont="1" applyAlignment="1">
      <alignment horizontal="left" indent="1"/>
    </xf>
    <xf numFmtId="168" fontId="8" fillId="0" borderId="12" xfId="0" applyNumberFormat="1" applyFont="1" applyBorder="1"/>
    <xf numFmtId="168" fontId="22" fillId="0" borderId="12" xfId="0" applyNumberFormat="1" applyFont="1" applyBorder="1"/>
    <xf numFmtId="176" fontId="8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0" fontId="8" fillId="0" borderId="12" xfId="0" applyFont="1" applyBorder="1"/>
    <xf numFmtId="0" fontId="9" fillId="0" borderId="12" xfId="0" applyFont="1" applyBorder="1"/>
    <xf numFmtId="166" fontId="32" fillId="0" borderId="12" xfId="0" applyNumberFormat="1" applyFont="1" applyBorder="1" applyAlignment="1">
      <alignment horizontal="right" vertical="center"/>
    </xf>
    <xf numFmtId="170" fontId="9" fillId="0" borderId="12" xfId="0" applyNumberFormat="1" applyFont="1" applyBorder="1" applyAlignment="1">
      <alignment vertical="center"/>
    </xf>
    <xf numFmtId="0" fontId="27" fillId="0" borderId="12" xfId="0" applyFont="1" applyBorder="1" applyAlignment="1">
      <alignment horizontal="left" indent="1"/>
    </xf>
    <xf numFmtId="173" fontId="16" fillId="0" borderId="12" xfId="0" applyNumberFormat="1" applyFont="1" applyBorder="1"/>
    <xf numFmtId="0" fontId="22" fillId="0" borderId="12" xfId="0" applyFont="1" applyBorder="1" applyAlignment="1">
      <alignment horizontal="left" indent="1"/>
    </xf>
    <xf numFmtId="168" fontId="22" fillId="0" borderId="12" xfId="0" applyNumberFormat="1" applyFont="1" applyBorder="1" applyAlignment="1">
      <alignment vertical="center"/>
    </xf>
    <xf numFmtId="177" fontId="8" fillId="0" borderId="12" xfId="0" applyNumberFormat="1" applyFont="1" applyBorder="1" applyAlignment="1">
      <alignment horizontal="right"/>
    </xf>
    <xf numFmtId="176" fontId="8" fillId="0" borderId="12" xfId="0" applyNumberFormat="1" applyFont="1" applyBorder="1" applyAlignment="1">
      <alignment horizontal="right"/>
    </xf>
    <xf numFmtId="0" fontId="32" fillId="0" borderId="12" xfId="0" applyFont="1" applyBorder="1" applyAlignment="1">
      <alignment horizontal="left" indent="1"/>
    </xf>
    <xf numFmtId="171" fontId="29" fillId="0" borderId="12" xfId="1" applyNumberFormat="1" applyFont="1" applyFill="1" applyBorder="1" applyAlignment="1">
      <alignment horizontal="right" vertical="center"/>
    </xf>
    <xf numFmtId="168" fontId="9" fillId="0" borderId="12" xfId="0" applyNumberFormat="1" applyFont="1" applyBorder="1"/>
    <xf numFmtId="181" fontId="10" fillId="0" borderId="12" xfId="4" applyNumberFormat="1" applyFont="1" applyBorder="1" applyAlignment="1">
      <alignment horizontal="right" vertical="center"/>
    </xf>
    <xf numFmtId="185" fontId="10" fillId="0" borderId="12" xfId="4" applyNumberFormat="1" applyFont="1" applyBorder="1" applyAlignment="1">
      <alignment horizontal="right"/>
    </xf>
    <xf numFmtId="168" fontId="58" fillId="0" borderId="0" xfId="4" applyNumberFormat="1" applyFont="1" applyAlignment="1">
      <alignment horizontal="right" vertical="center"/>
    </xf>
    <xf numFmtId="175" fontId="47" fillId="0" borderId="0" xfId="4" applyNumberFormat="1" applyFont="1"/>
    <xf numFmtId="174" fontId="31" fillId="0" borderId="0" xfId="4" applyNumberFormat="1" applyFont="1" applyAlignment="1">
      <alignment vertical="center"/>
    </xf>
    <xf numFmtId="0" fontId="7" fillId="0" borderId="0" xfId="0" applyFont="1"/>
    <xf numFmtId="171" fontId="7" fillId="0" borderId="23" xfId="0" applyNumberFormat="1" applyFont="1" applyBorder="1"/>
    <xf numFmtId="171" fontId="31" fillId="0" borderId="23" xfId="0" applyNumberFormat="1" applyFont="1" applyBorder="1"/>
    <xf numFmtId="171" fontId="7" fillId="0" borderId="35" xfId="0" applyNumberFormat="1" applyFont="1" applyBorder="1"/>
    <xf numFmtId="171" fontId="31" fillId="0" borderId="35" xfId="0" applyNumberFormat="1" applyFont="1" applyBorder="1"/>
    <xf numFmtId="0" fontId="29" fillId="0" borderId="0" xfId="4" applyFont="1" applyAlignment="1">
      <alignment vertical="center"/>
    </xf>
    <xf numFmtId="0" fontId="6" fillId="0" borderId="0" xfId="0" applyFont="1"/>
    <xf numFmtId="174" fontId="7" fillId="0" borderId="0" xfId="0" applyNumberFormat="1" applyFont="1"/>
    <xf numFmtId="174" fontId="7" fillId="0" borderId="25" xfId="0" applyNumberFormat="1" applyFont="1" applyBorder="1"/>
    <xf numFmtId="174" fontId="31" fillId="0" borderId="0" xfId="0" applyNumberFormat="1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 indent="1"/>
    </xf>
    <xf numFmtId="0" fontId="3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left" indent="1"/>
    </xf>
    <xf numFmtId="165" fontId="42" fillId="0" borderId="0" xfId="0" applyNumberFormat="1" applyFont="1" applyAlignment="1">
      <alignment vertical="center"/>
    </xf>
    <xf numFmtId="0" fontId="4" fillId="0" borderId="0" xfId="0" applyFont="1"/>
    <xf numFmtId="0" fontId="4" fillId="0" borderId="16" xfId="0" applyFont="1" applyBorder="1"/>
    <xf numFmtId="0" fontId="4" fillId="0" borderId="19" xfId="0" applyFont="1" applyBorder="1"/>
    <xf numFmtId="0" fontId="22" fillId="0" borderId="19" xfId="0" applyFont="1" applyBorder="1"/>
    <xf numFmtId="0" fontId="71" fillId="0" borderId="19" xfId="0" applyFont="1" applyBorder="1"/>
    <xf numFmtId="10" fontId="22" fillId="0" borderId="0" xfId="0" applyNumberFormat="1" applyFont="1"/>
    <xf numFmtId="0" fontId="7" fillId="0" borderId="0" xfId="0" applyFont="1" applyAlignment="1">
      <alignment horizontal="centerContinuous"/>
    </xf>
    <xf numFmtId="0" fontId="32" fillId="0" borderId="0" xfId="0" applyFont="1" applyAlignment="1">
      <alignment horizontal="centerContinuous" vertical="center"/>
    </xf>
    <xf numFmtId="0" fontId="47" fillId="0" borderId="0" xfId="0" applyFont="1" applyAlignment="1">
      <alignment horizontal="centerContinuous"/>
    </xf>
    <xf numFmtId="0" fontId="32" fillId="0" borderId="36" xfId="0" applyFont="1" applyBorder="1" applyAlignment="1">
      <alignment horizontal="centerContinuous" vertical="center"/>
    </xf>
    <xf numFmtId="0" fontId="47" fillId="0" borderId="36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181" fontId="31" fillId="0" borderId="23" xfId="0" applyNumberFormat="1" applyFont="1" applyBorder="1"/>
    <xf numFmtId="181" fontId="7" fillId="0" borderId="23" xfId="0" applyNumberFormat="1" applyFont="1" applyBorder="1"/>
    <xf numFmtId="168" fontId="29" fillId="0" borderId="37" xfId="0" applyNumberFormat="1" applyFont="1" applyBorder="1" applyAlignment="1">
      <alignment vertical="center"/>
    </xf>
    <xf numFmtId="168" fontId="29" fillId="0" borderId="38" xfId="0" applyNumberFormat="1" applyFont="1" applyBorder="1" applyAlignment="1">
      <alignment vertical="center"/>
    </xf>
    <xf numFmtId="168" fontId="29" fillId="0" borderId="39" xfId="0" applyNumberFormat="1" applyFont="1" applyBorder="1" applyAlignment="1">
      <alignment vertical="center"/>
    </xf>
    <xf numFmtId="168" fontId="29" fillId="0" borderId="40" xfId="0" applyNumberFormat="1" applyFont="1" applyBorder="1" applyAlignment="1">
      <alignment vertical="center"/>
    </xf>
    <xf numFmtId="168" fontId="29" fillId="0" borderId="41" xfId="0" applyNumberFormat="1" applyFont="1" applyBorder="1" applyAlignment="1">
      <alignment vertical="center"/>
    </xf>
    <xf numFmtId="168" fontId="29" fillId="0" borderId="42" xfId="0" applyNumberFormat="1" applyFont="1" applyBorder="1" applyAlignment="1">
      <alignment vertical="center"/>
    </xf>
    <xf numFmtId="183" fontId="32" fillId="0" borderId="0" xfId="8" applyNumberFormat="1" applyFont="1" applyAlignment="1">
      <alignment horizontal="centerContinuous"/>
    </xf>
    <xf numFmtId="0" fontId="27" fillId="0" borderId="0" xfId="8" applyFont="1" applyAlignment="1">
      <alignment horizontal="left"/>
    </xf>
    <xf numFmtId="0" fontId="27" fillId="0" borderId="0" xfId="8" applyFont="1" applyAlignment="1">
      <alignment horizontal="right"/>
    </xf>
    <xf numFmtId="37" fontId="31" fillId="0" borderId="0" xfId="4" applyNumberFormat="1" applyFont="1" applyAlignment="1">
      <alignment vertical="center"/>
    </xf>
    <xf numFmtId="184" fontId="10" fillId="0" borderId="0" xfId="4" applyNumberFormat="1" applyFont="1" applyAlignment="1">
      <alignment vertical="center"/>
    </xf>
    <xf numFmtId="2" fontId="31" fillId="0" borderId="0" xfId="4" applyNumberFormat="1" applyFont="1"/>
    <xf numFmtId="0" fontId="27" fillId="0" borderId="0" xfId="4" applyFont="1" applyAlignment="1">
      <alignment horizontal="left"/>
    </xf>
    <xf numFmtId="168" fontId="31" fillId="0" borderId="0" xfId="4" applyNumberFormat="1" applyFont="1"/>
    <xf numFmtId="170" fontId="31" fillId="0" borderId="0" xfId="4" applyNumberFormat="1" applyFont="1"/>
    <xf numFmtId="190" fontId="29" fillId="0" borderId="0" xfId="0" applyNumberFormat="1" applyFont="1" applyAlignment="1">
      <alignment horizontal="right"/>
    </xf>
    <xf numFmtId="170" fontId="10" fillId="0" borderId="0" xfId="4" applyNumberFormat="1" applyFont="1"/>
    <xf numFmtId="168" fontId="10" fillId="0" borderId="0" xfId="4" applyNumberFormat="1" applyFont="1"/>
    <xf numFmtId="0" fontId="3" fillId="0" borderId="0" xfId="0" applyFont="1"/>
    <xf numFmtId="174" fontId="58" fillId="0" borderId="0" xfId="0" applyNumberFormat="1" applyFont="1"/>
    <xf numFmtId="0" fontId="32" fillId="0" borderId="0" xfId="8" applyFont="1" applyAlignment="1">
      <alignment horizontal="right"/>
    </xf>
    <xf numFmtId="0" fontId="49" fillId="0" borderId="0" xfId="4" applyFont="1" applyAlignment="1">
      <alignment vertical="center"/>
    </xf>
    <xf numFmtId="168" fontId="29" fillId="0" borderId="0" xfId="4" applyNumberFormat="1" applyFont="1" applyAlignment="1">
      <alignment vertical="center"/>
    </xf>
    <xf numFmtId="168" fontId="31" fillId="0" borderId="0" xfId="4" applyNumberFormat="1" applyFont="1" applyAlignment="1">
      <alignment vertical="center"/>
    </xf>
    <xf numFmtId="170" fontId="29" fillId="0" borderId="0" xfId="4" applyNumberFormat="1" applyFont="1" applyAlignment="1">
      <alignment horizontal="right" vertical="center"/>
    </xf>
    <xf numFmtId="0" fontId="34" fillId="0" borderId="0" xfId="0" quotePrefix="1" applyFont="1" applyAlignment="1">
      <alignment horizontal="right"/>
    </xf>
    <xf numFmtId="0" fontId="73" fillId="0" borderId="12" xfId="0" applyFont="1" applyBorder="1"/>
    <xf numFmtId="0" fontId="71" fillId="0" borderId="21" xfId="0" applyFont="1" applyBorder="1" applyAlignment="1">
      <alignment horizontal="left" indent="1"/>
    </xf>
    <xf numFmtId="0" fontId="26" fillId="0" borderId="0" xfId="4" applyFont="1" applyAlignment="1">
      <alignment horizontal="right"/>
    </xf>
    <xf numFmtId="0" fontId="26" fillId="0" borderId="0" xfId="4" applyFont="1" applyAlignment="1">
      <alignment horizontal="right" vertical="center"/>
    </xf>
    <xf numFmtId="0" fontId="74" fillId="0" borderId="0" xfId="0" applyFont="1" applyAlignment="1">
      <alignment horizontal="left"/>
    </xf>
    <xf numFmtId="175" fontId="29" fillId="0" borderId="0" xfId="0" applyNumberFormat="1" applyFont="1" applyAlignment="1">
      <alignment vertical="center"/>
    </xf>
    <xf numFmtId="37" fontId="75" fillId="0" borderId="0" xfId="0" applyNumberFormat="1" applyFont="1" applyAlignment="1">
      <alignment vertical="center"/>
    </xf>
    <xf numFmtId="174" fontId="70" fillId="0" borderId="0" xfId="0" applyNumberFormat="1" applyFont="1"/>
    <xf numFmtId="174" fontId="7" fillId="0" borderId="34" xfId="0" applyNumberFormat="1" applyFont="1" applyBorder="1"/>
    <xf numFmtId="168" fontId="4" fillId="0" borderId="18" xfId="0" applyNumberFormat="1" applyFont="1" applyBorder="1"/>
    <xf numFmtId="168" fontId="4" fillId="0" borderId="20" xfId="0" applyNumberFormat="1" applyFont="1" applyBorder="1"/>
    <xf numFmtId="171" fontId="71" fillId="0" borderId="20" xfId="0" applyNumberFormat="1" applyFont="1" applyBorder="1"/>
    <xf numFmtId="0" fontId="22" fillId="0" borderId="20" xfId="0" applyFont="1" applyBorder="1"/>
    <xf numFmtId="168" fontId="4" fillId="0" borderId="20" xfId="0" applyNumberFormat="1" applyFont="1" applyBorder="1" applyAlignment="1">
      <alignment vertical="center"/>
    </xf>
    <xf numFmtId="181" fontId="71" fillId="0" borderId="22" xfId="0" applyNumberFormat="1" applyFont="1" applyBorder="1" applyAlignment="1">
      <alignment vertical="center"/>
    </xf>
    <xf numFmtId="176" fontId="4" fillId="0" borderId="0" xfId="0" applyNumberFormat="1" applyFont="1" applyAlignment="1">
      <alignment horizontal="right"/>
    </xf>
    <xf numFmtId="177" fontId="4" fillId="0" borderId="0" xfId="0" applyNumberFormat="1" applyFont="1" applyAlignment="1">
      <alignment horizontal="right"/>
    </xf>
    <xf numFmtId="49" fontId="71" fillId="0" borderId="21" xfId="0" applyNumberFormat="1" applyFont="1" applyBorder="1"/>
    <xf numFmtId="0" fontId="73" fillId="0" borderId="0" xfId="0" applyFont="1"/>
    <xf numFmtId="168" fontId="73" fillId="0" borderId="0" xfId="0" applyNumberFormat="1" applyFont="1" applyAlignment="1">
      <alignment vertical="center"/>
    </xf>
    <xf numFmtId="49" fontId="71" fillId="0" borderId="19" xfId="0" applyNumberFormat="1" applyFont="1" applyBorder="1"/>
    <xf numFmtId="181" fontId="71" fillId="0" borderId="20" xfId="0" applyNumberFormat="1" applyFont="1" applyBorder="1" applyAlignment="1">
      <alignment vertical="center"/>
    </xf>
    <xf numFmtId="181" fontId="29" fillId="0" borderId="0" xfId="0" applyNumberFormat="1" applyFont="1" applyAlignment="1">
      <alignment horizontal="right"/>
    </xf>
    <xf numFmtId="173" fontId="16" fillId="0" borderId="0" xfId="0" applyNumberFormat="1" applyFont="1"/>
    <xf numFmtId="171" fontId="64" fillId="0" borderId="0" xfId="0" applyNumberFormat="1" applyFont="1"/>
    <xf numFmtId="49" fontId="2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191" fontId="39" fillId="0" borderId="0" xfId="0" applyNumberFormat="1" applyFont="1" applyAlignment="1">
      <alignment horizontal="right"/>
    </xf>
    <xf numFmtId="192" fontId="39" fillId="0" borderId="0" xfId="0" applyNumberFormat="1" applyFont="1" applyAlignment="1">
      <alignment horizontal="right"/>
    </xf>
    <xf numFmtId="170" fontId="29" fillId="0" borderId="24" xfId="0" applyNumberFormat="1" applyFont="1" applyBorder="1" applyAlignment="1">
      <alignment vertical="center"/>
    </xf>
    <xf numFmtId="168" fontId="29" fillId="0" borderId="24" xfId="0" applyNumberFormat="1" applyFont="1" applyBorder="1" applyAlignment="1">
      <alignment vertical="center"/>
    </xf>
    <xf numFmtId="171" fontId="32" fillId="0" borderId="22" xfId="0" applyNumberFormat="1" applyFont="1" applyBorder="1"/>
    <xf numFmtId="171" fontId="29" fillId="0" borderId="20" xfId="0" applyNumberFormat="1" applyFont="1" applyBorder="1"/>
    <xf numFmtId="168" fontId="32" fillId="0" borderId="0" xfId="0" applyNumberFormat="1" applyFont="1"/>
    <xf numFmtId="168" fontId="32" fillId="0" borderId="17" xfId="0" applyNumberFormat="1" applyFont="1" applyBorder="1" applyAlignment="1">
      <alignment vertical="center"/>
    </xf>
    <xf numFmtId="168" fontId="29" fillId="0" borderId="17" xfId="0" applyNumberFormat="1" applyFont="1" applyBorder="1" applyAlignment="1">
      <alignment vertical="center"/>
    </xf>
    <xf numFmtId="187" fontId="29" fillId="0" borderId="12" xfId="0" applyNumberFormat="1" applyFont="1" applyBorder="1" applyAlignment="1">
      <alignment vertical="center"/>
    </xf>
    <xf numFmtId="168" fontId="29" fillId="0" borderId="18" xfId="0" applyNumberFormat="1" applyFont="1" applyBorder="1"/>
    <xf numFmtId="168" fontId="29" fillId="0" borderId="22" xfId="0" applyNumberFormat="1" applyFont="1" applyBorder="1"/>
    <xf numFmtId="168" fontId="31" fillId="0" borderId="20" xfId="0" applyNumberFormat="1" applyFont="1" applyBorder="1"/>
    <xf numFmtId="174" fontId="29" fillId="0" borderId="20" xfId="0" applyNumberFormat="1" applyFont="1" applyBorder="1"/>
    <xf numFmtId="174" fontId="31" fillId="0" borderId="20" xfId="0" applyNumberFormat="1" applyFont="1" applyBorder="1"/>
    <xf numFmtId="175" fontId="71" fillId="0" borderId="22" xfId="0" applyNumberFormat="1" applyFont="1" applyBorder="1"/>
    <xf numFmtId="187" fontId="4" fillId="0" borderId="12" xfId="0" applyNumberFormat="1" applyFont="1" applyBorder="1"/>
    <xf numFmtId="168" fontId="4" fillId="0" borderId="0" xfId="0" applyNumberFormat="1" applyFont="1"/>
    <xf numFmtId="174" fontId="8" fillId="0" borderId="25" xfId="0" applyNumberFormat="1" applyFont="1" applyBorder="1"/>
    <xf numFmtId="173" fontId="8" fillId="0" borderId="25" xfId="0" applyNumberFormat="1" applyFont="1" applyBorder="1"/>
    <xf numFmtId="173" fontId="8" fillId="0" borderId="0" xfId="0" applyNumberFormat="1" applyFont="1"/>
    <xf numFmtId="170" fontId="58" fillId="0" borderId="0" xfId="0" applyNumberFormat="1" applyFont="1" applyAlignment="1">
      <alignment horizontal="right"/>
    </xf>
    <xf numFmtId="168" fontId="58" fillId="0" borderId="0" xfId="4" applyNumberFormat="1" applyFont="1"/>
    <xf numFmtId="175" fontId="29" fillId="0" borderId="0" xfId="4" applyNumberFormat="1" applyFont="1" applyAlignment="1">
      <alignment vertical="center"/>
    </xf>
    <xf numFmtId="174" fontId="58" fillId="0" borderId="0" xfId="4" applyNumberFormat="1" applyFont="1" applyAlignment="1">
      <alignment vertical="center"/>
    </xf>
    <xf numFmtId="174" fontId="29" fillId="0" borderId="0" xfId="4" applyNumberFormat="1" applyFont="1" applyAlignment="1">
      <alignment vertical="center"/>
    </xf>
    <xf numFmtId="175" fontId="29" fillId="0" borderId="0" xfId="4" applyNumberFormat="1" applyFont="1"/>
    <xf numFmtId="168" fontId="29" fillId="0" borderId="0" xfId="4" applyNumberFormat="1" applyFont="1"/>
    <xf numFmtId="0" fontId="7" fillId="0" borderId="0" xfId="0" applyFont="1" applyAlignment="1">
      <alignment horizontal="right" vertical="center" textRotation="90"/>
    </xf>
  </cellXfs>
  <cellStyles count="12">
    <cellStyle name="Comma" xfId="6" builtinId="3"/>
    <cellStyle name="Comma 2" xfId="5" xr:uid="{E4921B80-8D66-4D3A-80A8-30D7AC6654E4}"/>
    <cellStyle name="Comma 3" xfId="11" xr:uid="{AE9FBB45-3812-44EB-9985-E8711B5130A5}"/>
    <cellStyle name="Currency 2" xfId="9" xr:uid="{94E4DDE7-38BB-42BE-8AD8-F2255D91939B}"/>
    <cellStyle name="Hyperlink" xfId="7" builtinId="8"/>
    <cellStyle name="Hyperlink 2" xfId="2" xr:uid="{AB6B3A7D-3778-4F12-89C6-854994145915}"/>
    <cellStyle name="Hyperlink 2 2" xfId="3" xr:uid="{68C7A1A0-E6BF-4680-81F4-BC0E6FC46C33}"/>
    <cellStyle name="Normal" xfId="0" builtinId="0"/>
    <cellStyle name="Normal 2" xfId="10" xr:uid="{E467A6E4-457C-43D8-ABFB-99013C922CB0}"/>
    <cellStyle name="Normal 2 2 2" xfId="4" xr:uid="{78B9DE1D-532C-4950-9B15-A4A33EAE21E4}"/>
    <cellStyle name="Normal_Master Junior Database v2" xfId="8" xr:uid="{50343CF3-6739-4018-BFFB-67ED8A06E4D7}"/>
    <cellStyle name="Percent" xfId="1" builtinId="5"/>
  </cellStyles>
  <dxfs count="3"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fgColor auto="1"/>
          <bgColor rgb="FFFA621C"/>
        </patternFill>
      </fill>
    </dxf>
  </dxfs>
  <tableStyles count="0" defaultTableStyle="TableStyleMedium2" defaultPivotStyle="PivotStyleLight16"/>
  <colors>
    <mruColors>
      <color rgb="FF132E57"/>
      <color rgb="FFC32837"/>
      <color rgb="FFFA62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Chart'!$E$37:$E$41</c:f>
              <c:numCache>
                <c:formatCode>_(#,##0.00_);\(#,##0.00\);_("–"_);_(@_)</c:formatCode>
                <c:ptCount val="5"/>
                <c:pt idx="0">
                  <c:v>7.0339378825234045</c:v>
                </c:pt>
                <c:pt idx="1">
                  <c:v>12.633521477339277</c:v>
                </c:pt>
                <c:pt idx="2">
                  <c:v>5.0904490071280213</c:v>
                </c:pt>
                <c:pt idx="3">
                  <c:v>4.6588611592877118</c:v>
                </c:pt>
                <c:pt idx="4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C2A-99FA-3401A9282754}"/>
            </c:ext>
          </c:extLst>
        </c:ser>
        <c:ser>
          <c:idx val="1"/>
          <c:order val="1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Chart'!$F$37:$F$41</c:f>
              <c:numCache>
                <c:formatCode>_(#,##0.00_);\(#,##0.00\);_("–"_);_(@_)</c:formatCode>
                <c:ptCount val="5"/>
                <c:pt idx="0">
                  <c:v>3.5031991498884869</c:v>
                </c:pt>
                <c:pt idx="1">
                  <c:v>0.84203479523118752</c:v>
                </c:pt>
                <c:pt idx="2">
                  <c:v>3.4321569607814224</c:v>
                </c:pt>
                <c:pt idx="3">
                  <c:v>3.5355384202228173</c:v>
                </c:pt>
                <c:pt idx="4">
                  <c:v>5.8599999999999994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7-4C2A-99FA-3401A9282754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7210831602988491E-3"/>
                  <c:y val="0.2194862054309794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60-4FE4-A8E1-3C4A578859DF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'Football Field Chart'!$D$37:$D$41</c:f>
              <c:strCache>
                <c:ptCount val="5"/>
                <c:pt idx="0">
                  <c:v>Comparable Companies</c:v>
                </c:pt>
                <c:pt idx="1">
                  <c:v>Precedent Transactions</c:v>
                </c:pt>
                <c:pt idx="2">
                  <c:v>DCF - Perpetuity Growth</c:v>
                </c:pt>
                <c:pt idx="3">
                  <c:v>DCF - Terminal Multiple</c:v>
                </c:pt>
                <c:pt idx="4">
                  <c:v>52 Week High/Low</c:v>
                </c:pt>
              </c:strCache>
            </c:strRef>
          </c:cat>
          <c:val>
            <c:numRef>
              <c:f>'Football Field Chart'!$G$37:$G$41</c:f>
              <c:numCache>
                <c:formatCode>_(#,##0.00_);\(#,##0.00\);_("–"_);_(@_)</c:formatCode>
                <c:ptCount val="5"/>
                <c:pt idx="0">
                  <c:v>10.537137032411891</c:v>
                </c:pt>
                <c:pt idx="1">
                  <c:v>13.475556272570465</c:v>
                </c:pt>
                <c:pt idx="2">
                  <c:v>8.5226059679094437</c:v>
                </c:pt>
                <c:pt idx="3">
                  <c:v>8.1943995795105291</c:v>
                </c:pt>
                <c:pt idx="4">
                  <c:v>10.11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7-4C2A-99FA-3401A9282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1352351"/>
        <c:axId val="981360255"/>
      </c:barChart>
      <c:catAx>
        <c:axId val="98135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81360255"/>
        <c:crosses val="autoZero"/>
        <c:auto val="1"/>
        <c:lblAlgn val="ctr"/>
        <c:lblOffset val="100"/>
        <c:noMultiLvlLbl val="0"/>
      </c:catAx>
      <c:valAx>
        <c:axId val="981360255"/>
        <c:scaling>
          <c:orientation val="minMax"/>
          <c:max val="15"/>
          <c:min val="0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813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146957</xdr:rowOff>
    </xdr:from>
    <xdr:to>
      <xdr:col>6</xdr:col>
      <xdr:colOff>479065</xdr:colOff>
      <xdr:row>7</xdr:row>
      <xdr:rowOff>141668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BFCFFF-C23B-4BFF-BC82-004B77A6D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" y="647700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11</xdr:col>
      <xdr:colOff>729343</xdr:colOff>
      <xdr:row>3</xdr:row>
      <xdr:rowOff>223158</xdr:rowOff>
    </xdr:from>
    <xdr:to>
      <xdr:col>13</xdr:col>
      <xdr:colOff>712730</xdr:colOff>
      <xdr:row>6</xdr:row>
      <xdr:rowOff>199753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CB4F4B-63F0-4FCC-B0B9-B12C3354D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974272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103094</xdr:colOff>
      <xdr:row>0</xdr:row>
      <xdr:rowOff>0</xdr:rowOff>
    </xdr:from>
    <xdr:to>
      <xdr:col>3</xdr:col>
      <xdr:colOff>397295</xdr:colOff>
      <xdr:row>1</xdr:row>
      <xdr:rowOff>51441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F3CD1C-8AE2-4304-A728-BB37EAF5F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11</xdr:col>
      <xdr:colOff>265804</xdr:colOff>
      <xdr:row>0</xdr:row>
      <xdr:rowOff>152933</xdr:rowOff>
    </xdr:from>
    <xdr:to>
      <xdr:col>13</xdr:col>
      <xdr:colOff>486979</xdr:colOff>
      <xdr:row>0</xdr:row>
      <xdr:rowOff>615605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0CD50E-FE79-4D4D-A4E5-51A332B06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2933" y="152933"/>
          <a:ext cx="170931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58271</xdr:colOff>
      <xdr:row>0</xdr:row>
      <xdr:rowOff>0</xdr:rowOff>
    </xdr:from>
    <xdr:to>
      <xdr:col>3</xdr:col>
      <xdr:colOff>352472</xdr:colOff>
      <xdr:row>1</xdr:row>
      <xdr:rowOff>51441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7FFEF-2CE0-47AF-A2FD-3BB7886F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7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14</xdr:col>
      <xdr:colOff>409238</xdr:colOff>
      <xdr:row>0</xdr:row>
      <xdr:rowOff>148451</xdr:rowOff>
    </xdr:from>
    <xdr:to>
      <xdr:col>16</xdr:col>
      <xdr:colOff>540767</xdr:colOff>
      <xdr:row>0</xdr:row>
      <xdr:rowOff>611123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69CA8E-6E5A-42C7-B809-C3DA14FBF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638" y="148451"/>
          <a:ext cx="1709317" cy="4626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608479</xdr:colOff>
      <xdr:row>3</xdr:row>
      <xdr:rowOff>18938</xdr:rowOff>
    </xdr:from>
    <xdr:to>
      <xdr:col>13</xdr:col>
      <xdr:colOff>112059</xdr:colOff>
      <xdr:row>27</xdr:row>
      <xdr:rowOff>52842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229C5-3637-DF27-09F8-C6A4C369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802342</xdr:colOff>
      <xdr:row>12</xdr:row>
      <xdr:rowOff>73486</xdr:rowOff>
    </xdr:from>
    <xdr:to>
      <xdr:col>12</xdr:col>
      <xdr:colOff>313764</xdr:colOff>
      <xdr:row>12</xdr:row>
      <xdr:rowOff>73486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06F465E-BA41-80C9-703D-57D9B70D44AD}"/>
            </a:ext>
          </a:extLst>
        </xdr:cNvPr>
        <xdr:cNvCxnSpPr/>
      </xdr:nvCxnSpPr>
      <xdr:spPr>
        <a:xfrm>
          <a:off x="2725271" y="2870474"/>
          <a:ext cx="6104964" cy="0"/>
        </a:xfrm>
        <a:prstGeom prst="line">
          <a:avLst/>
        </a:prstGeom>
        <a:ln w="28575">
          <a:solidFill>
            <a:schemeClr val="accent2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416636</xdr:colOff>
      <xdr:row>9</xdr:row>
      <xdr:rowOff>154344</xdr:rowOff>
    </xdr:from>
    <xdr:to>
      <xdr:col>7</xdr:col>
      <xdr:colOff>206189</xdr:colOff>
      <xdr:row>12</xdr:row>
      <xdr:rowOff>56479</xdr:rowOff>
    </xdr:to>
    <xdr:sp macro="" textlink="$D$42">
      <xdr:nvSpPr>
        <xdr:cNvPr id="7" name="TextBox 6">
          <a:extLst>
            <a:ext uri="{FF2B5EF4-FFF2-40B4-BE49-F238E27FC236}">
              <a16:creationId xmlns:a16="http://schemas.microsoft.com/office/drawing/2014/main" id="{CD06CA97-B537-9802-5B37-F6D57304A7BB}"/>
            </a:ext>
          </a:extLst>
        </xdr:cNvPr>
        <xdr:cNvSpPr txBox="1"/>
      </xdr:nvSpPr>
      <xdr:spPr>
        <a:xfrm>
          <a:off x="3882989" y="2425403"/>
          <a:ext cx="1716965" cy="462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51A3EE-9CEE-4AF0-B990-EDAC98EAA7AB}" type="TxLink">
            <a:rPr lang="en-US" sz="1000" b="1" i="0" u="none" strike="noStrike">
              <a:solidFill>
                <a:schemeClr val="accent2"/>
              </a:solidFill>
              <a:latin typeface="Open Sans"/>
              <a:ea typeface="Open Sans"/>
              <a:cs typeface="Open Sans"/>
            </a:rPr>
            <a:pPr/>
            <a:t>Average Valuation: $8.77</a:t>
          </a:fld>
          <a:endParaRPr lang="en-US" sz="900" b="1">
            <a:solidFill>
              <a:schemeClr val="accent2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  <xdr:twoCellAnchor editAs="oneCell">
    <xdr:from>
      <xdr:col>1</xdr:col>
      <xdr:colOff>58271</xdr:colOff>
      <xdr:row>0</xdr:row>
      <xdr:rowOff>0</xdr:rowOff>
    </xdr:from>
    <xdr:to>
      <xdr:col>3</xdr:col>
      <xdr:colOff>1459015</xdr:colOff>
      <xdr:row>1</xdr:row>
      <xdr:rowOff>50171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C6B80C-0A22-437B-871F-3AF8485B6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12</xdr:col>
      <xdr:colOff>104439</xdr:colOff>
      <xdr:row>0</xdr:row>
      <xdr:rowOff>148451</xdr:rowOff>
    </xdr:from>
    <xdr:to>
      <xdr:col>14</xdr:col>
      <xdr:colOff>531803</xdr:colOff>
      <xdr:row>0</xdr:row>
      <xdr:rowOff>611123</xdr:rowOff>
    </xdr:to>
    <xdr:pic>
      <xdr:nvPicPr>
        <xdr:cNvPr id="8" name="Pictur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8E9848-AB10-48E2-B5D6-7515D762D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910" y="148451"/>
          <a:ext cx="1709317" cy="4626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Shared%20drives\Courses%20&amp;%20Programs\1%20Financial%20Modeling%20and%20Valuation%20Analyst%20(FMVA)\02.%20Excel%20Modeling%20Fundamentals\(Updated)%20Excel%20Fundamentals%20-%20Formulas%20for%20Finance%20-%20SCHMIDT.xlsx" TargetMode="External"/><Relationship Id="rId1" Type="http://schemas.openxmlformats.org/officeDocument/2006/relationships/externalLinkPath" Target="/Shared%20drives/Courses%20&amp;%20Programs/1%20Financial%20Modeling%20and%20Valuation%20Analyst%20(FMVA)/02.%20Excel%20Modeling%20Fundamentals/(Updated)%20Excel%20Fundamentals%20-%20Formulas%20for%20Finance%20-%20SCHMI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Raw Data"/>
      <sheetName val="Basic Financial Analysis"/>
      <sheetName val="Advanced Financial Analysis"/>
      <sheetName val="Lookup Functions"/>
      <sheetName val="NPV Vs XNPV"/>
      <sheetName val="Simple Amortization"/>
      <sheetName val="Advanced Amortization"/>
    </sheetNames>
    <sheetDataSet>
      <sheetData sheetId="0" refreshError="1"/>
      <sheetData sheetId="1" refreshError="1"/>
      <sheetData sheetId="2" refreshError="1"/>
      <sheetData sheetId="3">
        <row r="9">
          <cell r="B9" t="str">
            <v>Gross Profit</v>
          </cell>
          <cell r="F9">
            <v>82500</v>
          </cell>
          <cell r="G9">
            <v>90750</v>
          </cell>
          <cell r="H9">
            <v>99825.000000000015</v>
          </cell>
          <cell r="I9">
            <v>109807.50000000003</v>
          </cell>
          <cell r="J9">
            <v>120788.25000000004</v>
          </cell>
          <cell r="K9">
            <v>132867.07500000007</v>
          </cell>
          <cell r="L9">
            <v>146153.78250000009</v>
          </cell>
        </row>
        <row r="11">
          <cell r="B11" t="str">
            <v>SG&amp;A</v>
          </cell>
          <cell r="F11">
            <v>16500</v>
          </cell>
          <cell r="G11">
            <v>18150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</row>
        <row r="49">
          <cell r="D49">
            <v>0.1</v>
          </cell>
        </row>
      </sheetData>
      <sheetData sheetId="4" refreshError="1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7E82-6292-412E-AEF3-F15FD7891CF9}">
  <sheetPr codeName="Sheet1">
    <pageSetUpPr fitToPage="1"/>
  </sheetPr>
  <dimension ref="A1:W40"/>
  <sheetViews>
    <sheetView showGridLines="0" tabSelected="1" zoomScale="70" zoomScaleNormal="70" zoomScaleSheetLayoutView="85" workbookViewId="0"/>
  </sheetViews>
  <sheetFormatPr defaultColWidth="9.1015625" defaultRowHeight="19.5" customHeight="1"/>
  <cols>
    <col min="1" max="1" width="4.68359375" style="46" customWidth="1"/>
    <col min="2" max="2" width="4.7890625" style="46" customWidth="1"/>
    <col min="3" max="3" width="18.68359375" style="46" customWidth="1"/>
    <col min="4" max="7" width="10.68359375" style="46" customWidth="1"/>
    <col min="8" max="8" width="18.68359375" style="46" customWidth="1"/>
    <col min="9" max="12" width="10.68359375" style="46" customWidth="1"/>
    <col min="13" max="13" width="26.68359375" style="46" customWidth="1"/>
    <col min="14" max="14" width="10.68359375" style="46" customWidth="1"/>
    <col min="15" max="15" width="4.7890625" style="46" customWidth="1"/>
    <col min="16" max="16" width="11" style="46" customWidth="1"/>
    <col min="17" max="16384" width="9.1015625" style="46"/>
  </cols>
  <sheetData>
    <row r="1" spans="1:15" ht="19.5" customHeight="1" thickBot="1">
      <c r="A1" s="99"/>
    </row>
    <row r="2" spans="1:15" ht="19.5" customHeight="1" thickTop="1"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1:15" ht="19.5" customHeight="1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1:15" ht="19.5" customHeight="1"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</row>
    <row r="5" spans="1:15" ht="19.5" customHeight="1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1:15" ht="19.5" customHeight="1">
      <c r="B6" s="50"/>
      <c r="C6" s="51"/>
      <c r="D6" s="51"/>
      <c r="E6" s="51"/>
      <c r="F6" s="51"/>
      <c r="G6" s="51"/>
      <c r="H6" s="100"/>
      <c r="I6" s="51"/>
      <c r="J6" s="51"/>
      <c r="K6" s="51"/>
      <c r="L6" s="51"/>
      <c r="M6" s="51"/>
      <c r="N6" s="51"/>
      <c r="O6" s="52"/>
    </row>
    <row r="7" spans="1:15" ht="19.5" customHeight="1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5" ht="19.5" customHeight="1">
      <c r="B8" s="5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</row>
    <row r="9" spans="1:15" ht="19.5" customHeight="1">
      <c r="B9" s="50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</row>
    <row r="10" spans="1:15" ht="19.5" customHeight="1">
      <c r="B10" s="53"/>
      <c r="O10" s="54"/>
    </row>
    <row r="11" spans="1:15" ht="28.5" customHeight="1">
      <c r="B11" s="53"/>
      <c r="C11" s="55" t="s">
        <v>231</v>
      </c>
      <c r="N11" s="56" t="s">
        <v>0</v>
      </c>
      <c r="O11" s="54"/>
    </row>
    <row r="12" spans="1:15" ht="19.5" customHeight="1">
      <c r="B12" s="53"/>
      <c r="C12" s="57"/>
      <c r="L12" s="58"/>
      <c r="O12" s="54"/>
    </row>
    <row r="13" spans="1:15" ht="19.5" customHeight="1">
      <c r="B13" s="53"/>
      <c r="O13" s="54"/>
    </row>
    <row r="14" spans="1:15" ht="19.5" customHeight="1">
      <c r="B14" s="53"/>
      <c r="C14" s="59" t="s">
        <v>1</v>
      </c>
      <c r="D14" s="78"/>
      <c r="E14" s="78"/>
      <c r="F14" s="78"/>
      <c r="G14" s="78"/>
      <c r="H14" s="78"/>
      <c r="J14" s="101"/>
      <c r="K14" s="81" t="s">
        <v>28</v>
      </c>
      <c r="L14" s="79"/>
      <c r="M14" s="72"/>
      <c r="N14" s="71"/>
      <c r="O14" s="54"/>
    </row>
    <row r="15" spans="1:15" ht="19.5" customHeight="1">
      <c r="B15" s="53"/>
      <c r="D15" s="78"/>
      <c r="E15" s="78"/>
      <c r="F15" s="78"/>
      <c r="G15" s="78"/>
      <c r="H15" s="78"/>
      <c r="J15" s="78"/>
      <c r="K15" s="78"/>
      <c r="L15" s="78"/>
      <c r="M15" s="78"/>
      <c r="N15" s="78"/>
      <c r="O15" s="54"/>
    </row>
    <row r="16" spans="1:15" ht="19.5" customHeight="1">
      <c r="B16" s="53"/>
      <c r="C16" s="211" t="s">
        <v>230</v>
      </c>
      <c r="D16" s="78"/>
      <c r="E16"/>
      <c r="F16" s="78"/>
      <c r="G16" s="78"/>
      <c r="H16" s="78"/>
      <c r="K16" s="64" t="s">
        <v>78</v>
      </c>
      <c r="M16" s="64"/>
      <c r="N16" s="135">
        <f>IF(SUM('DCF Model'!F107:M107)=0,0,1)</f>
        <v>0</v>
      </c>
      <c r="O16" s="54"/>
    </row>
    <row r="17" spans="2:23" ht="19.5" customHeight="1">
      <c r="B17" s="53"/>
      <c r="C17" s="211" t="s">
        <v>182</v>
      </c>
      <c r="D17" s="78"/>
      <c r="E17" s="78"/>
      <c r="F17" s="78"/>
      <c r="G17" s="78"/>
      <c r="H17" s="78"/>
      <c r="K17" s="64"/>
      <c r="M17" s="64"/>
      <c r="N17" s="98"/>
      <c r="O17" s="54"/>
    </row>
    <row r="18" spans="2:23" ht="19.5" customHeight="1">
      <c r="B18" s="53"/>
      <c r="C18" s="211" t="s">
        <v>196</v>
      </c>
      <c r="D18" s="78"/>
      <c r="E18" s="78"/>
      <c r="F18" s="78"/>
      <c r="G18" s="78"/>
      <c r="H18" s="78"/>
      <c r="O18" s="54"/>
    </row>
    <row r="19" spans="2:23" ht="19.5" customHeight="1">
      <c r="B19" s="53"/>
      <c r="D19" s="78"/>
      <c r="E19" s="78"/>
      <c r="F19" s="78"/>
      <c r="G19" s="78"/>
      <c r="H19" s="78"/>
      <c r="O19" s="54"/>
    </row>
    <row r="20" spans="2:23" ht="19.5" customHeight="1">
      <c r="B20" s="53"/>
      <c r="C20"/>
      <c r="D20" s="78"/>
      <c r="E20" s="78"/>
      <c r="F20" s="78"/>
      <c r="G20" s="78"/>
      <c r="H20" s="78"/>
      <c r="I20" s="64"/>
      <c r="M20" s="64"/>
      <c r="N20" s="67"/>
      <c r="O20" s="54"/>
    </row>
    <row r="21" spans="2:23" ht="19.5" customHeight="1">
      <c r="B21" s="53"/>
      <c r="D21" s="136"/>
      <c r="E21" s="136"/>
      <c r="F21" s="136"/>
      <c r="G21" s="78"/>
      <c r="H21" s="78"/>
      <c r="I21" s="64"/>
      <c r="M21" s="64"/>
      <c r="N21" s="67"/>
      <c r="O21" s="54"/>
    </row>
    <row r="22" spans="2:23" ht="19.5" customHeight="1">
      <c r="B22" s="53"/>
      <c r="G22" s="78"/>
      <c r="H22" s="78"/>
      <c r="I22" s="64"/>
      <c r="M22" s="64"/>
      <c r="N22" s="67"/>
      <c r="O22" s="54"/>
    </row>
    <row r="23" spans="2:23" ht="19.5" customHeight="1">
      <c r="B23" s="53"/>
      <c r="C23" s="137"/>
      <c r="D23" s="138"/>
      <c r="F23" s="139"/>
      <c r="G23" s="78"/>
      <c r="H23" s="78"/>
      <c r="O23" s="54"/>
      <c r="R23" s="75"/>
      <c r="W23" s="75"/>
    </row>
    <row r="24" spans="2:23" ht="19.5" customHeight="1">
      <c r="B24" s="53"/>
      <c r="C24" s="88"/>
      <c r="D24" s="88"/>
      <c r="E24" s="88"/>
      <c r="F24" s="88"/>
      <c r="G24" s="78"/>
      <c r="H24" s="78"/>
      <c r="O24" s="54"/>
    </row>
    <row r="25" spans="2:23" ht="19.5" customHeight="1">
      <c r="B25" s="53"/>
      <c r="C25" s="6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54"/>
    </row>
    <row r="26" spans="2:23" ht="19.5" customHeight="1">
      <c r="B26" s="53"/>
      <c r="C26" s="89"/>
      <c r="D26" s="90"/>
      <c r="E26" s="90"/>
      <c r="F26" s="78"/>
      <c r="G26" s="78"/>
      <c r="H26" s="78"/>
      <c r="I26" s="78"/>
      <c r="J26" s="78"/>
      <c r="K26" s="78"/>
      <c r="L26" s="78"/>
      <c r="M26" s="78"/>
      <c r="N26" s="78"/>
      <c r="O26" s="54"/>
    </row>
    <row r="27" spans="2:23" ht="19.5" customHeight="1">
      <c r="B27" s="53"/>
      <c r="C27" s="89"/>
      <c r="D27" s="91"/>
      <c r="E27" s="92"/>
      <c r="F27" s="78"/>
      <c r="G27" s="78"/>
      <c r="H27" s="78"/>
      <c r="I27" s="78"/>
      <c r="J27" s="78"/>
      <c r="K27" s="78"/>
      <c r="L27" s="78"/>
      <c r="M27" s="78"/>
      <c r="N27" s="78"/>
      <c r="O27" s="54"/>
    </row>
    <row r="28" spans="2:23" ht="19.5" customHeight="1">
      <c r="B28" s="53"/>
      <c r="C28" s="89"/>
      <c r="D28" s="91"/>
      <c r="E28" s="92"/>
      <c r="F28" s="78"/>
      <c r="G28" s="78"/>
      <c r="H28" s="78"/>
      <c r="I28" s="78"/>
      <c r="J28" s="78"/>
      <c r="K28" s="78"/>
      <c r="L28" s="78"/>
      <c r="M28" s="78"/>
      <c r="N28" s="78"/>
      <c r="O28" s="54"/>
    </row>
    <row r="29" spans="2:23" ht="19.5" customHeight="1">
      <c r="B29" s="53"/>
      <c r="C29" s="69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54"/>
    </row>
    <row r="30" spans="2:23" ht="19.5" customHeight="1">
      <c r="B30" s="53"/>
      <c r="C30" s="69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54"/>
    </row>
    <row r="31" spans="2:23" ht="19.5" customHeight="1">
      <c r="B31" s="53"/>
      <c r="C31" s="1" t="s">
        <v>197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54"/>
    </row>
    <row r="32" spans="2:23" ht="19.5" customHeight="1">
      <c r="B32" s="53"/>
      <c r="C32" s="2" t="s">
        <v>27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54"/>
    </row>
    <row r="33" spans="2:16" ht="19.5" customHeight="1">
      <c r="B33" s="53"/>
      <c r="C33" s="2" t="s">
        <v>3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4"/>
    </row>
    <row r="34" spans="2:16" ht="19.5" customHeight="1">
      <c r="B34" s="53"/>
      <c r="C34" s="2" t="s">
        <v>4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54"/>
    </row>
    <row r="35" spans="2:16" ht="19.5" customHeight="1">
      <c r="B35" s="53"/>
      <c r="C35" s="2" t="s">
        <v>5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54"/>
    </row>
    <row r="36" spans="2:16" ht="19.5" customHeight="1">
      <c r="B36" s="53"/>
      <c r="C36" s="2" t="s">
        <v>6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54"/>
    </row>
    <row r="37" spans="2:16" ht="19.5" customHeight="1">
      <c r="B37" s="53"/>
      <c r="C37" s="2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54"/>
    </row>
    <row r="38" spans="2:16" ht="19.5" customHeight="1">
      <c r="B38" s="53"/>
      <c r="C38" s="2" t="s">
        <v>2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54"/>
    </row>
    <row r="39" spans="2:16" ht="19.5" customHeight="1" thickBot="1">
      <c r="B39" s="6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3" t="s">
        <v>26</v>
      </c>
    </row>
    <row r="40" spans="2:16" ht="19.5" customHeight="1" thickTop="1">
      <c r="P40" s="46" t="s">
        <v>26</v>
      </c>
    </row>
  </sheetData>
  <conditionalFormatting sqref="N17">
    <cfRule type="expression" dxfId="2" priority="2">
      <formula>N17=1</formula>
    </cfRule>
  </conditionalFormatting>
  <conditionalFormatting sqref="N16">
    <cfRule type="expression" dxfId="1" priority="1">
      <formula>N16=1</formula>
    </cfRule>
  </conditionalFormatting>
  <hyperlinks>
    <hyperlink ref="C38" r:id="rId1" xr:uid="{11B623C5-525C-4DAC-9965-0E2A383E2920}"/>
    <hyperlink ref="C16" location="'DCF Model'!A1" tooltip="DCF Model" display="DCF Model" xr:uid="{1CE2ECB4-77BB-4401-9EC8-BF79CE81A799}"/>
    <hyperlink ref="C17" location="'Relative Valuation'!A1" tooltip="Relative Valuation" display="Relative Valuation" xr:uid="{BB8B24FE-EF89-4479-AB8F-254ED97C5510}"/>
    <hyperlink ref="C18" location="'Football Field Chart'!A1" tooltip="Football Field Chart" display="Football Field Chart" xr:uid="{4F9E1571-27CF-44E8-849F-5FC8698CA462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684B-BC30-455C-935A-0A8F8A46094B}">
  <sheetPr>
    <pageSetUpPr autoPageBreaks="0"/>
  </sheetPr>
  <dimension ref="A1:P336"/>
  <sheetViews>
    <sheetView showGridLines="0" zoomScale="85" zoomScaleNormal="85" zoomScaleSheetLayoutView="85" workbookViewId="0">
      <pane ySplit="1" topLeftCell="A2" activePane="bottomLeft" state="frozen"/>
      <selection activeCell="B26" sqref="B26"/>
      <selection pane="bottomLeft" activeCell="A3" sqref="A3"/>
    </sheetView>
  </sheetViews>
  <sheetFormatPr defaultColWidth="9.1015625" defaultRowHeight="15" customHeight="1" outlineLevelRow="1"/>
  <cols>
    <col min="1" max="1" width="9.1015625" style="255" customWidth="1"/>
    <col min="2" max="2" width="20.3671875" style="255" customWidth="1"/>
    <col min="3" max="3" width="12.68359375" style="255" customWidth="1"/>
    <col min="4" max="4" width="8.83984375" style="255" customWidth="1"/>
    <col min="5" max="5" width="9.68359375" style="255" customWidth="1"/>
    <col min="6" max="13" width="10.26171875" style="255" customWidth="1"/>
    <col min="14" max="16" width="9.1015625" style="255" customWidth="1"/>
    <col min="17" max="17" width="10.7890625" style="255" bestFit="1" customWidth="1"/>
    <col min="18" max="16384" width="9.1015625" style="255"/>
  </cols>
  <sheetData>
    <row r="1" spans="1:16" s="44" customFormat="1" ht="55" customHeight="1">
      <c r="A1" s="10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0"/>
      <c r="P1" s="76"/>
    </row>
    <row r="2" spans="1:16" s="10" customFormat="1" ht="15" customHeight="1">
      <c r="B2" s="11"/>
      <c r="C2" s="5"/>
      <c r="D2" s="18"/>
      <c r="E2" s="9"/>
      <c r="F2" s="24"/>
      <c r="G2" s="24"/>
      <c r="H2" s="24"/>
      <c r="I2" s="25"/>
      <c r="J2" s="25"/>
      <c r="K2" s="25"/>
      <c r="L2" s="25"/>
      <c r="M2" s="25"/>
      <c r="N2" s="26"/>
      <c r="O2" s="26"/>
    </row>
    <row r="3" spans="1:16" s="3" customFormat="1" ht="15" customHeight="1">
      <c r="A3" s="10" t="s">
        <v>26</v>
      </c>
      <c r="B3" s="36" t="s">
        <v>13</v>
      </c>
      <c r="C3" s="37"/>
      <c r="D3" s="38"/>
      <c r="E3" s="38"/>
      <c r="F3" s="39"/>
      <c r="G3" s="39"/>
      <c r="H3" s="39"/>
      <c r="I3" s="39"/>
      <c r="J3" s="39"/>
      <c r="K3" s="39"/>
      <c r="L3" s="39"/>
      <c r="M3" s="39"/>
    </row>
    <row r="4" spans="1:16" s="3" customFormat="1" ht="15" customHeight="1" outlineLevel="1">
      <c r="B4" s="4"/>
      <c r="C4" s="5"/>
      <c r="D4" s="6"/>
      <c r="E4" s="6"/>
      <c r="F4" s="7"/>
      <c r="G4" s="7"/>
      <c r="H4" s="7"/>
      <c r="I4" s="7"/>
      <c r="J4" s="7"/>
      <c r="K4" s="7"/>
      <c r="L4" s="7"/>
      <c r="M4" s="7"/>
      <c r="P4" s="75"/>
    </row>
    <row r="5" spans="1:16" s="3" customFormat="1" ht="15" customHeight="1" outlineLevel="1" thickBot="1">
      <c r="B5" s="8" t="s">
        <v>10</v>
      </c>
      <c r="C5" s="5"/>
      <c r="D5" s="9"/>
      <c r="E5" s="9"/>
      <c r="F5" s="110">
        <f>G5-1</f>
        <v>2020</v>
      </c>
      <c r="G5" s="110">
        <f>H5-1</f>
        <v>2021</v>
      </c>
      <c r="H5" s="110">
        <f>I5-1</f>
        <v>2022</v>
      </c>
      <c r="I5" s="191">
        <v>2023</v>
      </c>
      <c r="J5" s="111">
        <f>I5+1</f>
        <v>2024</v>
      </c>
      <c r="K5" s="111">
        <f>J5+1</f>
        <v>2025</v>
      </c>
      <c r="L5" s="111">
        <f>K5+1</f>
        <v>2026</v>
      </c>
      <c r="M5" s="111">
        <f>L5+1</f>
        <v>2027</v>
      </c>
      <c r="P5" s="75"/>
    </row>
    <row r="6" spans="1:16" s="44" customFormat="1" ht="15" customHeight="1" outlineLevel="1">
      <c r="A6" s="10"/>
      <c r="B6" s="8"/>
      <c r="C6" s="5"/>
      <c r="D6" s="9"/>
      <c r="E6" s="9"/>
      <c r="F6" s="9"/>
      <c r="G6" s="9"/>
      <c r="H6" s="9"/>
      <c r="I6" s="23"/>
      <c r="J6" s="23"/>
      <c r="K6" s="23"/>
      <c r="L6" s="23"/>
      <c r="M6" s="23"/>
      <c r="P6" s="75"/>
    </row>
    <row r="7" spans="1:16" s="3" customFormat="1" ht="15" customHeight="1" outlineLevel="1">
      <c r="B7" s="8"/>
      <c r="C7" s="5"/>
      <c r="D7" s="9"/>
      <c r="E7" s="9"/>
      <c r="F7" s="9"/>
      <c r="G7" s="9"/>
      <c r="H7" s="9"/>
    </row>
    <row r="8" spans="1:16" s="10" customFormat="1" ht="15" customHeight="1" outlineLevel="1">
      <c r="B8" s="42" t="s">
        <v>7</v>
      </c>
      <c r="C8" s="12"/>
      <c r="D8" s="9"/>
      <c r="E8" s="12"/>
      <c r="F8" s="94">
        <v>50589</v>
      </c>
      <c r="G8" s="94">
        <v>51647.864999999998</v>
      </c>
      <c r="H8" s="94">
        <v>53760.85</v>
      </c>
      <c r="I8" s="94">
        <v>56481.149010000008</v>
      </c>
      <c r="J8" s="94">
        <v>57616.420105100995</v>
      </c>
      <c r="K8" s="94">
        <v>58774.510149213536</v>
      </c>
      <c r="L8" s="94">
        <v>59659.066526959185</v>
      </c>
      <c r="M8" s="94">
        <v>60257.148668891932</v>
      </c>
      <c r="P8" s="75"/>
    </row>
    <row r="9" spans="1:16" s="10" customFormat="1" ht="15" customHeight="1" outlineLevel="1">
      <c r="B9" s="42" t="s">
        <v>25</v>
      </c>
      <c r="C9" s="12"/>
      <c r="D9" s="12"/>
      <c r="E9" s="12"/>
      <c r="F9" s="95">
        <v>-24544.3</v>
      </c>
      <c r="G9" s="95">
        <v>-25104.0144</v>
      </c>
      <c r="H9" s="95">
        <v>-25779.4015</v>
      </c>
      <c r="I9" s="95">
        <v>-27110.951524800003</v>
      </c>
      <c r="J9" s="95">
        <v>-27655.881650448475</v>
      </c>
      <c r="K9" s="95">
        <v>-28211.764871622498</v>
      </c>
      <c r="L9" s="95">
        <v>-28636.351932940408</v>
      </c>
      <c r="M9" s="95">
        <v>-28923.431361068127</v>
      </c>
      <c r="P9" s="75"/>
    </row>
    <row r="10" spans="1:16" s="10" customFormat="1" ht="15" customHeight="1" outlineLevel="1">
      <c r="B10" s="73" t="s">
        <v>14</v>
      </c>
      <c r="C10" s="13"/>
      <c r="D10" s="12"/>
      <c r="E10" s="12"/>
      <c r="F10" s="112">
        <f t="shared" ref="F10:H10" si="0">SUM(F8:F9)</f>
        <v>26044.7</v>
      </c>
      <c r="G10" s="112">
        <f t="shared" si="0"/>
        <v>26543.850599999998</v>
      </c>
      <c r="H10" s="112">
        <f t="shared" si="0"/>
        <v>27981.448499999999</v>
      </c>
      <c r="I10" s="112">
        <f t="shared" ref="I10:M10" si="1">SUM(I8:I9)</f>
        <v>29370.197485200006</v>
      </c>
      <c r="J10" s="112">
        <f t="shared" si="1"/>
        <v>29960.53845465252</v>
      </c>
      <c r="K10" s="112">
        <f t="shared" si="1"/>
        <v>30562.745277591039</v>
      </c>
      <c r="L10" s="112">
        <f t="shared" si="1"/>
        <v>31022.714594018777</v>
      </c>
      <c r="M10" s="112">
        <f t="shared" si="1"/>
        <v>31333.717307823805</v>
      </c>
      <c r="P10" s="75"/>
    </row>
    <row r="11" spans="1:16" s="10" customFormat="1" ht="15" customHeight="1" outlineLevel="1">
      <c r="B11" s="73"/>
      <c r="C11" s="13"/>
      <c r="D11" s="12"/>
      <c r="E11" s="12"/>
      <c r="F11" s="103"/>
      <c r="G11" s="103"/>
      <c r="H11" s="103"/>
      <c r="I11" s="45"/>
      <c r="J11" s="45"/>
      <c r="K11" s="45"/>
      <c r="L11" s="45"/>
      <c r="M11" s="45"/>
      <c r="P11" s="26"/>
    </row>
    <row r="12" spans="1:16" s="10" customFormat="1" ht="15" customHeight="1" outlineLevel="1">
      <c r="B12" s="42"/>
      <c r="C12" s="12"/>
      <c r="D12" s="12"/>
      <c r="E12" s="12"/>
      <c r="F12" s="103"/>
      <c r="G12" s="103"/>
      <c r="H12" s="103"/>
      <c r="I12" s="108"/>
      <c r="J12" s="108"/>
      <c r="K12" s="108"/>
      <c r="L12" s="108"/>
      <c r="M12" s="109"/>
    </row>
    <row r="13" spans="1:16" s="10" customFormat="1" ht="15" customHeight="1" outlineLevel="1">
      <c r="B13" s="42" t="s">
        <v>23</v>
      </c>
      <c r="C13" s="12"/>
      <c r="D13" s="12"/>
      <c r="E13" s="12"/>
      <c r="F13" s="94">
        <v>-5877</v>
      </c>
      <c r="G13" s="94">
        <v>-6006</v>
      </c>
      <c r="H13" s="94">
        <v>-6144</v>
      </c>
      <c r="I13" s="94">
        <v>-6359.0399999999991</v>
      </c>
      <c r="J13" s="94">
        <v>-6549.8111999999992</v>
      </c>
      <c r="K13" s="94">
        <v>-6746.3055359999989</v>
      </c>
      <c r="L13" s="94">
        <v>-6914.963174399998</v>
      </c>
      <c r="M13" s="94">
        <v>-7087.8372537599971</v>
      </c>
    </row>
    <row r="14" spans="1:16" s="10" customFormat="1" ht="15" customHeight="1" outlineLevel="1">
      <c r="B14" s="42" t="s">
        <v>19</v>
      </c>
      <c r="C14" s="12"/>
      <c r="D14" s="12"/>
      <c r="E14" s="12"/>
      <c r="F14" s="95">
        <v>-1764</v>
      </c>
      <c r="G14" s="95">
        <v>-1931</v>
      </c>
      <c r="H14" s="95">
        <v>-2026</v>
      </c>
      <c r="I14" s="95">
        <v>-2096.91</v>
      </c>
      <c r="J14" s="95">
        <v>-2159.8172999999997</v>
      </c>
      <c r="K14" s="95">
        <v>-2224.6118189999997</v>
      </c>
      <c r="L14" s="95">
        <v>-2280.2271144749993</v>
      </c>
      <c r="M14" s="95">
        <v>-2337.2327923368739</v>
      </c>
    </row>
    <row r="15" spans="1:16" s="10" customFormat="1" ht="15" customHeight="1" outlineLevel="1">
      <c r="B15" s="73" t="s">
        <v>15</v>
      </c>
      <c r="C15" s="13"/>
      <c r="D15" s="12"/>
      <c r="E15" s="12"/>
      <c r="F15" s="112">
        <f t="shared" ref="F15:H15" si="2">F10+SUM(F13:F14)</f>
        <v>18403.7</v>
      </c>
      <c r="G15" s="112">
        <f t="shared" si="2"/>
        <v>18606.850599999998</v>
      </c>
      <c r="H15" s="112">
        <f t="shared" si="2"/>
        <v>19811.448499999999</v>
      </c>
      <c r="I15" s="112">
        <f t="shared" ref="I15:M15" si="3">I10+SUM(I13:I14)</f>
        <v>20914.247485200009</v>
      </c>
      <c r="J15" s="112">
        <f t="shared" si="3"/>
        <v>21250.909954652521</v>
      </c>
      <c r="K15" s="112">
        <f t="shared" si="3"/>
        <v>21591.827922591041</v>
      </c>
      <c r="L15" s="112">
        <f t="shared" si="3"/>
        <v>21827.524305143779</v>
      </c>
      <c r="M15" s="112">
        <f t="shared" si="3"/>
        <v>21908.647261726932</v>
      </c>
      <c r="P15" s="75"/>
    </row>
    <row r="16" spans="1:16" s="10" customFormat="1" ht="15" customHeight="1" outlineLevel="1">
      <c r="B16" s="73"/>
      <c r="C16" s="13"/>
      <c r="D16" s="12"/>
      <c r="E16" s="12"/>
      <c r="F16" s="103"/>
      <c r="G16" s="103"/>
      <c r="H16" s="103"/>
      <c r="I16" s="45"/>
      <c r="J16" s="45"/>
      <c r="K16" s="45"/>
      <c r="L16" s="45"/>
      <c r="M16" s="45"/>
    </row>
    <row r="17" spans="2:16" s="10" customFormat="1" ht="15" customHeight="1" outlineLevel="1">
      <c r="B17" s="42"/>
      <c r="C17" s="12"/>
      <c r="D17" s="12"/>
      <c r="E17" s="12"/>
      <c r="F17" s="102"/>
      <c r="G17" s="102"/>
      <c r="H17" s="102"/>
      <c r="I17" s="45"/>
      <c r="J17" s="45"/>
      <c r="K17" s="45"/>
      <c r="L17" s="45"/>
      <c r="M17" s="45"/>
    </row>
    <row r="18" spans="2:16" s="10" customFormat="1" ht="15" customHeight="1" outlineLevel="1">
      <c r="B18" s="42" t="s">
        <v>16</v>
      </c>
      <c r="C18" s="12"/>
      <c r="D18" s="12"/>
      <c r="E18" s="12"/>
      <c r="F18" s="95">
        <v>-2960</v>
      </c>
      <c r="G18" s="95">
        <v>-3196</v>
      </c>
      <c r="H18" s="95">
        <v>-3452</v>
      </c>
      <c r="I18" s="95">
        <v>-4287.75</v>
      </c>
      <c r="J18" s="95">
        <v>-4636.5</v>
      </c>
      <c r="K18" s="95">
        <v>-4994.625</v>
      </c>
      <c r="L18" s="95">
        <v>-5356.5</v>
      </c>
      <c r="M18" s="95">
        <v>-5728.6875</v>
      </c>
    </row>
    <row r="19" spans="2:16" s="10" customFormat="1" ht="15" customHeight="1" outlineLevel="1">
      <c r="B19" s="73" t="s">
        <v>17</v>
      </c>
      <c r="C19" s="13"/>
      <c r="D19" s="12"/>
      <c r="E19" s="12"/>
      <c r="F19" s="112">
        <f t="shared" ref="F19:M19" si="4">F15+SUM(F18:F18)</f>
        <v>15443.7</v>
      </c>
      <c r="G19" s="112">
        <f t="shared" si="4"/>
        <v>15410.850599999998</v>
      </c>
      <c r="H19" s="112">
        <f t="shared" si="4"/>
        <v>16359.448499999999</v>
      </c>
      <c r="I19" s="112">
        <f t="shared" si="4"/>
        <v>16626.497485200009</v>
      </c>
      <c r="J19" s="112">
        <f t="shared" si="4"/>
        <v>16614.409954652521</v>
      </c>
      <c r="K19" s="112">
        <f t="shared" si="4"/>
        <v>16597.202922591041</v>
      </c>
      <c r="L19" s="112">
        <f t="shared" si="4"/>
        <v>16471.024305143779</v>
      </c>
      <c r="M19" s="112">
        <f t="shared" si="4"/>
        <v>16179.959761726932</v>
      </c>
      <c r="P19" s="75"/>
    </row>
    <row r="20" spans="2:16" s="10" customFormat="1" ht="15" customHeight="1" outlineLevel="1">
      <c r="B20" s="73"/>
      <c r="C20" s="13"/>
      <c r="D20" s="12"/>
      <c r="E20" s="12"/>
      <c r="F20" s="102"/>
      <c r="G20" s="102"/>
      <c r="H20" s="102"/>
      <c r="I20" s="45"/>
      <c r="J20" s="45"/>
      <c r="K20" s="45"/>
      <c r="L20" s="45"/>
      <c r="M20" s="45"/>
    </row>
    <row r="21" spans="2:16" s="10" customFormat="1" ht="15" customHeight="1" outlineLevel="1">
      <c r="B21" s="73"/>
      <c r="C21" s="13"/>
      <c r="D21" s="12"/>
      <c r="E21" s="12"/>
      <c r="F21" s="102"/>
      <c r="G21" s="102"/>
      <c r="H21" s="102"/>
      <c r="I21" s="45"/>
      <c r="J21" s="45"/>
      <c r="K21" s="45"/>
      <c r="L21" s="45"/>
      <c r="M21" s="45"/>
    </row>
    <row r="22" spans="2:16" s="10" customFormat="1" ht="15" customHeight="1" outlineLevel="1">
      <c r="B22" s="42" t="s">
        <v>22</v>
      </c>
      <c r="C22" s="12"/>
      <c r="D22" s="12"/>
      <c r="E22" s="12"/>
      <c r="F22" s="94">
        <v>-1688</v>
      </c>
      <c r="G22" s="94">
        <v>-2200</v>
      </c>
      <c r="H22" s="94">
        <v>-2350</v>
      </c>
      <c r="I22" s="94">
        <v>-1200</v>
      </c>
      <c r="J22" s="94">
        <v>-1200</v>
      </c>
      <c r="K22" s="94">
        <v>-1200</v>
      </c>
      <c r="L22" s="94">
        <v>-1200</v>
      </c>
      <c r="M22" s="94">
        <v>-1200</v>
      </c>
    </row>
    <row r="23" spans="2:16" s="10" customFormat="1" ht="15" customHeight="1" outlineLevel="1">
      <c r="B23" s="42" t="s">
        <v>49</v>
      </c>
      <c r="C23" s="12"/>
      <c r="D23" s="12"/>
      <c r="E23" s="12"/>
      <c r="F23" s="95">
        <v>200</v>
      </c>
      <c r="G23" s="95">
        <v>180</v>
      </c>
      <c r="H23" s="95">
        <v>193</v>
      </c>
      <c r="I23" s="95">
        <v>58.569990999999995</v>
      </c>
      <c r="J23" s="95">
        <v>114.96031107758404</v>
      </c>
      <c r="K23" s="95">
        <v>177.79522574892113</v>
      </c>
      <c r="L23" s="95">
        <v>242.22612695965014</v>
      </c>
      <c r="M23" s="95">
        <v>310.91880856509766</v>
      </c>
    </row>
    <row r="24" spans="2:16" s="10" customFormat="1" ht="15" customHeight="1" outlineLevel="1">
      <c r="B24" s="73" t="s">
        <v>12</v>
      </c>
      <c r="C24" s="13"/>
      <c r="D24" s="12"/>
      <c r="E24" s="12"/>
      <c r="F24" s="112">
        <f t="shared" ref="F24:L24" si="5">F19+SUM(F22:F23)</f>
        <v>13955.7</v>
      </c>
      <c r="G24" s="112">
        <f t="shared" si="5"/>
        <v>13390.850599999998</v>
      </c>
      <c r="H24" s="112">
        <f t="shared" si="5"/>
        <v>14202.448499999999</v>
      </c>
      <c r="I24" s="112">
        <f t="shared" si="5"/>
        <v>15485.067476200009</v>
      </c>
      <c r="J24" s="112">
        <f t="shared" si="5"/>
        <v>15529.370265730106</v>
      </c>
      <c r="K24" s="112">
        <f t="shared" si="5"/>
        <v>15574.998148339962</v>
      </c>
      <c r="L24" s="112">
        <f t="shared" si="5"/>
        <v>15513.250432103428</v>
      </c>
      <c r="M24" s="112">
        <f>M19+SUM(M22:M23)</f>
        <v>15290.878570292029</v>
      </c>
      <c r="P24" s="75"/>
    </row>
    <row r="25" spans="2:16" s="10" customFormat="1" ht="15" customHeight="1" outlineLevel="1">
      <c r="B25" s="73"/>
      <c r="C25" s="13"/>
      <c r="D25" s="12"/>
      <c r="E25" s="12"/>
      <c r="F25" s="102"/>
      <c r="G25" s="102"/>
      <c r="H25" s="102"/>
      <c r="I25" s="45"/>
      <c r="J25" s="45"/>
      <c r="K25" s="45"/>
      <c r="L25" s="45"/>
      <c r="M25" s="45"/>
    </row>
    <row r="26" spans="2:16" s="10" customFormat="1" ht="15" customHeight="1" outlineLevel="1">
      <c r="B26" s="73"/>
      <c r="C26" s="13"/>
      <c r="D26" s="12"/>
      <c r="E26" s="12"/>
      <c r="F26" s="102"/>
      <c r="G26" s="102"/>
      <c r="H26" s="102"/>
      <c r="I26" s="45"/>
      <c r="J26" s="45"/>
      <c r="K26" s="45"/>
      <c r="L26" s="45"/>
      <c r="M26" s="45"/>
    </row>
    <row r="27" spans="2:16" s="10" customFormat="1" ht="15" customHeight="1" outlineLevel="1">
      <c r="B27" s="42" t="s">
        <v>62</v>
      </c>
      <c r="C27" s="12"/>
      <c r="D27" s="12"/>
      <c r="E27" s="12"/>
      <c r="F27" s="94">
        <v>-3489</v>
      </c>
      <c r="G27" s="94">
        <v>-3080</v>
      </c>
      <c r="H27" s="94">
        <v>-3054</v>
      </c>
      <c r="I27" s="94">
        <v>-3251.8641700020016</v>
      </c>
      <c r="J27" s="94">
        <v>-3261.1677558033221</v>
      </c>
      <c r="K27" s="94">
        <v>-3270.7496111513919</v>
      </c>
      <c r="L27" s="94">
        <v>-3257.78259074172</v>
      </c>
      <c r="M27" s="94">
        <v>-3211.0844997613258</v>
      </c>
      <c r="P27" s="75"/>
    </row>
    <row r="28" spans="2:16" s="10" customFormat="1" ht="15" customHeight="1" outlineLevel="1">
      <c r="B28" s="42"/>
      <c r="C28" s="12"/>
      <c r="D28" s="12"/>
      <c r="E28" s="12"/>
      <c r="F28" s="119"/>
      <c r="G28" s="119"/>
      <c r="H28" s="119"/>
      <c r="I28" s="119"/>
      <c r="J28" s="119"/>
      <c r="K28" s="119"/>
      <c r="L28" s="119"/>
      <c r="M28" s="119"/>
    </row>
    <row r="29" spans="2:16" s="10" customFormat="1" ht="15" customHeight="1" outlineLevel="1">
      <c r="B29" s="42"/>
      <c r="C29" s="12"/>
      <c r="D29" s="12"/>
      <c r="E29" s="12"/>
      <c r="F29" s="94"/>
      <c r="G29" s="94"/>
      <c r="H29" s="94"/>
      <c r="I29" s="106"/>
      <c r="J29" s="106"/>
      <c r="K29" s="106"/>
      <c r="L29" s="106"/>
      <c r="M29" s="106"/>
    </row>
    <row r="30" spans="2:16" s="10" customFormat="1" ht="15" customHeight="1" outlineLevel="1" thickBot="1">
      <c r="B30" s="73" t="s">
        <v>18</v>
      </c>
      <c r="C30" s="13"/>
      <c r="D30" s="12"/>
      <c r="E30" s="12"/>
      <c r="F30" s="113">
        <f t="shared" ref="F30:M30" si="6">F27+F24</f>
        <v>10466.700000000001</v>
      </c>
      <c r="G30" s="113">
        <f t="shared" si="6"/>
        <v>10310.850599999998</v>
      </c>
      <c r="H30" s="113">
        <f t="shared" si="6"/>
        <v>11148.448499999999</v>
      </c>
      <c r="I30" s="113">
        <f t="shared" si="6"/>
        <v>12233.203306198007</v>
      </c>
      <c r="J30" s="113">
        <f t="shared" si="6"/>
        <v>12268.202509926783</v>
      </c>
      <c r="K30" s="113">
        <f t="shared" si="6"/>
        <v>12304.24853718857</v>
      </c>
      <c r="L30" s="113">
        <f t="shared" si="6"/>
        <v>12255.467841361708</v>
      </c>
      <c r="M30" s="113">
        <f t="shared" si="6"/>
        <v>12079.794070530703</v>
      </c>
      <c r="P30" s="75"/>
    </row>
    <row r="31" spans="2:16" s="10" customFormat="1" ht="15" customHeight="1" outlineLevel="1">
      <c r="B31" s="13"/>
      <c r="C31" s="13"/>
      <c r="D31" s="12"/>
      <c r="E31" s="12"/>
      <c r="F31" s="14"/>
      <c r="G31" s="14"/>
      <c r="H31" s="14"/>
      <c r="I31" s="14"/>
      <c r="J31" s="14"/>
      <c r="K31" s="14"/>
      <c r="L31" s="14"/>
      <c r="M31" s="14"/>
    </row>
    <row r="32" spans="2:16" s="10" customFormat="1" ht="15" customHeight="1" outlineLevel="1">
      <c r="B32" s="27"/>
      <c r="C32" s="27"/>
      <c r="D32" s="20"/>
      <c r="E32" s="20"/>
      <c r="F32" s="28"/>
      <c r="G32" s="28"/>
      <c r="H32" s="28"/>
      <c r="I32" s="28"/>
      <c r="J32" s="28"/>
      <c r="K32" s="28"/>
      <c r="L32" s="28"/>
      <c r="M32" s="28"/>
    </row>
    <row r="33" spans="1:16" s="10" customFormat="1" ht="15" customHeight="1">
      <c r="B33" s="11"/>
      <c r="C33" s="17"/>
      <c r="D33" s="18"/>
      <c r="E33" s="12"/>
      <c r="F33" s="16"/>
      <c r="G33" s="16"/>
      <c r="H33" s="16"/>
      <c r="I33" s="16"/>
      <c r="J33" s="16"/>
      <c r="K33" s="16"/>
      <c r="L33" s="16"/>
      <c r="M33" s="16"/>
      <c r="N33" s="26"/>
      <c r="O33" s="26"/>
    </row>
    <row r="34" spans="1:16" s="3" customFormat="1" ht="15" customHeight="1">
      <c r="A34" s="10" t="s">
        <v>26</v>
      </c>
      <c r="B34" s="36" t="s">
        <v>29</v>
      </c>
      <c r="C34" s="37"/>
      <c r="D34" s="38"/>
      <c r="E34" s="38"/>
      <c r="F34" s="39"/>
      <c r="G34" s="39"/>
      <c r="H34" s="39"/>
      <c r="I34" s="39"/>
      <c r="J34" s="39"/>
      <c r="K34" s="39"/>
      <c r="L34" s="39"/>
      <c r="M34" s="39"/>
      <c r="P34" s="75"/>
    </row>
    <row r="35" spans="1:16" s="3" customFormat="1" ht="15" customHeight="1" outlineLevel="1">
      <c r="B35" s="4"/>
      <c r="C35" s="5"/>
      <c r="D35" s="6"/>
      <c r="E35" s="6"/>
      <c r="F35" s="7"/>
      <c r="G35" s="7"/>
      <c r="H35" s="7"/>
      <c r="I35" s="7"/>
      <c r="J35" s="7"/>
      <c r="K35" s="7"/>
      <c r="L35" s="7"/>
      <c r="M35" s="7"/>
    </row>
    <row r="36" spans="1:16" s="3" customFormat="1" ht="15" customHeight="1" outlineLevel="1" thickBot="1">
      <c r="B36" s="8" t="s">
        <v>10</v>
      </c>
      <c r="C36" s="5"/>
      <c r="D36" s="9"/>
      <c r="E36" s="9"/>
      <c r="F36" s="110">
        <f>F$5</f>
        <v>2020</v>
      </c>
      <c r="G36" s="110">
        <f t="shared" ref="G36:M36" si="7">G$5</f>
        <v>2021</v>
      </c>
      <c r="H36" s="110">
        <f t="shared" si="7"/>
        <v>2022</v>
      </c>
      <c r="I36" s="111">
        <f t="shared" si="7"/>
        <v>2023</v>
      </c>
      <c r="J36" s="111">
        <f t="shared" si="7"/>
        <v>2024</v>
      </c>
      <c r="K36" s="111">
        <f t="shared" si="7"/>
        <v>2025</v>
      </c>
      <c r="L36" s="111">
        <f t="shared" si="7"/>
        <v>2026</v>
      </c>
      <c r="M36" s="111">
        <f t="shared" si="7"/>
        <v>2027</v>
      </c>
    </row>
    <row r="37" spans="1:16" s="44" customFormat="1" ht="15" customHeight="1" outlineLevel="1">
      <c r="A37" s="10"/>
      <c r="B37" s="8"/>
      <c r="C37" s="5"/>
      <c r="D37" s="9"/>
      <c r="E37" s="9"/>
      <c r="F37" s="9"/>
      <c r="G37" s="9"/>
      <c r="H37" s="9"/>
      <c r="I37" s="23"/>
      <c r="J37" s="23"/>
      <c r="K37" s="23"/>
      <c r="L37" s="23"/>
      <c r="M37" s="23"/>
      <c r="P37" s="26"/>
    </row>
    <row r="38" spans="1:16" s="3" customFormat="1" ht="15" customHeight="1" outlineLevel="1">
      <c r="B38" s="8"/>
      <c r="C38" s="5"/>
      <c r="D38" s="9"/>
      <c r="E38" s="9"/>
      <c r="F38" s="9"/>
      <c r="G38" s="9"/>
      <c r="H38" s="9"/>
      <c r="P38" s="26"/>
    </row>
    <row r="39" spans="1:16" s="3" customFormat="1" ht="15" customHeight="1" outlineLevel="1">
      <c r="B39" s="8"/>
      <c r="C39" s="5"/>
      <c r="D39" s="9"/>
      <c r="E39" s="9"/>
      <c r="F39" s="9"/>
      <c r="G39" s="9"/>
      <c r="H39" s="9"/>
      <c r="P39" s="26"/>
    </row>
    <row r="40" spans="1:16" s="44" customFormat="1" ht="15" customHeight="1" outlineLevel="1">
      <c r="A40" s="10"/>
      <c r="B40" s="13" t="s">
        <v>30</v>
      </c>
      <c r="C40" s="13"/>
      <c r="F40" s="82"/>
      <c r="G40" s="82"/>
      <c r="H40" s="82"/>
      <c r="I40" s="83"/>
      <c r="J40" s="83"/>
      <c r="K40" s="83"/>
      <c r="M40" s="35"/>
      <c r="P40" s="26"/>
    </row>
    <row r="41" spans="1:16" s="44" customFormat="1" ht="15" customHeight="1" outlineLevel="1">
      <c r="A41" s="10"/>
      <c r="B41" s="74" t="s">
        <v>18</v>
      </c>
      <c r="C41" s="74"/>
      <c r="F41" s="30">
        <v>10233.700000000001</v>
      </c>
      <c r="G41" s="30">
        <v>9540.8505999999979</v>
      </c>
      <c r="H41" s="30">
        <v>10091.448499999999</v>
      </c>
      <c r="I41" s="30">
        <v>12233.203306198007</v>
      </c>
      <c r="J41" s="30">
        <v>12268.202509926783</v>
      </c>
      <c r="K41" s="30">
        <v>12304.24853718857</v>
      </c>
      <c r="L41" s="30">
        <v>12255.467841361708</v>
      </c>
      <c r="M41" s="30">
        <v>12079.794070530703</v>
      </c>
      <c r="P41" s="75"/>
    </row>
    <row r="42" spans="1:16" s="44" customFormat="1" ht="15" customHeight="1" outlineLevel="1">
      <c r="A42" s="10"/>
      <c r="B42" s="74" t="s">
        <v>16</v>
      </c>
      <c r="C42" s="74"/>
      <c r="F42" s="30">
        <v>2960</v>
      </c>
      <c r="G42" s="30">
        <v>3196</v>
      </c>
      <c r="H42" s="30">
        <v>3452</v>
      </c>
      <c r="I42" s="30">
        <v>4287.75</v>
      </c>
      <c r="J42" s="30">
        <v>4636.5</v>
      </c>
      <c r="K42" s="30">
        <v>4994.625</v>
      </c>
      <c r="L42" s="30">
        <v>5356.5</v>
      </c>
      <c r="M42" s="30">
        <v>5728.6875</v>
      </c>
      <c r="O42" s="117"/>
      <c r="P42" s="75"/>
    </row>
    <row r="43" spans="1:16" s="44" customFormat="1" ht="15" customHeight="1" outlineLevel="1">
      <c r="A43" s="10"/>
      <c r="B43" s="87" t="s">
        <v>50</v>
      </c>
      <c r="C43" s="74"/>
      <c r="F43" s="30">
        <v>-600</v>
      </c>
      <c r="G43" s="30">
        <v>-625</v>
      </c>
      <c r="H43" s="30">
        <v>-291</v>
      </c>
      <c r="I43" s="30">
        <v>-339.42933000000085</v>
      </c>
      <c r="J43" s="30">
        <v>-139.96492953299821</v>
      </c>
      <c r="K43" s="30">
        <v>-142.77822461661435</v>
      </c>
      <c r="L43" s="30">
        <v>-109.05489588645014</v>
      </c>
      <c r="M43" s="30">
        <v>-73.736154484859071</v>
      </c>
      <c r="P43" s="26"/>
    </row>
    <row r="44" spans="1:16" s="44" customFormat="1" ht="15" customHeight="1" outlineLevel="1">
      <c r="A44" s="10"/>
      <c r="B44" s="87" t="s">
        <v>51</v>
      </c>
      <c r="C44" s="74"/>
      <c r="F44" s="30">
        <v>-400</v>
      </c>
      <c r="G44" s="30">
        <v>-131</v>
      </c>
      <c r="H44" s="30">
        <v>-86</v>
      </c>
      <c r="I44" s="30">
        <v>152.08551199999988</v>
      </c>
      <c r="J44" s="30">
        <v>-37.323981208799523</v>
      </c>
      <c r="K44" s="30">
        <v>-38.074193231097297</v>
      </c>
      <c r="L44" s="30">
        <v>-29.081305569719916</v>
      </c>
      <c r="M44" s="30">
        <v>-19.66297452929598</v>
      </c>
      <c r="P44" s="26"/>
    </row>
    <row r="45" spans="1:16" s="44" customFormat="1" ht="15" customHeight="1" outlineLevel="1">
      <c r="A45" s="10"/>
      <c r="B45" s="87" t="s">
        <v>52</v>
      </c>
      <c r="C45" s="74"/>
      <c r="F45" s="30">
        <v>-260</v>
      </c>
      <c r="G45" s="30">
        <v>181</v>
      </c>
      <c r="H45" s="30">
        <v>114</v>
      </c>
      <c r="I45" s="30">
        <v>-347.93681919999972</v>
      </c>
      <c r="J45" s="30">
        <v>59.718369934078964</v>
      </c>
      <c r="K45" s="30">
        <v>60.918709169755857</v>
      </c>
      <c r="L45" s="30">
        <v>46.530088911551957</v>
      </c>
      <c r="M45" s="30">
        <v>31.460759246873295</v>
      </c>
      <c r="P45" s="26"/>
    </row>
    <row r="46" spans="1:16" s="44" customFormat="1" ht="15" customHeight="1" outlineLevel="1">
      <c r="A46" s="10"/>
      <c r="B46" s="74" t="s">
        <v>11</v>
      </c>
      <c r="C46" s="74"/>
      <c r="F46" s="114">
        <f t="shared" ref="F46:M46" si="8">SUM(F41:F45)</f>
        <v>11933.7</v>
      </c>
      <c r="G46" s="114">
        <f t="shared" si="8"/>
        <v>12161.850599999998</v>
      </c>
      <c r="H46" s="114">
        <f t="shared" si="8"/>
        <v>13280.448499999999</v>
      </c>
      <c r="I46" s="114">
        <f t="shared" si="8"/>
        <v>15985.672668998006</v>
      </c>
      <c r="J46" s="114">
        <f t="shared" si="8"/>
        <v>16787.131969119066</v>
      </c>
      <c r="K46" s="114">
        <f t="shared" si="8"/>
        <v>17178.939828510618</v>
      </c>
      <c r="L46" s="114">
        <f t="shared" si="8"/>
        <v>17520.361728817094</v>
      </c>
      <c r="M46" s="114">
        <f t="shared" si="8"/>
        <v>17746.543200763423</v>
      </c>
      <c r="P46" s="75"/>
    </row>
    <row r="47" spans="1:16" s="44" customFormat="1" ht="15" customHeight="1" outlineLevel="1">
      <c r="A47" s="10"/>
      <c r="B47" s="12" t="s">
        <v>31</v>
      </c>
      <c r="C47" s="12"/>
      <c r="F47" s="104"/>
      <c r="G47" s="104"/>
      <c r="H47" s="104"/>
      <c r="I47" s="96"/>
      <c r="J47" s="96"/>
      <c r="K47" s="96"/>
      <c r="L47" s="96"/>
      <c r="M47" s="96"/>
      <c r="P47" s="26"/>
    </row>
    <row r="48" spans="1:16" s="44" customFormat="1" ht="15" customHeight="1" outlineLevel="1">
      <c r="A48" s="10"/>
      <c r="B48" s="12"/>
      <c r="C48" s="12"/>
      <c r="F48" s="104"/>
      <c r="G48" s="104"/>
      <c r="H48" s="104"/>
      <c r="I48" s="96"/>
      <c r="J48" s="96"/>
      <c r="K48" s="96"/>
      <c r="L48" s="96"/>
      <c r="M48" s="96"/>
      <c r="P48" s="26"/>
    </row>
    <row r="49" spans="1:16" s="44" customFormat="1" ht="15" customHeight="1" outlineLevel="1">
      <c r="A49" s="10"/>
      <c r="B49" s="13" t="s">
        <v>32</v>
      </c>
      <c r="C49" s="13"/>
      <c r="F49" s="104"/>
      <c r="G49" s="104"/>
      <c r="H49" s="104"/>
      <c r="I49" s="96"/>
      <c r="J49" s="96"/>
      <c r="K49" s="96"/>
      <c r="L49" s="96"/>
      <c r="M49" s="96"/>
      <c r="P49" s="26"/>
    </row>
    <row r="50" spans="1:16" s="44" customFormat="1" ht="15" customHeight="1" outlineLevel="1">
      <c r="A50" s="10"/>
      <c r="B50" s="74" t="s">
        <v>21</v>
      </c>
      <c r="C50" s="74"/>
      <c r="F50" s="30">
        <v>-9014.9999999999927</v>
      </c>
      <c r="G50" s="30">
        <v>-11733.000000000005</v>
      </c>
      <c r="H50" s="30">
        <v>-2000</v>
      </c>
      <c r="I50" s="30">
        <v>-6900</v>
      </c>
      <c r="J50" s="30">
        <v>-7050</v>
      </c>
      <c r="K50" s="30">
        <v>-7275</v>
      </c>
      <c r="L50" s="30">
        <v>-7200</v>
      </c>
      <c r="M50" s="30">
        <v>-7687.5</v>
      </c>
      <c r="O50" s="117"/>
      <c r="P50" s="26"/>
    </row>
    <row r="51" spans="1:16" s="44" customFormat="1" ht="15" customHeight="1" outlineLevel="1">
      <c r="A51" s="10"/>
      <c r="B51" s="74" t="s">
        <v>11</v>
      </c>
      <c r="C51" s="74"/>
      <c r="F51" s="114">
        <f t="shared" ref="F51:H51" si="9">SUM(F50)</f>
        <v>-9014.9999999999927</v>
      </c>
      <c r="G51" s="114">
        <f t="shared" si="9"/>
        <v>-11733.000000000005</v>
      </c>
      <c r="H51" s="114">
        <f t="shared" si="9"/>
        <v>-2000</v>
      </c>
      <c r="I51" s="114">
        <f>SUM(I50)</f>
        <v>-6900</v>
      </c>
      <c r="J51" s="114">
        <f t="shared" ref="J51:M51" si="10">SUM(J50)</f>
        <v>-7050</v>
      </c>
      <c r="K51" s="114">
        <f t="shared" si="10"/>
        <v>-7275</v>
      </c>
      <c r="L51" s="114">
        <f t="shared" si="10"/>
        <v>-7200</v>
      </c>
      <c r="M51" s="114">
        <f t="shared" si="10"/>
        <v>-7687.5</v>
      </c>
      <c r="P51" s="75"/>
    </row>
    <row r="52" spans="1:16" s="44" customFormat="1" ht="15" customHeight="1" outlineLevel="1">
      <c r="A52" s="10"/>
      <c r="B52" s="12" t="s">
        <v>31</v>
      </c>
      <c r="C52" s="12"/>
      <c r="F52" s="30"/>
      <c r="G52" s="30"/>
      <c r="H52" s="30"/>
      <c r="I52" s="15"/>
      <c r="J52" s="15"/>
      <c r="K52" s="15"/>
      <c r="L52" s="15"/>
      <c r="M52" s="15"/>
      <c r="P52" s="26"/>
    </row>
    <row r="53" spans="1:16" s="44" customFormat="1" ht="15" customHeight="1" outlineLevel="1">
      <c r="A53" s="10"/>
      <c r="B53" s="12"/>
      <c r="C53" s="12"/>
      <c r="F53" s="30"/>
      <c r="G53" s="30"/>
      <c r="H53" s="30"/>
      <c r="I53" s="15"/>
      <c r="J53" s="15"/>
      <c r="K53" s="15"/>
      <c r="L53" s="15"/>
      <c r="M53" s="15"/>
      <c r="P53" s="26"/>
    </row>
    <row r="54" spans="1:16" s="44" customFormat="1" ht="15" customHeight="1" outlineLevel="1">
      <c r="A54" s="10"/>
      <c r="B54" s="13" t="s">
        <v>33</v>
      </c>
      <c r="C54" s="13"/>
      <c r="F54" s="30"/>
      <c r="G54" s="30"/>
      <c r="H54" s="30"/>
      <c r="I54" s="15"/>
      <c r="J54" s="15"/>
      <c r="K54" s="15"/>
      <c r="L54" s="15"/>
      <c r="M54" s="15"/>
      <c r="P54" s="26"/>
    </row>
    <row r="55" spans="1:16" s="44" customFormat="1" ht="15" customHeight="1" outlineLevel="1">
      <c r="A55" s="10"/>
      <c r="B55" s="74" t="s">
        <v>34</v>
      </c>
      <c r="C55" s="74"/>
      <c r="F55" s="30">
        <v>0</v>
      </c>
      <c r="G55" s="30">
        <v>-4000</v>
      </c>
      <c r="H55" s="30">
        <v>-4000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P55" s="26"/>
    </row>
    <row r="56" spans="1:16" s="44" customFormat="1" ht="15" customHeight="1" outlineLevel="1">
      <c r="A56" s="10"/>
      <c r="B56" s="74" t="s">
        <v>35</v>
      </c>
      <c r="C56" s="74"/>
      <c r="F56" s="30">
        <v>0</v>
      </c>
      <c r="G56" s="30">
        <v>0</v>
      </c>
      <c r="H56" s="30">
        <v>0</v>
      </c>
      <c r="I56" s="30">
        <v>-1000</v>
      </c>
      <c r="J56" s="30">
        <v>-1000</v>
      </c>
      <c r="K56" s="30">
        <v>-1000</v>
      </c>
      <c r="L56" s="30">
        <v>-1000</v>
      </c>
      <c r="M56" s="30">
        <v>-1000</v>
      </c>
      <c r="O56" s="117"/>
      <c r="P56" s="26"/>
    </row>
    <row r="57" spans="1:16" s="44" customFormat="1" ht="15" customHeight="1" outlineLevel="1">
      <c r="A57" s="10"/>
      <c r="B57" s="74" t="s">
        <v>36</v>
      </c>
      <c r="C57" s="74"/>
      <c r="F57" s="30">
        <v>-3465</v>
      </c>
      <c r="G57" s="30">
        <v>-3761</v>
      </c>
      <c r="H57" s="30">
        <v>-3216</v>
      </c>
      <c r="I57" s="30">
        <v>-2446.6406612396017</v>
      </c>
      <c r="J57" s="30">
        <v>-2453.6405019853569</v>
      </c>
      <c r="K57" s="30">
        <v>-2460.8497074377142</v>
      </c>
      <c r="L57" s="30">
        <v>-2451.0935682723416</v>
      </c>
      <c r="M57" s="30">
        <v>-2415.9588141061408</v>
      </c>
      <c r="P57" s="26"/>
    </row>
    <row r="58" spans="1:16" s="44" customFormat="1" ht="15" customHeight="1" outlineLevel="1">
      <c r="A58" s="10"/>
      <c r="B58" s="74" t="s">
        <v>61</v>
      </c>
      <c r="C58" s="74"/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O58" s="117"/>
      <c r="P58" s="26"/>
    </row>
    <row r="59" spans="1:16" s="44" customFormat="1" ht="15" customHeight="1" outlineLevel="1">
      <c r="A59" s="10"/>
      <c r="B59" s="74" t="s">
        <v>11</v>
      </c>
      <c r="C59" s="74"/>
      <c r="F59" s="114">
        <f>SUM(F55:F58)</f>
        <v>-3465</v>
      </c>
      <c r="G59" s="114">
        <f t="shared" ref="G59:M59" si="11">SUM(G55:G58)</f>
        <v>-7761</v>
      </c>
      <c r="H59" s="114">
        <f t="shared" si="11"/>
        <v>-7216</v>
      </c>
      <c r="I59" s="114">
        <f t="shared" si="11"/>
        <v>-3446.6406612396017</v>
      </c>
      <c r="J59" s="114">
        <f t="shared" si="11"/>
        <v>-3453.6405019853569</v>
      </c>
      <c r="K59" s="114">
        <f t="shared" si="11"/>
        <v>-3460.8497074377142</v>
      </c>
      <c r="L59" s="114">
        <f t="shared" si="11"/>
        <v>-3451.0935682723416</v>
      </c>
      <c r="M59" s="114">
        <f t="shared" si="11"/>
        <v>-3415.9588141061408</v>
      </c>
      <c r="P59" s="75"/>
    </row>
    <row r="60" spans="1:16" s="44" customFormat="1" ht="15" customHeight="1" outlineLevel="1">
      <c r="A60" s="10"/>
      <c r="B60" s="12" t="s">
        <v>31</v>
      </c>
      <c r="C60" s="12"/>
      <c r="F60" s="30"/>
      <c r="G60" s="30"/>
      <c r="H60" s="30"/>
      <c r="I60" s="86"/>
      <c r="J60" s="86"/>
      <c r="K60" s="15"/>
      <c r="L60" s="15"/>
      <c r="M60" s="15"/>
      <c r="P60" s="26"/>
    </row>
    <row r="61" spans="1:16" s="44" customFormat="1" ht="15" customHeight="1" outlineLevel="1">
      <c r="A61" s="10"/>
      <c r="B61" s="12"/>
      <c r="C61" s="12"/>
      <c r="F61" s="30"/>
      <c r="G61" s="30"/>
      <c r="H61" s="30"/>
      <c r="I61" s="86"/>
      <c r="J61" s="86"/>
      <c r="K61" s="15"/>
      <c r="L61" s="15"/>
      <c r="M61" s="15"/>
      <c r="P61" s="26"/>
    </row>
    <row r="62" spans="1:16" s="44" customFormat="1" ht="15" customHeight="1" outlineLevel="1">
      <c r="A62" s="10"/>
      <c r="B62" s="13" t="s">
        <v>63</v>
      </c>
      <c r="C62" s="13"/>
      <c r="F62" s="30"/>
      <c r="G62" s="30"/>
      <c r="H62" s="30"/>
      <c r="I62" s="15"/>
      <c r="J62" s="15"/>
      <c r="K62" s="15"/>
      <c r="L62" s="15"/>
      <c r="M62" s="15"/>
      <c r="P62" s="26"/>
    </row>
    <row r="63" spans="1:16" s="44" customFormat="1" ht="15" customHeight="1" outlineLevel="1">
      <c r="A63" s="10"/>
      <c r="B63" s="74" t="s">
        <v>37</v>
      </c>
      <c r="C63" s="74"/>
      <c r="F63" s="30">
        <v>9671</v>
      </c>
      <c r="G63" s="16">
        <f>F65</f>
        <v>9124.700000000008</v>
      </c>
      <c r="H63" s="16">
        <f>G65</f>
        <v>1792.5506000000005</v>
      </c>
      <c r="I63" s="16">
        <f>H65</f>
        <v>5856.9990999999991</v>
      </c>
      <c r="J63" s="16">
        <f>I65</f>
        <v>11496.031107758403</v>
      </c>
      <c r="K63" s="16">
        <f>J65</f>
        <v>17779.522574892111</v>
      </c>
      <c r="L63" s="16">
        <f t="shared" ref="L63:M63" si="12">K65</f>
        <v>24222.612695965014</v>
      </c>
      <c r="M63" s="16">
        <f t="shared" si="12"/>
        <v>31091.880856509764</v>
      </c>
      <c r="P63" s="75"/>
    </row>
    <row r="64" spans="1:16" s="44" customFormat="1" ht="15" customHeight="1" outlineLevel="1">
      <c r="A64" s="10"/>
      <c r="B64" s="74" t="s">
        <v>38</v>
      </c>
      <c r="C64" s="74"/>
      <c r="F64" s="16">
        <f t="shared" ref="F64:M64" si="13">F46+F51+F59</f>
        <v>-546.299999999992</v>
      </c>
      <c r="G64" s="16">
        <f t="shared" si="13"/>
        <v>-7332.1494000000075</v>
      </c>
      <c r="H64" s="16">
        <f t="shared" si="13"/>
        <v>4064.4484999999986</v>
      </c>
      <c r="I64" s="16">
        <f t="shared" si="13"/>
        <v>5639.0320077584038</v>
      </c>
      <c r="J64" s="16">
        <f t="shared" si="13"/>
        <v>6283.4914671337083</v>
      </c>
      <c r="K64" s="16">
        <f t="shared" si="13"/>
        <v>6443.0901210729044</v>
      </c>
      <c r="L64" s="16">
        <f t="shared" si="13"/>
        <v>6869.2681605447524</v>
      </c>
      <c r="M64" s="16">
        <f t="shared" si="13"/>
        <v>6643.0843866572814</v>
      </c>
      <c r="P64" s="75"/>
    </row>
    <row r="65" spans="1:16" s="44" customFormat="1" ht="15" customHeight="1" outlineLevel="1" thickBot="1">
      <c r="A65" s="10"/>
      <c r="B65" s="74" t="s">
        <v>39</v>
      </c>
      <c r="C65" s="74"/>
      <c r="F65" s="107">
        <f>SUM(F63:F64)</f>
        <v>9124.700000000008</v>
      </c>
      <c r="G65" s="107">
        <f t="shared" ref="G65:M65" si="14">SUM(G63:G64)</f>
        <v>1792.5506000000005</v>
      </c>
      <c r="H65" s="107">
        <f t="shared" si="14"/>
        <v>5856.9990999999991</v>
      </c>
      <c r="I65" s="107">
        <f t="shared" si="14"/>
        <v>11496.031107758403</v>
      </c>
      <c r="J65" s="107">
        <f t="shared" si="14"/>
        <v>17779.522574892111</v>
      </c>
      <c r="K65" s="107">
        <f t="shared" si="14"/>
        <v>24222.612695965014</v>
      </c>
      <c r="L65" s="107">
        <f t="shared" si="14"/>
        <v>31091.880856509764</v>
      </c>
      <c r="M65" s="107">
        <f t="shared" si="14"/>
        <v>37734.965243167047</v>
      </c>
      <c r="P65" s="75"/>
    </row>
    <row r="66" spans="1:16" s="44" customFormat="1" ht="15" customHeight="1" outlineLevel="1">
      <c r="A66" s="10"/>
      <c r="B66" s="11"/>
      <c r="C66" s="5"/>
      <c r="D66" s="9"/>
      <c r="E66" s="9"/>
      <c r="F66" s="35"/>
      <c r="G66" s="35"/>
      <c r="H66" s="35"/>
      <c r="I66" s="35"/>
      <c r="J66" s="35"/>
      <c r="K66" s="35"/>
      <c r="L66" s="35"/>
      <c r="M66" s="35"/>
      <c r="P66" s="26"/>
    </row>
    <row r="67" spans="1:16" s="10" customFormat="1" ht="15" customHeight="1" outlineLevel="1">
      <c r="B67" s="27"/>
      <c r="C67" s="27"/>
      <c r="D67" s="20"/>
      <c r="E67" s="20"/>
      <c r="F67" s="28"/>
      <c r="G67" s="28"/>
      <c r="H67" s="28"/>
      <c r="I67" s="28"/>
      <c r="J67" s="28"/>
      <c r="K67" s="28"/>
      <c r="L67" s="28"/>
      <c r="M67" s="28"/>
    </row>
    <row r="68" spans="1:16" s="10" customFormat="1" ht="15" customHeight="1">
      <c r="B68" s="11"/>
      <c r="C68" s="17"/>
      <c r="D68" s="18"/>
      <c r="E68" s="12"/>
      <c r="F68" s="16"/>
      <c r="G68" s="16"/>
      <c r="H68" s="16"/>
      <c r="I68" s="16"/>
      <c r="J68" s="16"/>
      <c r="K68" s="16"/>
      <c r="L68" s="16"/>
      <c r="M68" s="16"/>
      <c r="N68" s="26"/>
      <c r="O68" s="26"/>
    </row>
    <row r="69" spans="1:16" s="3" customFormat="1" ht="15" customHeight="1">
      <c r="A69" s="10" t="s">
        <v>26</v>
      </c>
      <c r="B69" s="36" t="s">
        <v>40</v>
      </c>
      <c r="C69" s="37"/>
      <c r="D69" s="38"/>
      <c r="E69" s="38"/>
      <c r="F69" s="39"/>
      <c r="G69" s="39"/>
      <c r="H69" s="39"/>
      <c r="I69" s="39"/>
      <c r="J69" s="39"/>
      <c r="K69" s="39"/>
      <c r="L69" s="39"/>
      <c r="M69" s="39"/>
      <c r="P69" s="75"/>
    </row>
    <row r="70" spans="1:16" s="3" customFormat="1" ht="15" customHeight="1" outlineLevel="1">
      <c r="B70" s="4"/>
      <c r="C70" s="5"/>
      <c r="D70" s="6"/>
      <c r="E70" s="6"/>
      <c r="F70" s="7"/>
      <c r="G70" s="7"/>
      <c r="H70" s="7"/>
      <c r="I70" s="7"/>
      <c r="J70" s="7"/>
      <c r="K70" s="7"/>
      <c r="L70" s="7"/>
      <c r="M70" s="7"/>
    </row>
    <row r="71" spans="1:16" s="3" customFormat="1" ht="15" customHeight="1" outlineLevel="1" thickBot="1">
      <c r="B71" s="8" t="s">
        <v>10</v>
      </c>
      <c r="C71" s="5"/>
      <c r="D71" s="9"/>
      <c r="E71" s="9"/>
      <c r="F71" s="110">
        <f>F$5</f>
        <v>2020</v>
      </c>
      <c r="G71" s="110">
        <f t="shared" ref="G71:M71" si="15">G$5</f>
        <v>2021</v>
      </c>
      <c r="H71" s="110">
        <f t="shared" si="15"/>
        <v>2022</v>
      </c>
      <c r="I71" s="111">
        <f t="shared" si="15"/>
        <v>2023</v>
      </c>
      <c r="J71" s="111">
        <f t="shared" si="15"/>
        <v>2024</v>
      </c>
      <c r="K71" s="111">
        <f t="shared" si="15"/>
        <v>2025</v>
      </c>
      <c r="L71" s="111">
        <f t="shared" si="15"/>
        <v>2026</v>
      </c>
      <c r="M71" s="111">
        <f t="shared" si="15"/>
        <v>2027</v>
      </c>
    </row>
    <row r="72" spans="1:16" s="44" customFormat="1" ht="15" customHeight="1" outlineLevel="1">
      <c r="A72" s="10"/>
      <c r="B72" s="8"/>
      <c r="C72" s="5"/>
      <c r="D72" s="9"/>
      <c r="E72" s="9"/>
      <c r="F72" s="9"/>
      <c r="G72" s="9"/>
      <c r="H72" s="9"/>
      <c r="I72" s="23"/>
      <c r="J72" s="23"/>
      <c r="K72" s="23"/>
      <c r="L72" s="23"/>
      <c r="M72" s="23"/>
      <c r="P72" s="26"/>
    </row>
    <row r="73" spans="1:16" s="44" customFormat="1" ht="15" customHeight="1" outlineLevel="1">
      <c r="A73" s="10"/>
      <c r="B73" s="8"/>
      <c r="C73" s="5"/>
      <c r="D73" s="9"/>
      <c r="E73" s="9"/>
      <c r="F73" s="9"/>
      <c r="G73" s="9"/>
      <c r="H73" s="9"/>
      <c r="I73" s="23"/>
      <c r="J73" s="23"/>
      <c r="K73" s="23"/>
      <c r="L73" s="23"/>
      <c r="M73" s="23"/>
      <c r="P73" s="26"/>
    </row>
    <row r="74" spans="1:16" s="44" customFormat="1" ht="15" customHeight="1" outlineLevel="1">
      <c r="A74" s="10"/>
      <c r="B74" s="13" t="s">
        <v>55</v>
      </c>
      <c r="C74" s="13"/>
      <c r="F74" s="19"/>
      <c r="G74" s="19"/>
      <c r="H74" s="19"/>
      <c r="I74" s="15"/>
      <c r="J74" s="15"/>
      <c r="K74" s="15"/>
      <c r="L74" s="15"/>
      <c r="M74" s="15"/>
      <c r="P74" s="26"/>
    </row>
    <row r="75" spans="1:16" s="44" customFormat="1" ht="15" customHeight="1" outlineLevel="1">
      <c r="A75" s="10"/>
      <c r="B75" s="13"/>
      <c r="C75" s="13"/>
      <c r="F75" s="19"/>
      <c r="G75" s="19"/>
      <c r="H75" s="19"/>
      <c r="I75" s="15"/>
      <c r="J75" s="15"/>
      <c r="K75" s="15"/>
      <c r="L75" s="15"/>
      <c r="M75" s="15"/>
      <c r="P75" s="26"/>
    </row>
    <row r="76" spans="1:16" s="44" customFormat="1" ht="15" customHeight="1" outlineLevel="1">
      <c r="A76" s="10"/>
      <c r="B76" s="74" t="s">
        <v>41</v>
      </c>
      <c r="C76" s="74"/>
      <c r="F76" s="94">
        <v>9124.700000000008</v>
      </c>
      <c r="G76" s="94">
        <v>1792.5506000000005</v>
      </c>
      <c r="H76" s="94">
        <v>5856.9990999999991</v>
      </c>
      <c r="I76" s="94">
        <v>11496.031107758403</v>
      </c>
      <c r="J76" s="94">
        <v>17779.522574892111</v>
      </c>
      <c r="K76" s="94">
        <v>24222.612695965014</v>
      </c>
      <c r="L76" s="94">
        <v>31091.880856509764</v>
      </c>
      <c r="M76" s="94">
        <v>37734.965243167047</v>
      </c>
      <c r="O76" s="117"/>
      <c r="P76" s="120"/>
    </row>
    <row r="77" spans="1:16" s="44" customFormat="1" ht="15" customHeight="1" outlineLevel="1">
      <c r="A77" s="10"/>
      <c r="B77" s="74" t="s">
        <v>8</v>
      </c>
      <c r="C77" s="74"/>
      <c r="F77" s="94">
        <v>5708</v>
      </c>
      <c r="G77" s="94">
        <v>6333</v>
      </c>
      <c r="H77" s="94">
        <v>6624</v>
      </c>
      <c r="I77" s="94">
        <v>6963.4293300000008</v>
      </c>
      <c r="J77" s="94">
        <v>7103.3942595329991</v>
      </c>
      <c r="K77" s="94">
        <v>7246.1724841496134</v>
      </c>
      <c r="L77" s="94">
        <v>7355.2273800360636</v>
      </c>
      <c r="M77" s="94">
        <v>7428.9635345209226</v>
      </c>
      <c r="O77" s="117"/>
      <c r="P77" s="120"/>
    </row>
    <row r="78" spans="1:16" s="44" customFormat="1" ht="15" customHeight="1" outlineLevel="1">
      <c r="A78" s="10"/>
      <c r="B78" s="74" t="s">
        <v>42</v>
      </c>
      <c r="C78" s="74"/>
      <c r="F78" s="95">
        <v>1792</v>
      </c>
      <c r="G78" s="95">
        <v>1923</v>
      </c>
      <c r="H78" s="95">
        <v>2009</v>
      </c>
      <c r="I78" s="95">
        <v>1856.9144880000001</v>
      </c>
      <c r="J78" s="95">
        <v>1894.2384692087996</v>
      </c>
      <c r="K78" s="95">
        <v>1932.3126624398969</v>
      </c>
      <c r="L78" s="95">
        <v>1961.3939680096169</v>
      </c>
      <c r="M78" s="95">
        <v>1981.0569425389128</v>
      </c>
      <c r="P78" s="120"/>
    </row>
    <row r="79" spans="1:16" s="44" customFormat="1" ht="15" customHeight="1" outlineLevel="1">
      <c r="A79" s="10"/>
      <c r="B79" s="74" t="s">
        <v>43</v>
      </c>
      <c r="C79" s="74"/>
      <c r="F79" s="70">
        <f t="shared" ref="F79:H79" si="16">SUM(F76:F78)</f>
        <v>16624.700000000008</v>
      </c>
      <c r="G79" s="70">
        <f t="shared" si="16"/>
        <v>10048.5506</v>
      </c>
      <c r="H79" s="70">
        <f t="shared" si="16"/>
        <v>14489.999099999999</v>
      </c>
      <c r="I79" s="70">
        <f>SUM(I76:I78)</f>
        <v>20316.374925758402</v>
      </c>
      <c r="J79" s="70">
        <f t="shared" ref="J79:M79" si="17">SUM(J76:J78)</f>
        <v>26777.155303633906</v>
      </c>
      <c r="K79" s="70">
        <f t="shared" si="17"/>
        <v>33401.097842554525</v>
      </c>
      <c r="L79" s="70">
        <f t="shared" si="17"/>
        <v>40408.502204555443</v>
      </c>
      <c r="M79" s="70">
        <f t="shared" si="17"/>
        <v>47144.985720226883</v>
      </c>
      <c r="P79" s="120"/>
    </row>
    <row r="80" spans="1:16" s="44" customFormat="1" ht="15" customHeight="1" outlineLevel="1">
      <c r="A80" s="10"/>
      <c r="B80" s="84"/>
      <c r="C80" s="84"/>
      <c r="F80" s="97"/>
      <c r="G80" s="97"/>
      <c r="H80" s="97"/>
      <c r="I80" s="29"/>
      <c r="J80" s="29"/>
      <c r="K80" s="29"/>
      <c r="L80" s="29"/>
      <c r="M80" s="29"/>
      <c r="P80" s="120"/>
    </row>
    <row r="81" spans="1:16" s="44" customFormat="1" ht="15" customHeight="1" outlineLevel="1">
      <c r="A81" s="10"/>
      <c r="B81" s="74" t="s">
        <v>24</v>
      </c>
      <c r="C81" s="74"/>
      <c r="F81" s="97">
        <v>58759</v>
      </c>
      <c r="G81" s="97">
        <v>67296</v>
      </c>
      <c r="H81" s="97">
        <v>65844</v>
      </c>
      <c r="I81" s="97">
        <v>68456.25</v>
      </c>
      <c r="J81" s="97">
        <v>70869.75</v>
      </c>
      <c r="K81" s="97">
        <v>73150.125</v>
      </c>
      <c r="L81" s="97">
        <v>74993.625</v>
      </c>
      <c r="M81" s="97">
        <v>76952.4375</v>
      </c>
      <c r="O81" s="117"/>
      <c r="P81" s="120"/>
    </row>
    <row r="82" spans="1:16" s="44" customFormat="1" ht="15" customHeight="1" outlineLevel="1">
      <c r="A82" s="10"/>
      <c r="B82" s="74"/>
      <c r="C82" s="74"/>
      <c r="D82" s="86"/>
      <c r="F82" s="97"/>
      <c r="G82" s="97"/>
      <c r="H82" s="97"/>
      <c r="I82" s="29"/>
      <c r="J82" s="29"/>
      <c r="K82" s="29"/>
      <c r="L82" s="29"/>
      <c r="M82" s="29"/>
      <c r="P82" s="120"/>
    </row>
    <row r="83" spans="1:16" s="44" customFormat="1" ht="15" customHeight="1" outlineLevel="1">
      <c r="A83" s="10"/>
      <c r="B83" s="74"/>
      <c r="C83" s="74"/>
      <c r="D83" s="86"/>
      <c r="F83" s="97"/>
      <c r="G83" s="97"/>
      <c r="H83" s="97"/>
      <c r="I83" s="29"/>
      <c r="J83" s="29"/>
      <c r="K83" s="29"/>
      <c r="L83" s="29"/>
      <c r="M83" s="29"/>
      <c r="P83" s="120"/>
    </row>
    <row r="84" spans="1:16" s="44" customFormat="1" ht="15" customHeight="1" outlineLevel="1" thickBot="1">
      <c r="A84" s="10"/>
      <c r="B84" s="74" t="s">
        <v>59</v>
      </c>
      <c r="C84" s="84"/>
      <c r="F84" s="115">
        <f t="shared" ref="F84:H84" si="18">SUM(F79:F81)</f>
        <v>75383.700000000012</v>
      </c>
      <c r="G84" s="115">
        <f t="shared" si="18"/>
        <v>77344.550600000002</v>
      </c>
      <c r="H84" s="115">
        <f t="shared" si="18"/>
        <v>80333.999100000001</v>
      </c>
      <c r="I84" s="115">
        <f>SUM(I79:I81)</f>
        <v>88772.624925758399</v>
      </c>
      <c r="J84" s="115">
        <f t="shared" ref="J84:M84" si="19">SUM(J79:J81)</f>
        <v>97646.905303633903</v>
      </c>
      <c r="K84" s="115">
        <f t="shared" si="19"/>
        <v>106551.22284255453</v>
      </c>
      <c r="L84" s="115">
        <f t="shared" si="19"/>
        <v>115402.12720455544</v>
      </c>
      <c r="M84" s="115">
        <f t="shared" si="19"/>
        <v>124097.42322022689</v>
      </c>
      <c r="P84" s="120"/>
    </row>
    <row r="85" spans="1:16" s="44" customFormat="1" ht="15" customHeight="1" outlineLevel="1">
      <c r="A85" s="10"/>
      <c r="B85" s="12"/>
      <c r="C85" s="12"/>
      <c r="F85" s="97"/>
      <c r="G85" s="97"/>
      <c r="H85" s="97"/>
      <c r="I85" s="29"/>
      <c r="J85" s="29"/>
      <c r="K85" s="29"/>
      <c r="L85" s="29"/>
      <c r="M85" s="29"/>
      <c r="P85" s="120"/>
    </row>
    <row r="86" spans="1:16" s="44" customFormat="1" ht="15" customHeight="1" outlineLevel="1">
      <c r="A86" s="10"/>
      <c r="B86" s="13"/>
      <c r="C86" s="13"/>
      <c r="F86" s="97"/>
      <c r="G86" s="97"/>
      <c r="H86" s="97"/>
      <c r="I86" s="29"/>
      <c r="J86" s="29"/>
      <c r="K86" s="29"/>
      <c r="L86" s="29"/>
      <c r="M86" s="29"/>
      <c r="P86" s="120"/>
    </row>
    <row r="87" spans="1:16" s="44" customFormat="1" ht="15" customHeight="1" outlineLevel="1">
      <c r="A87" s="10"/>
      <c r="B87" s="13" t="s">
        <v>56</v>
      </c>
      <c r="C87" s="13"/>
      <c r="F87" s="97"/>
      <c r="G87" s="97"/>
      <c r="H87" s="97"/>
      <c r="I87" s="29"/>
      <c r="J87" s="29"/>
      <c r="K87" s="29"/>
      <c r="L87" s="29"/>
      <c r="M87" s="29"/>
      <c r="P87" s="120"/>
    </row>
    <row r="88" spans="1:16" s="44" customFormat="1" ht="15" customHeight="1" outlineLevel="1">
      <c r="A88" s="10"/>
      <c r="B88" s="13"/>
      <c r="C88" s="13"/>
      <c r="F88" s="97"/>
      <c r="G88" s="97"/>
      <c r="H88" s="97"/>
      <c r="I88" s="29"/>
      <c r="J88" s="29"/>
      <c r="K88" s="29"/>
      <c r="L88" s="29"/>
      <c r="M88" s="29"/>
      <c r="P88" s="120"/>
    </row>
    <row r="89" spans="1:16" s="44" customFormat="1" ht="15" customHeight="1" outlineLevel="1">
      <c r="A89" s="10"/>
      <c r="B89" s="74" t="s">
        <v>9</v>
      </c>
      <c r="C89" s="74"/>
      <c r="F89" s="97">
        <v>3024</v>
      </c>
      <c r="G89" s="97">
        <v>3205</v>
      </c>
      <c r="H89" s="97">
        <v>3319</v>
      </c>
      <c r="I89" s="97">
        <v>2971.0631808000003</v>
      </c>
      <c r="J89" s="97">
        <v>3030.7815507340792</v>
      </c>
      <c r="K89" s="97">
        <v>3091.7002599038351</v>
      </c>
      <c r="L89" s="97">
        <v>3138.2303488153871</v>
      </c>
      <c r="M89" s="97">
        <v>3169.6911080622604</v>
      </c>
      <c r="O89" s="117"/>
      <c r="P89" s="120"/>
    </row>
    <row r="90" spans="1:16" s="44" customFormat="1" ht="15" customHeight="1" outlineLevel="1">
      <c r="A90" s="10"/>
      <c r="B90" s="74" t="s">
        <v>60</v>
      </c>
      <c r="C90" s="74"/>
      <c r="D90" s="30"/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  <c r="M90" s="94">
        <v>0</v>
      </c>
      <c r="O90" s="117"/>
      <c r="P90" s="120"/>
    </row>
    <row r="91" spans="1:16" s="44" customFormat="1" ht="15" customHeight="1" outlineLevel="1">
      <c r="A91" s="10"/>
      <c r="B91" s="74" t="s">
        <v>53</v>
      </c>
      <c r="C91" s="74"/>
      <c r="F91" s="116">
        <f t="shared" ref="F91:M91" si="20">SUM(F89:F90)</f>
        <v>3024</v>
      </c>
      <c r="G91" s="116">
        <f t="shared" si="20"/>
        <v>3205</v>
      </c>
      <c r="H91" s="116">
        <f t="shared" si="20"/>
        <v>3319</v>
      </c>
      <c r="I91" s="116">
        <f t="shared" si="20"/>
        <v>2971.0631808000003</v>
      </c>
      <c r="J91" s="116">
        <f t="shared" si="20"/>
        <v>3030.7815507340792</v>
      </c>
      <c r="K91" s="116">
        <f t="shared" si="20"/>
        <v>3091.7002599038351</v>
      </c>
      <c r="L91" s="116">
        <f t="shared" si="20"/>
        <v>3138.2303488153871</v>
      </c>
      <c r="M91" s="116">
        <f t="shared" si="20"/>
        <v>3169.6911080622604</v>
      </c>
      <c r="O91" s="117"/>
      <c r="P91" s="120"/>
    </row>
    <row r="92" spans="1:16" s="44" customFormat="1" ht="15" customHeight="1" outlineLevel="1">
      <c r="A92" s="10"/>
      <c r="B92" s="84"/>
      <c r="C92" s="84"/>
      <c r="F92" s="97"/>
      <c r="G92" s="97"/>
      <c r="H92" s="97"/>
      <c r="I92" s="29"/>
      <c r="J92" s="29"/>
      <c r="K92" s="29"/>
      <c r="L92" s="29"/>
      <c r="M92" s="29"/>
      <c r="P92" s="120"/>
    </row>
    <row r="93" spans="1:16" s="44" customFormat="1" ht="15" customHeight="1" outlineLevel="1">
      <c r="A93" s="10"/>
      <c r="B93" s="74" t="s">
        <v>44</v>
      </c>
      <c r="C93" s="74"/>
      <c r="F93" s="97">
        <v>28000</v>
      </c>
      <c r="G93" s="97">
        <v>24000</v>
      </c>
      <c r="H93" s="97">
        <v>20000</v>
      </c>
      <c r="I93" s="97">
        <v>20000</v>
      </c>
      <c r="J93" s="97">
        <v>20000</v>
      </c>
      <c r="K93" s="97">
        <v>20000</v>
      </c>
      <c r="L93" s="97">
        <v>20000</v>
      </c>
      <c r="M93" s="97">
        <v>20000</v>
      </c>
      <c r="P93" s="120"/>
    </row>
    <row r="94" spans="1:16" s="44" customFormat="1" ht="15" customHeight="1" outlineLevel="1">
      <c r="A94" s="10"/>
      <c r="B94" s="74" t="s">
        <v>54</v>
      </c>
      <c r="C94" s="74"/>
      <c r="F94" s="116">
        <f t="shared" ref="F94:M94" si="21">SUM(F91:F93)</f>
        <v>31024</v>
      </c>
      <c r="G94" s="116">
        <f t="shared" si="21"/>
        <v>27205</v>
      </c>
      <c r="H94" s="116">
        <f t="shared" si="21"/>
        <v>23319</v>
      </c>
      <c r="I94" s="116">
        <f t="shared" si="21"/>
        <v>22971.0631808</v>
      </c>
      <c r="J94" s="116">
        <f t="shared" si="21"/>
        <v>23030.781550734078</v>
      </c>
      <c r="K94" s="116">
        <f t="shared" si="21"/>
        <v>23091.700259903835</v>
      </c>
      <c r="L94" s="116">
        <f t="shared" si="21"/>
        <v>23138.230348815388</v>
      </c>
      <c r="M94" s="116">
        <f t="shared" si="21"/>
        <v>23169.691108062259</v>
      </c>
      <c r="P94" s="120"/>
    </row>
    <row r="95" spans="1:16" s="44" customFormat="1" ht="15" customHeight="1" outlineLevel="1">
      <c r="A95" s="10"/>
      <c r="B95" s="84"/>
      <c r="C95" s="84"/>
      <c r="F95" s="97"/>
      <c r="G95" s="97"/>
      <c r="H95" s="97"/>
      <c r="I95" s="29"/>
      <c r="J95" s="29"/>
      <c r="K95" s="29"/>
      <c r="L95" s="29"/>
      <c r="M95" s="29"/>
      <c r="P95" s="120"/>
    </row>
    <row r="96" spans="1:16" s="44" customFormat="1" ht="15" customHeight="1" outlineLevel="1">
      <c r="A96" s="10"/>
      <c r="B96" s="84"/>
      <c r="C96" s="84"/>
      <c r="F96" s="97"/>
      <c r="G96" s="97"/>
      <c r="H96" s="97"/>
      <c r="I96" s="29"/>
      <c r="J96" s="29"/>
      <c r="K96" s="29"/>
      <c r="L96" s="29"/>
      <c r="M96" s="29"/>
      <c r="P96" s="120"/>
    </row>
    <row r="97" spans="1:16" s="44" customFormat="1" ht="15" customHeight="1" outlineLevel="1">
      <c r="A97" s="10"/>
      <c r="B97" s="13" t="s">
        <v>57</v>
      </c>
      <c r="C97" s="13"/>
      <c r="F97" s="97"/>
      <c r="G97" s="97"/>
      <c r="H97" s="97"/>
      <c r="I97" s="29"/>
      <c r="J97" s="29"/>
      <c r="K97" s="29"/>
      <c r="L97" s="29"/>
      <c r="M97" s="29"/>
      <c r="P97" s="120"/>
    </row>
    <row r="98" spans="1:16" s="44" customFormat="1" ht="15" customHeight="1" outlineLevel="1">
      <c r="A98" s="10"/>
      <c r="B98" s="13"/>
      <c r="C98" s="13"/>
      <c r="F98" s="97"/>
      <c r="G98" s="97"/>
      <c r="H98" s="97"/>
      <c r="I98" s="29"/>
      <c r="J98" s="29"/>
      <c r="K98" s="29"/>
      <c r="L98" s="29"/>
      <c r="M98" s="29"/>
      <c r="P98" s="120"/>
    </row>
    <row r="99" spans="1:16" s="44" customFormat="1" ht="15" customHeight="1" outlineLevel="1">
      <c r="A99" s="10"/>
      <c r="B99" s="74" t="s">
        <v>45</v>
      </c>
      <c r="C99" s="74"/>
      <c r="F99" s="97">
        <v>38669.700000000084</v>
      </c>
      <c r="G99" s="97">
        <v>38669.700000000084</v>
      </c>
      <c r="H99" s="97">
        <v>38669.700000000084</v>
      </c>
      <c r="I99" s="97">
        <v>37669.700000000084</v>
      </c>
      <c r="J99" s="97">
        <v>36669.700000000084</v>
      </c>
      <c r="K99" s="97">
        <v>35669.700000000084</v>
      </c>
      <c r="L99" s="97">
        <v>34669.700000000084</v>
      </c>
      <c r="M99" s="97">
        <v>33669.700000000084</v>
      </c>
      <c r="O99" s="118"/>
      <c r="P99" s="120"/>
    </row>
    <row r="100" spans="1:16" s="44" customFormat="1" ht="15" customHeight="1" outlineLevel="1">
      <c r="A100" s="10"/>
      <c r="B100" s="74" t="s">
        <v>46</v>
      </c>
      <c r="C100" s="74"/>
      <c r="F100" s="97">
        <v>5690</v>
      </c>
      <c r="G100" s="97">
        <v>11469.850599999998</v>
      </c>
      <c r="H100" s="97">
        <v>18345.299099999997</v>
      </c>
      <c r="I100" s="97">
        <v>28131.861744958402</v>
      </c>
      <c r="J100" s="97">
        <v>37946.423752899827</v>
      </c>
      <c r="K100" s="97">
        <v>47789.822582650682</v>
      </c>
      <c r="L100" s="97">
        <v>57594.196855740047</v>
      </c>
      <c r="M100" s="97">
        <v>67258.032112164612</v>
      </c>
      <c r="O100" s="118"/>
      <c r="P100" s="120"/>
    </row>
    <row r="101" spans="1:16" s="44" customFormat="1" ht="15" customHeight="1" outlineLevel="1">
      <c r="A101" s="10"/>
      <c r="B101" s="74" t="s">
        <v>47</v>
      </c>
      <c r="C101" s="74"/>
      <c r="F101" s="116">
        <f t="shared" ref="F101:H101" si="22">SUM(F99:F100)</f>
        <v>44359.700000000084</v>
      </c>
      <c r="G101" s="116">
        <f t="shared" si="22"/>
        <v>50139.550600000082</v>
      </c>
      <c r="H101" s="116">
        <f t="shared" si="22"/>
        <v>57014.999100000081</v>
      </c>
      <c r="I101" s="116">
        <f>SUM(I99:I100)</f>
        <v>65801.561744958482</v>
      </c>
      <c r="J101" s="116">
        <f t="shared" ref="J101:M101" si="23">SUM(J99:J100)</f>
        <v>74616.123752899905</v>
      </c>
      <c r="K101" s="116">
        <f t="shared" si="23"/>
        <v>83459.522582650767</v>
      </c>
      <c r="L101" s="116">
        <f t="shared" si="23"/>
        <v>92263.896855740139</v>
      </c>
      <c r="M101" s="116">
        <f t="shared" si="23"/>
        <v>100927.7321121647</v>
      </c>
      <c r="P101" s="120"/>
    </row>
    <row r="102" spans="1:16" s="44" customFormat="1" ht="15" customHeight="1" outlineLevel="1">
      <c r="A102" s="10"/>
      <c r="B102" s="84"/>
      <c r="C102" s="84"/>
      <c r="F102" s="105"/>
      <c r="G102" s="105"/>
      <c r="H102" s="105"/>
      <c r="I102" s="14"/>
      <c r="J102" s="14"/>
      <c r="K102" s="14"/>
      <c r="L102" s="14"/>
      <c r="M102" s="14"/>
      <c r="P102" s="26"/>
    </row>
    <row r="103" spans="1:16" s="44" customFormat="1" ht="15" customHeight="1" outlineLevel="1">
      <c r="A103" s="10"/>
      <c r="B103" s="84"/>
      <c r="C103" s="84"/>
      <c r="F103" s="105"/>
      <c r="G103" s="105"/>
      <c r="H103" s="105"/>
      <c r="I103" s="14"/>
      <c r="J103" s="14"/>
      <c r="K103" s="14"/>
      <c r="L103" s="14"/>
      <c r="M103" s="14"/>
      <c r="P103" s="26"/>
    </row>
    <row r="104" spans="1:16" s="44" customFormat="1" ht="15" customHeight="1" outlineLevel="1" thickBot="1">
      <c r="A104" s="10"/>
      <c r="B104" s="74" t="s">
        <v>58</v>
      </c>
      <c r="C104" s="84"/>
      <c r="F104" s="115">
        <f t="shared" ref="F104:M104" si="24">F101+F94</f>
        <v>75383.700000000084</v>
      </c>
      <c r="G104" s="115">
        <f t="shared" si="24"/>
        <v>77344.550600000075</v>
      </c>
      <c r="H104" s="115">
        <f t="shared" si="24"/>
        <v>80333.999100000074</v>
      </c>
      <c r="I104" s="115">
        <f t="shared" si="24"/>
        <v>88772.624925758486</v>
      </c>
      <c r="J104" s="115">
        <f t="shared" si="24"/>
        <v>97646.905303633976</v>
      </c>
      <c r="K104" s="115">
        <f t="shared" si="24"/>
        <v>106551.22284255461</v>
      </c>
      <c r="L104" s="115">
        <f t="shared" si="24"/>
        <v>115402.12720455552</v>
      </c>
      <c r="M104" s="115">
        <f t="shared" si="24"/>
        <v>124097.42322022695</v>
      </c>
      <c r="P104" s="75"/>
    </row>
    <row r="105" spans="1:16" s="44" customFormat="1" ht="15" customHeight="1" outlineLevel="1">
      <c r="A105" s="10"/>
      <c r="B105" s="12"/>
      <c r="C105" s="12"/>
      <c r="F105" s="29"/>
      <c r="G105" s="29"/>
      <c r="H105" s="29"/>
      <c r="I105" s="15"/>
      <c r="J105" s="15"/>
      <c r="K105" s="15"/>
      <c r="L105" s="15"/>
      <c r="M105" s="15"/>
      <c r="P105" s="26"/>
    </row>
    <row r="106" spans="1:16" s="44" customFormat="1" ht="15" customHeight="1" outlineLevel="1">
      <c r="A106" s="10"/>
      <c r="B106" s="12"/>
      <c r="C106" s="12"/>
      <c r="F106" s="29"/>
      <c r="G106" s="29"/>
      <c r="H106" s="29"/>
      <c r="I106" s="15"/>
      <c r="J106" s="15"/>
      <c r="K106" s="15"/>
      <c r="L106" s="15"/>
      <c r="M106" s="15"/>
    </row>
    <row r="107" spans="1:16" s="44" customFormat="1" ht="15" customHeight="1" outlineLevel="1">
      <c r="A107" s="10"/>
      <c r="B107" s="85" t="s">
        <v>48</v>
      </c>
      <c r="C107" s="85"/>
      <c r="F107" s="93">
        <f t="shared" ref="F107:M107" si="25">ROUND(F104-F84,0)</f>
        <v>0</v>
      </c>
      <c r="G107" s="93">
        <f t="shared" si="25"/>
        <v>0</v>
      </c>
      <c r="H107" s="93">
        <f t="shared" si="25"/>
        <v>0</v>
      </c>
      <c r="I107" s="93">
        <f t="shared" si="25"/>
        <v>0</v>
      </c>
      <c r="J107" s="93">
        <f t="shared" si="25"/>
        <v>0</v>
      </c>
      <c r="K107" s="93">
        <f t="shared" si="25"/>
        <v>0</v>
      </c>
      <c r="L107" s="93">
        <f t="shared" si="25"/>
        <v>0</v>
      </c>
      <c r="M107" s="93">
        <f t="shared" si="25"/>
        <v>0</v>
      </c>
      <c r="P107" s="75"/>
    </row>
    <row r="108" spans="1:16" s="44" customFormat="1" ht="15" customHeight="1" outlineLevel="1">
      <c r="A108" s="10"/>
      <c r="B108" s="8"/>
      <c r="C108" s="5"/>
      <c r="D108" s="9"/>
      <c r="E108" s="9"/>
      <c r="F108" s="9"/>
      <c r="G108" s="9"/>
      <c r="H108" s="9"/>
      <c r="I108" s="23"/>
      <c r="J108" s="23"/>
      <c r="K108" s="23"/>
      <c r="L108" s="23"/>
      <c r="M108" s="23"/>
      <c r="P108" s="26"/>
    </row>
    <row r="109" spans="1:16" s="10" customFormat="1" ht="15" customHeight="1" outlineLevel="1">
      <c r="B109" s="27"/>
      <c r="C109" s="27"/>
      <c r="D109" s="20"/>
      <c r="E109" s="20"/>
      <c r="F109" s="28"/>
      <c r="G109" s="28"/>
      <c r="H109" s="28"/>
      <c r="I109" s="28"/>
      <c r="J109" s="28"/>
      <c r="K109" s="28"/>
      <c r="L109" s="28"/>
      <c r="M109" s="28"/>
    </row>
    <row r="110" spans="1:16" s="44" customFormat="1" ht="15" customHeight="1"/>
    <row r="111" spans="1:16" s="44" customFormat="1" ht="15" customHeight="1">
      <c r="A111" s="317" t="s">
        <v>211</v>
      </c>
      <c r="B111" s="36" t="s">
        <v>148</v>
      </c>
      <c r="C111" s="37"/>
      <c r="D111" s="77"/>
      <c r="E111" s="77"/>
      <c r="F111" s="39"/>
      <c r="G111" s="39"/>
      <c r="H111" s="39"/>
      <c r="I111" s="40"/>
      <c r="J111" s="41"/>
      <c r="K111" s="41"/>
      <c r="L111" s="41"/>
      <c r="M111" s="41"/>
    </row>
    <row r="112" spans="1:16" s="44" customFormat="1" ht="15" customHeight="1" outlineLevel="1">
      <c r="B112" s="128"/>
      <c r="H112" s="121"/>
      <c r="I112" s="123"/>
      <c r="J112" s="123"/>
      <c r="K112" s="123"/>
      <c r="L112" s="123"/>
      <c r="M112" s="123"/>
    </row>
    <row r="113" spans="2:15" s="44" customFormat="1" ht="15" customHeight="1" outlineLevel="1">
      <c r="B113" s="8" t="s">
        <v>10</v>
      </c>
      <c r="H113" s="121"/>
      <c r="I113" s="123"/>
      <c r="J113" s="123"/>
      <c r="K113" s="123"/>
      <c r="L113" s="123"/>
      <c r="M113" s="123"/>
      <c r="O113"/>
    </row>
    <row r="114" spans="2:15" s="44" customFormat="1" ht="15" customHeight="1" outlineLevel="1" thickBot="1">
      <c r="H114" s="110">
        <f t="shared" ref="H114:M114" si="26">H$5</f>
        <v>2022</v>
      </c>
      <c r="I114" s="111">
        <f t="shared" si="26"/>
        <v>2023</v>
      </c>
      <c r="J114" s="111">
        <f t="shared" si="26"/>
        <v>2024</v>
      </c>
      <c r="K114" s="111">
        <f t="shared" si="26"/>
        <v>2025</v>
      </c>
      <c r="L114" s="111">
        <f t="shared" si="26"/>
        <v>2026</v>
      </c>
      <c r="M114" s="111">
        <f t="shared" si="26"/>
        <v>2027</v>
      </c>
      <c r="O114"/>
    </row>
    <row r="115" spans="2:15" s="192" customFormat="1" ht="15" customHeight="1" outlineLevel="1">
      <c r="B115" s="126" t="s">
        <v>84</v>
      </c>
      <c r="H115" s="193"/>
      <c r="J115" s="194"/>
      <c r="K115" s="194"/>
      <c r="L115" s="194"/>
      <c r="M115" s="194"/>
    </row>
    <row r="116" spans="2:15" s="192" customFormat="1" ht="15" customHeight="1" outlineLevel="1">
      <c r="B116" s="195" t="s">
        <v>18</v>
      </c>
      <c r="H116" s="196">
        <f>H$30</f>
        <v>11148.448499999999</v>
      </c>
      <c r="I116" s="196">
        <f>I$30</f>
        <v>12233.203306198007</v>
      </c>
      <c r="J116" s="196">
        <f t="shared" ref="J116:M116" si="27">J$30</f>
        <v>12268.202509926783</v>
      </c>
      <c r="K116" s="196">
        <f t="shared" si="27"/>
        <v>12304.24853718857</v>
      </c>
      <c r="L116" s="196">
        <f t="shared" si="27"/>
        <v>12255.467841361708</v>
      </c>
      <c r="M116" s="196">
        <f t="shared" si="27"/>
        <v>12079.794070530703</v>
      </c>
    </row>
    <row r="117" spans="2:15" s="192" customFormat="1" ht="15" customHeight="1" outlineLevel="1">
      <c r="B117" s="195" t="s">
        <v>16</v>
      </c>
      <c r="H117" s="196">
        <f>-H$18</f>
        <v>3452</v>
      </c>
      <c r="I117" s="196">
        <f>-I$18</f>
        <v>4287.75</v>
      </c>
      <c r="J117" s="196">
        <f t="shared" ref="J117:M117" si="28">-J$18</f>
        <v>4636.5</v>
      </c>
      <c r="K117" s="196">
        <f t="shared" si="28"/>
        <v>4994.625</v>
      </c>
      <c r="L117" s="196">
        <f t="shared" si="28"/>
        <v>5356.5</v>
      </c>
      <c r="M117" s="196">
        <f t="shared" si="28"/>
        <v>5728.6875</v>
      </c>
    </row>
    <row r="118" spans="2:15" s="192" customFormat="1" ht="15" customHeight="1" outlineLevel="1">
      <c r="B118" s="269" t="s">
        <v>198</v>
      </c>
      <c r="H118" s="196">
        <f t="shared" ref="H118:M118" si="29">-SUM(H22:H23)</f>
        <v>2157</v>
      </c>
      <c r="I118" s="196">
        <f t="shared" si="29"/>
        <v>1141.4300089999999</v>
      </c>
      <c r="J118" s="196">
        <f t="shared" si="29"/>
        <v>1085.039688922416</v>
      </c>
      <c r="K118" s="196">
        <f t="shared" si="29"/>
        <v>1022.2047742510789</v>
      </c>
      <c r="L118" s="196">
        <f t="shared" si="29"/>
        <v>957.77387304034983</v>
      </c>
      <c r="M118" s="196">
        <f t="shared" si="29"/>
        <v>889.08119143490239</v>
      </c>
      <c r="O118"/>
    </row>
    <row r="119" spans="2:15" s="192" customFormat="1" ht="15" customHeight="1" outlineLevel="1">
      <c r="B119" s="195" t="s">
        <v>20</v>
      </c>
      <c r="F119" s="316"/>
      <c r="G119" s="316"/>
      <c r="H119" s="316">
        <f>-H27/H24</f>
        <v>0.215033344426491</v>
      </c>
      <c r="I119" s="316">
        <f t="shared" ref="I119:M119" si="30">-I27/I24</f>
        <v>0.21</v>
      </c>
      <c r="J119" s="316">
        <f t="shared" si="30"/>
        <v>0.21</v>
      </c>
      <c r="K119" s="316">
        <f t="shared" si="30"/>
        <v>0.21</v>
      </c>
      <c r="L119" s="316">
        <f t="shared" si="30"/>
        <v>0.21</v>
      </c>
      <c r="M119" s="316">
        <f t="shared" si="30"/>
        <v>0.21</v>
      </c>
    </row>
    <row r="120" spans="2:15" s="192" customFormat="1" ht="15" customHeight="1" outlineLevel="1">
      <c r="B120" s="195" t="s">
        <v>147</v>
      </c>
      <c r="H120" s="196">
        <f>H118*(1-H119)</f>
        <v>1693.1730760720588</v>
      </c>
      <c r="I120" s="196">
        <f t="shared" ref="I120:M120" si="31">I118*(1-I119)</f>
        <v>901.72970710999994</v>
      </c>
      <c r="J120" s="196">
        <f t="shared" si="31"/>
        <v>857.18135424870866</v>
      </c>
      <c r="K120" s="196">
        <f t="shared" si="31"/>
        <v>807.54177165835233</v>
      </c>
      <c r="L120" s="196">
        <f t="shared" si="31"/>
        <v>756.64135970187635</v>
      </c>
      <c r="M120" s="196">
        <f t="shared" si="31"/>
        <v>702.37414123357291</v>
      </c>
    </row>
    <row r="121" spans="2:15" s="192" customFormat="1" ht="15" customHeight="1" outlineLevel="1">
      <c r="B121" s="195" t="s">
        <v>17</v>
      </c>
      <c r="H121" s="196">
        <f>H$19</f>
        <v>16359.448499999999</v>
      </c>
      <c r="I121" s="196">
        <f>I$19</f>
        <v>16626.497485200009</v>
      </c>
      <c r="J121" s="196">
        <f t="shared" ref="J121:M121" si="32">J$19</f>
        <v>16614.409954652521</v>
      </c>
      <c r="K121" s="196">
        <f t="shared" si="32"/>
        <v>16597.202922591041</v>
      </c>
      <c r="L121" s="196">
        <f t="shared" si="32"/>
        <v>16471.024305143779</v>
      </c>
      <c r="M121" s="196">
        <f t="shared" si="32"/>
        <v>16179.959761726932</v>
      </c>
    </row>
    <row r="122" spans="2:15" s="192" customFormat="1" ht="15" customHeight="1" outlineLevel="1">
      <c r="B122" s="195" t="s">
        <v>80</v>
      </c>
      <c r="H122" s="196">
        <f>H$121*-H119</f>
        <v>-3517.8269239279412</v>
      </c>
      <c r="I122" s="196">
        <f t="shared" ref="I122:M122" si="33">I$121*-I119</f>
        <v>-3491.5644718920016</v>
      </c>
      <c r="J122" s="196">
        <f t="shared" si="33"/>
        <v>-3489.0260904770294</v>
      </c>
      <c r="K122" s="196">
        <f t="shared" si="33"/>
        <v>-3485.4126137441185</v>
      </c>
      <c r="L122" s="196">
        <f t="shared" si="33"/>
        <v>-3458.9151040801935</v>
      </c>
      <c r="M122" s="196">
        <f t="shared" si="33"/>
        <v>-3397.7915499626556</v>
      </c>
    </row>
    <row r="123" spans="2:15" s="192" customFormat="1" ht="15" customHeight="1" outlineLevel="1">
      <c r="B123" s="195" t="s">
        <v>15</v>
      </c>
      <c r="H123" s="196">
        <f>+H$15</f>
        <v>19811.448499999999</v>
      </c>
      <c r="I123" s="196">
        <f>+I$15</f>
        <v>20914.247485200009</v>
      </c>
      <c r="J123" s="196">
        <f t="shared" ref="J123:M123" si="34">+J$15</f>
        <v>21250.909954652521</v>
      </c>
      <c r="K123" s="196">
        <f t="shared" si="34"/>
        <v>21591.827922591041</v>
      </c>
      <c r="L123" s="196">
        <f t="shared" si="34"/>
        <v>21827.524305143779</v>
      </c>
      <c r="M123" s="196">
        <f t="shared" si="34"/>
        <v>21908.647261726932</v>
      </c>
    </row>
    <row r="124" spans="2:15" s="192" customFormat="1" ht="15" customHeight="1" outlineLevel="1">
      <c r="B124" s="195" t="s">
        <v>144</v>
      </c>
      <c r="H124" s="196">
        <f>H$50</f>
        <v>-2000</v>
      </c>
      <c r="I124" s="196">
        <f>I$50</f>
        <v>-6900</v>
      </c>
      <c r="J124" s="196">
        <f t="shared" ref="J124:M124" si="35">J$50</f>
        <v>-7050</v>
      </c>
      <c r="K124" s="196">
        <f t="shared" si="35"/>
        <v>-7275</v>
      </c>
      <c r="L124" s="196">
        <f t="shared" si="35"/>
        <v>-7200</v>
      </c>
      <c r="M124" s="196">
        <f t="shared" si="35"/>
        <v>-7687.5</v>
      </c>
    </row>
    <row r="125" spans="2:15" s="192" customFormat="1" ht="15" customHeight="1" outlineLevel="1">
      <c r="B125" s="195" t="s">
        <v>64</v>
      </c>
      <c r="H125" s="196">
        <f t="shared" ref="H125:M125" si="36">SUM(H43:H45)</f>
        <v>-263</v>
      </c>
      <c r="I125" s="196">
        <f t="shared" si="36"/>
        <v>-535.28063720000068</v>
      </c>
      <c r="J125" s="196">
        <f t="shared" si="36"/>
        <v>-117.57054080771877</v>
      </c>
      <c r="K125" s="196">
        <f t="shared" si="36"/>
        <v>-119.93370867795579</v>
      </c>
      <c r="L125" s="196">
        <f t="shared" si="36"/>
        <v>-91.606112544618099</v>
      </c>
      <c r="M125" s="196">
        <f t="shared" si="36"/>
        <v>-61.938369767281756</v>
      </c>
    </row>
    <row r="126" spans="2:15" s="192" customFormat="1" ht="15" customHeight="1" outlineLevel="1">
      <c r="B126" s="195" t="s">
        <v>141</v>
      </c>
      <c r="H126" s="196">
        <f>+H$93</f>
        <v>20000</v>
      </c>
      <c r="I126" s="287"/>
      <c r="J126" s="285"/>
      <c r="K126" s="285"/>
      <c r="L126" s="285"/>
      <c r="M126" s="289"/>
    </row>
    <row r="127" spans="2:15" s="192" customFormat="1" ht="15" customHeight="1" outlineLevel="1">
      <c r="B127" s="195" t="s">
        <v>41</v>
      </c>
      <c r="H127" s="196">
        <f>+H$76</f>
        <v>5856.9990999999991</v>
      </c>
      <c r="I127" s="288"/>
      <c r="J127" s="286"/>
      <c r="K127" s="286"/>
      <c r="L127" s="286"/>
      <c r="M127" s="290"/>
    </row>
    <row r="128" spans="2:15" s="44" customFormat="1" ht="15" customHeight="1" outlineLevel="1">
      <c r="B128" s="243"/>
      <c r="C128" s="66"/>
      <c r="D128" s="66"/>
      <c r="E128" s="66"/>
      <c r="F128" s="66"/>
      <c r="G128" s="66"/>
      <c r="H128" s="233"/>
      <c r="I128" s="244"/>
      <c r="J128" s="244"/>
      <c r="K128" s="244"/>
      <c r="L128" s="244"/>
      <c r="M128" s="244"/>
    </row>
    <row r="129" spans="1:16" s="44" customFormat="1" ht="15" customHeight="1">
      <c r="B129" s="128"/>
      <c r="H129" s="121"/>
      <c r="I129" s="123"/>
      <c r="J129" s="123"/>
      <c r="K129" s="123"/>
      <c r="L129" s="123"/>
      <c r="M129" s="123"/>
    </row>
    <row r="130" spans="1:16" s="44" customFormat="1" ht="15" customHeight="1">
      <c r="A130" s="3" t="s">
        <v>26</v>
      </c>
      <c r="B130" s="36" t="s">
        <v>149</v>
      </c>
      <c r="C130" s="37"/>
      <c r="D130" s="77"/>
      <c r="E130" s="77"/>
      <c r="F130" s="39"/>
      <c r="G130" s="39"/>
      <c r="H130" s="39"/>
      <c r="I130" s="40"/>
      <c r="J130" s="41"/>
      <c r="K130" s="41"/>
      <c r="L130" s="41"/>
      <c r="M130" s="41"/>
    </row>
    <row r="131" spans="1:16" s="44" customFormat="1" ht="15" customHeight="1" outlineLevel="1">
      <c r="B131" s="270"/>
    </row>
    <row r="132" spans="1:16" s="44" customFormat="1" ht="15" customHeight="1" outlineLevel="1">
      <c r="B132" s="8" t="s">
        <v>10</v>
      </c>
    </row>
    <row r="133" spans="1:16" s="44" customFormat="1" ht="15" customHeight="1" outlineLevel="1" thickBot="1">
      <c r="H133"/>
      <c r="I133" s="111">
        <f t="shared" ref="I133:M133" si="37">I$5</f>
        <v>2023</v>
      </c>
      <c r="J133" s="111">
        <f t="shared" si="37"/>
        <v>2024</v>
      </c>
      <c r="K133" s="111">
        <f t="shared" si="37"/>
        <v>2025</v>
      </c>
      <c r="L133" s="111">
        <f t="shared" si="37"/>
        <v>2026</v>
      </c>
      <c r="M133" s="111">
        <f t="shared" si="37"/>
        <v>2027</v>
      </c>
    </row>
    <row r="134" spans="1:16" s="192" customFormat="1" ht="15" customHeight="1" outlineLevel="1">
      <c r="B134" s="126" t="s">
        <v>82</v>
      </c>
      <c r="H134" s="124"/>
      <c r="I134" s="125"/>
      <c r="J134" s="125"/>
      <c r="K134" s="125"/>
      <c r="L134" s="125"/>
      <c r="M134" s="125"/>
    </row>
    <row r="135" spans="1:16" s="192" customFormat="1" ht="15" customHeight="1" outlineLevel="1">
      <c r="B135" s="195" t="s">
        <v>17</v>
      </c>
      <c r="H135" s="124"/>
      <c r="I135" s="197">
        <f>+I$121</f>
        <v>16626.497485200009</v>
      </c>
      <c r="J135" s="197">
        <f t="shared" ref="J135:M135" si="38">+J$121</f>
        <v>16614.409954652521</v>
      </c>
      <c r="K135" s="197">
        <f t="shared" si="38"/>
        <v>16597.202922591041</v>
      </c>
      <c r="L135" s="197">
        <f t="shared" si="38"/>
        <v>16471.024305143779</v>
      </c>
      <c r="M135" s="197">
        <f t="shared" si="38"/>
        <v>16179.959761726932</v>
      </c>
    </row>
    <row r="136" spans="1:16" s="192" customFormat="1" ht="15" customHeight="1" outlineLevel="1">
      <c r="B136" s="195" t="s">
        <v>145</v>
      </c>
      <c r="H136" s="124"/>
      <c r="I136" s="197">
        <f>I135*-I119</f>
        <v>-3491.5644718920016</v>
      </c>
      <c r="J136" s="197">
        <f>J135*-J119</f>
        <v>-3489.0260904770294</v>
      </c>
      <c r="K136" s="197">
        <f>K135*-K119</f>
        <v>-3485.4126137441185</v>
      </c>
      <c r="L136" s="197">
        <f>L135*-L119</f>
        <v>-3458.9151040801935</v>
      </c>
      <c r="M136" s="197">
        <f>M135*-M119</f>
        <v>-3397.7915499626556</v>
      </c>
    </row>
    <row r="137" spans="1:16" s="192" customFormat="1" ht="15" customHeight="1" outlineLevel="1">
      <c r="B137" s="195" t="s">
        <v>146</v>
      </c>
      <c r="H137" s="124"/>
      <c r="I137" s="197">
        <f>SUM(I135:I136)</f>
        <v>13134.933013308008</v>
      </c>
      <c r="J137" s="197">
        <f t="shared" ref="J137:M137" si="39">SUM(J135:J136)</f>
        <v>13125.383864175492</v>
      </c>
      <c r="K137" s="197">
        <f t="shared" si="39"/>
        <v>13111.790308846923</v>
      </c>
      <c r="L137" s="197">
        <f t="shared" si="39"/>
        <v>13012.109201063586</v>
      </c>
      <c r="M137" s="197">
        <f t="shared" si="39"/>
        <v>12782.168211764276</v>
      </c>
    </row>
    <row r="138" spans="1:16" s="192" customFormat="1" ht="15" customHeight="1" outlineLevel="1">
      <c r="B138" s="195" t="s">
        <v>16</v>
      </c>
      <c r="H138" s="124"/>
      <c r="I138" s="197">
        <f>+I$117</f>
        <v>4287.75</v>
      </c>
      <c r="J138" s="197">
        <f t="shared" ref="J138:M138" si="40">+J$117</f>
        <v>4636.5</v>
      </c>
      <c r="K138" s="197">
        <f t="shared" si="40"/>
        <v>4994.625</v>
      </c>
      <c r="L138" s="197">
        <f t="shared" si="40"/>
        <v>5356.5</v>
      </c>
      <c r="M138" s="197">
        <f t="shared" si="40"/>
        <v>5728.6875</v>
      </c>
    </row>
    <row r="139" spans="1:16" s="192" customFormat="1" ht="15" customHeight="1" outlineLevel="1">
      <c r="B139" s="195" t="s">
        <v>65</v>
      </c>
      <c r="H139" s="124"/>
      <c r="I139" s="197">
        <f>+I$124</f>
        <v>-6900</v>
      </c>
      <c r="J139" s="197">
        <f t="shared" ref="J139:M139" si="41">+J$124</f>
        <v>-7050</v>
      </c>
      <c r="K139" s="197">
        <f t="shared" si="41"/>
        <v>-7275</v>
      </c>
      <c r="L139" s="197">
        <f t="shared" si="41"/>
        <v>-7200</v>
      </c>
      <c r="M139" s="197">
        <f t="shared" si="41"/>
        <v>-7687.5</v>
      </c>
    </row>
    <row r="140" spans="1:16" s="192" customFormat="1" ht="15" customHeight="1" outlineLevel="1">
      <c r="B140" s="195" t="s">
        <v>64</v>
      </c>
      <c r="H140" s="124"/>
      <c r="I140" s="197">
        <f>+I$125</f>
        <v>-535.28063720000068</v>
      </c>
      <c r="J140" s="197">
        <f t="shared" ref="J140:M140" si="42">+J$125</f>
        <v>-117.57054080771877</v>
      </c>
      <c r="K140" s="197">
        <f t="shared" si="42"/>
        <v>-119.93370867795579</v>
      </c>
      <c r="L140" s="197">
        <f t="shared" si="42"/>
        <v>-91.606112544618099</v>
      </c>
      <c r="M140" s="197">
        <f t="shared" si="42"/>
        <v>-61.938369767281756</v>
      </c>
    </row>
    <row r="141" spans="1:16" s="192" customFormat="1" ht="15" customHeight="1" outlineLevel="1" thickBot="1">
      <c r="B141" s="195" t="s">
        <v>137</v>
      </c>
      <c r="H141" s="124"/>
      <c r="I141" s="340">
        <f>SUM(I137:I140)</f>
        <v>9987.4023761080061</v>
      </c>
      <c r="J141" s="340">
        <f t="shared" ref="J141:M141" si="43">SUM(J137:J140)</f>
        <v>10594.313323367773</v>
      </c>
      <c r="K141" s="340">
        <f t="shared" si="43"/>
        <v>10711.481600168969</v>
      </c>
      <c r="L141" s="340">
        <f t="shared" si="43"/>
        <v>11077.003088518966</v>
      </c>
      <c r="M141" s="340">
        <f t="shared" si="43"/>
        <v>10761.417341996996</v>
      </c>
      <c r="P141"/>
    </row>
    <row r="142" spans="1:16" s="192" customFormat="1" ht="15" customHeight="1" outlineLevel="1">
      <c r="B142" s="195"/>
      <c r="H142" s="124"/>
      <c r="I142" s="197"/>
      <c r="J142" s="197"/>
      <c r="K142" s="197"/>
      <c r="L142" s="197"/>
      <c r="M142" s="197"/>
      <c r="P142"/>
    </row>
    <row r="143" spans="1:16" s="192" customFormat="1" ht="15" customHeight="1" outlineLevel="1">
      <c r="B143" s="126" t="s">
        <v>81</v>
      </c>
      <c r="H143" s="124"/>
      <c r="I143" s="125"/>
      <c r="J143" s="125"/>
      <c r="K143" s="125"/>
      <c r="L143" s="125"/>
      <c r="M143" s="125"/>
      <c r="O143" s="117"/>
      <c r="P143"/>
    </row>
    <row r="144" spans="1:16" s="192" customFormat="1" ht="15" customHeight="1" outlineLevel="1">
      <c r="B144" s="195" t="s">
        <v>18</v>
      </c>
      <c r="H144" s="193"/>
      <c r="I144" s="196">
        <f>+I$116</f>
        <v>12233.203306198007</v>
      </c>
      <c r="J144" s="196">
        <f t="shared" ref="J144:M144" si="44">+J$116</f>
        <v>12268.202509926783</v>
      </c>
      <c r="K144" s="196">
        <f t="shared" si="44"/>
        <v>12304.24853718857</v>
      </c>
      <c r="L144" s="196">
        <f t="shared" si="44"/>
        <v>12255.467841361708</v>
      </c>
      <c r="M144" s="196">
        <f t="shared" si="44"/>
        <v>12079.794070530703</v>
      </c>
      <c r="P144"/>
    </row>
    <row r="145" spans="1:16" s="192" customFormat="1" ht="15" customHeight="1" outlineLevel="1">
      <c r="B145" s="195" t="s">
        <v>16</v>
      </c>
      <c r="H145" s="193"/>
      <c r="I145" s="196">
        <f>I$117</f>
        <v>4287.75</v>
      </c>
      <c r="J145" s="196">
        <f t="shared" ref="J145:M145" si="45">J$117</f>
        <v>4636.5</v>
      </c>
      <c r="K145" s="196">
        <f t="shared" si="45"/>
        <v>4994.625</v>
      </c>
      <c r="L145" s="196">
        <f t="shared" si="45"/>
        <v>5356.5</v>
      </c>
      <c r="M145" s="196">
        <f t="shared" si="45"/>
        <v>5728.6875</v>
      </c>
      <c r="P145"/>
    </row>
    <row r="146" spans="1:16" s="192" customFormat="1" ht="15" customHeight="1" outlineLevel="1">
      <c r="B146" s="195" t="s">
        <v>147</v>
      </c>
      <c r="H146" s="193"/>
      <c r="I146" s="196">
        <f>+I$120</f>
        <v>901.72970710999994</v>
      </c>
      <c r="J146" s="196">
        <f t="shared" ref="J146:M146" si="46">+J$120</f>
        <v>857.18135424870866</v>
      </c>
      <c r="K146" s="196">
        <f t="shared" si="46"/>
        <v>807.54177165835233</v>
      </c>
      <c r="L146" s="196">
        <f t="shared" si="46"/>
        <v>756.64135970187635</v>
      </c>
      <c r="M146" s="196">
        <f t="shared" si="46"/>
        <v>702.37414123357291</v>
      </c>
      <c r="P146"/>
    </row>
    <row r="147" spans="1:16" s="192" customFormat="1" ht="15" customHeight="1" outlineLevel="1">
      <c r="B147" s="195" t="s">
        <v>65</v>
      </c>
      <c r="I147" s="197">
        <f>+I$124</f>
        <v>-6900</v>
      </c>
      <c r="J147" s="197">
        <f t="shared" ref="J147:M147" si="47">+J$124</f>
        <v>-7050</v>
      </c>
      <c r="K147" s="197">
        <f t="shared" si="47"/>
        <v>-7275</v>
      </c>
      <c r="L147" s="197">
        <f t="shared" si="47"/>
        <v>-7200</v>
      </c>
      <c r="M147" s="197">
        <f t="shared" si="47"/>
        <v>-7687.5</v>
      </c>
      <c r="N147" s="198"/>
      <c r="P147"/>
    </row>
    <row r="148" spans="1:16" s="192" customFormat="1" ht="15" customHeight="1" outlineLevel="1">
      <c r="B148" s="195" t="s">
        <v>64</v>
      </c>
      <c r="I148" s="196">
        <f>+I$125</f>
        <v>-535.28063720000068</v>
      </c>
      <c r="J148" s="196">
        <f t="shared" ref="J148:M148" si="48">+J$125</f>
        <v>-117.57054080771877</v>
      </c>
      <c r="K148" s="196">
        <f t="shared" si="48"/>
        <v>-119.93370867795579</v>
      </c>
      <c r="L148" s="196">
        <f t="shared" si="48"/>
        <v>-91.606112544618099</v>
      </c>
      <c r="M148" s="196">
        <f t="shared" si="48"/>
        <v>-61.938369767281756</v>
      </c>
      <c r="P148"/>
    </row>
    <row r="149" spans="1:16" s="192" customFormat="1" ht="15" customHeight="1" outlineLevel="1" thickBot="1">
      <c r="B149" s="195" t="s">
        <v>138</v>
      </c>
      <c r="I149" s="341">
        <f>SUM(I144:I148)</f>
        <v>9987.4023761080061</v>
      </c>
      <c r="J149" s="341">
        <f t="shared" ref="J149:M149" si="49">SUM(J144:J148)</f>
        <v>10594.313323367773</v>
      </c>
      <c r="K149" s="341">
        <f t="shared" si="49"/>
        <v>10711.481600168965</v>
      </c>
      <c r="L149" s="341">
        <f t="shared" si="49"/>
        <v>11077.003088518966</v>
      </c>
      <c r="M149" s="341">
        <f t="shared" si="49"/>
        <v>10761.417341996996</v>
      </c>
      <c r="P149"/>
    </row>
    <row r="150" spans="1:16" s="192" customFormat="1" ht="15" customHeight="1" outlineLevel="1">
      <c r="B150" s="195"/>
      <c r="I150" s="194"/>
      <c r="J150" s="194"/>
      <c r="K150" s="194"/>
      <c r="L150" s="194"/>
      <c r="M150" s="194"/>
      <c r="P150"/>
    </row>
    <row r="151" spans="1:16" s="192" customFormat="1" ht="15" customHeight="1" outlineLevel="1">
      <c r="B151" s="126" t="s">
        <v>83</v>
      </c>
      <c r="H151" s="124"/>
      <c r="I151" s="125"/>
      <c r="J151" s="125"/>
      <c r="K151" s="125"/>
      <c r="L151" s="125"/>
      <c r="M151" s="125"/>
      <c r="P151"/>
    </row>
    <row r="152" spans="1:16" s="192" customFormat="1" ht="15" customHeight="1" outlineLevel="1">
      <c r="B152" s="195" t="s">
        <v>15</v>
      </c>
      <c r="H152" s="124"/>
      <c r="I152" s="197">
        <f>+I$123</f>
        <v>20914.247485200009</v>
      </c>
      <c r="J152" s="197">
        <f t="shared" ref="J152:M152" si="50">+J$123</f>
        <v>21250.909954652521</v>
      </c>
      <c r="K152" s="197">
        <f t="shared" si="50"/>
        <v>21591.827922591041</v>
      </c>
      <c r="L152" s="197">
        <f t="shared" si="50"/>
        <v>21827.524305143779</v>
      </c>
      <c r="M152" s="197">
        <f t="shared" si="50"/>
        <v>21908.647261726932</v>
      </c>
      <c r="P152"/>
    </row>
    <row r="153" spans="1:16" s="192" customFormat="1" ht="15" customHeight="1" outlineLevel="1">
      <c r="B153" s="195" t="s">
        <v>80</v>
      </c>
      <c r="H153" s="124"/>
      <c r="I153" s="197">
        <f>+I$122</f>
        <v>-3491.5644718920016</v>
      </c>
      <c r="J153" s="197">
        <f>+J$122</f>
        <v>-3489.0260904770294</v>
      </c>
      <c r="K153" s="197">
        <f>+K$122</f>
        <v>-3485.4126137441185</v>
      </c>
      <c r="L153" s="197">
        <f>+L$122</f>
        <v>-3458.9151040801935</v>
      </c>
      <c r="M153" s="197">
        <f>+M$122</f>
        <v>-3397.7915499626556</v>
      </c>
      <c r="P153"/>
    </row>
    <row r="154" spans="1:16" s="192" customFormat="1" ht="15" customHeight="1" outlineLevel="1">
      <c r="B154" s="195" t="s">
        <v>65</v>
      </c>
      <c r="H154" s="124"/>
      <c r="I154" s="197">
        <f>+I$147</f>
        <v>-6900</v>
      </c>
      <c r="J154" s="197">
        <f t="shared" ref="J154:M154" si="51">+J$147</f>
        <v>-7050</v>
      </c>
      <c r="K154" s="197">
        <f t="shared" si="51"/>
        <v>-7275</v>
      </c>
      <c r="L154" s="197">
        <f t="shared" si="51"/>
        <v>-7200</v>
      </c>
      <c r="M154" s="197">
        <f t="shared" si="51"/>
        <v>-7687.5</v>
      </c>
      <c r="P154"/>
    </row>
    <row r="155" spans="1:16" s="192" customFormat="1" ht="15" customHeight="1" outlineLevel="1">
      <c r="B155" s="195" t="s">
        <v>64</v>
      </c>
      <c r="H155" s="124"/>
      <c r="I155" s="197">
        <f>+I$148</f>
        <v>-535.28063720000068</v>
      </c>
      <c r="J155" s="197">
        <f t="shared" ref="J155:M155" si="52">+J$148</f>
        <v>-117.57054080771877</v>
      </c>
      <c r="K155" s="197">
        <f t="shared" si="52"/>
        <v>-119.93370867795579</v>
      </c>
      <c r="L155" s="197">
        <f t="shared" si="52"/>
        <v>-91.606112544618099</v>
      </c>
      <c r="M155" s="197">
        <f t="shared" si="52"/>
        <v>-61.938369767281756</v>
      </c>
      <c r="P155"/>
    </row>
    <row r="156" spans="1:16" s="192" customFormat="1" ht="15" customHeight="1" outlineLevel="1" thickBot="1">
      <c r="B156" s="195" t="s">
        <v>136</v>
      </c>
      <c r="H156" s="124"/>
      <c r="I156" s="340">
        <f>SUM(I152:I155)</f>
        <v>9987.4023761080061</v>
      </c>
      <c r="J156" s="340">
        <f>SUM(J152:J155)</f>
        <v>10594.313323367773</v>
      </c>
      <c r="K156" s="340">
        <f>SUM(K152:K155)</f>
        <v>10711.481600168965</v>
      </c>
      <c r="L156" s="340">
        <f>SUM(L152:L155)</f>
        <v>11077.003088518966</v>
      </c>
      <c r="M156" s="340">
        <f>SUM(M152:M155)</f>
        <v>10761.417341996996</v>
      </c>
      <c r="P156"/>
    </row>
    <row r="157" spans="1:16" s="192" customFormat="1" ht="15" customHeight="1" outlineLevel="1">
      <c r="B157" s="195"/>
      <c r="H157" s="124"/>
      <c r="I157" s="197"/>
      <c r="J157" s="197"/>
      <c r="K157" s="197"/>
      <c r="L157" s="197"/>
      <c r="M157" s="197"/>
      <c r="P157"/>
    </row>
    <row r="158" spans="1:16" s="192" customFormat="1" ht="15" customHeight="1" outlineLevel="1">
      <c r="B158" s="238"/>
      <c r="C158" s="238"/>
      <c r="D158" s="238"/>
      <c r="E158" s="238"/>
      <c r="F158" s="238"/>
      <c r="G158" s="238"/>
      <c r="H158" s="239"/>
      <c r="I158" s="240"/>
      <c r="J158" s="240"/>
      <c r="K158" s="240"/>
      <c r="L158" s="240"/>
      <c r="M158" s="240"/>
    </row>
    <row r="159" spans="1:16" s="44" customFormat="1" ht="15" customHeight="1">
      <c r="B159" s="128"/>
      <c r="I159" s="123"/>
      <c r="J159" s="123"/>
      <c r="K159" s="123"/>
      <c r="L159" s="123"/>
      <c r="M159" s="123"/>
    </row>
    <row r="160" spans="1:16" s="44" customFormat="1" ht="15" customHeight="1">
      <c r="A160" s="3" t="s">
        <v>26</v>
      </c>
      <c r="B160" s="36" t="s">
        <v>151</v>
      </c>
      <c r="C160" s="37"/>
      <c r="D160" s="77"/>
      <c r="E160" s="77"/>
      <c r="F160" s="39"/>
      <c r="G160" s="39"/>
      <c r="H160" s="39"/>
      <c r="I160" s="40"/>
      <c r="J160" s="41"/>
      <c r="K160" s="41"/>
      <c r="L160" s="41"/>
      <c r="M160" s="41"/>
    </row>
    <row r="161" spans="1:13" s="44" customFormat="1" ht="15" customHeight="1" outlineLevel="1">
      <c r="A161" s="3"/>
      <c r="B161" s="43"/>
      <c r="C161" s="5"/>
      <c r="D161" s="186"/>
      <c r="E161" s="186"/>
      <c r="F161" s="7"/>
      <c r="G161" s="7"/>
      <c r="H161" s="7"/>
      <c r="I161" s="187"/>
      <c r="J161" s="188"/>
      <c r="K161" s="188"/>
      <c r="L161" s="188"/>
      <c r="M161" s="188"/>
    </row>
    <row r="162" spans="1:13" s="44" customFormat="1" ht="15" customHeight="1" outlineLevel="1">
      <c r="B162" s="34" t="s">
        <v>152</v>
      </c>
    </row>
    <row r="163" spans="1:13" s="44" customFormat="1" ht="15" customHeight="1" outlineLevel="1">
      <c r="B163" s="34"/>
    </row>
    <row r="164" spans="1:13" s="44" customFormat="1" ht="15" customHeight="1" outlineLevel="1">
      <c r="B164" s="32" t="s">
        <v>85</v>
      </c>
      <c r="C164" s="122"/>
      <c r="D164" s="122"/>
      <c r="E164" s="200">
        <v>0.03</v>
      </c>
    </row>
    <row r="165" spans="1:13" s="44" customFormat="1" ht="15" customHeight="1" outlineLevel="1">
      <c r="B165" s="130" t="s">
        <v>86</v>
      </c>
      <c r="E165" s="201">
        <v>1.5</v>
      </c>
    </row>
    <row r="166" spans="1:13" s="44" customFormat="1" ht="15" customHeight="1" outlineLevel="1">
      <c r="B166" s="130" t="s">
        <v>232</v>
      </c>
      <c r="E166" s="202">
        <v>0.06</v>
      </c>
    </row>
    <row r="167" spans="1:13" s="44" customFormat="1" ht="15" customHeight="1" outlineLevel="1">
      <c r="B167" s="189" t="s">
        <v>87</v>
      </c>
      <c r="C167" s="66"/>
      <c r="D167" s="66"/>
      <c r="E167" s="342">
        <f>E164+(E165*E166)</f>
        <v>0.12</v>
      </c>
    </row>
    <row r="168" spans="1:13" s="44" customFormat="1" ht="15" customHeight="1" outlineLevel="1">
      <c r="B168" s="84"/>
      <c r="C168" s="335"/>
    </row>
    <row r="169" spans="1:13" s="44" customFormat="1" ht="15" customHeight="1" outlineLevel="1">
      <c r="B169" s="34"/>
    </row>
    <row r="170" spans="1:13" s="44" customFormat="1" ht="15" customHeight="1" outlineLevel="1">
      <c r="B170" s="34" t="s">
        <v>140</v>
      </c>
    </row>
    <row r="171" spans="1:13" s="44" customFormat="1" ht="15" customHeight="1" outlineLevel="1">
      <c r="B171" s="84"/>
    </row>
    <row r="172" spans="1:13" s="44" customFormat="1" ht="15" customHeight="1" outlineLevel="1">
      <c r="B172" s="32" t="s">
        <v>233</v>
      </c>
      <c r="C172" s="122"/>
      <c r="D172" s="122"/>
      <c r="E172" s="200">
        <v>0.1</v>
      </c>
    </row>
    <row r="173" spans="1:13" s="44" customFormat="1" ht="15" customHeight="1" outlineLevel="1">
      <c r="B173" s="130" t="s">
        <v>234</v>
      </c>
      <c r="E173" s="343">
        <f>1-E172</f>
        <v>0.9</v>
      </c>
    </row>
    <row r="174" spans="1:13" s="44" customFormat="1" ht="15" customHeight="1" outlineLevel="1">
      <c r="B174" s="130" t="s">
        <v>139</v>
      </c>
      <c r="E174" s="202">
        <v>0.06</v>
      </c>
    </row>
    <row r="175" spans="1:13" s="44" customFormat="1" ht="15" customHeight="1" outlineLevel="1">
      <c r="B175" s="130" t="s">
        <v>20</v>
      </c>
      <c r="E175" s="202">
        <v>0.21</v>
      </c>
    </row>
    <row r="176" spans="1:13" s="44" customFormat="1" ht="15" customHeight="1" outlineLevel="1">
      <c r="B176" s="130" t="s">
        <v>153</v>
      </c>
      <c r="E176" s="343">
        <f>+E174*(1-E175)</f>
        <v>4.7399999999999998E-2</v>
      </c>
    </row>
    <row r="177" spans="1:15" s="44" customFormat="1" ht="15" customHeight="1" outlineLevel="1">
      <c r="B177" s="130" t="s">
        <v>87</v>
      </c>
      <c r="E177" s="343">
        <f>+E167</f>
        <v>0.12</v>
      </c>
    </row>
    <row r="178" spans="1:15" s="44" customFormat="1" ht="15" customHeight="1" outlineLevel="1">
      <c r="B178" s="189" t="s">
        <v>72</v>
      </c>
      <c r="C178" s="66"/>
      <c r="D178" s="66"/>
      <c r="E178" s="342">
        <f>+(E173*E177)+(E176*E172)</f>
        <v>0.11273999999999999</v>
      </c>
    </row>
    <row r="179" spans="1:15" s="44" customFormat="1" ht="15" customHeight="1" outlineLevel="1">
      <c r="B179" s="84"/>
      <c r="C179" s="334"/>
    </row>
    <row r="180" spans="1:15" s="44" customFormat="1" ht="15" customHeight="1" outlineLevel="1">
      <c r="B180" s="241"/>
      <c r="C180" s="242"/>
      <c r="D180" s="66"/>
      <c r="E180" s="66"/>
      <c r="F180" s="66"/>
      <c r="G180" s="66"/>
      <c r="H180" s="66"/>
      <c r="I180" s="66"/>
      <c r="J180" s="66"/>
      <c r="K180" s="66"/>
      <c r="L180" s="66"/>
      <c r="M180" s="66"/>
    </row>
    <row r="181" spans="1:15" s="44" customFormat="1" ht="15" customHeight="1">
      <c r="B181" s="34"/>
    </row>
    <row r="182" spans="1:15" s="44" customFormat="1" ht="15" customHeight="1">
      <c r="A182" s="3" t="s">
        <v>26</v>
      </c>
      <c r="B182" s="36" t="s">
        <v>150</v>
      </c>
      <c r="C182" s="37"/>
      <c r="D182" s="77"/>
      <c r="E182" s="77"/>
      <c r="F182" s="39"/>
      <c r="G182" s="39"/>
      <c r="H182" s="39"/>
      <c r="I182" s="40"/>
      <c r="J182" s="41"/>
      <c r="K182" s="41"/>
      <c r="L182" s="41"/>
      <c r="M182" s="41"/>
    </row>
    <row r="183" spans="1:15" s="44" customFormat="1" ht="15" customHeight="1" outlineLevel="1">
      <c r="A183" s="3"/>
      <c r="B183" s="34"/>
    </row>
    <row r="184" spans="1:15" s="44" customFormat="1" ht="15" customHeight="1" outlineLevel="1">
      <c r="A184" s="3"/>
      <c r="B184" s="32" t="s">
        <v>72</v>
      </c>
      <c r="C184" s="199">
        <f>+$E$178</f>
        <v>0.11273999999999999</v>
      </c>
    </row>
    <row r="185" spans="1:15" s="44" customFormat="1" ht="15" customHeight="1" outlineLevel="1">
      <c r="A185" s="3"/>
      <c r="B185" s="33" t="s">
        <v>68</v>
      </c>
      <c r="C185" s="203">
        <v>0.02</v>
      </c>
    </row>
    <row r="186" spans="1:15" s="44" customFormat="1" ht="15" customHeight="1" outlineLevel="1">
      <c r="A186" s="3"/>
      <c r="B186" s="34"/>
    </row>
    <row r="187" spans="1:15" s="44" customFormat="1" ht="15" customHeight="1" outlineLevel="1">
      <c r="B187" s="8" t="s">
        <v>10</v>
      </c>
    </row>
    <row r="188" spans="1:15" s="44" customFormat="1" ht="15" customHeight="1" outlineLevel="1" thickBot="1">
      <c r="C188" s="129"/>
      <c r="H188"/>
      <c r="I188" s="111">
        <f t="shared" ref="I188:M188" si="53">I$5</f>
        <v>2023</v>
      </c>
      <c r="J188" s="111">
        <f t="shared" si="53"/>
        <v>2024</v>
      </c>
      <c r="K188" s="111">
        <f t="shared" si="53"/>
        <v>2025</v>
      </c>
      <c r="L188" s="111">
        <f t="shared" si="53"/>
        <v>2026</v>
      </c>
      <c r="M188" s="111">
        <f t="shared" si="53"/>
        <v>2027</v>
      </c>
    </row>
    <row r="189" spans="1:15" s="44" customFormat="1" ht="15" customHeight="1" outlineLevel="1">
      <c r="B189" s="195" t="s">
        <v>69</v>
      </c>
      <c r="C189" s="129"/>
      <c r="I189" s="21">
        <f>I141</f>
        <v>9987.4023761080061</v>
      </c>
      <c r="J189" s="21">
        <f>J141</f>
        <v>10594.313323367773</v>
      </c>
      <c r="K189" s="21">
        <f>K141</f>
        <v>10711.481600168969</v>
      </c>
      <c r="L189" s="21">
        <f>L141</f>
        <v>11077.003088518966</v>
      </c>
      <c r="M189" s="21">
        <f>M141</f>
        <v>10761.417341996996</v>
      </c>
    </row>
    <row r="190" spans="1:15" s="44" customFormat="1" ht="15" customHeight="1" outlineLevel="1">
      <c r="B190" s="195" t="s">
        <v>154</v>
      </c>
      <c r="C190" s="129"/>
      <c r="I190" s="21"/>
      <c r="J190" s="21"/>
      <c r="K190" s="21"/>
      <c r="L190" s="21"/>
      <c r="M190" s="21">
        <f>M189*(1+C185)</f>
        <v>10976.645688836936</v>
      </c>
    </row>
    <row r="191" spans="1:15" s="44" customFormat="1" ht="15" customHeight="1" outlineLevel="1">
      <c r="B191" s="73" t="s">
        <v>155</v>
      </c>
      <c r="C191" s="129"/>
      <c r="I191" s="193"/>
      <c r="J191" s="192"/>
      <c r="K191" s="192"/>
      <c r="L191" s="192"/>
      <c r="M191" s="344">
        <f>M190/(C184-C185)</f>
        <v>118359.34536162321</v>
      </c>
      <c r="O191" s="117"/>
    </row>
    <row r="192" spans="1:15" s="44" customFormat="1" ht="15" customHeight="1" outlineLevel="1">
      <c r="B192" s="247"/>
      <c r="C192" s="248"/>
      <c r="D192" s="66"/>
      <c r="E192" s="66"/>
      <c r="F192" s="66"/>
      <c r="G192" s="66"/>
      <c r="H192" s="66"/>
      <c r="I192" s="249"/>
      <c r="J192" s="238"/>
      <c r="K192" s="238"/>
      <c r="L192" s="238"/>
      <c r="M192" s="22"/>
      <c r="O192" s="117"/>
    </row>
    <row r="193" spans="1:15" s="44" customFormat="1" ht="15" customHeight="1">
      <c r="A193" s="3"/>
      <c r="B193" s="43"/>
      <c r="C193" s="5"/>
      <c r="D193" s="186"/>
      <c r="E193" s="186"/>
      <c r="F193" s="7"/>
      <c r="G193" s="7"/>
      <c r="H193" s="7"/>
      <c r="I193" s="187"/>
      <c r="J193" s="188"/>
      <c r="K193" s="188"/>
      <c r="L193" s="188"/>
      <c r="M193" s="188"/>
    </row>
    <row r="194" spans="1:15" s="44" customFormat="1" ht="15" customHeight="1">
      <c r="A194" s="3" t="s">
        <v>26</v>
      </c>
      <c r="B194" s="36" t="s">
        <v>160</v>
      </c>
      <c r="C194" s="37"/>
      <c r="D194" s="77"/>
      <c r="E194" s="77"/>
      <c r="F194" s="39"/>
      <c r="G194" s="39"/>
      <c r="H194" s="39"/>
      <c r="I194" s="40"/>
      <c r="J194" s="41"/>
      <c r="K194" s="41"/>
      <c r="L194" s="41"/>
      <c r="M194" s="41"/>
    </row>
    <row r="195" spans="1:15" s="44" customFormat="1" ht="15" customHeight="1" outlineLevel="1">
      <c r="B195" s="128"/>
      <c r="I195" s="123"/>
      <c r="J195" s="123"/>
      <c r="K195" s="123"/>
      <c r="L195" s="123"/>
      <c r="M195" s="123"/>
    </row>
    <row r="196" spans="1:15" s="44" customFormat="1" ht="15" customHeight="1" outlineLevel="1">
      <c r="B196" s="32" t="s">
        <v>72</v>
      </c>
      <c r="C196" s="199">
        <f>+$E$178</f>
        <v>0.11273999999999999</v>
      </c>
      <c r="I196" s="123"/>
      <c r="J196" s="123"/>
      <c r="K196" s="123"/>
      <c r="L196" s="123"/>
      <c r="M196" s="123"/>
    </row>
    <row r="197" spans="1:15" s="44" customFormat="1" ht="15" customHeight="1" outlineLevel="1">
      <c r="B197" s="33" t="s">
        <v>71</v>
      </c>
      <c r="C197" s="210">
        <v>7.2371121197988533</v>
      </c>
    </row>
    <row r="198" spans="1:15" s="44" customFormat="1" ht="15" customHeight="1" outlineLevel="1">
      <c r="B198" s="31"/>
      <c r="C198" s="212"/>
    </row>
    <row r="199" spans="1:15" s="44" customFormat="1" ht="15" customHeight="1" outlineLevel="1">
      <c r="B199" s="8" t="s">
        <v>10</v>
      </c>
      <c r="C199" s="190"/>
    </row>
    <row r="200" spans="1:15" s="44" customFormat="1" ht="15" customHeight="1" outlineLevel="1" thickBot="1">
      <c r="C200" s="129"/>
      <c r="H200"/>
      <c r="I200" s="111">
        <f t="shared" ref="I200:M200" si="54">I$5</f>
        <v>2023</v>
      </c>
      <c r="J200" s="111">
        <f t="shared" si="54"/>
        <v>2024</v>
      </c>
      <c r="K200" s="111">
        <f t="shared" si="54"/>
        <v>2025</v>
      </c>
      <c r="L200" s="111">
        <f t="shared" si="54"/>
        <v>2026</v>
      </c>
      <c r="M200" s="111">
        <f t="shared" si="54"/>
        <v>2027</v>
      </c>
    </row>
    <row r="201" spans="1:15" s="44" customFormat="1" ht="15" customHeight="1" outlineLevel="1">
      <c r="B201" s="195" t="s">
        <v>69</v>
      </c>
      <c r="C201" s="204"/>
      <c r="D201" s="192"/>
      <c r="E201" s="192"/>
      <c r="F201" s="192"/>
      <c r="G201" s="192"/>
      <c r="H201" s="192"/>
      <c r="I201" s="21">
        <f>I189</f>
        <v>9987.4023761080061</v>
      </c>
      <c r="J201" s="21">
        <f t="shared" ref="J201:M201" si="55">J189</f>
        <v>10594.313323367773</v>
      </c>
      <c r="K201" s="21">
        <f t="shared" si="55"/>
        <v>10711.481600168969</v>
      </c>
      <c r="L201" s="21">
        <f t="shared" si="55"/>
        <v>11077.003088518966</v>
      </c>
      <c r="M201" s="21">
        <f t="shared" si="55"/>
        <v>10761.417341996996</v>
      </c>
    </row>
    <row r="202" spans="1:15" s="44" customFormat="1" ht="15" customHeight="1" outlineLevel="1">
      <c r="B202" s="195" t="s">
        <v>15</v>
      </c>
      <c r="C202" s="204"/>
      <c r="D202" s="192"/>
      <c r="E202" s="192"/>
      <c r="F202" s="192"/>
      <c r="G202" s="192"/>
      <c r="H202" s="192"/>
      <c r="I202" s="193"/>
      <c r="J202" s="193"/>
      <c r="K202" s="193"/>
      <c r="L202" s="193"/>
      <c r="M202" s="21">
        <f>$M$123</f>
        <v>21908.647261726932</v>
      </c>
    </row>
    <row r="203" spans="1:15" s="44" customFormat="1" ht="15" customHeight="1" outlineLevel="1">
      <c r="B203" s="73" t="s">
        <v>143</v>
      </c>
      <c r="C203" s="204"/>
      <c r="D203" s="192"/>
      <c r="E203" s="192"/>
      <c r="F203" s="192"/>
      <c r="G203" s="192"/>
      <c r="H203" s="192"/>
      <c r="I203" s="193"/>
      <c r="J203" s="192"/>
      <c r="K203" s="192"/>
      <c r="L203" s="192"/>
      <c r="M203" s="344">
        <f>M202*C197</f>
        <v>158555.33662624194</v>
      </c>
      <c r="O203" s="117"/>
    </row>
    <row r="204" spans="1:15" s="44" customFormat="1" ht="15" customHeight="1" outlineLevel="1">
      <c r="B204" s="128"/>
      <c r="I204" s="123"/>
      <c r="J204" s="123"/>
      <c r="K204" s="123"/>
      <c r="L204" s="123"/>
      <c r="M204" s="123"/>
    </row>
    <row r="205" spans="1:15" s="44" customFormat="1" ht="15" customHeight="1" outlineLevel="1">
      <c r="B205" s="243"/>
      <c r="C205" s="66"/>
      <c r="D205" s="66"/>
      <c r="E205" s="66"/>
      <c r="F205" s="66"/>
      <c r="G205" s="66"/>
      <c r="H205" s="66"/>
      <c r="I205" s="244"/>
      <c r="J205" s="244"/>
      <c r="K205" s="244"/>
      <c r="L205" s="244"/>
      <c r="M205" s="244"/>
    </row>
    <row r="206" spans="1:15" s="44" customFormat="1" ht="15" customHeight="1">
      <c r="B206" s="128"/>
      <c r="I206" s="123"/>
      <c r="J206" s="123"/>
      <c r="K206" s="123"/>
      <c r="L206" s="123"/>
      <c r="M206" s="123"/>
    </row>
    <row r="207" spans="1:15" s="44" customFormat="1" ht="15" customHeight="1">
      <c r="A207" s="3" t="s">
        <v>26</v>
      </c>
      <c r="B207" s="36" t="s">
        <v>161</v>
      </c>
      <c r="C207" s="37"/>
      <c r="D207" s="77"/>
      <c r="E207" s="77"/>
      <c r="F207" s="39"/>
      <c r="G207" s="39"/>
      <c r="H207" s="39"/>
      <c r="I207" s="40"/>
      <c r="J207" s="41"/>
      <c r="K207" s="41"/>
      <c r="L207" s="41"/>
      <c r="M207" s="41"/>
    </row>
    <row r="208" spans="1:15" s="44" customFormat="1" ht="15" customHeight="1" outlineLevel="1">
      <c r="I208" s="123"/>
      <c r="J208" s="123"/>
      <c r="K208" s="123"/>
      <c r="L208" s="123"/>
      <c r="M208" s="123"/>
    </row>
    <row r="209" spans="2:13" s="44" customFormat="1" ht="15" customHeight="1" outlineLevel="1">
      <c r="B209" s="8" t="s">
        <v>10</v>
      </c>
      <c r="I209" s="123"/>
      <c r="J209" s="123"/>
      <c r="K209" s="123"/>
      <c r="L209" s="123"/>
      <c r="M209" s="123"/>
    </row>
    <row r="210" spans="2:13" s="44" customFormat="1" ht="15" customHeight="1" outlineLevel="1" thickBot="1">
      <c r="B210" s="128"/>
      <c r="H210" s="110">
        <f t="shared" ref="H210:M210" si="56">H$5</f>
        <v>2022</v>
      </c>
      <c r="I210" s="111">
        <f t="shared" si="56"/>
        <v>2023</v>
      </c>
      <c r="J210" s="111">
        <f t="shared" si="56"/>
        <v>2024</v>
      </c>
      <c r="K210" s="111">
        <f t="shared" si="56"/>
        <v>2025</v>
      </c>
      <c r="L210" s="111">
        <f t="shared" si="56"/>
        <v>2026</v>
      </c>
      <c r="M210" s="111">
        <f t="shared" si="56"/>
        <v>2027</v>
      </c>
    </row>
    <row r="211" spans="2:13" s="44" customFormat="1" ht="15" customHeight="1" outlineLevel="1">
      <c r="B211" s="195" t="s">
        <v>142</v>
      </c>
      <c r="C211" s="192"/>
      <c r="D211" s="192"/>
      <c r="E211" s="192"/>
      <c r="F211" s="192"/>
      <c r="G211" s="192"/>
      <c r="H211" s="192"/>
      <c r="I211" s="194"/>
      <c r="J211" s="194"/>
      <c r="K211" s="194"/>
      <c r="L211" s="194"/>
      <c r="M211" s="196">
        <f>+M$191</f>
        <v>118359.34536162321</v>
      </c>
    </row>
    <row r="212" spans="2:13" s="44" customFormat="1" ht="15" customHeight="1" outlineLevel="1">
      <c r="B212" s="195" t="s">
        <v>143</v>
      </c>
      <c r="C212" s="192"/>
      <c r="D212" s="192"/>
      <c r="E212" s="192"/>
      <c r="F212" s="192"/>
      <c r="G212" s="192"/>
      <c r="H212" s="192"/>
      <c r="I212" s="194"/>
      <c r="J212" s="194"/>
      <c r="K212" s="194"/>
      <c r="L212" s="194"/>
      <c r="M212" s="196">
        <f>+$M203</f>
        <v>158555.33662624194</v>
      </c>
    </row>
    <row r="213" spans="2:13" s="127" customFormat="1" ht="15" customHeight="1" outlineLevel="1">
      <c r="B213" s="205" t="s">
        <v>100</v>
      </c>
      <c r="C213" s="126"/>
      <c r="D213" s="126"/>
      <c r="E213" s="126"/>
      <c r="F213" s="126"/>
      <c r="G213" s="126"/>
      <c r="H213" s="126"/>
      <c r="I213" s="206"/>
      <c r="J213" s="206"/>
      <c r="K213" s="206"/>
      <c r="L213" s="206"/>
      <c r="M213" s="345">
        <f>+AVERAGE(M211:M212)</f>
        <v>138457.34099393256</v>
      </c>
    </row>
    <row r="214" spans="2:13" s="44" customFormat="1" ht="15" customHeight="1" outlineLevel="1">
      <c r="B214" s="195"/>
      <c r="C214" s="192"/>
      <c r="D214" s="192"/>
      <c r="E214" s="192"/>
      <c r="F214" s="192"/>
      <c r="G214" s="192"/>
      <c r="H214" s="192"/>
      <c r="I214" s="194"/>
      <c r="J214" s="194"/>
      <c r="K214" s="194"/>
      <c r="L214" s="194"/>
      <c r="M214" s="194"/>
    </row>
    <row r="215" spans="2:13" s="44" customFormat="1" ht="15" customHeight="1" outlineLevel="1">
      <c r="B215" s="195"/>
      <c r="C215" s="192"/>
      <c r="D215" s="192"/>
      <c r="E215" s="192"/>
      <c r="F215" s="192"/>
      <c r="G215" s="192"/>
      <c r="H215" s="192"/>
      <c r="I215" s="194"/>
      <c r="J215" s="194"/>
      <c r="K215" s="194"/>
      <c r="L215" s="194"/>
      <c r="M215" s="194"/>
    </row>
    <row r="216" spans="2:13" s="44" customFormat="1" ht="15" customHeight="1" outlineLevel="1">
      <c r="B216" s="195" t="s">
        <v>69</v>
      </c>
      <c r="C216" s="192"/>
      <c r="D216" s="192"/>
      <c r="E216" s="192"/>
      <c r="F216" s="192"/>
      <c r="G216" s="192"/>
      <c r="H216" s="192"/>
      <c r="I216" s="21">
        <f>I201</f>
        <v>9987.4023761080061</v>
      </c>
      <c r="J216" s="21">
        <f t="shared" ref="J216:M216" si="57">J201</f>
        <v>10594.313323367773</v>
      </c>
      <c r="K216" s="21">
        <f t="shared" si="57"/>
        <v>10711.481600168969</v>
      </c>
      <c r="L216" s="21">
        <f t="shared" si="57"/>
        <v>11077.003088518966</v>
      </c>
      <c r="M216" s="21">
        <f t="shared" si="57"/>
        <v>10761.417341996996</v>
      </c>
    </row>
    <row r="217" spans="2:13" s="44" customFormat="1" ht="15" customHeight="1" outlineLevel="1">
      <c r="B217" s="195" t="s">
        <v>70</v>
      </c>
      <c r="C217" s="192"/>
      <c r="D217" s="192"/>
      <c r="E217" s="192"/>
      <c r="F217" s="192"/>
      <c r="G217" s="192"/>
      <c r="H217" s="192"/>
      <c r="I217" s="194"/>
      <c r="J217" s="194"/>
      <c r="K217" s="194"/>
      <c r="L217" s="194"/>
      <c r="M217" s="196">
        <f>+M$213</f>
        <v>138457.34099393256</v>
      </c>
    </row>
    <row r="218" spans="2:13" s="44" customFormat="1" ht="15" customHeight="1" outlineLevel="1">
      <c r="B218" s="195" t="s">
        <v>156</v>
      </c>
      <c r="C218" s="192"/>
      <c r="D218" s="192"/>
      <c r="E218" s="192"/>
      <c r="F218" s="192"/>
      <c r="G218" s="192"/>
      <c r="H218" s="192"/>
      <c r="I218" s="346">
        <f>SUM(I216:I217)</f>
        <v>9987.4023761080061</v>
      </c>
      <c r="J218" s="346">
        <f t="shared" ref="J218:M218" si="58">SUM(J216:J217)</f>
        <v>10594.313323367773</v>
      </c>
      <c r="K218" s="346">
        <f t="shared" si="58"/>
        <v>10711.481600168969</v>
      </c>
      <c r="L218" s="346">
        <f t="shared" si="58"/>
        <v>11077.003088518966</v>
      </c>
      <c r="M218" s="346">
        <f t="shared" si="58"/>
        <v>149218.75833592957</v>
      </c>
    </row>
    <row r="219" spans="2:13" s="44" customFormat="1" ht="15" customHeight="1" outlineLevel="1">
      <c r="B219" s="195"/>
      <c r="C219" s="192"/>
      <c r="D219" s="192"/>
      <c r="E219" s="192"/>
      <c r="F219" s="192"/>
      <c r="G219" s="192"/>
      <c r="H219" s="192"/>
      <c r="I219" s="194"/>
      <c r="J219" s="194"/>
      <c r="K219" s="194"/>
      <c r="L219" s="194"/>
      <c r="M219" s="194"/>
    </row>
    <row r="220" spans="2:13" s="44" customFormat="1" ht="15" customHeight="1" outlineLevel="1">
      <c r="B220" s="207" t="s">
        <v>72</v>
      </c>
      <c r="C220" s="209">
        <f>+$E$178</f>
        <v>0.11273999999999999</v>
      </c>
      <c r="D220" s="192"/>
      <c r="E220" s="192"/>
      <c r="F220" s="192"/>
      <c r="G220" s="192"/>
      <c r="H220" s="192"/>
      <c r="I220" s="194"/>
      <c r="J220" s="194"/>
      <c r="K220" s="194"/>
      <c r="L220" s="194"/>
      <c r="M220" s="194"/>
    </row>
    <row r="221" spans="2:13" s="44" customFormat="1" ht="15" customHeight="1" outlineLevel="1">
      <c r="B221" s="195"/>
      <c r="C221" s="208"/>
      <c r="D221" s="192"/>
      <c r="E221" s="192"/>
      <c r="F221" s="192"/>
      <c r="G221" s="192"/>
      <c r="H221" s="192"/>
      <c r="I221" s="194"/>
      <c r="J221" s="194"/>
      <c r="K221" s="194"/>
      <c r="L221" s="194"/>
      <c r="M221" s="194"/>
    </row>
    <row r="222" spans="2:13" s="44" customFormat="1" ht="15" customHeight="1" outlineLevel="1">
      <c r="B222" s="195" t="s">
        <v>79</v>
      </c>
      <c r="C222" s="192"/>
      <c r="D222" s="192"/>
      <c r="E222" s="192"/>
      <c r="F222" s="192"/>
      <c r="G222" s="192"/>
      <c r="H222" s="192"/>
      <c r="I222" s="347">
        <f>+I210-$H$210</f>
        <v>1</v>
      </c>
      <c r="J222" s="347">
        <f t="shared" ref="J222:M222" si="59">+J210-$H$210</f>
        <v>2</v>
      </c>
      <c r="K222" s="347">
        <f t="shared" si="59"/>
        <v>3</v>
      </c>
      <c r="L222" s="347">
        <f t="shared" si="59"/>
        <v>4</v>
      </c>
      <c r="M222" s="347">
        <f t="shared" si="59"/>
        <v>5</v>
      </c>
    </row>
    <row r="223" spans="2:13" s="44" customFormat="1" ht="15" customHeight="1" outlineLevel="1">
      <c r="B223" s="195" t="s">
        <v>157</v>
      </c>
      <c r="C223" s="192"/>
      <c r="D223" s="192"/>
      <c r="E223" s="192"/>
      <c r="F223" s="192"/>
      <c r="G223" s="192"/>
      <c r="H223" s="192"/>
      <c r="I223" s="196">
        <f>I218/(1+$C$220)^I222</f>
        <v>8975.5040495605499</v>
      </c>
      <c r="J223" s="196">
        <f>J218/(1+$C$220)^J222</f>
        <v>8556.288365641356</v>
      </c>
      <c r="K223" s="196">
        <f>K218/(1+$C$220)^K222</f>
        <v>7774.428002298705</v>
      </c>
      <c r="L223" s="196">
        <f>L218/(1+$C$220)^L222</f>
        <v>7225.1601283178506</v>
      </c>
      <c r="M223" s="196">
        <f>M218/(1+$C$220)^M222</f>
        <v>87469.153111048203</v>
      </c>
    </row>
    <row r="224" spans="2:13" s="44" customFormat="1" ht="15" customHeight="1" outlineLevel="1">
      <c r="B224" s="128"/>
      <c r="I224" s="123"/>
      <c r="J224" s="123"/>
      <c r="K224" s="123"/>
      <c r="L224" s="123"/>
      <c r="M224" s="123"/>
    </row>
    <row r="225" spans="2:14" s="44" customFormat="1" ht="15" customHeight="1" outlineLevel="1">
      <c r="B225" s="34" t="s">
        <v>221</v>
      </c>
      <c r="C225" s="16"/>
      <c r="I225" s="34" t="s">
        <v>199</v>
      </c>
      <c r="M225" s="123"/>
    </row>
    <row r="226" spans="2:14" s="44" customFormat="1" ht="15" customHeight="1" outlineLevel="1">
      <c r="B226" s="131" t="s">
        <v>73</v>
      </c>
      <c r="C226" s="122"/>
      <c r="D226" s="348">
        <f>+SUM(I223:M223)</f>
        <v>120000.53365686667</v>
      </c>
      <c r="I226" s="272" t="str">
        <f>$M$188&amp;"F UFCF"</f>
        <v>2027F UFCF</v>
      </c>
      <c r="J226" s="122"/>
      <c r="K226" s="122"/>
      <c r="L226" s="122"/>
      <c r="M226" s="320">
        <f>M189</f>
        <v>10761.417341996996</v>
      </c>
    </row>
    <row r="227" spans="2:14" s="44" customFormat="1" ht="15" customHeight="1" outlineLevel="1">
      <c r="B227" s="132" t="s">
        <v>74</v>
      </c>
      <c r="D227" s="349">
        <f>-($H$126-$H$127)</f>
        <v>-14143.000900000001</v>
      </c>
      <c r="I227" s="273" t="s">
        <v>143</v>
      </c>
      <c r="M227" s="321">
        <f>M203</f>
        <v>158555.33662624194</v>
      </c>
    </row>
    <row r="228" spans="2:14" s="44" customFormat="1" ht="15" customHeight="1" outlineLevel="1">
      <c r="B228" s="133" t="s">
        <v>75</v>
      </c>
      <c r="C228" s="66"/>
      <c r="D228" s="349">
        <f>SUM(D226:D227)</f>
        <v>105857.53275686667</v>
      </c>
      <c r="I228" s="275" t="s">
        <v>200</v>
      </c>
      <c r="J228" s="329"/>
      <c r="K228" s="329"/>
      <c r="L228" s="329"/>
      <c r="M228" s="322">
        <f>(M227*C220-M226)/(M226+M227)</f>
        <v>4.2016582189970467E-2</v>
      </c>
      <c r="N228" s="276"/>
    </row>
    <row r="229" spans="2:14" s="44" customFormat="1" ht="15" customHeight="1" outlineLevel="1">
      <c r="I229" s="275" t="s">
        <v>201</v>
      </c>
      <c r="M229" s="322">
        <f>((M227/(1+C220)^0.5)*C220-M226)/(M226+(M227/(1+C220)^0.5))</f>
        <v>3.8395593824765727E-2</v>
      </c>
    </row>
    <row r="230" spans="2:14" s="44" customFormat="1" ht="15" customHeight="1" outlineLevel="1">
      <c r="B230" s="34" t="s">
        <v>76</v>
      </c>
      <c r="C230" s="16"/>
      <c r="I230" s="274"/>
      <c r="M230" s="323"/>
    </row>
    <row r="231" spans="2:14" s="44" customFormat="1" ht="15" customHeight="1" outlineLevel="1">
      <c r="B231" s="131" t="s">
        <v>75</v>
      </c>
      <c r="C231" s="122"/>
      <c r="D231" s="122"/>
      <c r="E231" s="348">
        <f>+D228</f>
        <v>105857.53275686667</v>
      </c>
      <c r="I231" s="273" t="str">
        <f>$M$200&amp;"F EBITDA"</f>
        <v>2027F EBITDA</v>
      </c>
      <c r="M231" s="321">
        <f>M202</f>
        <v>21908.647261726932</v>
      </c>
    </row>
    <row r="232" spans="2:14" s="44" customFormat="1" ht="15" customHeight="1" outlineLevel="1">
      <c r="B232" s="134" t="s">
        <v>66</v>
      </c>
      <c r="D232" s="310" t="s">
        <v>67</v>
      </c>
      <c r="E232" s="350">
        <v>17100</v>
      </c>
      <c r="I232" s="273" t="s">
        <v>155</v>
      </c>
      <c r="J232" s="123"/>
      <c r="K232" s="123"/>
      <c r="L232" s="123"/>
      <c r="M232" s="324">
        <f>M191</f>
        <v>118359.34536162321</v>
      </c>
    </row>
    <row r="233" spans="2:14" s="44" customFormat="1" ht="15" customHeight="1" outlineLevel="1">
      <c r="B233" s="134" t="s">
        <v>75</v>
      </c>
      <c r="D233" s="267" t="s">
        <v>77</v>
      </c>
      <c r="E233" s="351">
        <f>E231/E232</f>
        <v>6.1904989916296298</v>
      </c>
      <c r="I233" s="331" t="s">
        <v>222</v>
      </c>
      <c r="J233" s="330"/>
      <c r="K233" s="330"/>
      <c r="L233" s="330"/>
      <c r="M233" s="332">
        <f>M232/M231</f>
        <v>5.4024031674648283</v>
      </c>
    </row>
    <row r="234" spans="2:14" s="44" customFormat="1" ht="15" customHeight="1" outlineLevel="1">
      <c r="B234" s="134" t="s">
        <v>219</v>
      </c>
      <c r="D234" s="267" t="s">
        <v>77</v>
      </c>
      <c r="E234" s="352">
        <v>7.25</v>
      </c>
      <c r="I234" s="328" t="s">
        <v>223</v>
      </c>
      <c r="J234" s="66"/>
      <c r="K234" s="66"/>
      <c r="L234" s="66"/>
      <c r="M234" s="325">
        <f>(M232*(1+C220)^0.5)/M231</f>
        <v>5.6988055864726128</v>
      </c>
    </row>
    <row r="235" spans="2:14" s="44" customFormat="1" ht="15" customHeight="1" outlineLevel="1">
      <c r="B235" s="312" t="s">
        <v>220</v>
      </c>
      <c r="C235" s="311"/>
      <c r="D235" s="311"/>
      <c r="E235" s="353">
        <f>E233/E234-1</f>
        <v>-0.14613807012005109</v>
      </c>
    </row>
    <row r="236" spans="2:14" s="44" customFormat="1" ht="15" customHeight="1" outlineLevel="1">
      <c r="M236" s="326" t="s">
        <v>202</v>
      </c>
    </row>
    <row r="237" spans="2:14" s="44" customFormat="1" ht="15" customHeight="1" outlineLevel="1">
      <c r="M237" s="327" t="s">
        <v>203</v>
      </c>
    </row>
    <row r="238" spans="2:14" s="44" customFormat="1" ht="15" customHeight="1" outlineLevel="1"/>
    <row r="239" spans="2:14" s="44" customFormat="1" ht="15" customHeight="1" outlineLevel="1"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</row>
    <row r="240" spans="2:14" s="44" customFormat="1" ht="15" customHeight="1"/>
    <row r="241" spans="1:16" s="44" customFormat="1" ht="15" customHeight="1">
      <c r="A241" s="3" t="s">
        <v>26</v>
      </c>
      <c r="B241" s="36" t="s">
        <v>174</v>
      </c>
      <c r="C241" s="37"/>
      <c r="D241" s="77"/>
      <c r="E241" s="77"/>
      <c r="F241" s="39"/>
      <c r="G241" s="39"/>
      <c r="H241" s="39"/>
      <c r="I241" s="40"/>
      <c r="J241" s="41"/>
      <c r="K241" s="41"/>
      <c r="L241" s="41"/>
      <c r="M241" s="41"/>
      <c r="N241" s="41"/>
    </row>
    <row r="242" spans="1:16" s="44" customFormat="1" ht="15" customHeight="1" outlineLevel="1"/>
    <row r="243" spans="1:16" s="44" customFormat="1" ht="15" customHeight="1" outlineLevel="1">
      <c r="B243" s="8" t="s">
        <v>10</v>
      </c>
      <c r="H243" s="223" t="s">
        <v>166</v>
      </c>
      <c r="I243" s="214" t="s">
        <v>162</v>
      </c>
      <c r="J243" s="215"/>
      <c r="K243" s="215"/>
      <c r="L243" s="215"/>
      <c r="M243" s="215"/>
      <c r="N243" s="216" t="s">
        <v>167</v>
      </c>
    </row>
    <row r="244" spans="1:16" s="44" customFormat="1" ht="15" customHeight="1" outlineLevel="1">
      <c r="H244" s="217" t="s">
        <v>163</v>
      </c>
      <c r="I244" s="217" t="s">
        <v>163</v>
      </c>
      <c r="J244" s="218" t="s">
        <v>163</v>
      </c>
      <c r="K244" s="218" t="s">
        <v>163</v>
      </c>
      <c r="L244" s="218" t="s">
        <v>163</v>
      </c>
      <c r="M244" s="225" t="s">
        <v>163</v>
      </c>
      <c r="N244" s="225" t="s">
        <v>163</v>
      </c>
    </row>
    <row r="245" spans="1:16" s="44" customFormat="1" ht="15" customHeight="1" outlineLevel="1">
      <c r="B245" s="207" t="s">
        <v>72</v>
      </c>
      <c r="C245" s="209">
        <f>+$E$178</f>
        <v>0.11273999999999999</v>
      </c>
      <c r="F245" s="219" t="s">
        <v>164</v>
      </c>
      <c r="H245" s="220">
        <f>EOMONTH(I245,-12)</f>
        <v>44926</v>
      </c>
      <c r="I245" s="221">
        <v>45291</v>
      </c>
      <c r="J245" s="222">
        <f>EOMONTH(I245,12)</f>
        <v>45657</v>
      </c>
      <c r="K245" s="222">
        <f t="shared" ref="K245:M246" si="60">EOMONTH(J245,12)</f>
        <v>46022</v>
      </c>
      <c r="L245" s="222">
        <f t="shared" si="60"/>
        <v>46387</v>
      </c>
      <c r="M245" s="224">
        <f t="shared" si="60"/>
        <v>46752</v>
      </c>
      <c r="N245" s="224">
        <f>M245</f>
        <v>46752</v>
      </c>
    </row>
    <row r="246" spans="1:16" s="44" customFormat="1" ht="15" customHeight="1" outlineLevel="1" thickBot="1">
      <c r="F246" s="219" t="s">
        <v>165</v>
      </c>
      <c r="H246" s="227">
        <f>H245</f>
        <v>44926</v>
      </c>
      <c r="I246" s="228">
        <v>45107</v>
      </c>
      <c r="J246" s="229">
        <f>EOMONTH(I246,12)</f>
        <v>45473</v>
      </c>
      <c r="K246" s="229">
        <f t="shared" si="60"/>
        <v>45838</v>
      </c>
      <c r="L246" s="229">
        <f t="shared" si="60"/>
        <v>46203</v>
      </c>
      <c r="M246" s="229">
        <f t="shared" si="60"/>
        <v>46568</v>
      </c>
      <c r="N246" s="226">
        <f>M246</f>
        <v>46568</v>
      </c>
    </row>
    <row r="247" spans="1:16" s="44" customFormat="1" ht="15" customHeight="1" outlineLevel="1"/>
    <row r="248" spans="1:16" s="44" customFormat="1" ht="15" customHeight="1" outlineLevel="1"/>
    <row r="249" spans="1:16" s="44" customFormat="1" ht="15" customHeight="1" outlineLevel="1" thickBot="1">
      <c r="H249" s="110">
        <f t="shared" ref="H249" si="61">H$5</f>
        <v>2022</v>
      </c>
      <c r="I249" s="111">
        <f t="shared" ref="I249:M249" si="62">I$5</f>
        <v>2023</v>
      </c>
      <c r="J249" s="111">
        <f t="shared" si="62"/>
        <v>2024</v>
      </c>
      <c r="K249" s="111">
        <f t="shared" si="62"/>
        <v>2025</v>
      </c>
      <c r="L249" s="111">
        <f t="shared" si="62"/>
        <v>2026</v>
      </c>
      <c r="M249" s="111">
        <f t="shared" si="62"/>
        <v>2027</v>
      </c>
    </row>
    <row r="250" spans="1:16" s="44" customFormat="1" ht="15" customHeight="1" outlineLevel="1">
      <c r="B250" s="195" t="s">
        <v>69</v>
      </c>
      <c r="I250" s="230">
        <f>I216</f>
        <v>9987.4023761080061</v>
      </c>
      <c r="J250" s="230">
        <f>J216</f>
        <v>10594.313323367773</v>
      </c>
      <c r="K250" s="230">
        <f>K216</f>
        <v>10711.481600168969</v>
      </c>
      <c r="L250" s="230">
        <f>L216</f>
        <v>11077.003088518966</v>
      </c>
      <c r="M250" s="230">
        <f>M216</f>
        <v>10761.417341996996</v>
      </c>
    </row>
    <row r="251" spans="1:16" s="44" customFormat="1" ht="15" customHeight="1" outlineLevel="1">
      <c r="B251" s="231" t="s">
        <v>168</v>
      </c>
      <c r="H251" s="66"/>
      <c r="I251" s="66"/>
      <c r="J251" s="66"/>
      <c r="K251" s="66"/>
      <c r="L251" s="66"/>
      <c r="M251" s="232">
        <f>M213</f>
        <v>138457.34099393256</v>
      </c>
    </row>
    <row r="252" spans="1:16" s="44" customFormat="1" ht="15" customHeight="1" outlineLevel="1">
      <c r="B252" s="195" t="s">
        <v>156</v>
      </c>
      <c r="H252" s="24">
        <v>0</v>
      </c>
      <c r="I252" s="230">
        <f>SUM(I250:I251)</f>
        <v>9987.4023761080061</v>
      </c>
      <c r="J252" s="230">
        <f t="shared" ref="J252:M252" si="63">SUM(J250:J251)</f>
        <v>10594.313323367773</v>
      </c>
      <c r="K252" s="230">
        <f t="shared" si="63"/>
        <v>10711.481600168969</v>
      </c>
      <c r="L252" s="230">
        <f t="shared" si="63"/>
        <v>11077.003088518966</v>
      </c>
      <c r="M252" s="230">
        <f t="shared" si="63"/>
        <v>149218.75833592957</v>
      </c>
    </row>
    <row r="253" spans="1:16" s="44" customFormat="1" ht="15" customHeight="1" outlineLevel="1"/>
    <row r="254" spans="1:16" s="44" customFormat="1" ht="15" customHeight="1" outlineLevel="1"/>
    <row r="255" spans="1:16" s="44" customFormat="1" ht="15" customHeight="1" outlineLevel="1">
      <c r="B255" s="126" t="s">
        <v>169</v>
      </c>
    </row>
    <row r="256" spans="1:16" s="44" customFormat="1" ht="15" customHeight="1" outlineLevel="1">
      <c r="B256" s="195" t="s">
        <v>79</v>
      </c>
      <c r="H256" s="66"/>
      <c r="I256" s="354">
        <f>(I245-$H245)/365</f>
        <v>1</v>
      </c>
      <c r="J256" s="354">
        <f t="shared" ref="J256:M256" si="64">(J245-$H245)/365</f>
        <v>2.0027397260273974</v>
      </c>
      <c r="K256" s="354">
        <f t="shared" si="64"/>
        <v>3.0027397260273974</v>
      </c>
      <c r="L256" s="354">
        <f t="shared" si="64"/>
        <v>4.0027397260273974</v>
      </c>
      <c r="M256" s="354">
        <f t="shared" si="64"/>
        <v>5.0027397260273974</v>
      </c>
      <c r="N256" s="121"/>
      <c r="P256"/>
    </row>
    <row r="257" spans="2:13" s="44" customFormat="1" ht="15" customHeight="1" outlineLevel="1">
      <c r="B257" s="195" t="s">
        <v>157</v>
      </c>
      <c r="H257" s="24">
        <v>0</v>
      </c>
      <c r="I257" s="355">
        <f>I$252/(1+$C$245)^I256</f>
        <v>8975.5040495605499</v>
      </c>
      <c r="J257" s="355">
        <f t="shared" ref="J257:M257" si="65">J$252/(1+$C$245)^J256</f>
        <v>8553.7845422301307</v>
      </c>
      <c r="K257" s="355">
        <f t="shared" si="65"/>
        <v>7772.1529743883302</v>
      </c>
      <c r="L257" s="355">
        <f t="shared" si="65"/>
        <v>7223.0458324566007</v>
      </c>
      <c r="M257" s="355">
        <f t="shared" si="65"/>
        <v>87443.557046030226</v>
      </c>
    </row>
    <row r="258" spans="2:13" s="44" customFormat="1" ht="15" customHeight="1" outlineLevel="1">
      <c r="B258" s="231" t="s">
        <v>73</v>
      </c>
      <c r="F258" s="230">
        <f>SUM(I257:M257)</f>
        <v>119968.04444466584</v>
      </c>
    </row>
    <row r="259" spans="2:13" s="44" customFormat="1" ht="15" customHeight="1" outlineLevel="1">
      <c r="B259" s="266" t="s">
        <v>75</v>
      </c>
      <c r="E259" s="267" t="s">
        <v>77</v>
      </c>
      <c r="F259" s="356">
        <f>(F258+$D$227)/$E$232</f>
        <v>6.1885990376997562</v>
      </c>
    </row>
    <row r="260" spans="2:13" s="44" customFormat="1" ht="15" customHeight="1" outlineLevel="1">
      <c r="B260" s="231"/>
      <c r="F260" s="230"/>
    </row>
    <row r="261" spans="2:13" s="44" customFormat="1" ht="15" customHeight="1" outlineLevel="1">
      <c r="B261" s="126" t="s">
        <v>227</v>
      </c>
    </row>
    <row r="262" spans="2:13" s="44" customFormat="1" ht="15" customHeight="1" outlineLevel="1">
      <c r="B262" s="195" t="s">
        <v>79</v>
      </c>
      <c r="H262" s="66"/>
      <c r="I262" s="354">
        <f>(I246-$H$246)/365</f>
        <v>0.49589041095890413</v>
      </c>
      <c r="J262" s="354">
        <f>(J246-$H$246)/365</f>
        <v>1.4986301369863013</v>
      </c>
      <c r="K262" s="354">
        <f>(K246-$H$246)/365</f>
        <v>2.4986301369863013</v>
      </c>
      <c r="L262" s="354">
        <f>(L246-$H$246)/365</f>
        <v>3.4986301369863013</v>
      </c>
      <c r="M262" s="354">
        <f>(M246-$H$246)/365</f>
        <v>4.4986301369863018</v>
      </c>
    </row>
    <row r="263" spans="2:13" s="44" customFormat="1" ht="15" customHeight="1" outlineLevel="1">
      <c r="B263" s="195" t="s">
        <v>157</v>
      </c>
      <c r="H263" s="24">
        <v>0</v>
      </c>
      <c r="I263" s="355">
        <f>I$252/(1+$C$245)^I262</f>
        <v>9472.1017856865765</v>
      </c>
      <c r="J263" s="355">
        <f t="shared" ref="J263" si="66">J$252/(1+$C$245)^J262</f>
        <v>9027.0493322102848</v>
      </c>
      <c r="K263" s="355">
        <f t="shared" ref="K263" si="67">K$252/(1+$C$245)^K262</f>
        <v>8202.1715617116115</v>
      </c>
      <c r="L263" s="355">
        <f t="shared" ref="L263" si="68">L$252/(1+$C$245)^L262</f>
        <v>7622.6833557116988</v>
      </c>
      <c r="M263" s="355">
        <f t="shared" ref="M263" si="69">M$252/(1+$C$245)^M262</f>
        <v>92281.644381079881</v>
      </c>
    </row>
    <row r="264" spans="2:13" s="44" customFormat="1" ht="15" customHeight="1" outlineLevel="1">
      <c r="B264" s="231" t="s">
        <v>73</v>
      </c>
      <c r="F264" s="230">
        <f>SUM(I263:M263)</f>
        <v>126605.65041640005</v>
      </c>
    </row>
    <row r="265" spans="2:13" s="44" customFormat="1" ht="15" customHeight="1" outlineLevel="1">
      <c r="B265" s="266" t="s">
        <v>75</v>
      </c>
      <c r="E265" s="267" t="s">
        <v>77</v>
      </c>
      <c r="F265" s="356">
        <f>(F264+$D$227)/$E$232</f>
        <v>6.5767631296140383</v>
      </c>
    </row>
    <row r="266" spans="2:13" s="44" customFormat="1" ht="15" customHeight="1" outlineLevel="1">
      <c r="B266" s="231"/>
      <c r="F266" s="230"/>
    </row>
    <row r="267" spans="2:13" s="44" customFormat="1" ht="15" customHeight="1" outlineLevel="1">
      <c r="B267" s="126" t="s">
        <v>180</v>
      </c>
    </row>
    <row r="268" spans="2:13" s="44" customFormat="1" ht="15" customHeight="1" outlineLevel="1">
      <c r="B268" s="231" t="s">
        <v>73</v>
      </c>
      <c r="F268" s="230">
        <f>NPV(C245,I252:M252)+H252</f>
        <v>120000.53365686667</v>
      </c>
      <c r="H268" s="121"/>
    </row>
    <row r="269" spans="2:13" s="44" customFormat="1" ht="15" customHeight="1" outlineLevel="1">
      <c r="B269" s="266" t="s">
        <v>75</v>
      </c>
      <c r="E269" s="267" t="s">
        <v>77</v>
      </c>
      <c r="F269" s="356">
        <f>(F268+$D$227)/$E$232</f>
        <v>6.1904989916296298</v>
      </c>
      <c r="H269" s="121"/>
    </row>
    <row r="270" spans="2:13" s="44" customFormat="1" ht="15" customHeight="1" outlineLevel="1">
      <c r="B270" s="231"/>
      <c r="F270" s="230"/>
      <c r="H270" s="121"/>
    </row>
    <row r="271" spans="2:13" s="44" customFormat="1" ht="15" customHeight="1" outlineLevel="1">
      <c r="B271" s="126" t="s">
        <v>179</v>
      </c>
      <c r="H271" s="121"/>
    </row>
    <row r="272" spans="2:13" s="44" customFormat="1" ht="15" customHeight="1" outlineLevel="1">
      <c r="B272" s="231" t="s">
        <v>73</v>
      </c>
      <c r="F272" s="230">
        <f>XNPV(C245,H252:M252,H245:M245)</f>
        <v>119968.04444466584</v>
      </c>
      <c r="H272" s="121"/>
    </row>
    <row r="273" spans="1:14" s="44" customFormat="1" ht="15" customHeight="1" outlineLevel="1">
      <c r="B273" s="266" t="s">
        <v>75</v>
      </c>
      <c r="E273" s="267" t="s">
        <v>77</v>
      </c>
      <c r="F273" s="356">
        <f>(F272+$D$227)/$E$232</f>
        <v>6.1885990376997562</v>
      </c>
      <c r="H273" s="121"/>
    </row>
    <row r="274" spans="1:14" s="44" customFormat="1" ht="15" customHeight="1" outlineLevel="1">
      <c r="B274" s="231"/>
      <c r="F274" s="230"/>
      <c r="H274" s="121"/>
    </row>
    <row r="275" spans="1:14" s="44" customFormat="1" ht="15" customHeight="1" outlineLevel="1">
      <c r="B275" s="126" t="s">
        <v>236</v>
      </c>
      <c r="H275" s="121"/>
    </row>
    <row r="276" spans="1:14" s="44" customFormat="1" ht="15" customHeight="1" outlineLevel="1">
      <c r="B276" s="231" t="s">
        <v>73</v>
      </c>
      <c r="F276" s="230">
        <f>XNPV(C245,H252:M252,H246:M246)</f>
        <v>126605.65041640005</v>
      </c>
      <c r="H276" s="121"/>
    </row>
    <row r="277" spans="1:14" s="44" customFormat="1" ht="15" customHeight="1" outlineLevel="1">
      <c r="B277" s="266" t="s">
        <v>75</v>
      </c>
      <c r="E277" s="267" t="s">
        <v>77</v>
      </c>
      <c r="F277" s="356">
        <f>(F276+$D$227)/$E$232</f>
        <v>6.5767631296140383</v>
      </c>
      <c r="H277" s="121"/>
    </row>
    <row r="278" spans="1:14" s="44" customFormat="1" ht="15" customHeight="1" outlineLevel="1">
      <c r="B278" s="231"/>
      <c r="F278" s="230"/>
      <c r="H278" s="121"/>
    </row>
    <row r="279" spans="1:14" s="44" customFormat="1" ht="15" customHeight="1" outlineLevel="1">
      <c r="B279" s="213"/>
      <c r="N279" s="235" t="s">
        <v>170</v>
      </c>
    </row>
    <row r="280" spans="1:14" s="44" customFormat="1" ht="15" customHeight="1" outlineLevel="1">
      <c r="B280" s="213"/>
      <c r="N280" s="234" t="s">
        <v>171</v>
      </c>
    </row>
    <row r="281" spans="1:14" s="44" customFormat="1" ht="15" customHeight="1" outlineLevel="1">
      <c r="B281" s="213"/>
      <c r="N281" s="235" t="s">
        <v>172</v>
      </c>
    </row>
    <row r="282" spans="1:14" s="44" customFormat="1" ht="15" customHeight="1" outlineLevel="1">
      <c r="B282" s="213"/>
      <c r="N282" s="336" t="s">
        <v>229</v>
      </c>
    </row>
    <row r="283" spans="1:14" s="44" customFormat="1" ht="15" customHeight="1" outlineLevel="1">
      <c r="B283" s="213"/>
      <c r="N283" s="337" t="s">
        <v>235</v>
      </c>
    </row>
    <row r="284" spans="1:14" s="44" customFormat="1" ht="15" customHeight="1" outlineLevel="1">
      <c r="B284" s="213"/>
      <c r="N284" s="236"/>
    </row>
    <row r="285" spans="1:14" s="44" customFormat="1" ht="15" customHeight="1" outlineLevel="1">
      <c r="B285" s="237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245"/>
    </row>
    <row r="286" spans="1:14" s="44" customFormat="1" ht="15" customHeight="1">
      <c r="B286" s="213"/>
      <c r="N286" s="236"/>
    </row>
    <row r="287" spans="1:14" s="44" customFormat="1" ht="15" customHeight="1">
      <c r="A287" s="44" t="s">
        <v>26</v>
      </c>
      <c r="B287" s="36" t="s">
        <v>173</v>
      </c>
      <c r="C287" s="37"/>
      <c r="D287" s="77"/>
      <c r="E287" s="77"/>
      <c r="F287" s="39"/>
      <c r="G287" s="39"/>
      <c r="H287" s="39"/>
      <c r="I287" s="40"/>
      <c r="J287" s="41"/>
      <c r="K287" s="41"/>
      <c r="L287" s="41"/>
      <c r="M287" s="41"/>
      <c r="N287" s="41"/>
    </row>
    <row r="288" spans="1:14" s="44" customFormat="1" ht="15" customHeight="1" outlineLevel="1">
      <c r="B288" s="213"/>
    </row>
    <row r="289" spans="2:14" s="44" customFormat="1" ht="15" customHeight="1" outlineLevel="1">
      <c r="B289" s="8" t="s">
        <v>10</v>
      </c>
      <c r="H289" s="223" t="s">
        <v>166</v>
      </c>
      <c r="I289" s="214" t="s">
        <v>162</v>
      </c>
      <c r="J289" s="215"/>
      <c r="K289" s="215"/>
      <c r="L289" s="215"/>
      <c r="M289" s="215"/>
      <c r="N289" s="216" t="s">
        <v>167</v>
      </c>
    </row>
    <row r="290" spans="2:14" s="44" customFormat="1" ht="15" customHeight="1" outlineLevel="1">
      <c r="H290" s="217" t="s">
        <v>163</v>
      </c>
      <c r="I290" s="217" t="s">
        <v>163</v>
      </c>
      <c r="J290" s="218" t="s">
        <v>163</v>
      </c>
      <c r="K290" s="218" t="s">
        <v>163</v>
      </c>
      <c r="L290" s="218" t="s">
        <v>163</v>
      </c>
      <c r="M290" s="225" t="s">
        <v>163</v>
      </c>
      <c r="N290" s="225" t="s">
        <v>163</v>
      </c>
    </row>
    <row r="291" spans="2:14" s="44" customFormat="1" ht="15" customHeight="1" outlineLevel="1">
      <c r="B291" s="207" t="s">
        <v>72</v>
      </c>
      <c r="C291" s="209">
        <f>+$E$178</f>
        <v>0.11273999999999999</v>
      </c>
      <c r="F291" s="219" t="s">
        <v>164</v>
      </c>
      <c r="H291" s="220">
        <f>EOMONTH(I291,-12)</f>
        <v>44926</v>
      </c>
      <c r="I291" s="221">
        <v>45291</v>
      </c>
      <c r="J291" s="222">
        <f>EOMONTH(I291,12)</f>
        <v>45657</v>
      </c>
      <c r="K291" s="222">
        <f t="shared" ref="K291:M291" si="70">EOMONTH(J291,12)</f>
        <v>46022</v>
      </c>
      <c r="L291" s="222">
        <f t="shared" si="70"/>
        <v>46387</v>
      </c>
      <c r="M291" s="224">
        <f t="shared" si="70"/>
        <v>46752</v>
      </c>
      <c r="N291" s="224">
        <f>M291</f>
        <v>46752</v>
      </c>
    </row>
    <row r="292" spans="2:14" s="44" customFormat="1" ht="15" customHeight="1" outlineLevel="1" thickBot="1">
      <c r="F292" s="219" t="s">
        <v>165</v>
      </c>
      <c r="H292" s="227">
        <f>H291</f>
        <v>44926</v>
      </c>
      <c r="I292" s="228">
        <v>45107</v>
      </c>
      <c r="J292" s="229">
        <f>EOMONTH(I292,12)</f>
        <v>45473</v>
      </c>
      <c r="K292" s="229">
        <f t="shared" ref="K292:M292" si="71">EOMONTH(J292,12)</f>
        <v>45838</v>
      </c>
      <c r="L292" s="229">
        <f t="shared" si="71"/>
        <v>46203</v>
      </c>
      <c r="M292" s="229">
        <f t="shared" si="71"/>
        <v>46568</v>
      </c>
      <c r="N292" s="226">
        <f>M292</f>
        <v>46568</v>
      </c>
    </row>
    <row r="293" spans="2:14" s="44" customFormat="1" ht="15" customHeight="1" outlineLevel="1">
      <c r="B293" s="213"/>
    </row>
    <row r="294" spans="2:14" s="44" customFormat="1" ht="15" customHeight="1" outlineLevel="1">
      <c r="B294" s="213"/>
    </row>
    <row r="295" spans="2:14" s="44" customFormat="1" ht="15" customHeight="1" outlineLevel="1" thickBot="1">
      <c r="H295" s="110">
        <f t="shared" ref="H295:M295" si="72">H$5</f>
        <v>2022</v>
      </c>
      <c r="I295" s="111">
        <f t="shared" si="72"/>
        <v>2023</v>
      </c>
      <c r="J295" s="111">
        <f t="shared" si="72"/>
        <v>2024</v>
      </c>
      <c r="K295" s="111">
        <f t="shared" si="72"/>
        <v>2025</v>
      </c>
      <c r="L295" s="111">
        <f t="shared" si="72"/>
        <v>2026</v>
      </c>
      <c r="M295" s="111">
        <f t="shared" si="72"/>
        <v>2027</v>
      </c>
    </row>
    <row r="296" spans="2:14" s="44" customFormat="1" ht="15" customHeight="1" outlineLevel="1">
      <c r="B296" s="195" t="s">
        <v>69</v>
      </c>
      <c r="I296" s="230">
        <f>I216</f>
        <v>9987.4023761080061</v>
      </c>
      <c r="J296" s="230">
        <f>J216</f>
        <v>10594.313323367773</v>
      </c>
      <c r="K296" s="230">
        <f>K216</f>
        <v>10711.481600168969</v>
      </c>
      <c r="L296" s="230">
        <f>L216</f>
        <v>11077.003088518966</v>
      </c>
      <c r="M296" s="230">
        <f>M216</f>
        <v>10761.417341996996</v>
      </c>
    </row>
    <row r="297" spans="2:14" s="44" customFormat="1" ht="15" customHeight="1" outlineLevel="1">
      <c r="B297" s="231" t="s">
        <v>168</v>
      </c>
      <c r="H297" s="66"/>
      <c r="I297" s="66"/>
      <c r="J297" s="66"/>
      <c r="K297" s="66"/>
      <c r="L297" s="66"/>
      <c r="M297" s="232">
        <f>M213</f>
        <v>138457.34099393256</v>
      </c>
    </row>
    <row r="298" spans="2:14" s="44" customFormat="1" ht="15" customHeight="1" outlineLevel="1">
      <c r="B298" s="195" t="s">
        <v>156</v>
      </c>
      <c r="H298" s="24">
        <v>-20000</v>
      </c>
      <c r="I298" s="230">
        <f>SUM(I250:I251)</f>
        <v>9987.4023761080061</v>
      </c>
      <c r="J298" s="230">
        <f>SUM(J250:J251)</f>
        <v>10594.313323367773</v>
      </c>
      <c r="K298" s="230">
        <f>SUM(K250:K251)</f>
        <v>10711.481600168969</v>
      </c>
      <c r="L298" s="230">
        <f>SUM(L250:L251)</f>
        <v>11077.003088518966</v>
      </c>
      <c r="M298" s="230">
        <f>SUM(M250:M251)</f>
        <v>149218.75833592957</v>
      </c>
    </row>
    <row r="299" spans="2:14" s="44" customFormat="1" ht="15" customHeight="1" outlineLevel="1">
      <c r="B299" s="213"/>
    </row>
    <row r="300" spans="2:14" s="44" customFormat="1" ht="15" customHeight="1" outlineLevel="1">
      <c r="B300" s="126" t="s">
        <v>175</v>
      </c>
    </row>
    <row r="301" spans="2:14" s="44" customFormat="1" ht="15" customHeight="1" outlineLevel="1">
      <c r="B301" s="231" t="s">
        <v>176</v>
      </c>
      <c r="F301" s="357">
        <f>IRR(H298:M298)</f>
        <v>0.78865199430887611</v>
      </c>
    </row>
    <row r="302" spans="2:14" s="44" customFormat="1" ht="15" customHeight="1" outlineLevel="1">
      <c r="B302" s="213"/>
    </row>
    <row r="303" spans="2:14" s="44" customFormat="1" ht="15" customHeight="1" outlineLevel="1">
      <c r="B303" s="126" t="s">
        <v>181</v>
      </c>
    </row>
    <row r="304" spans="2:14" s="44" customFormat="1" ht="15" customHeight="1" outlineLevel="1">
      <c r="B304" s="231" t="s">
        <v>176</v>
      </c>
      <c r="F304" s="357">
        <f>XIRR(H298:M298,H291:M291)</f>
        <v>0.78799957036972068</v>
      </c>
    </row>
    <row r="305" spans="1:16" s="44" customFormat="1" ht="15" customHeight="1" outlineLevel="1">
      <c r="B305" s="231"/>
      <c r="F305" s="358"/>
    </row>
    <row r="306" spans="1:16" s="44" customFormat="1" ht="15" customHeight="1" outlineLevel="1">
      <c r="B306" s="126" t="s">
        <v>228</v>
      </c>
      <c r="F306" s="358"/>
    </row>
    <row r="307" spans="1:16" s="44" customFormat="1" ht="15" customHeight="1" outlineLevel="1">
      <c r="B307" s="231" t="s">
        <v>176</v>
      </c>
      <c r="F307" s="357">
        <f>XIRR(H298:M298,H292:M292)</f>
        <v>1.0132969021797178</v>
      </c>
    </row>
    <row r="308" spans="1:16" s="44" customFormat="1" ht="15" customHeight="1" outlineLevel="1">
      <c r="B308" s="213"/>
      <c r="N308" s="235" t="s">
        <v>177</v>
      </c>
    </row>
    <row r="309" spans="1:16" s="44" customFormat="1" ht="15" customHeight="1" outlineLevel="1">
      <c r="N309" s="234" t="s">
        <v>178</v>
      </c>
    </row>
    <row r="310" spans="1:16" s="44" customFormat="1" ht="15" customHeight="1" outlineLevel="1">
      <c r="N310" s="234"/>
    </row>
    <row r="311" spans="1:16" s="44" customFormat="1" ht="15" customHeight="1" outlineLevel="1"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246"/>
    </row>
    <row r="312" spans="1:16" s="44" customFormat="1" ht="15" customHeight="1"/>
    <row r="313" spans="1:16" s="44" customFormat="1" ht="15" customHeight="1">
      <c r="A313" s="44" t="s">
        <v>26</v>
      </c>
      <c r="B313" s="36" t="s">
        <v>189</v>
      </c>
      <c r="C313" s="37"/>
      <c r="D313" s="77"/>
      <c r="E313" s="77"/>
      <c r="F313" s="39"/>
      <c r="G313" s="39"/>
      <c r="H313" s="39"/>
      <c r="I313" s="40"/>
      <c r="J313" s="41"/>
      <c r="K313" s="41"/>
      <c r="L313" s="41"/>
      <c r="M313" s="41"/>
      <c r="N313" s="41"/>
    </row>
    <row r="314" spans="1:16" s="44" customFormat="1" ht="15" customHeight="1" outlineLevel="1"/>
    <row r="315" spans="1:16" s="44" customFormat="1" ht="15" customHeight="1" outlineLevel="1">
      <c r="D315" s="280" t="s">
        <v>206</v>
      </c>
      <c r="E315" s="281"/>
      <c r="F315" s="281"/>
      <c r="G315" s="281"/>
      <c r="H315" s="281"/>
    </row>
    <row r="316" spans="1:16" s="44" customFormat="1" ht="15" customHeight="1" outlineLevel="1">
      <c r="D316" s="278"/>
      <c r="E316" s="279"/>
      <c r="F316" s="279"/>
      <c r="G316" s="279"/>
      <c r="H316" s="279"/>
    </row>
    <row r="317" spans="1:16" s="44" customFormat="1" ht="15" customHeight="1" outlineLevel="1">
      <c r="D317" s="282" t="s">
        <v>207</v>
      </c>
      <c r="E317" s="277"/>
      <c r="F317" s="277"/>
      <c r="G317" s="277"/>
      <c r="H317" s="277"/>
    </row>
    <row r="318" spans="1:16" ht="15" customHeight="1" outlineLevel="1">
      <c r="C318" s="318">
        <f>E233</f>
        <v>6.1904989916296298</v>
      </c>
      <c r="D318" s="256">
        <f>+E318-0.01</f>
        <v>0</v>
      </c>
      <c r="E318" s="256">
        <f>+F318-0.01</f>
        <v>0.01</v>
      </c>
      <c r="F318" s="257">
        <v>0.02</v>
      </c>
      <c r="G318" s="256">
        <f>+F318+0.01</f>
        <v>0.03</v>
      </c>
      <c r="H318" s="256">
        <f>+G318+0.01</f>
        <v>0.04</v>
      </c>
      <c r="P318"/>
    </row>
    <row r="319" spans="1:16" ht="15" customHeight="1" outlineLevel="1">
      <c r="B319" s="366" t="s">
        <v>72</v>
      </c>
      <c r="C319" s="258">
        <f>+C320+0.01</f>
        <v>0.13274</v>
      </c>
      <c r="D319" s="319">
        <f t="dataTable" ref="D319:H323" dt2D="1" dtr="1" r1="C185" r2="E178"/>
        <v>5.0904490071280213</v>
      </c>
      <c r="E319" s="262">
        <v>5.2077588595726327</v>
      </c>
      <c r="F319" s="262">
        <v>5.3458794007603005</v>
      </c>
      <c r="G319" s="262">
        <v>5.5108873355994517</v>
      </c>
      <c r="H319" s="262">
        <v>5.7114803329443502</v>
      </c>
    </row>
    <row r="320" spans="1:16" ht="15" customHeight="1" outlineLevel="1">
      <c r="B320" s="366"/>
      <c r="C320" s="258">
        <f>+C321+0.01</f>
        <v>0.12273999999999999</v>
      </c>
      <c r="D320" s="262">
        <v>5.4233904769151051</v>
      </c>
      <c r="E320" s="262">
        <v>5.5664979905822598</v>
      </c>
      <c r="F320" s="262">
        <v>5.7374636926214535</v>
      </c>
      <c r="G320" s="262">
        <v>5.9452992894286432</v>
      </c>
      <c r="H320" s="262">
        <v>6.2033731257347897</v>
      </c>
    </row>
    <row r="321" spans="2:14" ht="15" customHeight="1" outlineLevel="1">
      <c r="B321" s="366"/>
      <c r="C321" s="259">
        <v>0.11273999999999999</v>
      </c>
      <c r="D321" s="262">
        <v>5.7978961473234722</v>
      </c>
      <c r="E321" s="262">
        <v>5.9750909486713066</v>
      </c>
      <c r="F321" s="263">
        <v>6.1904989916296298</v>
      </c>
      <c r="G321" s="262">
        <v>6.4579756937511936</v>
      </c>
      <c r="H321" s="262">
        <v>6.7989956188921576</v>
      </c>
    </row>
    <row r="322" spans="2:14" ht="15" customHeight="1" outlineLevel="1">
      <c r="B322" s="366"/>
      <c r="C322" s="258">
        <f>+C321-0.01</f>
        <v>0.10274</v>
      </c>
      <c r="D322" s="262">
        <v>6.2244306013449711</v>
      </c>
      <c r="E322" s="262">
        <v>6.4477591289473191</v>
      </c>
      <c r="F322" s="262">
        <v>6.7250708636084875</v>
      </c>
      <c r="G322" s="262">
        <v>7.0786299820093239</v>
      </c>
      <c r="H322" s="262">
        <v>7.5448952267731961</v>
      </c>
    </row>
    <row r="323" spans="2:14" ht="15" customHeight="1" outlineLevel="1">
      <c r="B323" s="366"/>
      <c r="C323" s="258">
        <f>+C322-0.01</f>
        <v>9.2740000000000003E-2</v>
      </c>
      <c r="D323" s="262">
        <v>6.7178072274274498</v>
      </c>
      <c r="E323" s="262">
        <v>7.0054102174353678</v>
      </c>
      <c r="F323" s="262">
        <v>7.3720901912233012</v>
      </c>
      <c r="G323" s="262">
        <v>7.8556589038661686</v>
      </c>
      <c r="H323" s="262">
        <v>8.5226059679094437</v>
      </c>
    </row>
    <row r="324" spans="2:14" ht="15" customHeight="1" outlineLevel="1"/>
    <row r="325" spans="2:14" ht="15" customHeight="1" outlineLevel="1"/>
    <row r="326" spans="2:14" ht="15" customHeight="1" outlineLevel="1">
      <c r="B326" s="44"/>
      <c r="C326" s="44"/>
      <c r="D326" s="280" t="s">
        <v>206</v>
      </c>
      <c r="E326" s="281"/>
      <c r="F326" s="281"/>
      <c r="G326" s="281"/>
      <c r="H326" s="281"/>
    </row>
    <row r="327" spans="2:14" ht="15" customHeight="1" outlineLevel="1">
      <c r="B327" s="44"/>
      <c r="C327" s="44"/>
      <c r="D327" s="278"/>
      <c r="E327" s="279"/>
      <c r="F327" s="279"/>
      <c r="G327" s="279"/>
      <c r="H327" s="279"/>
    </row>
    <row r="328" spans="2:14" ht="15" customHeight="1" outlineLevel="1">
      <c r="B328" s="44"/>
      <c r="C328" s="44"/>
      <c r="D328" s="282" t="s">
        <v>71</v>
      </c>
      <c r="E328" s="277"/>
      <c r="F328" s="277"/>
      <c r="G328" s="277"/>
      <c r="H328" s="277"/>
    </row>
    <row r="329" spans="2:14" ht="15" customHeight="1" outlineLevel="1">
      <c r="C329" s="318">
        <f>E233</f>
        <v>6.1904989916296298</v>
      </c>
      <c r="D329" s="284">
        <f>+E329-1</f>
        <v>5.2371121197988533</v>
      </c>
      <c r="E329" s="284">
        <f>+F329-1</f>
        <v>6.2371121197988533</v>
      </c>
      <c r="F329" s="283">
        <v>7.2371121197988533</v>
      </c>
      <c r="G329" s="284">
        <f>F329+1</f>
        <v>8.2371121197988533</v>
      </c>
      <c r="H329" s="284">
        <f>G329+1</f>
        <v>9.2371121197988533</v>
      </c>
    </row>
    <row r="330" spans="2:14" ht="15" customHeight="1" outlineLevel="1">
      <c r="B330" s="366" t="s">
        <v>72</v>
      </c>
      <c r="C330" s="258">
        <f>+C331+0.01</f>
        <v>0.13274</v>
      </c>
      <c r="D330" s="319">
        <f t="dataTable" ref="D330:H334" dt2D="1" dtr="1" r1="C197" r2="E178" ca="1"/>
        <v>4.6588611592877118</v>
      </c>
      <c r="E330" s="262">
        <v>5.0023702800240057</v>
      </c>
      <c r="F330" s="262">
        <v>5.3458794007603005</v>
      </c>
      <c r="G330" s="262">
        <v>5.6893885214965945</v>
      </c>
      <c r="H330" s="262">
        <v>6.0328976422328893</v>
      </c>
    </row>
    <row r="331" spans="2:14" ht="15" customHeight="1" outlineLevel="1">
      <c r="B331" s="366"/>
      <c r="C331" s="258">
        <f>+C332+0.01</f>
        <v>0.12273999999999999</v>
      </c>
      <c r="D331" s="262">
        <v>5.0192999511210248</v>
      </c>
      <c r="E331" s="262">
        <v>5.3783818218712387</v>
      </c>
      <c r="F331" s="262">
        <v>5.7374636926214535</v>
      </c>
      <c r="G331" s="262">
        <v>6.0965455633716674</v>
      </c>
      <c r="H331" s="262">
        <v>6.455627434121884</v>
      </c>
    </row>
    <row r="332" spans="2:14" ht="15" customHeight="1" outlineLevel="1">
      <c r="B332" s="366"/>
      <c r="C332" s="259">
        <v>0.11273999999999999</v>
      </c>
      <c r="D332" s="262">
        <v>5.4394799429583909</v>
      </c>
      <c r="E332" s="262">
        <v>5.8149894672940112</v>
      </c>
      <c r="F332" s="263">
        <v>6.1904989916296298</v>
      </c>
      <c r="G332" s="262">
        <v>6.5660085159652501</v>
      </c>
      <c r="H332" s="262">
        <v>6.9415180403008678</v>
      </c>
    </row>
    <row r="333" spans="2:14" ht="15" customHeight="1" outlineLevel="1">
      <c r="B333" s="366"/>
      <c r="C333" s="258">
        <f>+C332-0.01</f>
        <v>0.10274</v>
      </c>
      <c r="D333" s="262">
        <v>5.9393761845883404</v>
      </c>
      <c r="E333" s="262">
        <v>6.3322235240984144</v>
      </c>
      <c r="F333" s="262">
        <v>6.7250708636084875</v>
      </c>
      <c r="G333" s="262">
        <v>7.1179182031185615</v>
      </c>
      <c r="H333" s="262">
        <v>7.5107655426286346</v>
      </c>
    </row>
    <row r="334" spans="2:14" ht="15" customHeight="1" outlineLevel="1">
      <c r="B334" s="366"/>
      <c r="C334" s="258">
        <f>+C333-0.01</f>
        <v>9.2740000000000003E-2</v>
      </c>
      <c r="D334" s="262">
        <v>6.5497808029360725</v>
      </c>
      <c r="E334" s="262">
        <v>6.9609354970796868</v>
      </c>
      <c r="F334" s="262">
        <v>7.3720901912233012</v>
      </c>
      <c r="G334" s="262">
        <v>7.7832448853669147</v>
      </c>
      <c r="H334" s="262">
        <v>8.1943995795105291</v>
      </c>
    </row>
    <row r="335" spans="2:14" ht="15" customHeight="1" outlineLevel="1"/>
    <row r="336" spans="2:14" ht="15" customHeight="1"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246"/>
    </row>
  </sheetData>
  <mergeCells count="2">
    <mergeCell ref="B319:B323"/>
    <mergeCell ref="B330:B334"/>
  </mergeCells>
  <conditionalFormatting sqref="F107:M107">
    <cfRule type="expression" dxfId="0" priority="4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2" orientation="landscape" r:id="rId1"/>
  <headerFooter alignWithMargins="0">
    <oddFooter>&amp;L&amp;"Open Sans,Bold"&amp;10&amp;K002060Introduction to Business Valuation&amp;C&amp;"Open Sans,Bold"&amp;10&amp;K002060Page &amp;P of &amp;N&amp;R&amp;G</oddFooter>
  </headerFooter>
  <colBreaks count="1" manualBreakCount="1">
    <brk id="15" max="419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88EC-2290-4971-BAD0-2BBA984F1824}">
  <sheetPr>
    <pageSetUpPr autoPageBreaks="0" fitToPage="1"/>
  </sheetPr>
  <dimension ref="A1:Z75"/>
  <sheetViews>
    <sheetView showGridLines="0" zoomScale="85" zoomScaleNormal="85" zoomScaleSheetLayoutView="85" workbookViewId="0">
      <pane ySplit="1" topLeftCell="A2" activePane="bottomLeft" state="frozen"/>
      <selection activeCell="B26" sqref="B26"/>
      <selection pane="bottomLeft" activeCell="A2" sqref="A2"/>
    </sheetView>
  </sheetViews>
  <sheetFormatPr defaultColWidth="9.1015625" defaultRowHeight="15" customHeight="1" outlineLevelRow="1"/>
  <cols>
    <col min="1" max="1" width="9.1015625" style="44" customWidth="1"/>
    <col min="2" max="2" width="20.3671875" style="44" customWidth="1"/>
    <col min="3" max="3" width="12.68359375" style="44" customWidth="1"/>
    <col min="4" max="4" width="8.83984375" style="44" customWidth="1"/>
    <col min="5" max="17" width="10.89453125" style="44" customWidth="1"/>
    <col min="18" max="16384" width="9.1015625" style="44"/>
  </cols>
  <sheetData>
    <row r="1" spans="1:26" ht="55" customHeight="1">
      <c r="A1" s="10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26" s="10" customFormat="1" ht="15" customHeight="1">
      <c r="B2" s="11"/>
      <c r="C2" s="5"/>
      <c r="D2" s="18"/>
      <c r="E2" s="9"/>
      <c r="F2" s="24"/>
      <c r="G2" s="24"/>
      <c r="H2" s="24"/>
      <c r="I2" s="25"/>
      <c r="J2" s="25"/>
      <c r="K2" s="25"/>
      <c r="L2" s="25"/>
      <c r="M2" s="25"/>
      <c r="N2" s="26"/>
      <c r="O2" s="26"/>
    </row>
    <row r="3" spans="1:26" ht="15" customHeight="1">
      <c r="A3" s="3" t="s">
        <v>26</v>
      </c>
      <c r="B3" s="36" t="s">
        <v>159</v>
      </c>
      <c r="C3" s="37"/>
      <c r="D3" s="77"/>
      <c r="E3" s="77"/>
      <c r="F3" s="39"/>
      <c r="G3" s="39"/>
      <c r="H3" s="39"/>
      <c r="I3" s="40"/>
      <c r="J3" s="41"/>
      <c r="K3" s="41"/>
      <c r="L3" s="41"/>
      <c r="M3" s="41"/>
      <c r="N3" s="41"/>
      <c r="O3" s="41"/>
      <c r="P3" s="41"/>
      <c r="Q3" s="41"/>
    </row>
    <row r="4" spans="1:26" ht="15" customHeight="1" outlineLevel="1"/>
    <row r="5" spans="1:26" ht="15" customHeight="1" outlineLevel="1">
      <c r="B5" s="8" t="s">
        <v>10</v>
      </c>
    </row>
    <row r="6" spans="1:26" ht="15" customHeight="1" outlineLevel="1">
      <c r="B6" s="8"/>
    </row>
    <row r="7" spans="1:26" ht="15" customHeight="1" outlineLevel="1">
      <c r="B7" s="8"/>
    </row>
    <row r="8" spans="1:26" s="144" customFormat="1" ht="14.4" customHeight="1" outlineLevel="1">
      <c r="A8" s="140"/>
      <c r="B8" s="141" t="s">
        <v>26</v>
      </c>
      <c r="C8"/>
      <c r="D8" s="141"/>
      <c r="E8" s="142" t="s">
        <v>183</v>
      </c>
      <c r="F8" s="142" t="s">
        <v>209</v>
      </c>
      <c r="G8" s="142" t="s">
        <v>89</v>
      </c>
      <c r="H8" s="142" t="s">
        <v>213</v>
      </c>
      <c r="I8" s="142" t="s">
        <v>88</v>
      </c>
      <c r="J8" s="143" t="s">
        <v>15</v>
      </c>
      <c r="K8" s="291"/>
      <c r="L8" s="143" t="s">
        <v>18</v>
      </c>
      <c r="M8" s="291"/>
      <c r="N8" s="143" t="s">
        <v>90</v>
      </c>
      <c r="O8" s="143"/>
      <c r="P8" s="143" t="s">
        <v>237</v>
      </c>
      <c r="Q8" s="143"/>
    </row>
    <row r="9" spans="1:26" s="144" customFormat="1" ht="15.9" outlineLevel="1">
      <c r="B9" s="292" t="s">
        <v>91</v>
      </c>
      <c r="C9" s="297" t="s">
        <v>129</v>
      </c>
      <c r="D9" s="297" t="s">
        <v>123</v>
      </c>
      <c r="E9" s="293" t="s">
        <v>186</v>
      </c>
      <c r="F9" s="293" t="s">
        <v>216</v>
      </c>
      <c r="G9" s="293" t="s">
        <v>93</v>
      </c>
      <c r="H9" s="293" t="s">
        <v>214</v>
      </c>
      <c r="I9" s="293" t="s">
        <v>92</v>
      </c>
      <c r="J9" s="338">
        <v>2022</v>
      </c>
      <c r="K9" s="339">
        <v>2023</v>
      </c>
      <c r="L9" s="338">
        <v>2022</v>
      </c>
      <c r="M9" s="339">
        <v>2023</v>
      </c>
      <c r="N9" s="338">
        <v>2022</v>
      </c>
      <c r="O9" s="339">
        <v>2023</v>
      </c>
      <c r="P9" s="338">
        <v>2022</v>
      </c>
      <c r="Q9" s="339">
        <v>2023</v>
      </c>
      <c r="R9"/>
      <c r="Z9" s="145"/>
    </row>
    <row r="10" spans="1:26" s="144" customFormat="1" ht="15" customHeight="1" outlineLevel="1">
      <c r="E10" s="313" t="s">
        <v>210</v>
      </c>
      <c r="F10" s="313" t="s">
        <v>212</v>
      </c>
      <c r="G10" s="146"/>
      <c r="I10" s="146"/>
      <c r="J10" s="146"/>
      <c r="K10" s="146"/>
      <c r="L10" s="146"/>
      <c r="M10" s="146"/>
      <c r="N10" s="314" t="s">
        <v>211</v>
      </c>
      <c r="O10" s="314" t="s">
        <v>211</v>
      </c>
      <c r="P10" s="314" t="s">
        <v>211</v>
      </c>
      <c r="Q10" s="314" t="s">
        <v>211</v>
      </c>
      <c r="S10"/>
    </row>
    <row r="11" spans="1:26" s="147" customFormat="1" ht="15" customHeight="1" outlineLevel="1">
      <c r="B11" s="148" t="s">
        <v>94</v>
      </c>
      <c r="C11" s="184" t="s">
        <v>208</v>
      </c>
      <c r="D11" s="294" t="s">
        <v>125</v>
      </c>
      <c r="E11" s="296">
        <v>21.698492861715472</v>
      </c>
      <c r="F11" s="298">
        <v>368.32051197901291</v>
      </c>
      <c r="G11" s="156">
        <f>E11*F11</f>
        <v>7992</v>
      </c>
      <c r="H11" s="299">
        <v>2150</v>
      </c>
      <c r="I11" s="156">
        <f>G11+H11</f>
        <v>10142</v>
      </c>
      <c r="J11" s="149">
        <v>1086</v>
      </c>
      <c r="K11" s="149">
        <v>1096.8599999999999</v>
      </c>
      <c r="L11" s="149">
        <v>553</v>
      </c>
      <c r="M11" s="149">
        <v>586.18000000000006</v>
      </c>
      <c r="N11" s="158">
        <f t="shared" ref="N11:N20" si="0">IFERROR($I11/J11,"NA")</f>
        <v>9.3388581952117864</v>
      </c>
      <c r="O11" s="158">
        <f t="shared" ref="O11:O20" si="1">IFERROR($I11/K11,"NA")</f>
        <v>9.2463942526849383</v>
      </c>
      <c r="P11" s="158">
        <f t="shared" ref="P11:P20" si="2">IFERROR($G11/L11,"NA")</f>
        <v>14.452079566003617</v>
      </c>
      <c r="Q11" s="158">
        <f t="shared" ref="Q11:Q20" si="3">IFERROR($G11/M11,"NA")</f>
        <v>13.634037326418504</v>
      </c>
      <c r="S11"/>
      <c r="T11"/>
    </row>
    <row r="12" spans="1:26" s="147" customFormat="1" ht="15" customHeight="1" outlineLevel="1">
      <c r="B12" s="148" t="s">
        <v>95</v>
      </c>
      <c r="C12" s="184" t="s">
        <v>208</v>
      </c>
      <c r="D12" s="294" t="s">
        <v>126</v>
      </c>
      <c r="E12" s="296">
        <v>35.877385404688418</v>
      </c>
      <c r="F12" s="298">
        <v>300.91378951458347</v>
      </c>
      <c r="G12" s="156">
        <f t="shared" ref="G12:G20" si="4">E12*F12</f>
        <v>10796</v>
      </c>
      <c r="H12" s="299">
        <v>50</v>
      </c>
      <c r="I12" s="156">
        <f t="shared" ref="I12:I20" si="5">G12+H12</f>
        <v>10846</v>
      </c>
      <c r="J12" s="149">
        <v>2169</v>
      </c>
      <c r="K12" s="149">
        <v>2212.38</v>
      </c>
      <c r="L12" s="149">
        <v>770</v>
      </c>
      <c r="M12" s="149">
        <v>808.5</v>
      </c>
      <c r="N12" s="158">
        <f t="shared" si="0"/>
        <v>5.0004610419548179</v>
      </c>
      <c r="O12" s="158">
        <f t="shared" si="1"/>
        <v>4.9024127862302134</v>
      </c>
      <c r="P12" s="158">
        <f t="shared" si="2"/>
        <v>14.02077922077922</v>
      </c>
      <c r="Q12" s="158">
        <f t="shared" si="3"/>
        <v>13.353123067408781</v>
      </c>
      <c r="R12" s="151"/>
      <c r="S12"/>
      <c r="T12"/>
    </row>
    <row r="13" spans="1:26" s="147" customFormat="1" ht="15" customHeight="1" outlineLevel="1">
      <c r="B13" s="148" t="s">
        <v>96</v>
      </c>
      <c r="C13" s="184" t="s">
        <v>208</v>
      </c>
      <c r="D13" s="294" t="s">
        <v>126</v>
      </c>
      <c r="E13" s="296">
        <v>15.374632440897289</v>
      </c>
      <c r="F13" s="298">
        <v>669.99975704126928</v>
      </c>
      <c r="G13" s="156">
        <f t="shared" si="4"/>
        <v>10301</v>
      </c>
      <c r="H13" s="299">
        <v>1283</v>
      </c>
      <c r="I13" s="156">
        <f t="shared" si="5"/>
        <v>11584</v>
      </c>
      <c r="J13" s="149">
        <v>1530</v>
      </c>
      <c r="K13" s="149">
        <v>1575.9</v>
      </c>
      <c r="L13" s="149">
        <v>632</v>
      </c>
      <c r="M13" s="149">
        <v>650.96</v>
      </c>
      <c r="N13" s="158">
        <f t="shared" si="0"/>
        <v>7.5712418300653592</v>
      </c>
      <c r="O13" s="158">
        <f t="shared" si="1"/>
        <v>7.3507202233644264</v>
      </c>
      <c r="P13" s="158">
        <f t="shared" si="2"/>
        <v>16.299050632911392</v>
      </c>
      <c r="Q13" s="158">
        <f t="shared" si="3"/>
        <v>15.824321002826593</v>
      </c>
      <c r="R13" s="151"/>
      <c r="S13"/>
      <c r="T13"/>
    </row>
    <row r="14" spans="1:26" s="147" customFormat="1" ht="15" customHeight="1" outlineLevel="1">
      <c r="B14" s="148" t="s">
        <v>97</v>
      </c>
      <c r="C14" s="184" t="s">
        <v>208</v>
      </c>
      <c r="D14" s="294" t="s">
        <v>126</v>
      </c>
      <c r="E14" s="296">
        <v>39.924401838067752</v>
      </c>
      <c r="F14" s="298">
        <v>248.49464345738468</v>
      </c>
      <c r="G14" s="156">
        <f t="shared" si="4"/>
        <v>9921</v>
      </c>
      <c r="H14" s="299">
        <v>2866</v>
      </c>
      <c r="I14" s="156">
        <f t="shared" si="5"/>
        <v>12787</v>
      </c>
      <c r="J14" s="149">
        <v>1142</v>
      </c>
      <c r="K14" s="149">
        <v>1164.8399999999999</v>
      </c>
      <c r="L14" s="149">
        <v>461</v>
      </c>
      <c r="M14" s="149">
        <v>484.05</v>
      </c>
      <c r="N14" s="158">
        <f t="shared" si="0"/>
        <v>11.197022767075307</v>
      </c>
      <c r="O14" s="158">
        <f t="shared" si="1"/>
        <v>10.977473301054223</v>
      </c>
      <c r="P14" s="158">
        <f t="shared" si="2"/>
        <v>21.520607375271151</v>
      </c>
      <c r="Q14" s="158">
        <f t="shared" si="3"/>
        <v>20.495816547877286</v>
      </c>
      <c r="R14" s="151"/>
      <c r="S14"/>
      <c r="T14"/>
    </row>
    <row r="15" spans="1:26" s="147" customFormat="1" ht="15" customHeight="1" outlineLevel="1">
      <c r="B15" s="148" t="s">
        <v>98</v>
      </c>
      <c r="C15" s="184" t="s">
        <v>208</v>
      </c>
      <c r="D15" s="294" t="s">
        <v>125</v>
      </c>
      <c r="E15" s="296">
        <v>45.631373013610364</v>
      </c>
      <c r="F15" s="298">
        <v>261.48676254911442</v>
      </c>
      <c r="G15" s="156">
        <f t="shared" si="4"/>
        <v>11932</v>
      </c>
      <c r="H15" s="299">
        <v>396</v>
      </c>
      <c r="I15" s="156">
        <f t="shared" si="5"/>
        <v>12328</v>
      </c>
      <c r="J15" s="149">
        <v>2055</v>
      </c>
      <c r="K15" s="149">
        <v>2096.1</v>
      </c>
      <c r="L15" s="149">
        <v>693</v>
      </c>
      <c r="M15" s="149">
        <v>699.93</v>
      </c>
      <c r="N15" s="158">
        <f t="shared" si="0"/>
        <v>5.9990267639902672</v>
      </c>
      <c r="O15" s="158">
        <f t="shared" si="1"/>
        <v>5.881398788225753</v>
      </c>
      <c r="P15" s="158">
        <f t="shared" si="2"/>
        <v>17.217893217893216</v>
      </c>
      <c r="Q15" s="158">
        <f t="shared" si="3"/>
        <v>17.04741902761705</v>
      </c>
      <c r="R15" s="151"/>
      <c r="S15"/>
      <c r="T15" s="144"/>
    </row>
    <row r="16" spans="1:26" s="147" customFormat="1" ht="15" customHeight="1" outlineLevel="1">
      <c r="B16" s="148" t="s">
        <v>99</v>
      </c>
      <c r="C16" s="184" t="s">
        <v>208</v>
      </c>
      <c r="D16" s="294" t="s">
        <v>125</v>
      </c>
      <c r="E16" s="296">
        <v>37.929366506268146</v>
      </c>
      <c r="F16" s="298">
        <v>244.71803393990436</v>
      </c>
      <c r="G16" s="156">
        <f t="shared" si="4"/>
        <v>9282</v>
      </c>
      <c r="H16" s="299">
        <v>1218</v>
      </c>
      <c r="I16" s="156">
        <f t="shared" si="5"/>
        <v>10500</v>
      </c>
      <c r="J16" s="149">
        <v>2625</v>
      </c>
      <c r="K16" s="149">
        <v>2625</v>
      </c>
      <c r="L16" s="149">
        <v>732</v>
      </c>
      <c r="M16" s="149">
        <v>739.32</v>
      </c>
      <c r="N16" s="158">
        <f t="shared" si="0"/>
        <v>4</v>
      </c>
      <c r="O16" s="158">
        <f t="shared" si="1"/>
        <v>4</v>
      </c>
      <c r="P16" s="158">
        <f t="shared" si="2"/>
        <v>12.680327868852459</v>
      </c>
      <c r="Q16" s="158">
        <f t="shared" si="3"/>
        <v>12.55478006817075</v>
      </c>
      <c r="R16" s="151"/>
      <c r="S16"/>
      <c r="T16" s="144"/>
    </row>
    <row r="17" spans="2:20" s="147" customFormat="1" ht="15" customHeight="1" outlineLevel="1">
      <c r="B17" s="148" t="s">
        <v>224</v>
      </c>
      <c r="C17" s="184" t="s">
        <v>208</v>
      </c>
      <c r="D17" s="294" t="s">
        <v>126</v>
      </c>
      <c r="E17" s="296">
        <v>46.356571433408185</v>
      </c>
      <c r="F17" s="298">
        <v>379</v>
      </c>
      <c r="G17" s="156">
        <f t="shared" si="4"/>
        <v>17569.140573261702</v>
      </c>
      <c r="H17" s="299">
        <v>17199.999999999993</v>
      </c>
      <c r="I17" s="156">
        <f t="shared" si="5"/>
        <v>34769.140573261699</v>
      </c>
      <c r="J17" s="149">
        <v>4688</v>
      </c>
      <c r="K17" s="149">
        <v>4688</v>
      </c>
      <c r="L17" s="149">
        <v>1092</v>
      </c>
      <c r="M17" s="149">
        <v>1168.44</v>
      </c>
      <c r="N17" s="158">
        <f t="shared" si="0"/>
        <v>7.4166255489039461</v>
      </c>
      <c r="O17" s="158">
        <f t="shared" si="1"/>
        <v>7.4166255489039461</v>
      </c>
      <c r="P17" s="158">
        <f t="shared" si="2"/>
        <v>16.088956568920974</v>
      </c>
      <c r="Q17" s="158">
        <f t="shared" si="3"/>
        <v>15.036408008337357</v>
      </c>
      <c r="R17" s="151"/>
      <c r="S17"/>
      <c r="T17" s="144"/>
    </row>
    <row r="18" spans="2:20" s="147" customFormat="1" ht="15" customHeight="1" outlineLevel="1">
      <c r="B18" s="148" t="s">
        <v>124</v>
      </c>
      <c r="C18" s="184" t="s">
        <v>208</v>
      </c>
      <c r="D18" s="294" t="s">
        <v>125</v>
      </c>
      <c r="E18" s="296">
        <v>40.566817779110671</v>
      </c>
      <c r="F18" s="298">
        <v>122.27974170935197</v>
      </c>
      <c r="G18" s="156">
        <f t="shared" si="4"/>
        <v>4960.5</v>
      </c>
      <c r="H18" s="299">
        <v>1433</v>
      </c>
      <c r="I18" s="156">
        <f t="shared" si="5"/>
        <v>6393.5</v>
      </c>
      <c r="J18" s="149">
        <v>850</v>
      </c>
      <c r="K18" s="149">
        <v>884</v>
      </c>
      <c r="L18" s="149">
        <v>276</v>
      </c>
      <c r="M18" s="149">
        <v>281.52</v>
      </c>
      <c r="N18" s="158">
        <f t="shared" si="0"/>
        <v>7.5217647058823527</v>
      </c>
      <c r="O18" s="158">
        <f t="shared" si="1"/>
        <v>7.2324660633484159</v>
      </c>
      <c r="P18" s="158">
        <f t="shared" si="2"/>
        <v>17.972826086956523</v>
      </c>
      <c r="Q18" s="158">
        <f t="shared" si="3"/>
        <v>17.620417732310315</v>
      </c>
      <c r="R18" s="151"/>
      <c r="S18"/>
      <c r="T18" s="144"/>
    </row>
    <row r="19" spans="2:20" s="147" customFormat="1" ht="15" customHeight="1" outlineLevel="1">
      <c r="B19" s="148" t="s">
        <v>225</v>
      </c>
      <c r="C19" s="184" t="s">
        <v>208</v>
      </c>
      <c r="D19" s="294" t="s">
        <v>127</v>
      </c>
      <c r="E19" s="296">
        <v>18.943668553284319</v>
      </c>
      <c r="F19" s="298">
        <v>48.997901192642821</v>
      </c>
      <c r="G19" s="156">
        <f t="shared" si="4"/>
        <v>928.2</v>
      </c>
      <c r="H19" s="299">
        <v>121.79999999999995</v>
      </c>
      <c r="I19" s="156">
        <f t="shared" si="5"/>
        <v>1050</v>
      </c>
      <c r="J19" s="149">
        <v>252</v>
      </c>
      <c r="K19" s="149">
        <v>257.04000000000002</v>
      </c>
      <c r="L19" s="149">
        <v>74</v>
      </c>
      <c r="M19" s="149">
        <v>76.22</v>
      </c>
      <c r="N19" s="158">
        <f t="shared" si="0"/>
        <v>4.166666666666667</v>
      </c>
      <c r="O19" s="158">
        <f t="shared" si="1"/>
        <v>4.0849673202614376</v>
      </c>
      <c r="P19" s="158">
        <f t="shared" si="2"/>
        <v>12.543243243243245</v>
      </c>
      <c r="Q19" s="158">
        <f t="shared" si="3"/>
        <v>12.177906061401208</v>
      </c>
      <c r="R19" s="151"/>
      <c r="S19"/>
      <c r="T19" s="144"/>
    </row>
    <row r="20" spans="2:20" s="147" customFormat="1" ht="15" customHeight="1" outlineLevel="1">
      <c r="B20" s="148" t="s">
        <v>226</v>
      </c>
      <c r="C20" s="184" t="s">
        <v>208</v>
      </c>
      <c r="D20" s="294" t="s">
        <v>128</v>
      </c>
      <c r="E20" s="296">
        <v>15.372458268607836</v>
      </c>
      <c r="F20" s="298">
        <v>96.158986036647022</v>
      </c>
      <c r="G20" s="156">
        <f t="shared" si="4"/>
        <v>1478.2</v>
      </c>
      <c r="H20" s="299">
        <v>121.79999999999995</v>
      </c>
      <c r="I20" s="156">
        <f t="shared" si="5"/>
        <v>1600</v>
      </c>
      <c r="J20" s="149">
        <v>402</v>
      </c>
      <c r="K20" s="149">
        <v>402</v>
      </c>
      <c r="L20" s="149">
        <v>114</v>
      </c>
      <c r="M20" s="149">
        <v>121.98</v>
      </c>
      <c r="N20" s="158">
        <f t="shared" si="0"/>
        <v>3.9800995024875623</v>
      </c>
      <c r="O20" s="158">
        <f t="shared" si="1"/>
        <v>3.9800995024875623</v>
      </c>
      <c r="P20" s="158">
        <f t="shared" si="2"/>
        <v>12.966666666666667</v>
      </c>
      <c r="Q20" s="158">
        <f t="shared" si="3"/>
        <v>12.118380062305295</v>
      </c>
      <c r="R20" s="151"/>
      <c r="S20"/>
      <c r="T20" s="144"/>
    </row>
    <row r="21" spans="2:20" s="147" customFormat="1" ht="15" customHeight="1" outlineLevel="1">
      <c r="B21" s="148"/>
      <c r="C21" s="148"/>
      <c r="D21" s="148"/>
      <c r="E21" s="149"/>
      <c r="F21" s="149"/>
      <c r="G21" s="149"/>
      <c r="I21" s="149"/>
      <c r="J21" s="149"/>
      <c r="K21" s="149"/>
      <c r="L21" s="149"/>
      <c r="M21" s="150"/>
      <c r="N21" s="150"/>
      <c r="O21" s="150"/>
      <c r="P21" s="150"/>
      <c r="Q21" s="151"/>
      <c r="R21"/>
      <c r="S21" s="144"/>
    </row>
    <row r="22" spans="2:20" s="147" customFormat="1" ht="15" customHeight="1" outlineLevel="1">
      <c r="B22" s="148"/>
      <c r="C22" s="148"/>
      <c r="D22" s="148"/>
      <c r="E22" s="149"/>
      <c r="F22" s="149"/>
      <c r="G22" s="149"/>
      <c r="I22" s="149"/>
      <c r="J22" s="149"/>
      <c r="K22" s="149"/>
      <c r="L22" s="149"/>
      <c r="M22" s="150"/>
      <c r="N22" s="150"/>
      <c r="O22" s="150"/>
      <c r="P22" s="150"/>
      <c r="Q22" s="151"/>
      <c r="R22"/>
      <c r="S22" s="144"/>
    </row>
    <row r="23" spans="2:20" s="147" customFormat="1" ht="15" customHeight="1" outlineLevel="1">
      <c r="B23" s="154" t="s">
        <v>100</v>
      </c>
      <c r="C23" s="183"/>
      <c r="D23" s="183"/>
      <c r="G23" s="155"/>
      <c r="I23" s="155"/>
      <c r="K23" s="156"/>
      <c r="M23" s="149"/>
      <c r="N23" s="158">
        <f>+AVERAGE(N$11:N$16)</f>
        <v>7.1844350997162563</v>
      </c>
      <c r="O23" s="158">
        <f>+AVERAGE(O$11:O$16)</f>
        <v>7.0597332252599259</v>
      </c>
      <c r="P23" s="158">
        <f>+AVERAGE(P$11:P$16)</f>
        <v>16.031789646951843</v>
      </c>
      <c r="Q23" s="158">
        <f>+AVERAGE(Q$11:Q$16)</f>
        <v>15.484916173386495</v>
      </c>
      <c r="R23"/>
      <c r="S23" s="144"/>
    </row>
    <row r="24" spans="2:20" s="147" customFormat="1" ht="15" customHeight="1" outlineLevel="1">
      <c r="B24" s="154" t="s">
        <v>101</v>
      </c>
      <c r="C24" s="154"/>
      <c r="D24" s="154"/>
      <c r="G24" s="155"/>
      <c r="I24" s="155"/>
      <c r="J24" s="333"/>
      <c r="K24" s="149"/>
      <c r="L24" s="156"/>
      <c r="M24" s="156"/>
      <c r="N24" s="158">
        <f>+MEDIAN(N$11:N$16)</f>
        <v>6.7851342970278132</v>
      </c>
      <c r="O24" s="158">
        <f>+MEDIAN(O$11:O$16)</f>
        <v>6.6160595057950893</v>
      </c>
      <c r="P24" s="158">
        <f>+MEDIAN(P$11:P$16)</f>
        <v>15.375565099457503</v>
      </c>
      <c r="Q24" s="158">
        <f>+MEDIAN(Q$11:Q$16)</f>
        <v>14.729179164622549</v>
      </c>
      <c r="R24" s="144"/>
      <c r="S24" s="144"/>
    </row>
    <row r="25" spans="2:20" s="157" customFormat="1" ht="15" customHeight="1" outlineLevel="1">
      <c r="B25" s="154" t="s">
        <v>102</v>
      </c>
      <c r="C25" s="154"/>
      <c r="D25" s="154"/>
      <c r="G25" s="155"/>
      <c r="I25" s="155"/>
      <c r="J25" s="156"/>
      <c r="L25" s="156"/>
      <c r="M25" s="156"/>
      <c r="N25" s="158">
        <f>+MAX(N$11:N$16)</f>
        <v>11.197022767075307</v>
      </c>
      <c r="O25" s="158">
        <f>+MAX(O$11:O$16)</f>
        <v>10.977473301054223</v>
      </c>
      <c r="P25" s="158">
        <f>+MAX(P$11:P$16)</f>
        <v>21.520607375271151</v>
      </c>
      <c r="Q25" s="158">
        <f>+MAX(Q$11:Q$16)</f>
        <v>20.495816547877286</v>
      </c>
      <c r="R25" s="144"/>
    </row>
    <row r="26" spans="2:20" s="157" customFormat="1" ht="15" customHeight="1" outlineLevel="1">
      <c r="B26" s="154" t="s">
        <v>103</v>
      </c>
      <c r="C26" s="154"/>
      <c r="D26" s="154"/>
      <c r="G26" s="155"/>
      <c r="I26" s="155"/>
      <c r="J26" s="156"/>
      <c r="K26" s="295"/>
      <c r="L26" s="156"/>
      <c r="M26" s="156"/>
      <c r="N26" s="158">
        <f>+MIN(N$11:N$16)</f>
        <v>4</v>
      </c>
      <c r="O26" s="158">
        <f>+MIN(O$11:O$16)</f>
        <v>4</v>
      </c>
      <c r="P26" s="158">
        <f>+MIN(P$11:P$16)</f>
        <v>12.680327868852459</v>
      </c>
      <c r="Q26" s="158">
        <f>+MIN(Q$11:Q$16)</f>
        <v>12.55478006817075</v>
      </c>
      <c r="R26" s="144"/>
    </row>
    <row r="27" spans="2:20" s="157" customFormat="1" ht="15" customHeight="1" outlineLevel="1">
      <c r="B27" s="154"/>
      <c r="C27" s="154"/>
      <c r="D27" s="154"/>
      <c r="G27" s="155"/>
      <c r="I27" s="155"/>
      <c r="J27" s="156"/>
      <c r="K27" s="295"/>
      <c r="L27" s="156"/>
      <c r="M27" s="156"/>
      <c r="N27" s="158"/>
      <c r="O27" s="158"/>
      <c r="P27" s="158"/>
      <c r="Q27" s="158"/>
      <c r="R27" s="144"/>
    </row>
    <row r="28" spans="2:20" s="157" customFormat="1" ht="15" customHeight="1" outlineLevel="1">
      <c r="B28" s="154"/>
      <c r="C28" s="154"/>
      <c r="D28" s="154"/>
      <c r="G28" s="155"/>
      <c r="I28" s="155"/>
      <c r="J28" s="156"/>
      <c r="K28" s="295"/>
      <c r="L28" s="156"/>
      <c r="M28" s="156"/>
      <c r="N28" s="158"/>
      <c r="O28" s="158"/>
      <c r="P28" s="158"/>
      <c r="Q28" s="158"/>
      <c r="R28" s="144"/>
    </row>
    <row r="29" spans="2:20" s="147" customFormat="1" outlineLevel="1">
      <c r="B29" s="153" t="s">
        <v>215</v>
      </c>
      <c r="C29" s="144"/>
      <c r="D29" s="144"/>
      <c r="E29" s="149"/>
      <c r="F29" s="149"/>
      <c r="G29" s="149"/>
      <c r="I29" s="149"/>
      <c r="J29" s="149"/>
      <c r="K29" s="149"/>
      <c r="L29" s="149"/>
      <c r="M29" s="150"/>
      <c r="N29" s="150"/>
      <c r="O29" s="150"/>
      <c r="P29" s="150"/>
      <c r="Q29" s="151"/>
      <c r="R29"/>
      <c r="S29" s="144"/>
    </row>
    <row r="30" spans="2:20" s="147" customFormat="1" outlineLevel="1">
      <c r="B30" s="179" t="str">
        <f>$J$9&amp;"A EV/EBITDA"</f>
        <v>2022A EV/EBITDA</v>
      </c>
      <c r="C30" s="144"/>
      <c r="D30" s="144"/>
      <c r="E30" s="300">
        <f>G30/F30</f>
        <v>7.0339378825234045</v>
      </c>
      <c r="F30" s="359">
        <f>'DCF Model'!E232</f>
        <v>17100</v>
      </c>
      <c r="G30" s="156">
        <f>I30-H30</f>
        <v>120280.33779115022</v>
      </c>
      <c r="H30" s="360">
        <f>-'DCF Model'!D227</f>
        <v>14143.000900000001</v>
      </c>
      <c r="I30" s="156">
        <f>J30*N30</f>
        <v>134423.33869115022</v>
      </c>
      <c r="J30" s="252">
        <f>'DCF Model'!H123</f>
        <v>19811.448499999999</v>
      </c>
      <c r="K30" s="149"/>
      <c r="L30" s="149"/>
      <c r="M30" s="150"/>
      <c r="N30" s="150">
        <f>N24</f>
        <v>6.7851342970278132</v>
      </c>
      <c r="O30" s="150"/>
      <c r="P30" s="150"/>
      <c r="Q30" s="151"/>
      <c r="R30"/>
      <c r="S30" s="144"/>
    </row>
    <row r="31" spans="2:20" s="157" customFormat="1" ht="15" customHeight="1" outlineLevel="1">
      <c r="B31" s="179" t="str">
        <f>$K$9&amp;"F EV/EBITDA"</f>
        <v>2023F EV/EBITDA</v>
      </c>
      <c r="E31" s="300">
        <f t="shared" ref="E31:E33" si="6">G31/F31</f>
        <v>7.2647312854390975</v>
      </c>
      <c r="F31" s="301">
        <f>F30</f>
        <v>17100</v>
      </c>
      <c r="G31" s="156">
        <f>I31-H31</f>
        <v>124226.90498100857</v>
      </c>
      <c r="H31" s="302">
        <f>H30</f>
        <v>14143.000900000001</v>
      </c>
      <c r="I31" s="302">
        <f>K31*O31</f>
        <v>138369.90588100857</v>
      </c>
      <c r="K31" s="252">
        <f>'DCF Model'!I123</f>
        <v>20914.247485200009</v>
      </c>
      <c r="N31" s="147"/>
      <c r="O31" s="182">
        <f>O24</f>
        <v>6.6160595057950893</v>
      </c>
    </row>
    <row r="32" spans="2:20" s="157" customFormat="1" ht="15" customHeight="1" outlineLevel="1">
      <c r="B32" s="179" t="str">
        <f>$L$9&amp;"A P/E"</f>
        <v>2022A P/E</v>
      </c>
      <c r="E32" s="300">
        <f t="shared" si="6"/>
        <v>10.024192729222184</v>
      </c>
      <c r="F32" s="301">
        <f t="shared" ref="F32:F33" si="7">F31</f>
        <v>17100</v>
      </c>
      <c r="G32" s="156">
        <f>L32*P32</f>
        <v>171413.69566969934</v>
      </c>
      <c r="H32" s="302">
        <f t="shared" ref="H32:H33" si="8">H31</f>
        <v>14143.000900000001</v>
      </c>
      <c r="I32" s="302">
        <f>G32+H32</f>
        <v>185556.69656969936</v>
      </c>
      <c r="L32" s="252">
        <f>'DCF Model'!H116</f>
        <v>11148.448499999999</v>
      </c>
      <c r="N32" s="147"/>
      <c r="P32" s="182">
        <f>P24</f>
        <v>15.375565099457503</v>
      </c>
    </row>
    <row r="33" spans="1:17" s="157" customFormat="1" ht="15" customHeight="1" outlineLevel="1">
      <c r="B33" s="179" t="str">
        <f>$M$9&amp;"F P/E"</f>
        <v>2023F P/E</v>
      </c>
      <c r="E33" s="300">
        <f t="shared" si="6"/>
        <v>10.537137032411891</v>
      </c>
      <c r="F33" s="301">
        <f t="shared" si="7"/>
        <v>17100</v>
      </c>
      <c r="G33" s="156">
        <f>+M33*Q33</f>
        <v>180185.04325424336</v>
      </c>
      <c r="H33" s="302">
        <f t="shared" si="8"/>
        <v>14143.000900000001</v>
      </c>
      <c r="I33" s="302">
        <f>G33+H33</f>
        <v>194328.04415424337</v>
      </c>
      <c r="M33" s="252">
        <f>'DCF Model'!I116</f>
        <v>12233.203306198007</v>
      </c>
      <c r="N33" s="147"/>
      <c r="Q33" s="182">
        <f>Q24</f>
        <v>14.729179164622549</v>
      </c>
    </row>
    <row r="34" spans="1:17" s="157" customFormat="1" ht="15" customHeight="1" outlineLevel="1">
      <c r="B34" s="179"/>
      <c r="E34" s="300"/>
      <c r="F34" s="301"/>
      <c r="G34" s="156"/>
      <c r="H34" s="302"/>
      <c r="I34" s="302"/>
      <c r="M34" s="252"/>
      <c r="N34" s="147"/>
      <c r="Q34" s="182"/>
    </row>
    <row r="35" spans="1:17" s="157" customFormat="1" ht="15" customHeight="1" outlineLevel="1">
      <c r="B35" s="179"/>
      <c r="N35" s="147"/>
    </row>
    <row r="36" spans="1:17" s="157" customFormat="1" ht="15" customHeight="1" outlineLevel="1">
      <c r="B36"/>
      <c r="E36" s="149"/>
      <c r="F36" s="149"/>
      <c r="G36" s="149"/>
      <c r="H36" s="156"/>
      <c r="J36" s="156"/>
      <c r="K36" s="160"/>
      <c r="L36" s="160"/>
      <c r="P36"/>
      <c r="Q36" s="161" t="s">
        <v>104</v>
      </c>
    </row>
    <row r="37" spans="1:17" s="157" customFormat="1" ht="15" customHeight="1" outlineLevel="1">
      <c r="E37" s="149"/>
      <c r="F37" s="149"/>
      <c r="G37" s="149"/>
      <c r="H37" s="156"/>
      <c r="J37" s="156"/>
      <c r="K37" s="160"/>
      <c r="L37" s="160"/>
      <c r="Q37" s="162" t="s">
        <v>105</v>
      </c>
    </row>
    <row r="38" spans="1:17" s="157" customFormat="1" ht="15" customHeight="1" outlineLevel="1">
      <c r="E38" s="149"/>
      <c r="F38" s="149"/>
      <c r="G38" s="149"/>
      <c r="H38" s="156"/>
      <c r="J38" s="156"/>
      <c r="K38" s="160"/>
      <c r="L38" s="160"/>
      <c r="Q38" s="163"/>
    </row>
    <row r="39" spans="1:17" s="157" customFormat="1" ht="15" customHeight="1" outlineLevel="1">
      <c r="E39" s="149"/>
      <c r="F39" s="156"/>
      <c r="H39" s="156"/>
      <c r="I39" s="160"/>
      <c r="J39" s="160"/>
      <c r="O39" s="164"/>
    </row>
    <row r="40" spans="1:17" s="157" customFormat="1" ht="15" customHeight="1" outlineLevel="1">
      <c r="B40" s="185"/>
      <c r="C40" s="185"/>
      <c r="D40" s="185"/>
      <c r="E40" s="152"/>
      <c r="F40" s="159"/>
      <c r="G40" s="185"/>
      <c r="H40" s="159"/>
      <c r="I40" s="250"/>
      <c r="J40" s="250"/>
      <c r="K40" s="185"/>
      <c r="L40" s="185"/>
      <c r="M40" s="185"/>
      <c r="N40" s="185"/>
      <c r="O40" s="251"/>
      <c r="P40" s="251"/>
      <c r="Q40" s="251"/>
    </row>
    <row r="42" spans="1:17" ht="15" customHeight="1">
      <c r="A42" s="3" t="s">
        <v>26</v>
      </c>
      <c r="B42" s="36" t="s">
        <v>158</v>
      </c>
      <c r="C42" s="37"/>
      <c r="D42" s="77"/>
      <c r="E42" s="77"/>
      <c r="F42" s="39"/>
      <c r="G42" s="39"/>
      <c r="H42" s="39"/>
      <c r="I42" s="39"/>
      <c r="J42" s="40"/>
      <c r="K42" s="41"/>
      <c r="L42" s="41"/>
      <c r="M42" s="41"/>
      <c r="N42" s="41"/>
      <c r="O42" s="41"/>
      <c r="P42" s="41"/>
      <c r="Q42" s="41"/>
    </row>
    <row r="43" spans="1:17" ht="15" customHeight="1" outlineLevel="1"/>
    <row r="44" spans="1:17" ht="15" customHeight="1" outlineLevel="1">
      <c r="B44" s="165" t="s">
        <v>10</v>
      </c>
    </row>
    <row r="45" spans="1:17" ht="15" customHeight="1" outlineLevel="1"/>
    <row r="46" spans="1:17" ht="15" customHeight="1" outlineLevel="1">
      <c r="B46" s="166"/>
      <c r="C46" s="166"/>
      <c r="D46" s="166"/>
      <c r="E46" s="142" t="s">
        <v>183</v>
      </c>
      <c r="F46" s="142" t="s">
        <v>184</v>
      </c>
      <c r="G46" s="142" t="s">
        <v>185</v>
      </c>
      <c r="H46" s="142" t="s">
        <v>209</v>
      </c>
      <c r="I46" s="142" t="s">
        <v>217</v>
      </c>
      <c r="J46" s="142" t="s">
        <v>213</v>
      </c>
      <c r="K46" s="167" t="s">
        <v>88</v>
      </c>
      <c r="L46" s="168" t="s">
        <v>15</v>
      </c>
      <c r="M46" s="169"/>
      <c r="N46" s="169"/>
      <c r="O46" s="168" t="s">
        <v>90</v>
      </c>
      <c r="P46" s="169"/>
      <c r="Q46" s="169"/>
    </row>
    <row r="47" spans="1:17" ht="15" customHeight="1" outlineLevel="1">
      <c r="B47" s="170" t="s">
        <v>106</v>
      </c>
      <c r="C47" s="170" t="s">
        <v>107</v>
      </c>
      <c r="D47" s="170" t="s">
        <v>108</v>
      </c>
      <c r="E47" s="305" t="s">
        <v>186</v>
      </c>
      <c r="F47" s="305" t="s">
        <v>186</v>
      </c>
      <c r="G47" s="305" t="s">
        <v>187</v>
      </c>
      <c r="H47" s="293" t="s">
        <v>216</v>
      </c>
      <c r="I47" s="293" t="s">
        <v>218</v>
      </c>
      <c r="J47" s="293" t="s">
        <v>214</v>
      </c>
      <c r="K47" s="167" t="s">
        <v>109</v>
      </c>
      <c r="L47" s="338">
        <v>2022</v>
      </c>
      <c r="M47" s="339">
        <v>2023</v>
      </c>
      <c r="N47" s="339">
        <v>2024</v>
      </c>
      <c r="O47" s="338">
        <v>2022</v>
      </c>
      <c r="P47" s="339">
        <v>2023</v>
      </c>
      <c r="Q47" s="339">
        <v>2024</v>
      </c>
    </row>
    <row r="48" spans="1:17" ht="15" customHeight="1" outlineLevel="1">
      <c r="B48" s="315" t="s">
        <v>110</v>
      </c>
      <c r="C48" s="171"/>
      <c r="D48" s="171"/>
      <c r="E48" s="313" t="s">
        <v>210</v>
      </c>
      <c r="F48" s="313" t="s">
        <v>210</v>
      </c>
      <c r="G48" s="171"/>
      <c r="H48" s="313" t="s">
        <v>212</v>
      </c>
      <c r="I48" s="171"/>
      <c r="J48" s="171"/>
      <c r="K48" s="171"/>
      <c r="L48" s="171"/>
      <c r="M48" s="171"/>
      <c r="N48" s="171"/>
      <c r="O48" s="314" t="s">
        <v>211</v>
      </c>
      <c r="P48" s="314" t="s">
        <v>211</v>
      </c>
      <c r="Q48" s="314" t="s">
        <v>211</v>
      </c>
    </row>
    <row r="49" spans="2:19" ht="15" customHeight="1" outlineLevel="1">
      <c r="B49" s="172">
        <v>44631</v>
      </c>
      <c r="C49" s="260" t="s">
        <v>111</v>
      </c>
      <c r="D49" s="260" t="s">
        <v>112</v>
      </c>
      <c r="E49" s="254">
        <v>25.5</v>
      </c>
      <c r="F49" s="254">
        <v>31.11</v>
      </c>
      <c r="G49" s="361">
        <f>F49/E49-1</f>
        <v>0.21999999999999997</v>
      </c>
      <c r="H49" s="308">
        <v>129</v>
      </c>
      <c r="I49" s="307">
        <f>H49*F49</f>
        <v>4013.19</v>
      </c>
      <c r="J49" s="308">
        <v>2528.3096999999998</v>
      </c>
      <c r="K49" s="309">
        <f>I49+J49</f>
        <v>6541.4997000000003</v>
      </c>
      <c r="L49" s="175">
        <v>485</v>
      </c>
      <c r="M49" s="175">
        <v>509.25</v>
      </c>
      <c r="N49" s="175">
        <v>534.71249999999998</v>
      </c>
      <c r="O49" s="158">
        <f t="shared" ref="O49:Q58" si="9">IFERROR($K49/L49,"NA")</f>
        <v>13.487628247422681</v>
      </c>
      <c r="P49" s="158">
        <f t="shared" si="9"/>
        <v>12.845360235640648</v>
      </c>
      <c r="Q49" s="158">
        <f t="shared" si="9"/>
        <v>12.233676414895857</v>
      </c>
      <c r="S49"/>
    </row>
    <row r="50" spans="2:19" ht="15" customHeight="1" outlineLevel="1">
      <c r="B50" s="172">
        <v>44626</v>
      </c>
      <c r="C50" s="260" t="s">
        <v>113</v>
      </c>
      <c r="D50" s="260" t="s">
        <v>114</v>
      </c>
      <c r="E50" s="254">
        <v>37.25</v>
      </c>
      <c r="F50" s="254">
        <v>46.56</v>
      </c>
      <c r="G50" s="361">
        <f>F50/E50-1</f>
        <v>0.24993288590604035</v>
      </c>
      <c r="H50" s="308">
        <v>568</v>
      </c>
      <c r="I50" s="307">
        <f t="shared" ref="I50:I58" si="10">H50*F50</f>
        <v>26446.080000000002</v>
      </c>
      <c r="J50" s="308">
        <v>18247.7952</v>
      </c>
      <c r="K50" s="309">
        <f t="shared" ref="K50:K58" si="11">I50+J50</f>
        <v>44693.875200000002</v>
      </c>
      <c r="L50" s="175">
        <v>4382</v>
      </c>
      <c r="M50" s="175">
        <v>4688.7400000000007</v>
      </c>
      <c r="N50" s="175">
        <v>5063.8392000000013</v>
      </c>
      <c r="O50" s="158">
        <f t="shared" si="9"/>
        <v>10.199423824737563</v>
      </c>
      <c r="P50" s="158">
        <f t="shared" si="9"/>
        <v>9.5321717988201513</v>
      </c>
      <c r="Q50" s="158">
        <f t="shared" si="9"/>
        <v>8.8260849989075467</v>
      </c>
    </row>
    <row r="51" spans="2:19" ht="15" customHeight="1" outlineLevel="1">
      <c r="B51" s="172">
        <v>44456</v>
      </c>
      <c r="C51" s="260" t="s">
        <v>115</v>
      </c>
      <c r="D51" s="260" t="s">
        <v>116</v>
      </c>
      <c r="E51" s="254">
        <v>16.8</v>
      </c>
      <c r="F51" s="254">
        <v>21.17</v>
      </c>
      <c r="G51" s="361">
        <f>F51/E51-1</f>
        <v>0.26011904761904758</v>
      </c>
      <c r="H51" s="308">
        <v>688</v>
      </c>
      <c r="I51" s="307">
        <f t="shared" si="10"/>
        <v>14564.960000000001</v>
      </c>
      <c r="J51" s="308">
        <v>9758.5231999999996</v>
      </c>
      <c r="K51" s="309">
        <f t="shared" si="11"/>
        <v>24323.483200000002</v>
      </c>
      <c r="L51" s="175">
        <v>1622</v>
      </c>
      <c r="M51" s="175">
        <v>1784.2</v>
      </c>
      <c r="N51" s="175">
        <v>1891.2520000000002</v>
      </c>
      <c r="O51" s="158">
        <f t="shared" si="9"/>
        <v>14.995982244143034</v>
      </c>
      <c r="P51" s="158">
        <f t="shared" si="9"/>
        <v>13.632711131039121</v>
      </c>
      <c r="Q51" s="158">
        <f t="shared" si="9"/>
        <v>12.86104823682936</v>
      </c>
    </row>
    <row r="52" spans="2:19" ht="15" customHeight="1" outlineLevel="1">
      <c r="B52" s="172">
        <v>44148</v>
      </c>
      <c r="C52" s="260" t="s">
        <v>117</v>
      </c>
      <c r="D52" s="260" t="s">
        <v>118</v>
      </c>
      <c r="E52" s="254">
        <v>31.11</v>
      </c>
      <c r="F52" s="254">
        <v>37.33</v>
      </c>
      <c r="G52" s="361">
        <f t="shared" ref="G52:G58" si="12">F52/E52-1</f>
        <v>0.19993571198971383</v>
      </c>
      <c r="H52" s="308">
        <v>1429</v>
      </c>
      <c r="I52" s="307">
        <f t="shared" si="10"/>
        <v>53344.57</v>
      </c>
      <c r="J52" s="308">
        <v>34673.970499999996</v>
      </c>
      <c r="K52" s="309">
        <f t="shared" si="11"/>
        <v>88018.540500000003</v>
      </c>
      <c r="L52" s="175">
        <v>8075</v>
      </c>
      <c r="M52" s="175">
        <v>8882.5</v>
      </c>
      <c r="N52" s="175">
        <v>9681.9250000000011</v>
      </c>
      <c r="O52" s="158">
        <f t="shared" si="9"/>
        <v>10.900128854489164</v>
      </c>
      <c r="P52" s="158">
        <f t="shared" si="9"/>
        <v>9.9092080495356036</v>
      </c>
      <c r="Q52" s="158">
        <f t="shared" si="9"/>
        <v>9.0910165592069756</v>
      </c>
    </row>
    <row r="53" spans="2:19" ht="15" customHeight="1" outlineLevel="1">
      <c r="B53" s="172">
        <v>44056</v>
      </c>
      <c r="C53" s="260" t="s">
        <v>119</v>
      </c>
      <c r="D53" s="260" t="s">
        <v>120</v>
      </c>
      <c r="E53" s="254">
        <v>29.29</v>
      </c>
      <c r="F53" s="254">
        <v>37.200000000000003</v>
      </c>
      <c r="G53" s="361">
        <f t="shared" si="12"/>
        <v>0.27005804028678737</v>
      </c>
      <c r="H53" s="308">
        <v>1198</v>
      </c>
      <c r="I53" s="307">
        <f t="shared" si="10"/>
        <v>44565.600000000006</v>
      </c>
      <c r="J53" s="308">
        <v>27630.672000000002</v>
      </c>
      <c r="K53" s="309">
        <f t="shared" si="11"/>
        <v>72196.272000000012</v>
      </c>
      <c r="L53" s="175">
        <v>4512</v>
      </c>
      <c r="M53" s="175">
        <v>4918.08</v>
      </c>
      <c r="N53" s="175">
        <v>5311.5264000000006</v>
      </c>
      <c r="O53" s="158">
        <f t="shared" si="9"/>
        <v>16.000946808510641</v>
      </c>
      <c r="P53" s="158">
        <f t="shared" si="9"/>
        <v>14.679767714229946</v>
      </c>
      <c r="Q53" s="158">
        <f t="shared" si="9"/>
        <v>13.592377513175874</v>
      </c>
    </row>
    <row r="54" spans="2:19" ht="15" customHeight="1" outlineLevel="1">
      <c r="B54" s="172">
        <v>43952</v>
      </c>
      <c r="C54" s="260" t="s">
        <v>121</v>
      </c>
      <c r="D54" s="260" t="s">
        <v>122</v>
      </c>
      <c r="E54" s="254">
        <v>12.34</v>
      </c>
      <c r="F54" s="254">
        <v>15.3</v>
      </c>
      <c r="G54" s="361">
        <f t="shared" si="12"/>
        <v>0.23987034035656407</v>
      </c>
      <c r="H54" s="308">
        <v>934</v>
      </c>
      <c r="I54" s="307">
        <f t="shared" si="10"/>
        <v>14290.2</v>
      </c>
      <c r="J54" s="308">
        <v>9145.728000000001</v>
      </c>
      <c r="K54" s="309">
        <f t="shared" si="11"/>
        <v>23435.928</v>
      </c>
      <c r="L54" s="175">
        <v>2092</v>
      </c>
      <c r="M54" s="175">
        <v>2280.2800000000002</v>
      </c>
      <c r="N54" s="175">
        <v>2485.5052000000005</v>
      </c>
      <c r="O54" s="158">
        <f t="shared" si="9"/>
        <v>11.202642447418738</v>
      </c>
      <c r="P54" s="158">
        <f t="shared" si="9"/>
        <v>10.277653621485079</v>
      </c>
      <c r="Q54" s="158">
        <f t="shared" si="9"/>
        <v>9.4290400197110813</v>
      </c>
    </row>
    <row r="55" spans="2:19" ht="15" customHeight="1" outlineLevel="1">
      <c r="B55" s="172">
        <v>44091</v>
      </c>
      <c r="C55" s="260" t="s">
        <v>130</v>
      </c>
      <c r="D55" s="260" t="s">
        <v>188</v>
      </c>
      <c r="E55" s="254">
        <v>9</v>
      </c>
      <c r="F55" s="254">
        <v>8.75</v>
      </c>
      <c r="G55" s="361">
        <f t="shared" si="12"/>
        <v>-2.777777777777779E-2</v>
      </c>
      <c r="H55" s="308">
        <v>156</v>
      </c>
      <c r="I55" s="307">
        <f t="shared" si="10"/>
        <v>1365</v>
      </c>
      <c r="J55" s="308">
        <v>859.95</v>
      </c>
      <c r="K55" s="309">
        <f t="shared" si="11"/>
        <v>2224.9499999999998</v>
      </c>
      <c r="L55" s="175">
        <v>371</v>
      </c>
      <c r="M55" s="175">
        <v>404.39000000000004</v>
      </c>
      <c r="N55" s="175">
        <v>424.60950000000008</v>
      </c>
      <c r="O55" s="158">
        <f t="shared" si="9"/>
        <v>5.9971698113207541</v>
      </c>
      <c r="P55" s="158">
        <f t="shared" si="9"/>
        <v>5.501990652587847</v>
      </c>
      <c r="Q55" s="158">
        <f t="shared" si="9"/>
        <v>5.2399910977027115</v>
      </c>
    </row>
    <row r="56" spans="2:19" ht="15" customHeight="1" outlineLevel="1">
      <c r="B56" s="172">
        <v>42264</v>
      </c>
      <c r="C56" s="260" t="s">
        <v>130</v>
      </c>
      <c r="D56" s="260" t="s">
        <v>131</v>
      </c>
      <c r="E56" s="254">
        <v>23.82</v>
      </c>
      <c r="F56" s="254">
        <v>30.489599999999999</v>
      </c>
      <c r="G56" s="361">
        <f t="shared" si="12"/>
        <v>0.28000000000000003</v>
      </c>
      <c r="H56" s="308">
        <v>1219</v>
      </c>
      <c r="I56" s="307">
        <f t="shared" si="10"/>
        <v>37166.822399999997</v>
      </c>
      <c r="J56" s="308">
        <v>25273.439231999997</v>
      </c>
      <c r="K56" s="309">
        <f t="shared" si="11"/>
        <v>62440.261631999994</v>
      </c>
      <c r="L56" s="175">
        <v>4995</v>
      </c>
      <c r="M56" s="175">
        <v>5144.8500000000004</v>
      </c>
      <c r="N56" s="175">
        <v>5299.1955000000007</v>
      </c>
      <c r="O56" s="158">
        <f t="shared" si="9"/>
        <v>12.500552879279278</v>
      </c>
      <c r="P56" s="158">
        <f t="shared" si="9"/>
        <v>12.136459106096385</v>
      </c>
      <c r="Q56" s="158">
        <f t="shared" si="9"/>
        <v>11.78297000591882</v>
      </c>
    </row>
    <row r="57" spans="2:19" ht="15" customHeight="1" outlineLevel="1">
      <c r="B57" s="172">
        <v>41956</v>
      </c>
      <c r="C57" s="260" t="s">
        <v>133</v>
      </c>
      <c r="D57" s="260" t="s">
        <v>132</v>
      </c>
      <c r="E57" s="254">
        <v>60</v>
      </c>
      <c r="F57" s="254">
        <v>72.5</v>
      </c>
      <c r="G57" s="361">
        <f t="shared" si="12"/>
        <v>0.20833333333333326</v>
      </c>
      <c r="H57" s="308">
        <v>141</v>
      </c>
      <c r="I57" s="307">
        <f t="shared" si="10"/>
        <v>10222.5</v>
      </c>
      <c r="J57" s="308">
        <v>6337.95</v>
      </c>
      <c r="K57" s="309">
        <f t="shared" si="11"/>
        <v>16560.45</v>
      </c>
      <c r="L57" s="175">
        <v>974</v>
      </c>
      <c r="M57" s="175">
        <v>1071.4000000000001</v>
      </c>
      <c r="N57" s="175">
        <v>1178.5400000000002</v>
      </c>
      <c r="O57" s="158">
        <f t="shared" si="9"/>
        <v>17.00251540041068</v>
      </c>
      <c r="P57" s="158">
        <f t="shared" si="9"/>
        <v>15.456832182191524</v>
      </c>
      <c r="Q57" s="158">
        <f t="shared" si="9"/>
        <v>14.051665620174113</v>
      </c>
    </row>
    <row r="58" spans="2:19" ht="15" customHeight="1" outlineLevel="1">
      <c r="B58" s="172">
        <v>41864</v>
      </c>
      <c r="C58" s="260" t="s">
        <v>134</v>
      </c>
      <c r="D58" s="260" t="s">
        <v>135</v>
      </c>
      <c r="E58" s="254">
        <v>14</v>
      </c>
      <c r="F58" s="254">
        <v>17.36</v>
      </c>
      <c r="G58" s="361">
        <f t="shared" si="12"/>
        <v>0.24</v>
      </c>
      <c r="H58" s="308">
        <v>1377</v>
      </c>
      <c r="I58" s="307">
        <f t="shared" si="10"/>
        <v>23904.719999999998</v>
      </c>
      <c r="J58" s="308">
        <v>14342.831999999999</v>
      </c>
      <c r="K58" s="309">
        <f t="shared" si="11"/>
        <v>38247.551999999996</v>
      </c>
      <c r="L58" s="175">
        <v>2318</v>
      </c>
      <c r="M58" s="175">
        <v>2503.44</v>
      </c>
      <c r="N58" s="175">
        <v>2728.7496000000001</v>
      </c>
      <c r="O58" s="158">
        <f t="shared" si="9"/>
        <v>16.500238136324416</v>
      </c>
      <c r="P58" s="158">
        <f t="shared" si="9"/>
        <v>15.277998274374459</v>
      </c>
      <c r="Q58" s="158">
        <f t="shared" si="9"/>
        <v>14.016512178325192</v>
      </c>
    </row>
    <row r="59" spans="2:19" ht="15" customHeight="1" outlineLevel="1">
      <c r="B59" s="172"/>
      <c r="C59" s="173"/>
      <c r="D59" s="173"/>
      <c r="E59" s="173"/>
      <c r="F59" s="173"/>
      <c r="G59" s="173"/>
      <c r="H59" s="173"/>
      <c r="I59" s="173"/>
      <c r="J59" s="173"/>
      <c r="K59" s="174"/>
      <c r="L59" s="175"/>
      <c r="M59" s="175"/>
      <c r="N59" s="175"/>
      <c r="O59" s="158"/>
      <c r="P59" s="158"/>
      <c r="Q59" s="158"/>
    </row>
    <row r="60" spans="2:19" ht="15" customHeight="1" outlineLevel="1">
      <c r="B60" s="172"/>
      <c r="C60" s="173"/>
      <c r="D60" s="173"/>
      <c r="E60" s="173"/>
      <c r="F60" s="173"/>
      <c r="G60" s="173"/>
      <c r="H60" s="173"/>
      <c r="I60" s="173"/>
      <c r="J60" s="173"/>
      <c r="K60" s="174"/>
      <c r="L60" s="175"/>
      <c r="M60" s="175"/>
      <c r="N60" s="175"/>
      <c r="O60" s="158"/>
      <c r="P60" s="158"/>
      <c r="Q60" s="158"/>
    </row>
    <row r="61" spans="2:19" ht="15" customHeight="1" outlineLevel="1">
      <c r="B61" s="154" t="s">
        <v>100</v>
      </c>
      <c r="C61" s="176"/>
      <c r="D61" s="91"/>
      <c r="E61" s="91"/>
      <c r="F61" s="91"/>
      <c r="G61" s="253"/>
      <c r="H61" s="253"/>
      <c r="I61" s="253"/>
      <c r="J61" s="253"/>
      <c r="K61" s="155"/>
      <c r="M61" s="177"/>
      <c r="N61" s="177"/>
      <c r="O61" s="158">
        <f>+AVERAGE(O$49:O$54)</f>
        <v>12.797792071120305</v>
      </c>
      <c r="P61" s="158">
        <f>+AVERAGE(P$49:P$54)</f>
        <v>11.812812091791757</v>
      </c>
      <c r="Q61" s="158">
        <f>+AVERAGE(Q$49:Q$54)</f>
        <v>11.005540623787782</v>
      </c>
    </row>
    <row r="62" spans="2:19" ht="15" customHeight="1" outlineLevel="1">
      <c r="B62" s="154" t="s">
        <v>101</v>
      </c>
      <c r="C62" s="176"/>
      <c r="D62" s="91"/>
      <c r="E62" s="91"/>
      <c r="F62" s="91"/>
      <c r="G62" s="253"/>
      <c r="H62" s="253"/>
      <c r="I62" s="253"/>
      <c r="J62" s="253"/>
      <c r="K62" s="155"/>
      <c r="L62" s="155"/>
      <c r="M62" s="177"/>
      <c r="N62" s="177"/>
      <c r="O62" s="158">
        <f>+MEDIAN(O$49:O$54)</f>
        <v>12.345135347420708</v>
      </c>
      <c r="P62" s="158">
        <f>+MEDIAN(P$49:P$54)</f>
        <v>11.561506928562864</v>
      </c>
      <c r="Q62" s="158">
        <f>+MEDIAN(Q$49:Q$54)</f>
        <v>10.831358217303469</v>
      </c>
    </row>
    <row r="63" spans="2:19" ht="15" customHeight="1" outlineLevel="1">
      <c r="B63" s="179" t="s">
        <v>102</v>
      </c>
      <c r="C63" s="46"/>
      <c r="D63" s="91"/>
      <c r="E63" s="91"/>
      <c r="F63" s="91"/>
      <c r="G63" s="253"/>
      <c r="H63" s="253"/>
      <c r="I63" s="253"/>
      <c r="J63" s="253"/>
      <c r="K63" s="155"/>
      <c r="L63" s="155"/>
      <c r="M63" s="91"/>
      <c r="N63" s="306"/>
      <c r="O63" s="158">
        <f>+MAX(O$49:O$54)</f>
        <v>16.000946808510641</v>
      </c>
      <c r="P63" s="158">
        <f>+MAX(P$49:P$54)</f>
        <v>14.679767714229946</v>
      </c>
      <c r="Q63" s="158">
        <f>+MAX(Q$49:Q$54)</f>
        <v>13.592377513175874</v>
      </c>
    </row>
    <row r="64" spans="2:19" ht="15" customHeight="1" outlineLevel="1">
      <c r="B64" s="179" t="s">
        <v>103</v>
      </c>
      <c r="C64" s="46"/>
      <c r="D64" s="91"/>
      <c r="E64" s="91"/>
      <c r="F64" s="91"/>
      <c r="G64" s="253"/>
      <c r="H64" s="253"/>
      <c r="I64" s="253"/>
      <c r="J64" s="253"/>
      <c r="K64" s="155"/>
      <c r="L64" s="155"/>
      <c r="M64" s="91"/>
      <c r="N64" s="306"/>
      <c r="O64" s="158">
        <f>+MIN(O$49:O$54)</f>
        <v>10.199423824737563</v>
      </c>
      <c r="P64" s="158">
        <f t="shared" ref="P64:Q64" si="13">+MIN(P$49:P$54)</f>
        <v>9.5321717988201513</v>
      </c>
      <c r="Q64" s="158">
        <f t="shared" si="13"/>
        <v>8.8260849989075467</v>
      </c>
    </row>
    <row r="65" spans="2:17" ht="15" customHeight="1" outlineLevel="1">
      <c r="B65" s="172"/>
      <c r="C65" s="173"/>
      <c r="D65" s="173"/>
      <c r="E65" s="173"/>
      <c r="F65" s="173"/>
      <c r="G65" s="173"/>
      <c r="H65" s="173"/>
      <c r="I65" s="173"/>
      <c r="J65" s="173"/>
      <c r="K65" s="174"/>
      <c r="L65" s="175"/>
      <c r="M65" s="175"/>
      <c r="N65" s="175"/>
      <c r="O65" s="158"/>
      <c r="P65" s="158"/>
      <c r="Q65" s="158"/>
    </row>
    <row r="66" spans="2:17" ht="15" customHeight="1" outlineLevel="1"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50"/>
      <c r="O66" s="150"/>
      <c r="P66" s="150"/>
      <c r="Q66" s="150"/>
    </row>
    <row r="67" spans="2:17" ht="15" customHeight="1" outlineLevel="1">
      <c r="B67" s="153" t="s">
        <v>215</v>
      </c>
      <c r="C67" s="176"/>
      <c r="D67" s="91"/>
      <c r="E67" s="91"/>
      <c r="F67" s="91"/>
      <c r="G67" s="91"/>
      <c r="H67" s="91"/>
      <c r="I67" s="91"/>
      <c r="J67" s="91"/>
      <c r="K67" s="91"/>
      <c r="L67" s="91"/>
      <c r="M67" s="177"/>
      <c r="N67" s="177"/>
      <c r="O67" s="178"/>
      <c r="P67" s="158"/>
      <c r="Q67" s="158"/>
    </row>
    <row r="68" spans="2:17" ht="15" customHeight="1" outlineLevel="1">
      <c r="B68" s="179" t="str">
        <f>$L$47&amp;"A EV/EBITDA"</f>
        <v>2022A EV/EBITDA</v>
      </c>
      <c r="C68" s="176"/>
      <c r="D68" s="91"/>
      <c r="E68" s="362">
        <f>'DCF Model'!E234</f>
        <v>7.25</v>
      </c>
      <c r="F68" s="363">
        <f>I68/H68</f>
        <v>13.475556272570465</v>
      </c>
      <c r="G68" s="364">
        <f>F68/E68-1</f>
        <v>0.8586974169062711</v>
      </c>
      <c r="H68" s="360">
        <f>'DCF Model'!E232</f>
        <v>17100</v>
      </c>
      <c r="I68" s="365">
        <f>K68-J68</f>
        <v>230432.01226095494</v>
      </c>
      <c r="J68" s="360">
        <f>-'DCF Model'!D227</f>
        <v>14143.000900000001</v>
      </c>
      <c r="K68" s="365">
        <f>L68*O68</f>
        <v>244575.01316095496</v>
      </c>
      <c r="L68" s="252">
        <f>'DCF Model'!H123</f>
        <v>19811.448499999999</v>
      </c>
      <c r="O68" s="158">
        <f>O62</f>
        <v>12.345135347420708</v>
      </c>
      <c r="P68" s="158"/>
      <c r="Q68" s="158"/>
    </row>
    <row r="69" spans="2:17" ht="15" customHeight="1" outlineLevel="1">
      <c r="B69" s="179" t="str">
        <f>$M$47&amp;"F EV/EBITDA"</f>
        <v>2023F EV/EBITDA</v>
      </c>
      <c r="C69" s="176"/>
      <c r="D69" s="91"/>
      <c r="E69" s="363">
        <f>E68</f>
        <v>7.25</v>
      </c>
      <c r="F69" s="363">
        <f t="shared" ref="F69:F70" si="14">I69/H69</f>
        <v>13.313287503264229</v>
      </c>
      <c r="G69" s="364">
        <f t="shared" ref="G69:G70" si="15">F69/E69-1</f>
        <v>0.83631551769161794</v>
      </c>
      <c r="H69" s="365">
        <f>H68</f>
        <v>17100</v>
      </c>
      <c r="I69" s="365">
        <f t="shared" ref="I69:I70" si="16">K69-J69</f>
        <v>227657.21630581832</v>
      </c>
      <c r="J69" s="365">
        <f>J68</f>
        <v>14143.000900000001</v>
      </c>
      <c r="K69" s="365">
        <f>M69*P69</f>
        <v>241800.21720581834</v>
      </c>
      <c r="L69" s="91"/>
      <c r="M69" s="252">
        <f>'DCF Model'!I123</f>
        <v>20914.247485200009</v>
      </c>
      <c r="N69" s="177"/>
      <c r="O69" s="178"/>
      <c r="P69" s="158">
        <f>P62</f>
        <v>11.561506928562864</v>
      </c>
      <c r="Q69" s="158"/>
    </row>
    <row r="70" spans="2:17" ht="15" customHeight="1" outlineLevel="1">
      <c r="B70" s="179" t="str">
        <f>$N$47&amp;"F EV/EBITDA"</f>
        <v>2024F EV/EBITDA</v>
      </c>
      <c r="C70" s="176"/>
      <c r="D70" s="91"/>
      <c r="E70" s="363">
        <f>E69</f>
        <v>7.25</v>
      </c>
      <c r="F70" s="363">
        <f t="shared" si="14"/>
        <v>12.633521477339277</v>
      </c>
      <c r="G70" s="364">
        <f t="shared" si="15"/>
        <v>0.74255468652955559</v>
      </c>
      <c r="H70" s="365">
        <f>H69</f>
        <v>17100</v>
      </c>
      <c r="I70" s="365">
        <f t="shared" si="16"/>
        <v>216033.21726250165</v>
      </c>
      <c r="J70" s="365">
        <f>J69</f>
        <v>14143.000900000001</v>
      </c>
      <c r="K70" s="365">
        <f>N70*Q70</f>
        <v>230176.21816250167</v>
      </c>
      <c r="L70" s="91"/>
      <c r="M70" s="177"/>
      <c r="N70" s="252">
        <f>'DCF Model'!J123</f>
        <v>21250.909954652521</v>
      </c>
      <c r="O70" s="178"/>
      <c r="P70" s="158"/>
      <c r="Q70" s="158">
        <f>Q62</f>
        <v>10.831358217303469</v>
      </c>
    </row>
    <row r="71" spans="2:17" ht="15" customHeight="1" outlineLevel="1"/>
    <row r="72" spans="2:17" ht="15" customHeight="1" outlineLevel="1"/>
    <row r="73" spans="2:17" ht="15" customHeight="1" outlineLevel="1"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1"/>
      <c r="Q73"/>
    </row>
    <row r="74" spans="2:17" ht="15" customHeight="1" outlineLevel="1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182"/>
      <c r="N74" s="46"/>
    </row>
    <row r="75" spans="2:17" ht="15" customHeight="1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</row>
  </sheetData>
  <printOptions horizontalCentered="1"/>
  <pageMargins left="0.118110236220472" right="0.118110236220472" top="0.118110236220472" bottom="0.118110236220472" header="0.118110236220472" footer="0.118110236220472"/>
  <pageSetup scale="71" orientation="landscape" r:id="rId1"/>
  <headerFooter alignWithMargins="0">
    <oddFooter>&amp;L&amp;"Open Sans,Bold"&amp;10&amp;K002060Introduction to Business Valuation&amp;C&amp;"Open Sans,Bold"&amp;10&amp;K002060Page &amp;P of &amp;N&amp;R&amp;G</oddFooter>
  </headerFooter>
  <colBreaks count="2" manualBreakCount="2">
    <brk id="15" max="419" man="1"/>
    <brk id="16" min="41" max="77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CEAC-A8FE-4DF8-8FE6-C76DB06133B8}">
  <sheetPr>
    <pageSetUpPr fitToPage="1"/>
  </sheetPr>
  <dimension ref="B1:O42"/>
  <sheetViews>
    <sheetView showGridLines="0" zoomScale="85" zoomScaleNormal="85" zoomScaleSheetLayoutView="85" workbookViewId="0">
      <pane ySplit="1" topLeftCell="A10" activePane="bottomLeft" state="frozen"/>
      <selection pane="bottomLeft"/>
    </sheetView>
  </sheetViews>
  <sheetFormatPr defaultRowHeight="14.4"/>
  <cols>
    <col min="1" max="3" width="8.83984375" style="255"/>
    <col min="4" max="4" width="21.20703125" style="255" bestFit="1" customWidth="1"/>
    <col min="5" max="16384" width="8.83984375" style="255"/>
  </cols>
  <sheetData>
    <row r="1" spans="2:15" ht="55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3" spans="2:15" ht="20.399999999999999">
      <c r="B3" s="36" t="s">
        <v>196</v>
      </c>
      <c r="C3" s="37"/>
      <c r="D3" s="77"/>
      <c r="E3" s="77"/>
      <c r="F3" s="39"/>
      <c r="G3" s="39"/>
      <c r="H3" s="39"/>
      <c r="I3" s="40"/>
      <c r="J3" s="41"/>
      <c r="K3" s="41"/>
      <c r="L3" s="41"/>
      <c r="M3" s="41"/>
      <c r="N3" s="41"/>
      <c r="O3" s="41"/>
    </row>
    <row r="36" spans="4:7">
      <c r="E36" s="265" t="s">
        <v>192</v>
      </c>
      <c r="F36" s="265" t="s">
        <v>193</v>
      </c>
      <c r="G36" s="265" t="s">
        <v>194</v>
      </c>
    </row>
    <row r="37" spans="4:7">
      <c r="D37" s="303" t="s">
        <v>191</v>
      </c>
      <c r="E37" s="304">
        <f>MIN('Relative Valuation'!$E$30:$E$33)</f>
        <v>7.0339378825234045</v>
      </c>
      <c r="F37" s="262">
        <f t="shared" ref="F37:F38" si="0">G37-E37</f>
        <v>3.5031991498884869</v>
      </c>
      <c r="G37" s="304">
        <f>MAX('Relative Valuation'!$E$30:$E$33)</f>
        <v>10.537137032411891</v>
      </c>
    </row>
    <row r="38" spans="4:7">
      <c r="D38" s="261" t="s">
        <v>190</v>
      </c>
      <c r="E38" s="304">
        <f>MIN('Relative Valuation'!$F$68:$F$70)</f>
        <v>12.633521477339277</v>
      </c>
      <c r="F38" s="262">
        <f t="shared" si="0"/>
        <v>0.84203479523118752</v>
      </c>
      <c r="G38" s="304">
        <f>MAX('Relative Valuation'!$F$68:$F$70)</f>
        <v>13.475556272570465</v>
      </c>
    </row>
    <row r="39" spans="4:7">
      <c r="D39" s="271" t="s">
        <v>204</v>
      </c>
      <c r="E39" s="304">
        <f>'DCF Model'!D319</f>
        <v>5.0904490071280213</v>
      </c>
      <c r="F39" s="262">
        <f>G39-E39</f>
        <v>3.4321569607814224</v>
      </c>
      <c r="G39" s="304">
        <f>'DCF Model'!H323</f>
        <v>8.5226059679094437</v>
      </c>
    </row>
    <row r="40" spans="4:7">
      <c r="D40" s="271" t="s">
        <v>205</v>
      </c>
      <c r="E40" s="304">
        <f>'DCF Model'!D330</f>
        <v>4.6588611592877118</v>
      </c>
      <c r="F40" s="262">
        <f>G40-E40</f>
        <v>3.5355384202228173</v>
      </c>
      <c r="G40" s="304">
        <f>'DCF Model'!H334</f>
        <v>8.1943995795105291</v>
      </c>
    </row>
    <row r="41" spans="4:7">
      <c r="D41" s="261" t="s">
        <v>195</v>
      </c>
      <c r="E41" s="264">
        <v>4.25</v>
      </c>
      <c r="F41" s="262">
        <f>G41-E41</f>
        <v>5.8599999999999994</v>
      </c>
      <c r="G41" s="264">
        <v>10.11</v>
      </c>
    </row>
    <row r="42" spans="4:7">
      <c r="D42" s="268" t="str">
        <f>"Average Valuation: "&amp;TEXT(E42,"$0.00")</f>
        <v>Average Valuation: $8.77</v>
      </c>
      <c r="E42" s="263">
        <f>AVERAGE(E37:E40,G37:G40)</f>
        <v>8.7683085473350921</v>
      </c>
    </row>
  </sheetData>
  <printOptions horizontalCentered="1"/>
  <pageMargins left="0.11799999999999999" right="0.11799999999999999" top="0.11799999999999999" bottom="0.11799999999999999" header="0.3" footer="0.3"/>
  <pageSetup scale="99" orientation="landscape" horizontalDpi="300" verticalDpi="300" r:id="rId1"/>
  <headerFooter>
    <oddFooter>&amp;L&amp;"Open Sans,Bold"&amp;10&amp;K002060Introduction to Business Valuation&amp;C&amp;"Open Sans,Bold"&amp;10&amp;K002060Page &amp;P of &amp;N&amp;R&amp;G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d="http://www.w3.org/2001/XMLSchema" xmlns:xsi="http://www.w3.org/2001/XMLSchema-instance" xmlns="TagniFiModelState">
  <SerializedJson>[]</SerializedJson>
</CacheModel>
</file>

<file path=customXml/itemProps1.xml><?xml version="1.0" encoding="utf-8"?>
<ds:datastoreItem xmlns:ds="http://schemas.openxmlformats.org/officeDocument/2006/customXml" ds:itemID="{F87FA3EF-5CAE-45FE-8E65-0323A68546CC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</vt:lpstr>
      <vt:lpstr>DCF Model</vt:lpstr>
      <vt:lpstr>Relative Valuation</vt:lpstr>
      <vt:lpstr>Football Field Chart</vt:lpstr>
      <vt:lpstr>Cover!Print_Area</vt:lpstr>
      <vt:lpstr>'DCF Model'!Print_Area</vt:lpstr>
      <vt:lpstr>'Football Field Chart'!Print_Area</vt:lpstr>
      <vt:lpstr>'Relative Valuation'!Print_Area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Schmidt</dc:creator>
  <cp:keywords/>
  <dc:description/>
  <cp:lastModifiedBy>Corporate Finance Institute</cp:lastModifiedBy>
  <cp:revision/>
  <cp:lastPrinted>2023-04-03T15:46:36Z</cp:lastPrinted>
  <dcterms:created xsi:type="dcterms:W3CDTF">1899-12-30T08:00:00Z</dcterms:created>
  <dcterms:modified xsi:type="dcterms:W3CDTF">2023-04-03T15:47:30Z</dcterms:modified>
  <cp:category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(2)9E0AFlow991RaUz93F7teYDfE5sfh3HRsGGWjTyYlEuSpfdskqeFaRt0KQvUS/MU1Q70Y6Vg
MnRc1Yn4pQvsqyBDf/Dss8qpRVZ+zUz5+7+MkOeTDq2xiow624hCcsCSFlIbctNcnq4xt/yK
PGYfRs/2DmhTphWRiJ+d2y1ftk6Ap/CfF8M8BhZVXPw8qXEaGTnlzc4D5LFCIdTkvr4J5Bza
IFrTrHIeDH68+vHKd0</vt:lpwstr>
  </property>
  <property fmtid="{D5CDD505-2E9C-101B-9397-08002B2CF9AE}" pid="3" name="_2015_ms_pID_7253431">
    <vt:lpwstr>4peqTIFZXJJrD8PPLKEcolBVjuip8SehJLHxf+QcIKppA5xKt4n8O4
Q/r5b44QDkxA5bVz+fOMznYEgCLTBZCtbx8itlkPYVFdPaRI0ZK1zO5vo/oUrFR/vNArlPwC
X2klFIc0Z6YQl8Ezo6dCWaCBJ4cQUGrWeU8LGPAxXs3e2YtjpSMM+Zy006uXXih1zWy8DkX4
pvbNoqcCSVwDF2E1</vt:lpwstr>
  </property>
</Properties>
</file>