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6. DCF Valuation\"/>
    </mc:Choice>
  </mc:AlternateContent>
  <xr:revisionPtr revIDLastSave="0" documentId="13_ncr:1_{9CE7DBA8-8D90-4DE3-A9FA-7B9628E37099}" xr6:coauthVersionLast="47" xr6:coauthVersionMax="47" xr10:uidLastSave="{00000000-0000-0000-0000-000000000000}"/>
  <bookViews>
    <workbookView xWindow="-120" yWindow="-120" windowWidth="38640" windowHeight="21840" activeTab="1" xr2:uid="{1EE4A064-C994-4E24-95E5-D88032823A25}"/>
  </bookViews>
  <sheets>
    <sheet name="Model" sheetId="1" r:id="rId1"/>
    <sheet name="DCF" sheetId="14" r:id="rId2"/>
  </sheets>
  <definedNames>
    <definedName name="_xlnm.Print_Area" localSheetId="0">Model!$B$2:$O$43,Model!$B$46:$O$89,Model!#REF!,Model!$B$92:$O$124,Model!$B$127:$M$170,Model!$B$173:$M$199,Model!$B$202:$M$241,Model!#REF!,Model!#REF!,Model!#REF!,Model!#REF!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4" l="1"/>
  <c r="G82" i="14"/>
  <c r="H77" i="14"/>
  <c r="G77" i="14"/>
  <c r="G87" i="14" s="1"/>
  <c r="F77" i="14"/>
  <c r="F87" i="14" s="1"/>
  <c r="I76" i="14"/>
  <c r="J76" i="14" s="1"/>
  <c r="I75" i="14"/>
  <c r="J75" i="14" s="1"/>
  <c r="J74" i="14"/>
  <c r="J69" i="14" s="1"/>
  <c r="I74" i="14"/>
  <c r="I77" i="14" s="1"/>
  <c r="I87" i="14" s="1"/>
  <c r="H72" i="14"/>
  <c r="H83" i="14" s="1"/>
  <c r="I71" i="14"/>
  <c r="I72" i="14" s="1"/>
  <c r="I83" i="14" s="1"/>
  <c r="H71" i="14"/>
  <c r="G71" i="14"/>
  <c r="F71" i="14"/>
  <c r="I70" i="14"/>
  <c r="H70" i="14"/>
  <c r="G70" i="14"/>
  <c r="F70" i="14"/>
  <c r="I69" i="14"/>
  <c r="H69" i="14"/>
  <c r="G69" i="14"/>
  <c r="G72" i="14" s="1"/>
  <c r="G83" i="14" s="1"/>
  <c r="F69" i="14"/>
  <c r="F72" i="14" s="1"/>
  <c r="F83" i="14" s="1"/>
  <c r="H63" i="14"/>
  <c r="G63" i="14"/>
  <c r="F63" i="14"/>
  <c r="I62" i="14"/>
  <c r="H62" i="14"/>
  <c r="G62" i="14"/>
  <c r="F62" i="14"/>
  <c r="J61" i="14"/>
  <c r="H61" i="14"/>
  <c r="H64" i="14" s="1"/>
  <c r="H86" i="14" s="1"/>
  <c r="H88" i="14" s="1"/>
  <c r="G61" i="14"/>
  <c r="G64" i="14" s="1"/>
  <c r="G86" i="14" s="1"/>
  <c r="G88" i="14" s="1"/>
  <c r="F61" i="14"/>
  <c r="F64" i="14" s="1"/>
  <c r="F86" i="14" s="1"/>
  <c r="H59" i="14"/>
  <c r="H82" i="14" s="1"/>
  <c r="H84" i="14" s="1"/>
  <c r="G59" i="14"/>
  <c r="F59" i="14"/>
  <c r="F82" i="14" s="1"/>
  <c r="I58" i="14"/>
  <c r="J58" i="14" s="1"/>
  <c r="J57" i="14"/>
  <c r="J62" i="14" s="1"/>
  <c r="I57" i="14"/>
  <c r="J56" i="14"/>
  <c r="K56" i="14" s="1"/>
  <c r="I56" i="14"/>
  <c r="I61" i="14" s="1"/>
  <c r="J48" i="14"/>
  <c r="K48" i="14" s="1"/>
  <c r="L48" i="14" s="1"/>
  <c r="M48" i="14" s="1"/>
  <c r="H48" i="14"/>
  <c r="G48" i="14" s="1"/>
  <c r="F48" i="14" s="1"/>
  <c r="K75" i="14" l="1"/>
  <c r="J70" i="14"/>
  <c r="J72" i="14" s="1"/>
  <c r="J83" i="14" s="1"/>
  <c r="K76" i="14"/>
  <c r="J71" i="14"/>
  <c r="J63" i="14"/>
  <c r="J64" i="14" s="1"/>
  <c r="J86" i="14" s="1"/>
  <c r="J88" i="14" s="1"/>
  <c r="K58" i="14"/>
  <c r="F84" i="14"/>
  <c r="L56" i="14"/>
  <c r="K61" i="14"/>
  <c r="G84" i="14"/>
  <c r="I64" i="14"/>
  <c r="I86" i="14" s="1"/>
  <c r="I88" i="14" s="1"/>
  <c r="F88" i="14"/>
  <c r="I59" i="14"/>
  <c r="I82" i="14" s="1"/>
  <c r="I84" i="14" s="1"/>
  <c r="K74" i="14"/>
  <c r="J59" i="14"/>
  <c r="J82" i="14" s="1"/>
  <c r="K57" i="14"/>
  <c r="I63" i="14"/>
  <c r="J77" i="14"/>
  <c r="J87" i="14" s="1"/>
  <c r="K63" i="14" l="1"/>
  <c r="L58" i="14"/>
  <c r="L76" i="14"/>
  <c r="K71" i="14"/>
  <c r="K62" i="14"/>
  <c r="K64" i="14" s="1"/>
  <c r="K86" i="14" s="1"/>
  <c r="K88" i="14" s="1"/>
  <c r="L57" i="14"/>
  <c r="K59" i="14"/>
  <c r="K82" i="14" s="1"/>
  <c r="K84" i="14" s="1"/>
  <c r="J84" i="14"/>
  <c r="L75" i="14"/>
  <c r="K70" i="14"/>
  <c r="K69" i="14"/>
  <c r="K72" i="14" s="1"/>
  <c r="K83" i="14" s="1"/>
  <c r="K77" i="14"/>
  <c r="K87" i="14" s="1"/>
  <c r="L74" i="14"/>
  <c r="M56" i="14"/>
  <c r="L61" i="14"/>
  <c r="M61" i="14" l="1"/>
  <c r="N56" i="14"/>
  <c r="L62" i="14"/>
  <c r="L64" i="14" s="1"/>
  <c r="L86" i="14" s="1"/>
  <c r="L88" i="14" s="1"/>
  <c r="M57" i="14"/>
  <c r="M76" i="14"/>
  <c r="L71" i="14"/>
  <c r="L70" i="14"/>
  <c r="M75" i="14"/>
  <c r="L63" i="14"/>
  <c r="M58" i="14"/>
  <c r="L77" i="14"/>
  <c r="L87" i="14" s="1"/>
  <c r="M74" i="14"/>
  <c r="L69" i="14"/>
  <c r="L59" i="14"/>
  <c r="L82" i="14" s="1"/>
  <c r="N76" i="14" l="1"/>
  <c r="N71" i="14" s="1"/>
  <c r="M71" i="14"/>
  <c r="M62" i="14"/>
  <c r="M64" i="14" s="1"/>
  <c r="M86" i="14" s="1"/>
  <c r="M88" i="14" s="1"/>
  <c r="N57" i="14"/>
  <c r="N62" i="14" s="1"/>
  <c r="N61" i="14"/>
  <c r="N64" i="14" s="1"/>
  <c r="N86" i="14" s="1"/>
  <c r="N59" i="14"/>
  <c r="N82" i="14" s="1"/>
  <c r="L72" i="14"/>
  <c r="L83" i="14" s="1"/>
  <c r="L84" i="14" s="1"/>
  <c r="N74" i="14"/>
  <c r="M69" i="14"/>
  <c r="M77" i="14"/>
  <c r="M87" i="14" s="1"/>
  <c r="M63" i="14"/>
  <c r="N58" i="14"/>
  <c r="N63" i="14" s="1"/>
  <c r="M70" i="14"/>
  <c r="N75" i="14"/>
  <c r="N70" i="14" s="1"/>
  <c r="M59" i="14"/>
  <c r="M82" i="14" s="1"/>
  <c r="M72" i="14" l="1"/>
  <c r="M83" i="14" s="1"/>
  <c r="M84" i="14" s="1"/>
  <c r="N69" i="14"/>
  <c r="N72" i="14" s="1"/>
  <c r="N83" i="14" s="1"/>
  <c r="N84" i="14" s="1"/>
  <c r="N77" i="14"/>
  <c r="N87" i="14" s="1"/>
  <c r="N88" i="14" s="1"/>
  <c r="G42" i="14" l="1"/>
  <c r="I38" i="14"/>
  <c r="H38" i="14"/>
  <c r="G38" i="14"/>
  <c r="F38" i="14"/>
  <c r="I32" i="14"/>
  <c r="J32" i="14" s="1"/>
  <c r="H31" i="14"/>
  <c r="G31" i="14"/>
  <c r="H25" i="14"/>
  <c r="G25" i="14"/>
  <c r="F25" i="14"/>
  <c r="H17" i="14"/>
  <c r="H42" i="14" s="1"/>
  <c r="G17" i="14"/>
  <c r="F17" i="14"/>
  <c r="F42" i="14" s="1"/>
  <c r="N16" i="14"/>
  <c r="M16" i="14"/>
  <c r="L16" i="14"/>
  <c r="K16" i="14"/>
  <c r="J16" i="14"/>
  <c r="I16" i="14"/>
  <c r="I15" i="14"/>
  <c r="I25" i="14" s="1"/>
  <c r="H13" i="14"/>
  <c r="G13" i="14"/>
  <c r="N7" i="14"/>
  <c r="N24" i="14" s="1"/>
  <c r="M7" i="14"/>
  <c r="M24" i="14" s="1"/>
  <c r="L7" i="14"/>
  <c r="L24" i="14" s="1"/>
  <c r="K7" i="14"/>
  <c r="K24" i="14" s="1"/>
  <c r="J7" i="14"/>
  <c r="J24" i="14" s="1"/>
  <c r="I7" i="14"/>
  <c r="I24" i="14" s="1"/>
  <c r="H7" i="14"/>
  <c r="H24" i="14" s="1"/>
  <c r="G7" i="14"/>
  <c r="G24" i="14" s="1"/>
  <c r="G26" i="14" s="1"/>
  <c r="G37" i="14" s="1"/>
  <c r="G39" i="14" s="1"/>
  <c r="F7" i="14"/>
  <c r="F24" i="14" s="1"/>
  <c r="J4" i="14"/>
  <c r="K4" i="14" s="1"/>
  <c r="L4" i="14" s="1"/>
  <c r="M4" i="14" s="1"/>
  <c r="H4" i="14"/>
  <c r="G4" i="14" s="1"/>
  <c r="F4" i="14" s="1"/>
  <c r="K32" i="14" l="1"/>
  <c r="J38" i="14"/>
  <c r="I26" i="14"/>
  <c r="I37" i="14" s="1"/>
  <c r="I39" i="14" s="1"/>
  <c r="F26" i="14"/>
  <c r="F37" i="14" s="1"/>
  <c r="F39" i="14" s="1"/>
  <c r="H26" i="14"/>
  <c r="H37" i="14" s="1"/>
  <c r="H39" i="14" s="1"/>
  <c r="I17" i="14"/>
  <c r="I42" i="14" s="1"/>
  <c r="J15" i="14"/>
  <c r="J25" i="14" l="1"/>
  <c r="J26" i="14" s="1"/>
  <c r="J37" i="14" s="1"/>
  <c r="J39" i="14" s="1"/>
  <c r="K15" i="14"/>
  <c r="J17" i="14"/>
  <c r="J42" i="14" s="1"/>
  <c r="K38" i="14"/>
  <c r="L32" i="14"/>
  <c r="L38" i="14" l="1"/>
  <c r="M32" i="14"/>
  <c r="K25" i="14"/>
  <c r="K26" i="14" s="1"/>
  <c r="K37" i="14" s="1"/>
  <c r="K39" i="14" s="1"/>
  <c r="L15" i="14"/>
  <c r="K17" i="14"/>
  <c r="K42" i="14" s="1"/>
  <c r="L25" i="14" l="1"/>
  <c r="L26" i="14" s="1"/>
  <c r="L37" i="14" s="1"/>
  <c r="L39" i="14" s="1"/>
  <c r="L17" i="14"/>
  <c r="L42" i="14" s="1"/>
  <c r="M15" i="14"/>
  <c r="M38" i="14"/>
  <c r="N32" i="14"/>
  <c r="N38" i="14" s="1"/>
  <c r="M17" i="14" l="1"/>
  <c r="M42" i="14" s="1"/>
  <c r="M25" i="14"/>
  <c r="M26" i="14" s="1"/>
  <c r="M37" i="14" s="1"/>
  <c r="M39" i="14" s="1"/>
  <c r="N15" i="14"/>
  <c r="N17" i="14" l="1"/>
  <c r="N42" i="14" s="1"/>
  <c r="N25" i="14"/>
  <c r="N26" i="14" s="1"/>
  <c r="N37" i="14" s="1"/>
  <c r="N39" i="14" s="1"/>
  <c r="N7" i="1" l="1"/>
  <c r="M7" i="1"/>
  <c r="L7" i="1"/>
  <c r="K7" i="1"/>
  <c r="J7" i="1"/>
  <c r="I7" i="1"/>
  <c r="H7" i="1"/>
  <c r="G7" i="1"/>
  <c r="F7" i="1"/>
  <c r="J204" i="1"/>
  <c r="K204" i="1" s="1"/>
  <c r="L204" i="1" s="1"/>
  <c r="M204" i="1" s="1"/>
  <c r="H204" i="1"/>
  <c r="J175" i="1"/>
  <c r="K175" i="1" s="1"/>
  <c r="L175" i="1" s="1"/>
  <c r="M175" i="1" s="1"/>
  <c r="H175" i="1"/>
  <c r="J129" i="1"/>
  <c r="K129" i="1" s="1"/>
  <c r="L129" i="1" s="1"/>
  <c r="M129" i="1" s="1"/>
  <c r="H129" i="1"/>
  <c r="G129" i="1"/>
  <c r="F129" i="1" s="1"/>
  <c r="J94" i="1"/>
  <c r="K94" i="1" s="1"/>
  <c r="L94" i="1" s="1"/>
  <c r="M94" i="1" s="1"/>
  <c r="H94" i="1"/>
  <c r="G94" i="1" s="1"/>
  <c r="F94" i="1" s="1"/>
  <c r="J48" i="1"/>
  <c r="K48" i="1" s="1"/>
  <c r="L48" i="1" s="1"/>
  <c r="M48" i="1" s="1"/>
  <c r="H48" i="1"/>
  <c r="G48" i="1" s="1"/>
  <c r="F48" i="1" s="1"/>
  <c r="I193" i="1"/>
  <c r="I226" i="1" l="1"/>
  <c r="I143" i="1" l="1"/>
  <c r="G147" i="1"/>
  <c r="F116" i="1"/>
  <c r="F115" i="1"/>
  <c r="F77" i="1"/>
  <c r="F87" i="1" s="1"/>
  <c r="F59" i="1"/>
  <c r="F82" i="1" s="1"/>
  <c r="F38" i="1"/>
  <c r="G31" i="1"/>
  <c r="F25" i="1"/>
  <c r="F24" i="1"/>
  <c r="F17" i="1"/>
  <c r="F42" i="1" s="1"/>
  <c r="N16" i="1"/>
  <c r="G13" i="1"/>
  <c r="G149" i="1" l="1"/>
  <c r="F117" i="1"/>
  <c r="G148" i="1"/>
  <c r="G150" i="1"/>
  <c r="I185" i="1"/>
  <c r="G151" i="1"/>
  <c r="F26" i="1"/>
  <c r="F37" i="1" s="1"/>
  <c r="F39" i="1" s="1"/>
  <c r="I16" i="1"/>
  <c r="J16" i="1"/>
  <c r="K16" i="1"/>
  <c r="L16" i="1"/>
  <c r="M16" i="1"/>
  <c r="F70" i="1" l="1"/>
  <c r="F62" i="1" l="1"/>
  <c r="F61" i="1"/>
  <c r="F71" i="1"/>
  <c r="F69" i="1"/>
  <c r="F63" i="1"/>
  <c r="H38" i="1"/>
  <c r="G17" i="1"/>
  <c r="H17" i="1"/>
  <c r="F72" i="1" l="1"/>
  <c r="F83" i="1" s="1"/>
  <c r="F84" i="1" s="1"/>
  <c r="F64" i="1"/>
  <c r="F86" i="1" s="1"/>
  <c r="F88" i="1" s="1"/>
  <c r="I192" i="1" l="1"/>
  <c r="I194" i="1" s="1"/>
  <c r="G104" i="1"/>
  <c r="I24" i="1" l="1"/>
  <c r="F105" i="1" l="1"/>
  <c r="F104" i="1"/>
  <c r="F103" i="1"/>
  <c r="J4" i="1"/>
  <c r="H4" i="1"/>
  <c r="G4" i="1" l="1"/>
  <c r="B137" i="1"/>
  <c r="F4" i="1" l="1"/>
  <c r="I75" i="1" l="1"/>
  <c r="I56" i="1"/>
  <c r="I57" i="1"/>
  <c r="I74" i="1"/>
  <c r="I58" i="1"/>
  <c r="H31" i="1"/>
  <c r="H13" i="1"/>
  <c r="I148" i="1"/>
  <c r="I137" i="1"/>
  <c r="I76" i="1"/>
  <c r="J137" i="1" l="1"/>
  <c r="I163" i="1"/>
  <c r="I147" i="1"/>
  <c r="J143" i="1"/>
  <c r="J147" i="1" l="1"/>
  <c r="I15" i="1"/>
  <c r="H77" i="1"/>
  <c r="J15" i="1" l="1"/>
  <c r="I17" i="1"/>
  <c r="K4" i="1"/>
  <c r="H116" i="1"/>
  <c r="H115" i="1"/>
  <c r="G115" i="1"/>
  <c r="G116" i="1"/>
  <c r="J17" i="1" l="1"/>
  <c r="K15" i="1"/>
  <c r="L4" i="1"/>
  <c r="G117" i="1"/>
  <c r="G120" i="1" s="1"/>
  <c r="H117" i="1"/>
  <c r="K17" i="1" l="1"/>
  <c r="K42" i="1" s="1"/>
  <c r="L15" i="1"/>
  <c r="M4" i="1"/>
  <c r="H120" i="1"/>
  <c r="L17" i="1" l="1"/>
  <c r="M15" i="1"/>
  <c r="M17" i="1" l="1"/>
  <c r="N15" i="1"/>
  <c r="N17" i="1" s="1"/>
  <c r="N42" i="1" s="1"/>
  <c r="K137" i="1"/>
  <c r="J24" i="1"/>
  <c r="H87" i="1" l="1"/>
  <c r="G77" i="1"/>
  <c r="G87" i="1" s="1"/>
  <c r="H59" i="1"/>
  <c r="H82" i="1" s="1"/>
  <c r="G59" i="1"/>
  <c r="G82" i="1" s="1"/>
  <c r="H25" i="1" l="1"/>
  <c r="G25" i="1"/>
  <c r="G42" i="1"/>
  <c r="H42" i="1"/>
  <c r="G24" i="1"/>
  <c r="H24" i="1"/>
  <c r="K24" i="1"/>
  <c r="L24" i="1"/>
  <c r="M24" i="1"/>
  <c r="N24" i="1"/>
  <c r="G38" i="1"/>
  <c r="J136" i="1"/>
  <c r="K136" i="1" s="1"/>
  <c r="L136" i="1" s="1"/>
  <c r="M136" i="1" s="1"/>
  <c r="L137" i="1"/>
  <c r="J142" i="1"/>
  <c r="K142" i="1" s="1"/>
  <c r="L142" i="1" s="1"/>
  <c r="M142" i="1" s="1"/>
  <c r="J148" i="1"/>
  <c r="J149" i="1"/>
  <c r="I149" i="1"/>
  <c r="I150" i="1"/>
  <c r="I151" i="1"/>
  <c r="J151" i="1" l="1"/>
  <c r="J150" i="1"/>
  <c r="K150" i="1"/>
  <c r="K149" i="1"/>
  <c r="I32" i="1"/>
  <c r="H26" i="1"/>
  <c r="H37" i="1" s="1"/>
  <c r="G26" i="1"/>
  <c r="G37" i="1" s="1"/>
  <c r="G39" i="1" s="1"/>
  <c r="K163" i="1"/>
  <c r="K143" i="1"/>
  <c r="J163" i="1"/>
  <c r="L163" i="1"/>
  <c r="L151" i="1" l="1"/>
  <c r="K151" i="1"/>
  <c r="L150" i="1"/>
  <c r="J32" i="1"/>
  <c r="G103" i="1"/>
  <c r="H70" i="1"/>
  <c r="H71" i="1"/>
  <c r="K147" i="1"/>
  <c r="L143" i="1"/>
  <c r="H69" i="1"/>
  <c r="H63" i="1"/>
  <c r="H62" i="1"/>
  <c r="H61" i="1"/>
  <c r="H39" i="1"/>
  <c r="K148" i="1"/>
  <c r="M137" i="1"/>
  <c r="M163" i="1" s="1"/>
  <c r="L147" i="1" l="1"/>
  <c r="L148" i="1"/>
  <c r="L149" i="1"/>
  <c r="M151" i="1"/>
  <c r="H103" i="1"/>
  <c r="I38" i="1"/>
  <c r="K32" i="1"/>
  <c r="J57" i="1"/>
  <c r="K57" i="1" s="1"/>
  <c r="L57" i="1" s="1"/>
  <c r="J25" i="1"/>
  <c r="I42" i="1"/>
  <c r="I25" i="1"/>
  <c r="I26" i="1" s="1"/>
  <c r="I37" i="1" s="1"/>
  <c r="I146" i="1"/>
  <c r="H72" i="1"/>
  <c r="H83" i="1" s="1"/>
  <c r="H84" i="1" s="1"/>
  <c r="G70" i="1"/>
  <c r="G71" i="1"/>
  <c r="G69" i="1"/>
  <c r="G61" i="1"/>
  <c r="G62" i="1"/>
  <c r="G63" i="1"/>
  <c r="H64" i="1"/>
  <c r="H86" i="1" s="1"/>
  <c r="H88" i="1" s="1"/>
  <c r="J146" i="1"/>
  <c r="M143" i="1"/>
  <c r="M147" i="1" l="1"/>
  <c r="M150" i="1"/>
  <c r="M149" i="1"/>
  <c r="M148" i="1"/>
  <c r="L32" i="1"/>
  <c r="M32" i="1" s="1"/>
  <c r="N32" i="1" s="1"/>
  <c r="K38" i="1"/>
  <c r="J26" i="1"/>
  <c r="J37" i="1" s="1"/>
  <c r="J38" i="1"/>
  <c r="I59" i="1"/>
  <c r="J56" i="1"/>
  <c r="J76" i="1"/>
  <c r="K76" i="1" s="1"/>
  <c r="L76" i="1" s="1"/>
  <c r="M76" i="1" s="1"/>
  <c r="N76" i="1" s="1"/>
  <c r="J75" i="1"/>
  <c r="K75" i="1" s="1"/>
  <c r="L75" i="1" s="1"/>
  <c r="M75" i="1" s="1"/>
  <c r="I77" i="1"/>
  <c r="I87" i="1" s="1"/>
  <c r="J74" i="1"/>
  <c r="K25" i="1"/>
  <c r="J42" i="1"/>
  <c r="I62" i="1"/>
  <c r="I39" i="1"/>
  <c r="J58" i="1"/>
  <c r="K58" i="1" s="1"/>
  <c r="L58" i="1" s="1"/>
  <c r="M58" i="1" s="1"/>
  <c r="N58" i="1" s="1"/>
  <c r="F147" i="1"/>
  <c r="F155" i="1" s="1"/>
  <c r="I154" i="1"/>
  <c r="G72" i="1"/>
  <c r="G83" i="1" s="1"/>
  <c r="G84" i="1" s="1"/>
  <c r="G64" i="1"/>
  <c r="G86" i="1" s="1"/>
  <c r="G88" i="1" s="1"/>
  <c r="M57" i="1"/>
  <c r="J154" i="1"/>
  <c r="K146" i="1"/>
  <c r="G155" i="1" l="1"/>
  <c r="H155" i="1" s="1"/>
  <c r="I155" i="1" s="1"/>
  <c r="J59" i="1"/>
  <c r="J82" i="1" s="1"/>
  <c r="J71" i="1"/>
  <c r="J39" i="1"/>
  <c r="K26" i="1"/>
  <c r="K37" i="1" s="1"/>
  <c r="I71" i="1"/>
  <c r="I70" i="1"/>
  <c r="I63" i="1"/>
  <c r="F148" i="1"/>
  <c r="F156" i="1" s="1"/>
  <c r="I61" i="1"/>
  <c r="K56" i="1"/>
  <c r="I82" i="1"/>
  <c r="L25" i="1"/>
  <c r="I69" i="1"/>
  <c r="J193" i="1"/>
  <c r="K74" i="1"/>
  <c r="J77" i="1"/>
  <c r="J87" i="1" s="1"/>
  <c r="I109" i="1"/>
  <c r="H104" i="1"/>
  <c r="H105" i="1"/>
  <c r="N75" i="1"/>
  <c r="M38" i="1"/>
  <c r="N57" i="1"/>
  <c r="K154" i="1"/>
  <c r="L154" i="1"/>
  <c r="I195" i="1" l="1"/>
  <c r="J69" i="1"/>
  <c r="J62" i="1"/>
  <c r="J61" i="1"/>
  <c r="J70" i="1"/>
  <c r="J63" i="1"/>
  <c r="F149" i="1"/>
  <c r="F150" i="1" s="1"/>
  <c r="F158" i="1" s="1"/>
  <c r="J109" i="1"/>
  <c r="K62" i="1"/>
  <c r="K39" i="1"/>
  <c r="L26" i="1"/>
  <c r="L37" i="1" s="1"/>
  <c r="I72" i="1"/>
  <c r="I83" i="1" s="1"/>
  <c r="I84" i="1" s="1"/>
  <c r="I64" i="1"/>
  <c r="I86" i="1" s="1"/>
  <c r="I88" i="1" s="1"/>
  <c r="M25" i="1"/>
  <c r="L42" i="1"/>
  <c r="L74" i="1"/>
  <c r="K77" i="1"/>
  <c r="K87" i="1" s="1"/>
  <c r="L56" i="1"/>
  <c r="K59" i="1"/>
  <c r="K82" i="1" s="1"/>
  <c r="G105" i="1"/>
  <c r="N38" i="1"/>
  <c r="L38" i="1"/>
  <c r="L146" i="1"/>
  <c r="G156" i="1"/>
  <c r="H156" i="1" s="1"/>
  <c r="K156" i="1" s="1"/>
  <c r="J192" i="1" l="1"/>
  <c r="F157" i="1"/>
  <c r="G157" i="1" s="1"/>
  <c r="H157" i="1" s="1"/>
  <c r="L157" i="1" s="1"/>
  <c r="F151" i="1"/>
  <c r="F159" i="1" s="1"/>
  <c r="G159" i="1" s="1"/>
  <c r="H159" i="1" s="1"/>
  <c r="M159" i="1" s="1"/>
  <c r="J64" i="1"/>
  <c r="J86" i="1" s="1"/>
  <c r="J88" i="1" s="1"/>
  <c r="J72" i="1"/>
  <c r="J83" i="1" s="1"/>
  <c r="J84" i="1" s="1"/>
  <c r="K70" i="1"/>
  <c r="K61" i="1"/>
  <c r="K109" i="1"/>
  <c r="K71" i="1"/>
  <c r="K69" i="1"/>
  <c r="K63" i="1"/>
  <c r="L61" i="1"/>
  <c r="L39" i="1"/>
  <c r="M26" i="1"/>
  <c r="M37" i="1" s="1"/>
  <c r="M74" i="1"/>
  <c r="L77" i="1"/>
  <c r="L87" i="1" s="1"/>
  <c r="M42" i="1"/>
  <c r="K193" i="1"/>
  <c r="M56" i="1"/>
  <c r="L59" i="1"/>
  <c r="L82" i="1" s="1"/>
  <c r="G158" i="1"/>
  <c r="H158" i="1" s="1"/>
  <c r="I158" i="1" s="1"/>
  <c r="L71" i="1"/>
  <c r="L70" i="1"/>
  <c r="L63" i="1"/>
  <c r="L62" i="1"/>
  <c r="L69" i="1"/>
  <c r="M146" i="1"/>
  <c r="M154" i="1"/>
  <c r="M156" i="1"/>
  <c r="L156" i="1"/>
  <c r="J156" i="1"/>
  <c r="I156" i="1"/>
  <c r="J194" i="1" l="1"/>
  <c r="J195" i="1" s="1"/>
  <c r="K192" i="1" s="1"/>
  <c r="J155" i="1"/>
  <c r="K72" i="1"/>
  <c r="K83" i="1" s="1"/>
  <c r="K84" i="1" s="1"/>
  <c r="K64" i="1"/>
  <c r="K86" i="1" s="1"/>
  <c r="K88" i="1" s="1"/>
  <c r="L109" i="1"/>
  <c r="M69" i="1"/>
  <c r="M39" i="1"/>
  <c r="N25" i="1"/>
  <c r="N26" i="1" s="1"/>
  <c r="N56" i="1"/>
  <c r="N59" i="1" s="1"/>
  <c r="N82" i="1" s="1"/>
  <c r="M59" i="1"/>
  <c r="M82" i="1" s="1"/>
  <c r="L193" i="1"/>
  <c r="N74" i="1"/>
  <c r="N77" i="1" s="1"/>
  <c r="N87" i="1" s="1"/>
  <c r="M77" i="1"/>
  <c r="M87" i="1" s="1"/>
  <c r="L158" i="1"/>
  <c r="M158" i="1"/>
  <c r="K158" i="1"/>
  <c r="J158" i="1"/>
  <c r="L64" i="1"/>
  <c r="L86" i="1" s="1"/>
  <c r="L88" i="1" s="1"/>
  <c r="L72" i="1"/>
  <c r="L83" i="1" s="1"/>
  <c r="L84" i="1" s="1"/>
  <c r="M155" i="1"/>
  <c r="L155" i="1"/>
  <c r="K155" i="1"/>
  <c r="M157" i="1"/>
  <c r="I157" i="1"/>
  <c r="J157" i="1"/>
  <c r="K157" i="1"/>
  <c r="K194" i="1" l="1"/>
  <c r="K195" i="1" s="1"/>
  <c r="L192" i="1" s="1"/>
  <c r="I110" i="1"/>
  <c r="I115" i="1" s="1"/>
  <c r="I111" i="1"/>
  <c r="I116" i="1" s="1"/>
  <c r="J110" i="1"/>
  <c r="J115" i="1" s="1"/>
  <c r="L159" i="1"/>
  <c r="L164" i="1" s="1"/>
  <c r="L165" i="1" s="1"/>
  <c r="M164" i="1"/>
  <c r="M165" i="1" s="1"/>
  <c r="M70" i="1"/>
  <c r="M71" i="1"/>
  <c r="M63" i="1"/>
  <c r="M61" i="1"/>
  <c r="M62" i="1"/>
  <c r="N37" i="1"/>
  <c r="J159" i="1"/>
  <c r="J164" i="1" s="1"/>
  <c r="J165" i="1" s="1"/>
  <c r="I159" i="1"/>
  <c r="K159" i="1"/>
  <c r="K164" i="1" s="1"/>
  <c r="K165" i="1" s="1"/>
  <c r="M193" i="1"/>
  <c r="L194" i="1" l="1"/>
  <c r="M109" i="1"/>
  <c r="J111" i="1"/>
  <c r="J116" i="1" s="1"/>
  <c r="J117" i="1" s="1"/>
  <c r="I117" i="1"/>
  <c r="I164" i="1"/>
  <c r="I165" i="1" s="1"/>
  <c r="M72" i="1"/>
  <c r="M83" i="1" s="1"/>
  <c r="M84" i="1" s="1"/>
  <c r="M64" i="1"/>
  <c r="M86" i="1" s="1"/>
  <c r="M88" i="1" s="1"/>
  <c r="N39" i="1"/>
  <c r="L195" i="1" l="1"/>
  <c r="M192" i="1" s="1"/>
  <c r="M194" i="1" s="1"/>
  <c r="I120" i="1"/>
  <c r="J120" i="1"/>
  <c r="K110" i="1"/>
  <c r="K115" i="1" s="1"/>
  <c r="K111" i="1"/>
  <c r="K116" i="1" s="1"/>
  <c r="L111" i="1"/>
  <c r="L116" i="1" s="1"/>
  <c r="L110" i="1"/>
  <c r="L115" i="1" s="1"/>
  <c r="N109" i="1"/>
  <c r="N70" i="1"/>
  <c r="N61" i="1"/>
  <c r="N62" i="1"/>
  <c r="N69" i="1"/>
  <c r="N63" i="1"/>
  <c r="N71" i="1"/>
  <c r="I188" i="1" l="1"/>
  <c r="L117" i="1"/>
  <c r="K117" i="1"/>
  <c r="M195" i="1"/>
  <c r="N64" i="1"/>
  <c r="N86" i="1" s="1"/>
  <c r="N88" i="1" s="1"/>
  <c r="N72" i="1"/>
  <c r="N83" i="1" s="1"/>
  <c r="N84" i="1" s="1"/>
  <c r="K120" i="1" l="1"/>
  <c r="J185" i="1"/>
  <c r="J188" i="1" s="1"/>
  <c r="L120" i="1"/>
  <c r="M111" i="1"/>
  <c r="M116" i="1" s="1"/>
  <c r="M110" i="1"/>
  <c r="M115" i="1" s="1"/>
  <c r="I215" i="1" l="1"/>
  <c r="I227" i="1" s="1"/>
  <c r="M117" i="1"/>
  <c r="K185" i="1"/>
  <c r="K188" i="1" s="1"/>
  <c r="J215" i="1"/>
  <c r="K215" i="1"/>
  <c r="K227" i="1" s="1"/>
  <c r="L215" i="1"/>
  <c r="L227" i="1" s="1"/>
  <c r="I218" i="1" l="1"/>
  <c r="I221" i="1" s="1"/>
  <c r="I236" i="1"/>
  <c r="M120" i="1"/>
  <c r="J218" i="1"/>
  <c r="J227" i="1"/>
  <c r="N111" i="1"/>
  <c r="N116" i="1" s="1"/>
  <c r="N110" i="1"/>
  <c r="N115" i="1" s="1"/>
  <c r="L185" i="1"/>
  <c r="L188" i="1" s="1"/>
  <c r="J236" i="1"/>
  <c r="K218" i="1"/>
  <c r="K236" i="1"/>
  <c r="L236" i="1"/>
  <c r="L218" i="1"/>
  <c r="I208" i="1" l="1"/>
  <c r="I228" i="1" s="1"/>
  <c r="I229" i="1" s="1"/>
  <c r="K221" i="1"/>
  <c r="K208" i="1"/>
  <c r="J221" i="1"/>
  <c r="J208" i="1"/>
  <c r="L221" i="1"/>
  <c r="L208" i="1"/>
  <c r="N117" i="1"/>
  <c r="N120" i="1" s="1"/>
  <c r="M215" i="1"/>
  <c r="M227" i="1" s="1"/>
  <c r="M185" i="1"/>
  <c r="M188" i="1" s="1"/>
  <c r="M236" i="1" l="1"/>
  <c r="M218" i="1"/>
  <c r="I222" i="1" l="1"/>
  <c r="M221" i="1"/>
  <c r="M208" i="1"/>
  <c r="J226" i="1"/>
  <c r="J228" i="1" s="1"/>
  <c r="J222" i="1" s="1"/>
  <c r="J223" i="1" s="1"/>
  <c r="J234" i="1" s="1"/>
  <c r="I223" i="1" l="1"/>
  <c r="I234" i="1" s="1"/>
  <c r="J235" i="1"/>
  <c r="J229" i="1"/>
  <c r="K226" i="1" s="1"/>
  <c r="K228" i="1" s="1"/>
  <c r="K222" i="1" s="1"/>
  <c r="K223" i="1" s="1"/>
  <c r="K234" i="1" s="1"/>
  <c r="K235" i="1" l="1"/>
  <c r="I235" i="1"/>
  <c r="K229" i="1"/>
  <c r="L226" i="1" s="1"/>
  <c r="L228" i="1" s="1"/>
  <c r="L222" i="1" s="1"/>
  <c r="L223" i="1" s="1"/>
  <c r="L234" i="1" s="1"/>
  <c r="L235" i="1" l="1"/>
  <c r="L229" i="1"/>
  <c r="M226" i="1" s="1"/>
  <c r="M228" i="1" l="1"/>
  <c r="M229" i="1" s="1"/>
  <c r="D211" i="1" s="1"/>
  <c r="M222" i="1" l="1"/>
  <c r="M223" i="1" s="1"/>
  <c r="M234" i="1" s="1"/>
  <c r="M235" i="1" l="1"/>
</calcChain>
</file>

<file path=xl/sharedStrings.xml><?xml version="1.0" encoding="utf-8"?>
<sst xmlns="http://schemas.openxmlformats.org/spreadsheetml/2006/main" count="250" uniqueCount="104">
  <si>
    <t>Revenue</t>
  </si>
  <si>
    <t>Days in Period</t>
  </si>
  <si>
    <t>Accounts Receivable</t>
  </si>
  <si>
    <t>(Days)</t>
  </si>
  <si>
    <t>Inventory</t>
  </si>
  <si>
    <t>Accounts Payable</t>
  </si>
  <si>
    <t>Net Working Capital</t>
  </si>
  <si>
    <t>Beginning</t>
  </si>
  <si>
    <t>Ending</t>
  </si>
  <si>
    <t>Plant Capacity</t>
  </si>
  <si>
    <t>(Units/Day)</t>
  </si>
  <si>
    <t>Sales Volume Growth</t>
  </si>
  <si>
    <t>Sales Volume</t>
  </si>
  <si>
    <t>Operational Efficiency</t>
  </si>
  <si>
    <t>(Units)</t>
  </si>
  <si>
    <t>Unit Price</t>
  </si>
  <si>
    <t>(USD/Unit)</t>
  </si>
  <si>
    <t>Pricing Increases</t>
  </si>
  <si>
    <t>Revenue Schedule</t>
  </si>
  <si>
    <t>All figures in USD thousands unless stated</t>
  </si>
  <si>
    <t>Cost Schedule</t>
  </si>
  <si>
    <t>Variable Costs</t>
  </si>
  <si>
    <t>Packaging</t>
  </si>
  <si>
    <t>Fixed Costs</t>
  </si>
  <si>
    <t>Insurance</t>
  </si>
  <si>
    <t>Utilities</t>
  </si>
  <si>
    <t>Inflation</t>
  </si>
  <si>
    <t>Transportation</t>
  </si>
  <si>
    <t>Subtotal</t>
  </si>
  <si>
    <t>Total Costs</t>
  </si>
  <si>
    <t>EBT</t>
  </si>
  <si>
    <t>Add: Accounting Depreciation</t>
  </si>
  <si>
    <t>Less: Tax Depreciation</t>
  </si>
  <si>
    <t>Taxable Income</t>
  </si>
  <si>
    <t>Add: New Losses</t>
  </si>
  <si>
    <t>Current Taxes</t>
  </si>
  <si>
    <t>Deferred Taxes</t>
  </si>
  <si>
    <t>Total Taxes</t>
  </si>
  <si>
    <t>Tax Rate</t>
  </si>
  <si>
    <t>Profitable Before Taxes?</t>
  </si>
  <si>
    <t>Asset Schedule</t>
  </si>
  <si>
    <t>Capital Expenditure</t>
  </si>
  <si>
    <t>Accounting Depreciation</t>
  </si>
  <si>
    <t>Tax Depreciation</t>
  </si>
  <si>
    <t>Blended Tax Depreciation Rate</t>
  </si>
  <si>
    <t>EBT After Adjustment</t>
  </si>
  <si>
    <t>Less: Use of Tax Losses</t>
  </si>
  <si>
    <t>Earnings Before Tax (EBT)</t>
  </si>
  <si>
    <t>Existing Assets</t>
  </si>
  <si>
    <t>New Assets</t>
  </si>
  <si>
    <t>Year</t>
  </si>
  <si>
    <t>Capex</t>
  </si>
  <si>
    <t>Life</t>
  </si>
  <si>
    <t>Amounts for Depreciation</t>
  </si>
  <si>
    <t>Total Depreciation</t>
  </si>
  <si>
    <t>Per Yr</t>
  </si>
  <si>
    <t>Years</t>
  </si>
  <si>
    <t>First Year Accounting Depreciation</t>
  </si>
  <si>
    <t>First Year Tax Depreciation</t>
  </si>
  <si>
    <t>Percent of Full Year</t>
  </si>
  <si>
    <t>Useful Life: Existing Assets</t>
  </si>
  <si>
    <t>Useful Life: New Assets</t>
  </si>
  <si>
    <t>Sales Price</t>
  </si>
  <si>
    <t>Term</t>
  </si>
  <si>
    <t>REVENUE</t>
  </si>
  <si>
    <t>PRICING</t>
  </si>
  <si>
    <t>VOLUME</t>
  </si>
  <si>
    <t>Materials</t>
  </si>
  <si>
    <t>TOTAL AMOUNTS</t>
  </si>
  <si>
    <t>COGS</t>
  </si>
  <si>
    <t>OPERATIONS</t>
  </si>
  <si>
    <t>FIXED COSTS</t>
  </si>
  <si>
    <t>VARIABLE COSTS</t>
  </si>
  <si>
    <t>SUMMARY</t>
  </si>
  <si>
    <t>Current Assets</t>
  </si>
  <si>
    <t>Current Liabilities</t>
  </si>
  <si>
    <t>Cash from Working Capital Items</t>
  </si>
  <si>
    <t>NET WORKING CAPITAL</t>
  </si>
  <si>
    <t>Working Capital Schedule</t>
  </si>
  <si>
    <t>Depreciation Schedule</t>
  </si>
  <si>
    <t xml:space="preserve"> </t>
  </si>
  <si>
    <t>Unused Tax Losses Remaining?</t>
  </si>
  <si>
    <t xml:space="preserve">All PP&amp;E and capital expenditure is assumed depreciable (i.e. no land balance). </t>
  </si>
  <si>
    <r>
      <t xml:space="preserve">AMOUNTS PER DAY </t>
    </r>
    <r>
      <rPr>
        <b/>
        <vertAlign val="superscript"/>
        <sz val="10"/>
        <color rgb="FF000000"/>
        <rFont val="Open Sans"/>
        <family val="2"/>
      </rPr>
      <t>1</t>
    </r>
  </si>
  <si>
    <t xml:space="preserve">Model assumes no dispositions that would impact the PP&amp;E or the Tax Basis. </t>
  </si>
  <si>
    <t xml:space="preserve">Capital Expenditure </t>
  </si>
  <si>
    <r>
      <t xml:space="preserve">EXISTING ASSET DEPRECIATION </t>
    </r>
    <r>
      <rPr>
        <b/>
        <vertAlign val="superscript"/>
        <sz val="10"/>
        <rFont val="Open Sans"/>
        <family val="2"/>
      </rPr>
      <t>1</t>
    </r>
  </si>
  <si>
    <r>
      <t xml:space="preserve">NEW ASSET DEPRECIATION </t>
    </r>
    <r>
      <rPr>
        <b/>
        <vertAlign val="superscript"/>
        <sz val="10"/>
        <rFont val="Open Sans"/>
        <family val="2"/>
      </rPr>
      <t>1</t>
    </r>
  </si>
  <si>
    <r>
      <t xml:space="preserve">PROPERTY PLANT &amp; EQUIPMENT </t>
    </r>
    <r>
      <rPr>
        <b/>
        <vertAlign val="superscript"/>
        <sz val="10"/>
        <rFont val="Open Sans"/>
        <family val="2"/>
      </rPr>
      <t>1</t>
    </r>
  </si>
  <si>
    <r>
      <t xml:space="preserve">TAX BASIS </t>
    </r>
    <r>
      <rPr>
        <b/>
        <vertAlign val="superscript"/>
        <sz val="10"/>
        <rFont val="Open Sans"/>
        <family val="2"/>
      </rPr>
      <t>1</t>
    </r>
  </si>
  <si>
    <t>ADJUSTMENT FOR DEPRECIATION</t>
  </si>
  <si>
    <r>
      <t xml:space="preserve">ADJUSTMENT FOR TAX LOSSES </t>
    </r>
    <r>
      <rPr>
        <b/>
        <vertAlign val="superscript"/>
        <sz val="10"/>
        <rFont val="Open Sans"/>
        <family val="2"/>
      </rPr>
      <t>1</t>
    </r>
  </si>
  <si>
    <t>TAX LOSSES</t>
  </si>
  <si>
    <t>TAXES</t>
  </si>
  <si>
    <t>Operational Capacity Exceeded?</t>
  </si>
  <si>
    <t xml:space="preserve">We have assumed working capital amounts per day in terminal year are equal to the previous year. </t>
  </si>
  <si>
    <t xml:space="preserve">This schedule calculates depreciation on a straight-line basis. </t>
  </si>
  <si>
    <t xml:space="preserve">This schedule assumes that tax losses can be carried forward indefinitely into the future. </t>
  </si>
  <si>
    <t xml:space="preserve">This schedule assumes losses do not carry back to previous periods to reduce taxable income. </t>
  </si>
  <si>
    <t>Labor</t>
  </si>
  <si>
    <r>
      <t xml:space="preserve">Less: Use of Tax Losses </t>
    </r>
    <r>
      <rPr>
        <vertAlign val="superscript"/>
        <sz val="9"/>
        <rFont val="Open Sans"/>
        <family val="2"/>
      </rPr>
      <t>2</t>
    </r>
  </si>
  <si>
    <r>
      <t xml:space="preserve">TOTAL ASSET DEPRECIATION </t>
    </r>
    <r>
      <rPr>
        <b/>
        <vertAlign val="superscript"/>
        <sz val="9"/>
        <rFont val="Open Sans"/>
        <family val="2"/>
      </rPr>
      <t>2</t>
    </r>
  </si>
  <si>
    <t>Model Running: Base Case Drivers</t>
  </si>
  <si>
    <t>Income Tax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</si>
</sst>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0&quot;F&quot;"/>
    <numFmt numFmtId="168" formatCode="_(#,##0_);\(#,##0\);_(&quot;–&quot;_);_(@_)"/>
    <numFmt numFmtId="169" formatCode="#,##0_);[Red]\(#,##0\);\-"/>
    <numFmt numFmtId="170" formatCode="#,##0_);\(#,##0\);\-"/>
    <numFmt numFmtId="171" formatCode="_(#,##0.0%_);\(#,##0.0%\);_(&quot;–&quot;_)_%;_(@_)_%"/>
    <numFmt numFmtId="172" formatCode="0&quot;E&quot;"/>
    <numFmt numFmtId="173" formatCode="0.0%"/>
    <numFmt numFmtId="174" formatCode="_(#,##0.00_);\(#,##0.00\);_(&quot;–&quot;_);_(@_)"/>
    <numFmt numFmtId="175" formatCode="#,##0.0_);\(#,##0.0\);\-"/>
    <numFmt numFmtId="176" formatCode="#,##0.00_);\(#,##0.00\);\-"/>
    <numFmt numFmtId="177" formatCode="_(#,##0%_);\(#,##0%\);_(&quot;–&quot;_)_%;_(@_)_%"/>
    <numFmt numFmtId="178" formatCode="0&quot;F&quot;\ "/>
    <numFmt numFmtId="180" formatCode="_(#,##0.0_);\(#,##0.0\);_(&quot;–&quot;_);_(@_)"/>
    <numFmt numFmtId="181" formatCode="[=1]&quot;Yes&quot;_);[=0]&quot;No&quot;_)"/>
    <numFmt numFmtId="182" formatCode="@\⁽\¹\⁾"/>
    <numFmt numFmtId="183" formatCode="@\⁽\²\⁾"/>
    <numFmt numFmtId="184" formatCode="[=0]&quot;-&quot;_);[=1]&quot;Yes&quot;_)"/>
    <numFmt numFmtId="185" formatCode="&quot;Yes&quot;;&quot;ERROR&quot;;&quot;No&quot;;&quot;ERROR&quot;"/>
    <numFmt numFmtId="186" formatCode="#,##0_)\⁽\⁹\⁾;\(#,##0\)\⁽\⁹\⁾"/>
    <numFmt numFmtId="187" formatCode="_-* #,##0.00_-;\(#,##0.00\)_-;_-* &quot;-&quot;_-;_-@_-"/>
    <numFmt numFmtId="188" formatCode="&quot;Yr&quot;\ 0_)"/>
  </numFmts>
  <fonts count="4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sz val="14"/>
      <color theme="1"/>
      <name val="Open Sans"/>
      <family val="2"/>
    </font>
    <font>
      <b/>
      <sz val="14"/>
      <color rgb="FF3271D2"/>
      <name val="Open Sans"/>
      <family val="2"/>
    </font>
    <font>
      <b/>
      <sz val="14"/>
      <color rgb="FF0000FF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8"/>
      <name val="Open Sans"/>
      <family val="2"/>
    </font>
    <font>
      <b/>
      <sz val="11"/>
      <name val="Open Sans"/>
      <family val="2"/>
    </font>
    <font>
      <sz val="10"/>
      <color rgb="FF0000FF"/>
      <name val="Open Sans"/>
      <family val="2"/>
    </font>
    <font>
      <i/>
      <sz val="10"/>
      <color rgb="FF3271D2"/>
      <name val="Open Sans"/>
      <family val="2"/>
    </font>
    <font>
      <sz val="10"/>
      <color rgb="FFFF0000"/>
      <name val="Open Sans"/>
      <family val="2"/>
    </font>
    <font>
      <i/>
      <sz val="10"/>
      <color rgb="FF000000"/>
      <name val="Open Sans"/>
      <family val="2"/>
    </font>
    <font>
      <i/>
      <sz val="9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theme="9" tint="-0.249977111117893"/>
      <name val="Open Sans"/>
      <family val="2"/>
    </font>
    <font>
      <b/>
      <sz val="10"/>
      <color rgb="FF3271D2"/>
      <name val="Open Sans"/>
      <family val="2"/>
    </font>
    <font>
      <i/>
      <sz val="10"/>
      <color rgb="FFFF0000"/>
      <name val="Open Sans"/>
      <family val="2"/>
    </font>
    <font>
      <sz val="9"/>
      <name val="Open Sans"/>
      <family val="2"/>
    </font>
    <font>
      <sz val="14"/>
      <color rgb="FF000000"/>
      <name val="Open Sans"/>
      <family val="2"/>
    </font>
    <font>
      <sz val="10"/>
      <color rgb="FFFA621C"/>
      <name val="Open Sans"/>
      <family val="2"/>
    </font>
    <font>
      <sz val="11"/>
      <color rgb="FFFA621C"/>
      <name val="Open Sans"/>
      <family val="2"/>
    </font>
    <font>
      <b/>
      <i/>
      <sz val="10"/>
      <color rgb="FF3271D2"/>
      <name val="Open Sans"/>
      <family val="2"/>
    </font>
    <font>
      <sz val="11"/>
      <color rgb="FF000000"/>
      <name val="Open Sans"/>
      <family val="2"/>
    </font>
    <font>
      <b/>
      <vertAlign val="superscript"/>
      <sz val="10"/>
      <name val="Open Sans"/>
      <family val="2"/>
    </font>
    <font>
      <b/>
      <vertAlign val="superscript"/>
      <sz val="10"/>
      <color rgb="FF000000"/>
      <name val="Open Sans"/>
      <family val="2"/>
    </font>
    <font>
      <b/>
      <i/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1"/>
      <color rgb="FFC32838"/>
      <name val="Open Sans"/>
      <family val="2"/>
    </font>
    <font>
      <vertAlign val="superscript"/>
      <sz val="9"/>
      <name val="Open Sans"/>
      <family val="2"/>
    </font>
    <font>
      <b/>
      <vertAlign val="superscript"/>
      <sz val="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9E5F7"/>
        <bgColor rgb="FF000000"/>
      </patternFill>
    </fill>
    <fill>
      <patternFill patternType="solid">
        <fgColor rgb="FFD9E5F7"/>
        <bgColor rgb="FF00C8FF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A621C"/>
      </top>
      <bottom/>
      <diagonal/>
    </border>
    <border>
      <left/>
      <right style="thin">
        <color rgb="FFFA621C"/>
      </right>
      <top style="thin">
        <color rgb="FFFA621C"/>
      </top>
      <bottom style="thin">
        <color rgb="FFFA621C"/>
      </bottom>
      <diagonal/>
    </border>
    <border>
      <left style="thin">
        <color rgb="FFFA621C"/>
      </left>
      <right/>
      <top style="thin">
        <color rgb="FFFA621C"/>
      </top>
      <bottom style="thin">
        <color rgb="FFFA621C"/>
      </bottom>
      <diagonal/>
    </border>
    <border>
      <left/>
      <right/>
      <top style="thin">
        <color rgb="FFFA621C"/>
      </top>
      <bottom style="thin">
        <color rgb="FFFA621C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2">
    <xf numFmtId="0" fontId="0" fillId="0" borderId="0" xfId="0"/>
    <xf numFmtId="165" fontId="7" fillId="0" borderId="0" xfId="5" applyNumberFormat="1" applyFont="1" applyProtection="1">
      <protection locked="0"/>
    </xf>
    <xf numFmtId="37" fontId="8" fillId="0" borderId="0" xfId="0" applyNumberFormat="1" applyFont="1" applyAlignment="1">
      <alignment vertical="center"/>
    </xf>
    <xf numFmtId="37" fontId="10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168" fontId="16" fillId="0" borderId="3" xfId="0" applyNumberFormat="1" applyFont="1" applyBorder="1"/>
    <xf numFmtId="0" fontId="17" fillId="0" borderId="0" xfId="0" applyFont="1" applyAlignment="1">
      <alignment horizontal="left"/>
    </xf>
    <xf numFmtId="0" fontId="12" fillId="0" borderId="0" xfId="0" applyFont="1"/>
    <xf numFmtId="170" fontId="15" fillId="0" borderId="0" xfId="0" applyNumberFormat="1" applyFont="1"/>
    <xf numFmtId="170" fontId="14" fillId="0" borderId="0" xfId="0" applyNumberFormat="1" applyFont="1"/>
    <xf numFmtId="0" fontId="14" fillId="0" borderId="0" xfId="0" applyFont="1"/>
    <xf numFmtId="0" fontId="18" fillId="0" borderId="0" xfId="0" applyFont="1" applyAlignment="1">
      <alignment horizontal="center"/>
    </xf>
    <xf numFmtId="170" fontId="14" fillId="0" borderId="3" xfId="0" applyNumberFormat="1" applyFont="1" applyBorder="1"/>
    <xf numFmtId="38" fontId="15" fillId="0" borderId="0" xfId="0" applyNumberFormat="1" applyFont="1"/>
    <xf numFmtId="0" fontId="11" fillId="0" borderId="0" xfId="0" applyFont="1" applyAlignment="1">
      <alignment horizontal="center"/>
    </xf>
    <xf numFmtId="170" fontId="20" fillId="0" borderId="0" xfId="0" applyNumberFormat="1" applyFont="1"/>
    <xf numFmtId="0" fontId="15" fillId="0" borderId="3" xfId="0" applyFont="1" applyBorder="1"/>
    <xf numFmtId="168" fontId="14" fillId="0" borderId="0" xfId="0" applyNumberFormat="1" applyFont="1"/>
    <xf numFmtId="170" fontId="14" fillId="0" borderId="0" xfId="0" applyNumberFormat="1" applyFont="1" applyBorder="1"/>
    <xf numFmtId="168" fontId="14" fillId="0" borderId="0" xfId="0" applyNumberFormat="1" applyFont="1" applyBorder="1"/>
    <xf numFmtId="168" fontId="14" fillId="0" borderId="3" xfId="0" applyNumberFormat="1" applyFont="1" applyBorder="1"/>
    <xf numFmtId="164" fontId="11" fillId="0" borderId="0" xfId="0" applyNumberFormat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66" fontId="12" fillId="0" borderId="0" xfId="0" applyNumberFormat="1" applyFont="1" applyBorder="1" applyAlignment="1">
      <alignment horizontal="right"/>
    </xf>
    <xf numFmtId="164" fontId="11" fillId="0" borderId="3" xfId="0" applyNumberFormat="1" applyFont="1" applyBorder="1" applyAlignment="1">
      <alignment vertical="center"/>
    </xf>
    <xf numFmtId="37" fontId="3" fillId="0" borderId="3" xfId="0" applyNumberFormat="1" applyFont="1" applyBorder="1" applyAlignment="1">
      <alignment vertical="center"/>
    </xf>
    <xf numFmtId="166" fontId="12" fillId="0" borderId="3" xfId="0" applyNumberFormat="1" applyFont="1" applyBorder="1" applyAlignment="1">
      <alignment horizontal="right"/>
    </xf>
    <xf numFmtId="174" fontId="14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0" fontId="18" fillId="0" borderId="0" xfId="0" applyFont="1" applyBorder="1" applyAlignment="1">
      <alignment horizontal="center"/>
    </xf>
    <xf numFmtId="0" fontId="15" fillId="0" borderId="0" xfId="0" applyFont="1" applyBorder="1"/>
    <xf numFmtId="0" fontId="14" fillId="0" borderId="3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40" fontId="15" fillId="0" borderId="0" xfId="0" applyNumberFormat="1" applyFont="1"/>
    <xf numFmtId="0" fontId="14" fillId="0" borderId="3" xfId="0" applyFont="1" applyBorder="1"/>
    <xf numFmtId="0" fontId="14" fillId="0" borderId="3" xfId="0" applyNumberFormat="1" applyFont="1" applyFill="1" applyBorder="1" applyAlignment="1"/>
    <xf numFmtId="167" fontId="12" fillId="0" borderId="0" xfId="0" applyNumberFormat="1" applyFont="1" applyBorder="1" applyAlignment="1">
      <alignment horizontal="right"/>
    </xf>
    <xf numFmtId="168" fontId="16" fillId="0" borderId="0" xfId="0" applyNumberFormat="1" applyFont="1" applyBorder="1"/>
    <xf numFmtId="168" fontId="15" fillId="0" borderId="0" xfId="0" applyNumberFormat="1" applyFont="1" applyBorder="1"/>
    <xf numFmtId="0" fontId="22" fillId="0" borderId="0" xfId="0" applyFont="1" applyAlignment="1">
      <alignment horizontal="left"/>
    </xf>
    <xf numFmtId="169" fontId="15" fillId="0" borderId="0" xfId="0" applyNumberFormat="1" applyFont="1"/>
    <xf numFmtId="170" fontId="16" fillId="0" borderId="0" xfId="0" applyNumberFormat="1" applyFont="1" applyBorder="1"/>
    <xf numFmtId="173" fontId="21" fillId="0" borderId="0" xfId="1" applyNumberFormat="1" applyFont="1" applyBorder="1"/>
    <xf numFmtId="167" fontId="12" fillId="0" borderId="3" xfId="0" applyNumberFormat="1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37" fontId="8" fillId="0" borderId="0" xfId="0" applyNumberFormat="1" applyFont="1" applyBorder="1" applyAlignment="1">
      <alignment vertical="center"/>
    </xf>
    <xf numFmtId="164" fontId="24" fillId="0" borderId="3" xfId="0" applyNumberFormat="1" applyFont="1" applyFill="1" applyBorder="1" applyAlignment="1">
      <alignment vertical="center"/>
    </xf>
    <xf numFmtId="37" fontId="25" fillId="0" borderId="3" xfId="0" applyNumberFormat="1" applyFont="1" applyFill="1" applyBorder="1" applyAlignment="1">
      <alignment vertical="center"/>
    </xf>
    <xf numFmtId="166" fontId="17" fillId="0" borderId="3" xfId="0" applyNumberFormat="1" applyFont="1" applyFill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Continuous"/>
    </xf>
    <xf numFmtId="167" fontId="12" fillId="0" borderId="0" xfId="0" applyNumberFormat="1" applyFont="1" applyBorder="1" applyAlignment="1">
      <alignment horizontal="centerContinuous"/>
    </xf>
    <xf numFmtId="0" fontId="12" fillId="0" borderId="0" xfId="0" applyFont="1" applyBorder="1" applyAlignment="1">
      <alignment horizontal="right"/>
    </xf>
    <xf numFmtId="166" fontId="12" fillId="0" borderId="0" xfId="0" applyNumberFormat="1" applyFont="1" applyBorder="1" applyAlignment="1">
      <alignment horizontal="left"/>
    </xf>
    <xf numFmtId="174" fontId="21" fillId="0" borderId="0" xfId="1" applyNumberFormat="1" applyFont="1" applyBorder="1" applyAlignment="1">
      <alignment horizontal="right"/>
    </xf>
    <xf numFmtId="177" fontId="14" fillId="0" borderId="0" xfId="0" applyNumberFormat="1" applyFont="1" applyBorder="1" applyAlignment="1">
      <alignment horizontal="right"/>
    </xf>
    <xf numFmtId="0" fontId="26" fillId="0" borderId="0" xfId="0" applyFont="1" applyAlignment="1">
      <alignment horizontal="left"/>
    </xf>
    <xf numFmtId="169" fontId="26" fillId="0" borderId="0" xfId="0" applyNumberFormat="1" applyFont="1"/>
    <xf numFmtId="0" fontId="14" fillId="0" borderId="13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171" fontId="16" fillId="0" borderId="0" xfId="0" applyNumberFormat="1" applyFont="1" applyFill="1" applyBorder="1" applyAlignment="1">
      <alignment horizontal="right"/>
    </xf>
    <xf numFmtId="174" fontId="16" fillId="0" borderId="0" xfId="1" applyNumberFormat="1" applyFont="1" applyBorder="1" applyAlignment="1">
      <alignment horizontal="right"/>
    </xf>
    <xf numFmtId="176" fontId="14" fillId="0" borderId="0" xfId="0" applyNumberFormat="1" applyFont="1" applyFill="1" applyBorder="1" applyAlignment="1">
      <alignment horizontal="left"/>
    </xf>
    <xf numFmtId="171" fontId="14" fillId="0" borderId="0" xfId="0" applyNumberFormat="1" applyFont="1" applyFill="1" applyBorder="1" applyAlignment="1">
      <alignment horizontal="right"/>
    </xf>
    <xf numFmtId="171" fontId="14" fillId="0" borderId="3" xfId="0" applyNumberFormat="1" applyFont="1" applyFill="1" applyBorder="1" applyAlignment="1">
      <alignment horizontal="right"/>
    </xf>
    <xf numFmtId="176" fontId="14" fillId="0" borderId="9" xfId="0" applyNumberFormat="1" applyFont="1" applyFill="1" applyBorder="1" applyAlignment="1">
      <alignment horizontal="left"/>
    </xf>
    <xf numFmtId="167" fontId="15" fillId="0" borderId="10" xfId="0" applyNumberFormat="1" applyFont="1" applyFill="1" applyBorder="1" applyAlignment="1">
      <alignment horizontal="left"/>
    </xf>
    <xf numFmtId="167" fontId="15" fillId="0" borderId="12" xfId="0" applyNumberFormat="1" applyFont="1" applyFill="1" applyBorder="1" applyAlignment="1">
      <alignment horizontal="left"/>
    </xf>
    <xf numFmtId="176" fontId="14" fillId="0" borderId="3" xfId="0" applyNumberFormat="1" applyFont="1" applyFill="1" applyBorder="1" applyAlignment="1">
      <alignment horizontal="left"/>
    </xf>
    <xf numFmtId="167" fontId="15" fillId="0" borderId="14" xfId="0" applyNumberFormat="1" applyFont="1" applyFill="1" applyBorder="1" applyAlignment="1">
      <alignment horizontal="left"/>
    </xf>
    <xf numFmtId="170" fontId="14" fillId="0" borderId="0" xfId="0" applyNumberFormat="1" applyFont="1" applyFill="1" applyBorder="1"/>
    <xf numFmtId="170" fontId="14" fillId="0" borderId="3" xfId="0" applyNumberFormat="1" applyFont="1" applyFill="1" applyBorder="1"/>
    <xf numFmtId="37" fontId="8" fillId="0" borderId="0" xfId="0" applyNumberFormat="1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6" fontId="12" fillId="0" borderId="0" xfId="0" applyNumberFormat="1" applyFont="1" applyFill="1" applyAlignment="1">
      <alignment horizontal="right"/>
    </xf>
    <xf numFmtId="166" fontId="12" fillId="0" borderId="0" xfId="0" applyNumberFormat="1" applyFont="1" applyFill="1" applyBorder="1" applyAlignment="1">
      <alignment horizontal="right"/>
    </xf>
    <xf numFmtId="169" fontId="15" fillId="0" borderId="0" xfId="0" applyNumberFormat="1" applyFont="1" applyBorder="1"/>
    <xf numFmtId="0" fontId="13" fillId="0" borderId="0" xfId="0" applyFont="1" applyBorder="1"/>
    <xf numFmtId="37" fontId="8" fillId="0" borderId="0" xfId="0" applyNumberFormat="1" applyFont="1" applyFill="1" applyBorder="1" applyAlignment="1">
      <alignment vertical="center"/>
    </xf>
    <xf numFmtId="37" fontId="3" fillId="0" borderId="0" xfId="0" applyNumberFormat="1" applyFont="1" applyFill="1" applyBorder="1" applyAlignment="1">
      <alignment vertical="center"/>
    </xf>
    <xf numFmtId="171" fontId="14" fillId="0" borderId="0" xfId="0" applyNumberFormat="1" applyFont="1" applyFill="1" applyBorder="1"/>
    <xf numFmtId="0" fontId="11" fillId="0" borderId="0" xfId="0" applyNumberFormat="1" applyFont="1" applyAlignment="1">
      <alignment horizontal="right" vertical="center"/>
    </xf>
    <xf numFmtId="171" fontId="14" fillId="0" borderId="18" xfId="0" applyNumberFormat="1" applyFont="1" applyFill="1" applyBorder="1" applyAlignment="1"/>
    <xf numFmtId="168" fontId="14" fillId="0" borderId="18" xfId="0" applyNumberFormat="1" applyFont="1" applyFill="1" applyBorder="1" applyAlignment="1"/>
    <xf numFmtId="170" fontId="14" fillId="0" borderId="18" xfId="0" applyNumberFormat="1" applyFont="1" applyFill="1" applyBorder="1" applyAlignment="1"/>
    <xf numFmtId="174" fontId="14" fillId="0" borderId="18" xfId="0" applyNumberFormat="1" applyFont="1" applyFill="1" applyBorder="1" applyAlignment="1"/>
    <xf numFmtId="170" fontId="14" fillId="0" borderId="0" xfId="0" applyNumberFormat="1" applyFont="1" applyFill="1" applyBorder="1" applyAlignment="1"/>
    <xf numFmtId="167" fontId="12" fillId="0" borderId="2" xfId="0" applyNumberFormat="1" applyFont="1" applyFill="1" applyBorder="1" applyAlignment="1">
      <alignment horizontal="right"/>
    </xf>
    <xf numFmtId="0" fontId="19" fillId="0" borderId="0" xfId="0" applyFont="1" applyFill="1"/>
    <xf numFmtId="168" fontId="14" fillId="0" borderId="18" xfId="0" applyNumberFormat="1" applyFont="1" applyFill="1" applyBorder="1"/>
    <xf numFmtId="174" fontId="14" fillId="0" borderId="18" xfId="0" applyNumberFormat="1" applyFont="1" applyFill="1" applyBorder="1"/>
    <xf numFmtId="0" fontId="19" fillId="0" borderId="18" xfId="0" applyFont="1" applyFill="1" applyBorder="1"/>
    <xf numFmtId="174" fontId="14" fillId="0" borderId="17" xfId="0" applyNumberFormat="1" applyFont="1" applyFill="1" applyBorder="1"/>
    <xf numFmtId="37" fontId="9" fillId="2" borderId="0" xfId="0" applyNumberFormat="1" applyFont="1" applyFill="1" applyAlignment="1">
      <alignment vertical="center"/>
    </xf>
    <xf numFmtId="37" fontId="3" fillId="2" borderId="0" xfId="0" applyNumberFormat="1" applyFont="1" applyFill="1" applyAlignment="1">
      <alignment vertical="center"/>
    </xf>
    <xf numFmtId="37" fontId="4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horizontal="right"/>
    </xf>
    <xf numFmtId="172" fontId="11" fillId="2" borderId="0" xfId="0" applyNumberFormat="1" applyFont="1" applyFill="1" applyAlignment="1">
      <alignment horizontal="centerContinuous"/>
    </xf>
    <xf numFmtId="172" fontId="12" fillId="2" borderId="0" xfId="0" applyNumberFormat="1" applyFont="1" applyFill="1" applyAlignment="1">
      <alignment horizontal="centerContinuous"/>
    </xf>
    <xf numFmtId="168" fontId="14" fillId="0" borderId="3" xfId="0" applyNumberFormat="1" applyFont="1" applyFill="1" applyBorder="1"/>
    <xf numFmtId="174" fontId="16" fillId="0" borderId="0" xfId="0" applyNumberFormat="1" applyFont="1" applyFill="1" applyBorder="1"/>
    <xf numFmtId="168" fontId="14" fillId="0" borderId="0" xfId="0" applyNumberFormat="1" applyFont="1" applyFill="1" applyBorder="1"/>
    <xf numFmtId="166" fontId="12" fillId="0" borderId="3" xfId="0" applyNumberFormat="1" applyFont="1" applyFill="1" applyBorder="1" applyAlignment="1">
      <alignment horizontal="right"/>
    </xf>
    <xf numFmtId="0" fontId="13" fillId="0" borderId="0" xfId="0" applyFont="1" applyFill="1"/>
    <xf numFmtId="171" fontId="14" fillId="0" borderId="0" xfId="0" applyNumberFormat="1" applyFont="1" applyFill="1"/>
    <xf numFmtId="168" fontId="14" fillId="0" borderId="0" xfId="0" applyNumberFormat="1" applyFont="1" applyFill="1" applyBorder="1" applyAlignment="1"/>
    <xf numFmtId="37" fontId="9" fillId="0" borderId="0" xfId="0" applyNumberFormat="1" applyFont="1" applyFill="1" applyAlignment="1">
      <alignment vertical="center"/>
    </xf>
    <xf numFmtId="166" fontId="3" fillId="0" borderId="0" xfId="0" applyNumberFormat="1" applyFont="1" applyFill="1" applyAlignment="1">
      <alignment horizontal="right"/>
    </xf>
    <xf numFmtId="0" fontId="7" fillId="0" borderId="0" xfId="0" applyFont="1"/>
    <xf numFmtId="171" fontId="15" fillId="0" borderId="0" xfId="0" applyNumberFormat="1" applyFont="1" applyFill="1" applyBorder="1"/>
    <xf numFmtId="168" fontId="16" fillId="0" borderId="0" xfId="0" applyNumberFormat="1" applyFont="1" applyFill="1" applyBorder="1"/>
    <xf numFmtId="0" fontId="18" fillId="0" borderId="0" xfId="0" applyFont="1" applyFill="1" applyAlignment="1">
      <alignment horizontal="center"/>
    </xf>
    <xf numFmtId="174" fontId="16" fillId="0" borderId="0" xfId="0" applyNumberFormat="1" applyFont="1" applyFill="1"/>
    <xf numFmtId="174" fontId="15" fillId="0" borderId="0" xfId="0" applyNumberFormat="1" applyFont="1" applyFill="1"/>
    <xf numFmtId="171" fontId="16" fillId="0" borderId="0" xfId="0" applyNumberFormat="1" applyFont="1" applyFill="1" applyBorder="1"/>
    <xf numFmtId="171" fontId="16" fillId="0" borderId="3" xfId="0" applyNumberFormat="1" applyFont="1" applyFill="1" applyBorder="1"/>
    <xf numFmtId="174" fontId="16" fillId="0" borderId="3" xfId="0" applyNumberFormat="1" applyFont="1" applyFill="1" applyBorder="1"/>
    <xf numFmtId="168" fontId="16" fillId="0" borderId="0" xfId="0" applyNumberFormat="1" applyFont="1" applyFill="1"/>
    <xf numFmtId="168" fontId="16" fillId="0" borderId="3" xfId="0" applyNumberFormat="1" applyFont="1" applyFill="1" applyBorder="1"/>
    <xf numFmtId="174" fontId="14" fillId="0" borderId="0" xfId="0" applyNumberFormat="1" applyFont="1" applyFill="1" applyBorder="1"/>
    <xf numFmtId="174" fontId="14" fillId="0" borderId="0" xfId="0" applyNumberFormat="1" applyFont="1" applyFill="1"/>
    <xf numFmtId="174" fontId="14" fillId="0" borderId="3" xfId="0" applyNumberFormat="1" applyFont="1" applyFill="1" applyBorder="1"/>
    <xf numFmtId="168" fontId="14" fillId="0" borderId="0" xfId="0" applyNumberFormat="1" applyFont="1" applyFill="1"/>
    <xf numFmtId="174" fontId="14" fillId="0" borderId="16" xfId="0" applyNumberFormat="1" applyFont="1" applyFill="1" applyBorder="1"/>
    <xf numFmtId="168" fontId="14" fillId="0" borderId="15" xfId="0" applyNumberFormat="1" applyFont="1" applyFill="1" applyBorder="1"/>
    <xf numFmtId="168" fontId="12" fillId="0" borderId="0" xfId="0" applyNumberFormat="1" applyFont="1" applyBorder="1" applyAlignment="1">
      <alignment horizontal="right"/>
    </xf>
    <xf numFmtId="180" fontId="16" fillId="0" borderId="0" xfId="0" applyNumberFormat="1" applyFont="1" applyFill="1" applyBorder="1"/>
    <xf numFmtId="171" fontId="16" fillId="0" borderId="13" xfId="0" applyNumberFormat="1" applyFont="1" applyFill="1" applyBorder="1"/>
    <xf numFmtId="176" fontId="14" fillId="0" borderId="0" xfId="0" applyNumberFormat="1" applyFont="1" applyBorder="1"/>
    <xf numFmtId="170" fontId="16" fillId="0" borderId="12" xfId="0" applyNumberFormat="1" applyFont="1" applyFill="1" applyBorder="1" applyAlignment="1"/>
    <xf numFmtId="9" fontId="12" fillId="0" borderId="0" xfId="1" applyFont="1" applyBorder="1" applyAlignment="1">
      <alignment horizontal="right"/>
    </xf>
    <xf numFmtId="170" fontId="28" fillId="0" borderId="0" xfId="0" applyNumberFormat="1" applyFont="1" applyFill="1" applyBorder="1" applyAlignment="1">
      <alignment horizontal="centerContinuous"/>
    </xf>
    <xf numFmtId="170" fontId="14" fillId="0" borderId="3" xfId="0" applyNumberFormat="1" applyFont="1" applyFill="1" applyBorder="1" applyAlignment="1"/>
    <xf numFmtId="173" fontId="14" fillId="0" borderId="0" xfId="1" applyNumberFormat="1" applyFont="1" applyFill="1" applyBorder="1"/>
    <xf numFmtId="173" fontId="14" fillId="0" borderId="18" xfId="1" applyNumberFormat="1" applyFont="1" applyFill="1" applyBorder="1" applyAlignment="1"/>
    <xf numFmtId="173" fontId="14" fillId="0" borderId="3" xfId="1" applyNumberFormat="1" applyFont="1" applyFill="1" applyBorder="1"/>
    <xf numFmtId="173" fontId="16" fillId="0" borderId="3" xfId="1" applyNumberFormat="1" applyFont="1" applyFill="1" applyBorder="1"/>
    <xf numFmtId="0" fontId="12" fillId="0" borderId="0" xfId="0" applyFont="1" applyFill="1" applyBorder="1"/>
    <xf numFmtId="0" fontId="15" fillId="0" borderId="0" xfId="0" applyFont="1" applyFill="1" applyBorder="1"/>
    <xf numFmtId="182" fontId="15" fillId="0" borderId="0" xfId="0" quotePrefix="1" applyNumberFormat="1" applyFont="1" applyAlignment="1">
      <alignment horizontal="right"/>
    </xf>
    <xf numFmtId="183" fontId="15" fillId="0" borderId="0" xfId="0" quotePrefix="1" applyNumberFormat="1" applyFont="1" applyAlignment="1">
      <alignment horizontal="right"/>
    </xf>
    <xf numFmtId="169" fontId="15" fillId="0" borderId="0" xfId="0" applyNumberFormat="1" applyFont="1" applyFill="1" applyBorder="1"/>
    <xf numFmtId="171" fontId="15" fillId="0" borderId="0" xfId="1" applyNumberFormat="1" applyFont="1" applyFill="1" applyBorder="1" applyAlignment="1">
      <alignment horizontal="right"/>
    </xf>
    <xf numFmtId="167" fontId="12" fillId="0" borderId="0" xfId="0" applyNumberFormat="1" applyFont="1" applyFill="1" applyBorder="1" applyAlignment="1">
      <alignment horizontal="right"/>
    </xf>
    <xf numFmtId="168" fontId="16" fillId="0" borderId="0" xfId="0" applyNumberFormat="1" applyFont="1" applyFill="1" applyBorder="1" applyAlignment="1"/>
    <xf numFmtId="173" fontId="14" fillId="0" borderId="15" xfId="1" quotePrefix="1" applyNumberFormat="1" applyFont="1" applyFill="1" applyBorder="1" applyAlignment="1">
      <alignment horizontal="right"/>
    </xf>
    <xf numFmtId="168" fontId="14" fillId="0" borderId="9" xfId="0" applyNumberFormat="1" applyFont="1" applyFill="1" applyBorder="1" applyAlignment="1"/>
    <xf numFmtId="168" fontId="14" fillId="0" borderId="16" xfId="0" applyNumberFormat="1" applyFont="1" applyFill="1" applyBorder="1" applyAlignment="1"/>
    <xf numFmtId="171" fontId="14" fillId="0" borderId="3" xfId="0" applyNumberFormat="1" applyFont="1" applyFill="1" applyBorder="1"/>
    <xf numFmtId="174" fontId="14" fillId="0" borderId="16" xfId="0" applyNumberFormat="1" applyFont="1" applyFill="1" applyBorder="1" applyAlignment="1"/>
    <xf numFmtId="37" fontId="25" fillId="0" borderId="9" xfId="0" applyNumberFormat="1" applyFont="1" applyFill="1" applyBorder="1" applyAlignment="1">
      <alignment vertical="center"/>
    </xf>
    <xf numFmtId="0" fontId="14" fillId="0" borderId="8" xfId="0" applyNumberFormat="1" applyFont="1" applyFill="1" applyBorder="1" applyAlignment="1">
      <alignment horizontal="left"/>
    </xf>
    <xf numFmtId="165" fontId="7" fillId="0" borderId="0" xfId="5" applyNumberFormat="1" applyFont="1" applyFill="1" applyProtection="1">
      <protection locked="0"/>
    </xf>
    <xf numFmtId="37" fontId="4" fillId="0" borderId="0" xfId="0" applyNumberFormat="1" applyFont="1" applyFill="1" applyAlignment="1">
      <alignment vertical="center"/>
    </xf>
    <xf numFmtId="184" fontId="18" fillId="0" borderId="0" xfId="0" applyNumberFormat="1" applyFont="1" applyBorder="1" applyAlignment="1">
      <alignment horizontal="left" indent="1"/>
    </xf>
    <xf numFmtId="0" fontId="7" fillId="0" borderId="3" xfId="0" applyFont="1" applyBorder="1"/>
    <xf numFmtId="171" fontId="14" fillId="0" borderId="0" xfId="1" applyNumberFormat="1" applyFont="1" applyFill="1" applyBorder="1" applyAlignment="1">
      <alignment horizontal="right"/>
    </xf>
    <xf numFmtId="0" fontId="7" fillId="0" borderId="0" xfId="0" applyFont="1" applyBorder="1"/>
    <xf numFmtId="166" fontId="12" fillId="0" borderId="23" xfId="0" applyNumberFormat="1" applyFont="1" applyBorder="1" applyAlignment="1">
      <alignment horizontal="right"/>
    </xf>
    <xf numFmtId="49" fontId="12" fillId="0" borderId="0" xfId="0" applyNumberFormat="1" applyFont="1" applyAlignment="1">
      <alignment horizontal="left"/>
    </xf>
    <xf numFmtId="186" fontId="9" fillId="2" borderId="0" xfId="0" applyNumberFormat="1" applyFont="1" applyFill="1" applyAlignment="1">
      <alignment vertical="center"/>
    </xf>
    <xf numFmtId="0" fontId="33" fillId="3" borderId="0" xfId="0" applyFont="1" applyFill="1" applyAlignment="1">
      <alignment horizontal="right" vertical="center"/>
    </xf>
    <xf numFmtId="168" fontId="14" fillId="0" borderId="8" xfId="0" applyNumberFormat="1" applyFont="1" applyFill="1" applyBorder="1"/>
    <xf numFmtId="168" fontId="12" fillId="0" borderId="0" xfId="0" applyNumberFormat="1" applyFont="1" applyFill="1" applyBorder="1" applyAlignment="1">
      <alignment horizontal="right"/>
    </xf>
    <xf numFmtId="168" fontId="14" fillId="0" borderId="0" xfId="0" applyNumberFormat="1" applyFont="1" applyFill="1" applyBorder="1" applyAlignment="1">
      <alignment horizontal="right"/>
    </xf>
    <xf numFmtId="177" fontId="14" fillId="0" borderId="6" xfId="0" applyNumberFormat="1" applyFont="1" applyFill="1" applyBorder="1" applyAlignment="1">
      <alignment horizontal="right"/>
    </xf>
    <xf numFmtId="177" fontId="14" fillId="0" borderId="7" xfId="0" applyNumberFormat="1" applyFont="1" applyFill="1" applyBorder="1" applyAlignment="1">
      <alignment horizontal="right"/>
    </xf>
    <xf numFmtId="177" fontId="14" fillId="0" borderId="13" xfId="0" applyNumberFormat="1" applyFont="1" applyFill="1" applyBorder="1" applyAlignment="1">
      <alignment horizontal="right"/>
    </xf>
    <xf numFmtId="177" fontId="14" fillId="0" borderId="3" xfId="0" applyNumberFormat="1" applyFont="1" applyFill="1" applyBorder="1" applyAlignment="1">
      <alignment horizontal="right"/>
    </xf>
    <xf numFmtId="177" fontId="14" fillId="0" borderId="14" xfId="0" applyNumberFormat="1" applyFont="1" applyFill="1" applyBorder="1" applyAlignment="1">
      <alignment horizontal="right"/>
    </xf>
    <xf numFmtId="170" fontId="14" fillId="0" borderId="9" xfId="0" applyNumberFormat="1" applyFont="1" applyFill="1" applyBorder="1" applyAlignment="1">
      <alignment horizontal="left"/>
    </xf>
    <xf numFmtId="170" fontId="14" fillId="0" borderId="10" xfId="0" applyNumberFormat="1" applyFont="1" applyFill="1" applyBorder="1" applyAlignment="1">
      <alignment horizontal="left"/>
    </xf>
    <xf numFmtId="170" fontId="14" fillId="0" borderId="0" xfId="0" applyNumberFormat="1" applyFont="1" applyFill="1" applyBorder="1" applyAlignment="1">
      <alignment horizontal="left"/>
    </xf>
    <xf numFmtId="170" fontId="14" fillId="0" borderId="12" xfId="0" applyNumberFormat="1" applyFont="1" applyFill="1" applyBorder="1" applyAlignment="1">
      <alignment horizontal="left"/>
    </xf>
    <xf numFmtId="170" fontId="14" fillId="0" borderId="3" xfId="0" applyNumberFormat="1" applyFont="1" applyFill="1" applyBorder="1" applyAlignment="1">
      <alignment horizontal="left"/>
    </xf>
    <xf numFmtId="170" fontId="14" fillId="0" borderId="14" xfId="0" applyNumberFormat="1" applyFont="1" applyFill="1" applyBorder="1" applyAlignment="1">
      <alignment horizontal="left"/>
    </xf>
    <xf numFmtId="49" fontId="14" fillId="0" borderId="13" xfId="0" applyNumberFormat="1" applyFont="1" applyBorder="1" applyAlignment="1">
      <alignment horizontal="left"/>
    </xf>
    <xf numFmtId="168" fontId="14" fillId="0" borderId="10" xfId="0" applyNumberFormat="1" applyFont="1" applyFill="1" applyBorder="1"/>
    <xf numFmtId="168" fontId="14" fillId="0" borderId="12" xfId="0" applyNumberFormat="1" applyFont="1" applyFill="1" applyBorder="1"/>
    <xf numFmtId="168" fontId="14" fillId="0" borderId="14" xfId="0" applyNumberFormat="1" applyFont="1" applyFill="1" applyBorder="1"/>
    <xf numFmtId="168" fontId="12" fillId="0" borderId="3" xfId="0" applyNumberFormat="1" applyFont="1" applyBorder="1" applyAlignment="1">
      <alignment horizontal="right"/>
    </xf>
    <xf numFmtId="168" fontId="17" fillId="0" borderId="3" xfId="0" applyNumberFormat="1" applyFont="1" applyFill="1" applyBorder="1" applyAlignment="1">
      <alignment horizontal="right"/>
    </xf>
    <xf numFmtId="168" fontId="14" fillId="0" borderId="0" xfId="1" applyNumberFormat="1" applyFont="1"/>
    <xf numFmtId="168" fontId="14" fillId="0" borderId="3" xfId="0" applyNumberFormat="1" applyFont="1" applyFill="1" applyBorder="1" applyAlignment="1">
      <alignment horizontal="right"/>
    </xf>
    <xf numFmtId="168" fontId="16" fillId="0" borderId="6" xfId="0" applyNumberFormat="1" applyFont="1" applyFill="1" applyBorder="1"/>
    <xf numFmtId="168" fontId="16" fillId="0" borderId="0" xfId="0" applyNumberFormat="1" applyFont="1"/>
    <xf numFmtId="168" fontId="14" fillId="0" borderId="11" xfId="0" applyNumberFormat="1" applyFont="1" applyFill="1" applyBorder="1"/>
    <xf numFmtId="168" fontId="14" fillId="0" borderId="13" xfId="0" applyNumberFormat="1" applyFont="1" applyFill="1" applyBorder="1"/>
    <xf numFmtId="171" fontId="14" fillId="0" borderId="9" xfId="0" applyNumberFormat="1" applyFont="1" applyFill="1" applyBorder="1" applyAlignment="1"/>
    <xf numFmtId="182" fontId="15" fillId="0" borderId="0" xfId="0" applyNumberFormat="1" applyFont="1" applyBorder="1" applyAlignment="1">
      <alignment horizontal="left"/>
    </xf>
    <xf numFmtId="37" fontId="30" fillId="0" borderId="0" xfId="0" applyNumberFormat="1" applyFont="1" applyFill="1" applyBorder="1" applyAlignment="1">
      <alignment vertical="center"/>
    </xf>
    <xf numFmtId="0" fontId="13" fillId="0" borderId="0" xfId="0" applyFont="1" applyFill="1" applyBorder="1"/>
    <xf numFmtId="0" fontId="7" fillId="0" borderId="0" xfId="0" applyFont="1" applyFill="1"/>
    <xf numFmtId="37" fontId="8" fillId="0" borderId="23" xfId="0" applyNumberFormat="1" applyFont="1" applyBorder="1" applyAlignment="1">
      <alignment vertical="center"/>
    </xf>
    <xf numFmtId="37" fontId="30" fillId="0" borderId="23" xfId="0" applyNumberFormat="1" applyFont="1" applyFill="1" applyBorder="1" applyAlignment="1">
      <alignment vertical="center"/>
    </xf>
    <xf numFmtId="0" fontId="7" fillId="0" borderId="0" xfId="0" applyFont="1" applyFill="1" applyBorder="1"/>
    <xf numFmtId="37" fontId="8" fillId="0" borderId="0" xfId="0" applyNumberFormat="1" applyFont="1" applyBorder="1" applyAlignment="1">
      <alignment horizontal="centerContinuous" vertical="center"/>
    </xf>
    <xf numFmtId="37" fontId="8" fillId="0" borderId="9" xfId="0" applyNumberFormat="1" applyFont="1" applyBorder="1" applyAlignment="1">
      <alignment vertical="center"/>
    </xf>
    <xf numFmtId="37" fontId="30" fillId="0" borderId="3" xfId="0" applyNumberFormat="1" applyFont="1" applyFill="1" applyBorder="1" applyAlignment="1">
      <alignment vertical="center"/>
    </xf>
    <xf numFmtId="37" fontId="8" fillId="0" borderId="3" xfId="0" applyNumberFormat="1" applyFont="1" applyBorder="1" applyAlignment="1">
      <alignment vertical="center"/>
    </xf>
    <xf numFmtId="0" fontId="34" fillId="0" borderId="0" xfId="0" applyFont="1" applyBorder="1"/>
    <xf numFmtId="170" fontId="15" fillId="0" borderId="0" xfId="0" applyNumberFormat="1" applyFont="1" applyBorder="1"/>
    <xf numFmtId="170" fontId="20" fillId="0" borderId="0" xfId="0" applyNumberFormat="1" applyFont="1" applyBorder="1"/>
    <xf numFmtId="0" fontId="33" fillId="0" borderId="0" xfId="0" applyFont="1" applyFill="1" applyAlignment="1">
      <alignment horizontal="right" vertical="center"/>
    </xf>
    <xf numFmtId="168" fontId="16" fillId="0" borderId="5" xfId="0" applyNumberFormat="1" applyFont="1" applyFill="1" applyBorder="1"/>
    <xf numFmtId="0" fontId="14" fillId="0" borderId="8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37" fontId="30" fillId="0" borderId="9" xfId="0" applyNumberFormat="1" applyFont="1" applyFill="1" applyBorder="1" applyAlignment="1">
      <alignment vertical="center"/>
    </xf>
    <xf numFmtId="168" fontId="17" fillId="0" borderId="0" xfId="0" applyNumberFormat="1" applyFont="1" applyFill="1" applyBorder="1"/>
    <xf numFmtId="182" fontId="29" fillId="0" borderId="0" xfId="0" quotePrefix="1" applyNumberFormat="1" applyFont="1" applyAlignment="1">
      <alignment horizontal="right"/>
    </xf>
    <xf numFmtId="183" fontId="29" fillId="0" borderId="0" xfId="0" quotePrefix="1" applyNumberFormat="1" applyFont="1" applyAlignment="1">
      <alignment horizontal="right"/>
    </xf>
    <xf numFmtId="185" fontId="14" fillId="0" borderId="25" xfId="0" applyNumberFormat="1" applyFont="1" applyFill="1" applyBorder="1" applyAlignment="1"/>
    <xf numFmtId="185" fontId="14" fillId="0" borderId="26" xfId="0" applyNumberFormat="1" applyFont="1" applyFill="1" applyBorder="1" applyAlignment="1"/>
    <xf numFmtId="185" fontId="14" fillId="0" borderId="24" xfId="0" applyNumberFormat="1" applyFont="1" applyFill="1" applyBorder="1" applyAlignment="1"/>
    <xf numFmtId="185" fontId="14" fillId="0" borderId="14" xfId="0" applyNumberFormat="1" applyFont="1" applyFill="1" applyBorder="1" applyAlignment="1">
      <alignment horizontal="right"/>
    </xf>
    <xf numFmtId="49" fontId="15" fillId="0" borderId="0" xfId="0" applyNumberFormat="1" applyFont="1" applyBorder="1" applyAlignment="1">
      <alignment horizontal="left"/>
    </xf>
    <xf numFmtId="181" fontId="14" fillId="0" borderId="0" xfId="0" applyNumberFormat="1" applyFont="1" applyFill="1" applyBorder="1"/>
    <xf numFmtId="168" fontId="17" fillId="0" borderId="0" xfId="0" applyNumberFormat="1" applyFont="1" applyFill="1" applyBorder="1" applyAlignment="1">
      <alignment horizontal="right"/>
    </xf>
    <xf numFmtId="167" fontId="17" fillId="0" borderId="2" xfId="0" applyNumberFormat="1" applyFont="1" applyFill="1" applyBorder="1" applyAlignment="1">
      <alignment horizontal="right"/>
    </xf>
    <xf numFmtId="168" fontId="31" fillId="0" borderId="0" xfId="0" applyNumberFormat="1" applyFont="1" applyFill="1"/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/>
    </xf>
    <xf numFmtId="0" fontId="14" fillId="0" borderId="0" xfId="0" applyFont="1" applyFill="1"/>
    <xf numFmtId="0" fontId="14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14" fillId="0" borderId="3" xfId="0" applyFont="1" applyFill="1" applyBorder="1" applyAlignment="1">
      <alignment horizontal="left"/>
    </xf>
    <xf numFmtId="0" fontId="15" fillId="0" borderId="0" xfId="0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4" fontId="11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left"/>
    </xf>
    <xf numFmtId="49" fontId="15" fillId="0" borderId="0" xfId="0" applyNumberFormat="1" applyFont="1" applyFill="1" applyAlignment="1">
      <alignment horizontal="left" indent="1"/>
    </xf>
    <xf numFmtId="164" fontId="11" fillId="0" borderId="0" xfId="0" applyNumberFormat="1" applyFont="1" applyFill="1" applyBorder="1" applyAlignment="1">
      <alignment vertical="center"/>
    </xf>
    <xf numFmtId="187" fontId="37" fillId="0" borderId="0" xfId="5" applyNumberFormat="1" applyFont="1" applyAlignment="1" applyProtection="1">
      <alignment horizontal="center"/>
      <protection locked="0"/>
    </xf>
    <xf numFmtId="165" fontId="38" fillId="0" borderId="0" xfId="5" applyNumberFormat="1" applyFont="1" applyAlignment="1" applyProtection="1">
      <alignment horizontal="center"/>
      <protection locked="0"/>
    </xf>
    <xf numFmtId="165" fontId="38" fillId="0" borderId="0" xfId="5" applyNumberFormat="1" applyFont="1" applyAlignment="1" applyProtection="1">
      <protection locked="0"/>
    </xf>
    <xf numFmtId="165" fontId="37" fillId="0" borderId="0" xfId="5" applyNumberFormat="1" applyFont="1" applyProtection="1">
      <protection locked="0"/>
    </xf>
    <xf numFmtId="168" fontId="16" fillId="0" borderId="8" xfId="0" applyNumberFormat="1" applyFont="1" applyFill="1" applyBorder="1" applyAlignment="1"/>
    <xf numFmtId="168" fontId="16" fillId="0" borderId="13" xfId="0" applyNumberFormat="1" applyFont="1" applyFill="1" applyBorder="1" applyAlignment="1"/>
    <xf numFmtId="0" fontId="39" fillId="0" borderId="0" xfId="0" applyFont="1"/>
    <xf numFmtId="37" fontId="1" fillId="2" borderId="0" xfId="0" applyNumberFormat="1" applyFont="1" applyFill="1" applyAlignment="1">
      <alignment vertical="center"/>
    </xf>
    <xf numFmtId="0" fontId="32" fillId="0" borderId="0" xfId="0" applyFont="1" applyBorder="1"/>
    <xf numFmtId="181" fontId="14" fillId="0" borderId="13" xfId="0" applyNumberFormat="1" applyFont="1" applyFill="1" applyBorder="1"/>
    <xf numFmtId="181" fontId="14" fillId="0" borderId="3" xfId="0" applyNumberFormat="1" applyFont="1" applyFill="1" applyBorder="1"/>
    <xf numFmtId="181" fontId="14" fillId="0" borderId="14" xfId="0" applyNumberFormat="1" applyFont="1" applyFill="1" applyBorder="1"/>
    <xf numFmtId="0" fontId="15" fillId="0" borderId="0" xfId="0" applyFont="1" applyFill="1" applyBorder="1" applyAlignment="1">
      <alignment horizontal="left"/>
    </xf>
    <xf numFmtId="171" fontId="14" fillId="0" borderId="9" xfId="0" applyNumberFormat="1" applyFont="1" applyFill="1" applyBorder="1" applyAlignment="1">
      <alignment horizontal="right"/>
    </xf>
    <xf numFmtId="171" fontId="14" fillId="0" borderId="10" xfId="0" applyNumberFormat="1" applyFont="1" applyFill="1" applyBorder="1" applyAlignment="1">
      <alignment horizontal="right"/>
    </xf>
    <xf numFmtId="171" fontId="14" fillId="0" borderId="12" xfId="0" applyNumberFormat="1" applyFont="1" applyFill="1" applyBorder="1" applyAlignment="1">
      <alignment horizontal="right"/>
    </xf>
    <xf numFmtId="171" fontId="14" fillId="0" borderId="14" xfId="0" applyNumberFormat="1" applyFont="1" applyFill="1" applyBorder="1" applyAlignment="1">
      <alignment horizontal="right"/>
    </xf>
    <xf numFmtId="168" fontId="14" fillId="0" borderId="9" xfId="0" applyNumberFormat="1" applyFont="1" applyFill="1" applyBorder="1" applyAlignment="1">
      <alignment horizontal="right"/>
    </xf>
    <xf numFmtId="168" fontId="14" fillId="0" borderId="10" xfId="0" applyNumberFormat="1" applyFont="1" applyFill="1" applyBorder="1" applyAlignment="1">
      <alignment horizontal="right"/>
    </xf>
    <xf numFmtId="168" fontId="14" fillId="0" borderId="12" xfId="0" applyNumberFormat="1" applyFont="1" applyFill="1" applyBorder="1" applyAlignment="1">
      <alignment horizontal="right"/>
    </xf>
    <xf numFmtId="168" fontId="14" fillId="0" borderId="14" xfId="0" applyNumberFormat="1" applyFont="1" applyFill="1" applyBorder="1" applyAlignment="1">
      <alignment horizontal="right"/>
    </xf>
    <xf numFmtId="168" fontId="14" fillId="0" borderId="19" xfId="0" applyNumberFormat="1" applyFont="1" applyFill="1" applyBorder="1" applyAlignment="1">
      <alignment vertical="center"/>
    </xf>
    <xf numFmtId="168" fontId="14" fillId="0" borderId="21" xfId="0" applyNumberFormat="1" applyFont="1" applyFill="1" applyBorder="1" applyAlignment="1">
      <alignment vertical="center"/>
    </xf>
    <xf numFmtId="168" fontId="14" fillId="0" borderId="4" xfId="0" applyNumberFormat="1" applyFont="1" applyFill="1" applyBorder="1" applyAlignment="1">
      <alignment vertical="center"/>
    </xf>
    <xf numFmtId="168" fontId="14" fillId="0" borderId="20" xfId="0" applyNumberFormat="1" applyFont="1" applyFill="1" applyBorder="1" applyAlignment="1">
      <alignment vertical="center"/>
    </xf>
    <xf numFmtId="168" fontId="17" fillId="0" borderId="4" xfId="0" applyNumberFormat="1" applyFont="1" applyFill="1" applyBorder="1" applyAlignment="1">
      <alignment vertical="center"/>
    </xf>
    <xf numFmtId="168" fontId="17" fillId="0" borderId="22" xfId="0" applyNumberFormat="1" applyFont="1" applyFill="1" applyBorder="1" applyAlignment="1">
      <alignment vertical="center"/>
    </xf>
    <xf numFmtId="175" fontId="14" fillId="0" borderId="0" xfId="0" applyNumberFormat="1" applyFont="1" applyFill="1" applyBorder="1" applyAlignment="1">
      <alignment horizontal="left"/>
    </xf>
    <xf numFmtId="166" fontId="17" fillId="0" borderId="1" xfId="0" applyNumberFormat="1" applyFont="1" applyFill="1" applyBorder="1" applyAlignment="1">
      <alignment horizontal="right"/>
    </xf>
    <xf numFmtId="167" fontId="27" fillId="0" borderId="2" xfId="0" applyNumberFormat="1" applyFont="1" applyFill="1" applyBorder="1" applyAlignment="1">
      <alignment horizontal="right"/>
    </xf>
    <xf numFmtId="168" fontId="16" fillId="0" borderId="10" xfId="0" applyNumberFormat="1" applyFont="1" applyFill="1" applyBorder="1"/>
    <xf numFmtId="168" fontId="16" fillId="0" borderId="14" xfId="0" applyNumberFormat="1" applyFont="1" applyFill="1" applyBorder="1" applyAlignment="1"/>
    <xf numFmtId="171" fontId="16" fillId="0" borderId="16" xfId="0" applyNumberFormat="1" applyFont="1" applyFill="1" applyBorder="1"/>
    <xf numFmtId="171" fontId="16" fillId="0" borderId="17" xfId="0" applyNumberFormat="1" applyFont="1" applyFill="1" applyBorder="1"/>
    <xf numFmtId="168" fontId="16" fillId="0" borderId="10" xfId="0" applyNumberFormat="1" applyFont="1" applyFill="1" applyBorder="1" applyAlignment="1"/>
    <xf numFmtId="168" fontId="16" fillId="0" borderId="11" xfId="0" applyNumberFormat="1" applyFont="1" applyFill="1" applyBorder="1" applyAlignment="1"/>
    <xf numFmtId="168" fontId="16" fillId="0" borderId="12" xfId="0" applyNumberFormat="1" applyFont="1" applyFill="1" applyBorder="1" applyAlignment="1"/>
    <xf numFmtId="168" fontId="16" fillId="0" borderId="7" xfId="0" applyNumberFormat="1" applyFont="1" applyFill="1" applyBorder="1"/>
    <xf numFmtId="174" fontId="16" fillId="0" borderId="10" xfId="1" applyNumberFormat="1" applyFont="1" applyFill="1" applyBorder="1" applyAlignment="1">
      <alignment horizontal="right"/>
    </xf>
    <xf numFmtId="188" fontId="27" fillId="0" borderId="0" xfId="0" applyNumberFormat="1" applyFont="1" applyBorder="1" applyAlignment="1">
      <alignment horizontal="right"/>
    </xf>
    <xf numFmtId="188" fontId="17" fillId="0" borderId="0" xfId="0" applyNumberFormat="1" applyFont="1" applyFill="1" applyBorder="1" applyAlignment="1">
      <alignment horizontal="right"/>
    </xf>
    <xf numFmtId="168" fontId="16" fillId="0" borderId="14" xfId="0" applyNumberFormat="1" applyFont="1" applyFill="1" applyBorder="1" applyAlignment="1">
      <alignment horizontal="right"/>
    </xf>
    <xf numFmtId="174" fontId="16" fillId="0" borderId="10" xfId="1" applyNumberFormat="1" applyFont="1" applyBorder="1" applyAlignment="1">
      <alignment horizontal="right"/>
    </xf>
    <xf numFmtId="188" fontId="27" fillId="0" borderId="3" xfId="0" applyNumberFormat="1" applyFont="1" applyBorder="1" applyAlignment="1">
      <alignment horizontal="right"/>
    </xf>
    <xf numFmtId="188" fontId="17" fillId="0" borderId="3" xfId="0" applyNumberFormat="1" applyFont="1" applyFill="1" applyBorder="1" applyAlignment="1">
      <alignment horizontal="right"/>
    </xf>
    <xf numFmtId="177" fontId="16" fillId="0" borderId="14" xfId="0" applyNumberFormat="1" applyFont="1" applyFill="1" applyBorder="1" applyAlignment="1">
      <alignment horizontal="right"/>
    </xf>
    <xf numFmtId="167" fontId="17" fillId="0" borderId="8" xfId="0" applyNumberFormat="1" applyFont="1" applyFill="1" applyBorder="1" applyAlignment="1">
      <alignment horizontal="left"/>
    </xf>
    <xf numFmtId="167" fontId="17" fillId="0" borderId="11" xfId="0" applyNumberFormat="1" applyFont="1" applyFill="1" applyBorder="1" applyAlignment="1">
      <alignment horizontal="left"/>
    </xf>
    <xf numFmtId="167" fontId="17" fillId="0" borderId="13" xfId="0" applyNumberFormat="1" applyFont="1" applyFill="1" applyBorder="1" applyAlignment="1">
      <alignment horizontal="left"/>
    </xf>
    <xf numFmtId="177" fontId="16" fillId="0" borderId="10" xfId="0" applyNumberFormat="1" applyFont="1" applyFill="1" applyBorder="1" applyAlignment="1">
      <alignment horizontal="right"/>
    </xf>
    <xf numFmtId="171" fontId="16" fillId="0" borderId="14" xfId="1" applyNumberFormat="1" applyFont="1" applyFill="1" applyBorder="1"/>
    <xf numFmtId="178" fontId="17" fillId="0" borderId="0" xfId="0" applyNumberFormat="1" applyFont="1" applyFill="1" applyBorder="1" applyAlignment="1">
      <alignment horizontal="right"/>
    </xf>
    <xf numFmtId="0" fontId="7" fillId="0" borderId="0" xfId="4" applyFont="1"/>
    <xf numFmtId="37" fontId="9" fillId="2" borderId="0" xfId="4" applyNumberFormat="1" applyFont="1" applyFill="1" applyAlignment="1">
      <alignment vertical="center"/>
    </xf>
    <xf numFmtId="37" fontId="3" fillId="2" borderId="0" xfId="4" applyNumberFormat="1" applyFont="1" applyFill="1" applyAlignment="1">
      <alignment vertical="center"/>
    </xf>
    <xf numFmtId="37" fontId="4" fillId="2" borderId="0" xfId="4" applyNumberFormat="1" applyFont="1" applyFill="1" applyAlignment="1">
      <alignment vertical="center"/>
    </xf>
    <xf numFmtId="166" fontId="3" fillId="2" borderId="0" xfId="4" applyNumberFormat="1" applyFont="1" applyFill="1" applyAlignment="1">
      <alignment horizontal="right"/>
    </xf>
    <xf numFmtId="0" fontId="33" fillId="3" borderId="0" xfId="4" applyFont="1" applyFill="1" applyAlignment="1">
      <alignment horizontal="right" vertical="center"/>
    </xf>
    <xf numFmtId="37" fontId="9" fillId="0" borderId="0" xfId="4" applyNumberFormat="1" applyFont="1" applyAlignment="1">
      <alignment vertical="center"/>
    </xf>
    <xf numFmtId="37" fontId="3" fillId="0" borderId="0" xfId="4" applyNumberFormat="1" applyFont="1" applyAlignment="1">
      <alignment vertical="center"/>
    </xf>
    <xf numFmtId="37" fontId="4" fillId="0" borderId="0" xfId="4" applyNumberFormat="1" applyFont="1" applyAlignment="1">
      <alignment vertical="center"/>
    </xf>
    <xf numFmtId="166" fontId="3" fillId="0" borderId="0" xfId="4" applyNumberFormat="1" applyFont="1" applyAlignment="1">
      <alignment horizontal="right"/>
    </xf>
    <xf numFmtId="0" fontId="33" fillId="0" borderId="0" xfId="4" applyFont="1" applyAlignment="1">
      <alignment horizontal="right" vertical="center"/>
    </xf>
    <xf numFmtId="164" fontId="11" fillId="0" borderId="0" xfId="4" applyNumberFormat="1" applyFont="1" applyAlignment="1">
      <alignment vertical="center"/>
    </xf>
    <xf numFmtId="166" fontId="12" fillId="0" borderId="0" xfId="4" applyNumberFormat="1" applyFont="1" applyAlignment="1">
      <alignment horizontal="right"/>
    </xf>
    <xf numFmtId="166" fontId="17" fillId="0" borderId="1" xfId="4" applyNumberFormat="1" applyFont="1" applyBorder="1" applyAlignment="1">
      <alignment horizontal="right"/>
    </xf>
    <xf numFmtId="167" fontId="27" fillId="0" borderId="2" xfId="4" applyNumberFormat="1" applyFont="1" applyBorder="1" applyAlignment="1">
      <alignment horizontal="right"/>
    </xf>
    <xf numFmtId="167" fontId="17" fillId="0" borderId="2" xfId="4" applyNumberFormat="1" applyFont="1" applyBorder="1" applyAlignment="1">
      <alignment horizontal="right"/>
    </xf>
    <xf numFmtId="167" fontId="12" fillId="0" borderId="2" xfId="4" applyNumberFormat="1" applyFont="1" applyBorder="1" applyAlignment="1">
      <alignment horizontal="right"/>
    </xf>
    <xf numFmtId="167" fontId="12" fillId="0" borderId="0" xfId="4" applyNumberFormat="1" applyFont="1" applyAlignment="1">
      <alignment horizontal="right"/>
    </xf>
    <xf numFmtId="0" fontId="13" fillId="0" borderId="0" xfId="4" applyFont="1"/>
    <xf numFmtId="0" fontId="14" fillId="0" borderId="8" xfId="4" applyFont="1" applyBorder="1" applyAlignment="1">
      <alignment horizontal="left"/>
    </xf>
    <xf numFmtId="168" fontId="16" fillId="0" borderId="10" xfId="4" applyNumberFormat="1" applyFont="1" applyBorder="1"/>
    <xf numFmtId="0" fontId="39" fillId="0" borderId="0" xfId="4" applyFont="1"/>
    <xf numFmtId="0" fontId="15" fillId="0" borderId="0" xfId="4" applyFont="1"/>
    <xf numFmtId="37" fontId="8" fillId="0" borderId="0" xfId="4" applyNumberFormat="1" applyFont="1" applyAlignment="1">
      <alignment vertical="center"/>
    </xf>
    <xf numFmtId="0" fontId="14" fillId="0" borderId="13" xfId="4" applyFont="1" applyBorder="1" applyAlignment="1">
      <alignment horizontal="left"/>
    </xf>
    <xf numFmtId="168" fontId="16" fillId="0" borderId="14" xfId="4" applyNumberFormat="1" applyFont="1" applyBorder="1"/>
    <xf numFmtId="168" fontId="14" fillId="0" borderId="0" xfId="4" applyNumberFormat="1" applyFont="1"/>
    <xf numFmtId="37" fontId="30" fillId="0" borderId="0" xfId="4" applyNumberFormat="1" applyFont="1" applyAlignment="1">
      <alignment vertical="center"/>
    </xf>
    <xf numFmtId="0" fontId="17" fillId="0" borderId="0" xfId="4" applyFont="1" applyAlignment="1">
      <alignment horizontal="left"/>
    </xf>
    <xf numFmtId="0" fontId="14" fillId="0" borderId="0" xfId="4" applyFont="1"/>
    <xf numFmtId="0" fontId="18" fillId="0" borderId="0" xfId="4" applyFont="1" applyAlignment="1">
      <alignment horizontal="center"/>
    </xf>
    <xf numFmtId="180" fontId="16" fillId="0" borderId="0" xfId="4" applyNumberFormat="1" applyFont="1"/>
    <xf numFmtId="170" fontId="14" fillId="0" borderId="0" xfId="4" applyNumberFormat="1" applyFont="1"/>
    <xf numFmtId="0" fontId="14" fillId="0" borderId="0" xfId="4" applyFont="1" applyAlignment="1">
      <alignment horizontal="left"/>
    </xf>
    <xf numFmtId="170" fontId="14" fillId="0" borderId="3" xfId="4" applyNumberFormat="1" applyFont="1" applyBorder="1"/>
    <xf numFmtId="0" fontId="14" fillId="0" borderId="0" xfId="4" applyFont="1" applyAlignment="1">
      <alignment horizontal="left" indent="1"/>
    </xf>
    <xf numFmtId="171" fontId="14" fillId="0" borderId="0" xfId="4" applyNumberFormat="1" applyFont="1"/>
    <xf numFmtId="171" fontId="16" fillId="0" borderId="0" xfId="4" applyNumberFormat="1" applyFont="1"/>
    <xf numFmtId="171" fontId="16" fillId="0" borderId="16" xfId="4" applyNumberFormat="1" applyFont="1" applyBorder="1"/>
    <xf numFmtId="171" fontId="15" fillId="0" borderId="0" xfId="4" applyNumberFormat="1" applyFont="1"/>
    <xf numFmtId="171" fontId="14" fillId="0" borderId="18" xfId="4" applyNumberFormat="1" applyFont="1" applyBorder="1"/>
    <xf numFmtId="168" fontId="16" fillId="0" borderId="0" xfId="4" applyNumberFormat="1" applyFont="1"/>
    <xf numFmtId="168" fontId="14" fillId="0" borderId="18" xfId="4" applyNumberFormat="1" applyFont="1" applyBorder="1"/>
    <xf numFmtId="171" fontId="14" fillId="0" borderId="9" xfId="4" applyNumberFormat="1" applyFont="1" applyBorder="1"/>
    <xf numFmtId="173" fontId="14" fillId="0" borderId="15" xfId="6" quotePrefix="1" applyNumberFormat="1" applyFont="1" applyFill="1" applyBorder="1" applyAlignment="1">
      <alignment horizontal="right"/>
    </xf>
    <xf numFmtId="0" fontId="7" fillId="0" borderId="3" xfId="4" applyFont="1" applyBorder="1"/>
    <xf numFmtId="37" fontId="3" fillId="0" borderId="3" xfId="4" applyNumberFormat="1" applyFont="1" applyBorder="1" applyAlignment="1">
      <alignment vertical="center"/>
    </xf>
    <xf numFmtId="0" fontId="18" fillId="0" borderId="3" xfId="4" applyFont="1" applyBorder="1" applyAlignment="1">
      <alignment horizontal="center"/>
    </xf>
    <xf numFmtId="166" fontId="12" fillId="0" borderId="3" xfId="4" applyNumberFormat="1" applyFont="1" applyBorder="1" applyAlignment="1">
      <alignment horizontal="right"/>
    </xf>
    <xf numFmtId="168" fontId="14" fillId="0" borderId="3" xfId="4" applyNumberFormat="1" applyFont="1" applyBorder="1"/>
    <xf numFmtId="168" fontId="14" fillId="0" borderId="16" xfId="4" applyNumberFormat="1" applyFont="1" applyBorder="1"/>
    <xf numFmtId="168" fontId="14" fillId="0" borderId="9" xfId="4" applyNumberFormat="1" applyFont="1" applyBorder="1"/>
    <xf numFmtId="173" fontId="14" fillId="0" borderId="0" xfId="6" applyNumberFormat="1" applyFont="1" applyFill="1" applyBorder="1"/>
    <xf numFmtId="173" fontId="14" fillId="0" borderId="18" xfId="6" applyNumberFormat="1" applyFont="1" applyFill="1" applyBorder="1" applyAlignment="1"/>
    <xf numFmtId="170" fontId="14" fillId="0" borderId="18" xfId="4" applyNumberFormat="1" applyFont="1" applyBorder="1"/>
    <xf numFmtId="171" fontId="14" fillId="0" borderId="3" xfId="4" applyNumberFormat="1" applyFont="1" applyBorder="1"/>
    <xf numFmtId="171" fontId="16" fillId="0" borderId="3" xfId="4" applyNumberFormat="1" applyFont="1" applyBorder="1"/>
    <xf numFmtId="171" fontId="16" fillId="0" borderId="17" xfId="4" applyNumberFormat="1" applyFont="1" applyBorder="1"/>
    <xf numFmtId="174" fontId="16" fillId="0" borderId="0" xfId="4" applyNumberFormat="1" applyFont="1"/>
    <xf numFmtId="174" fontId="14" fillId="0" borderId="0" xfId="4" applyNumberFormat="1" applyFont="1"/>
    <xf numFmtId="174" fontId="14" fillId="0" borderId="16" xfId="4" applyNumberFormat="1" applyFont="1" applyBorder="1"/>
    <xf numFmtId="174" fontId="15" fillId="0" borderId="0" xfId="4" applyNumberFormat="1" applyFont="1"/>
    <xf numFmtId="174" fontId="14" fillId="0" borderId="18" xfId="4" applyNumberFormat="1" applyFont="1" applyBorder="1"/>
    <xf numFmtId="168" fontId="14" fillId="0" borderId="19" xfId="4" applyNumberFormat="1" applyFont="1" applyBorder="1" applyAlignment="1">
      <alignment vertical="center"/>
    </xf>
    <xf numFmtId="168" fontId="14" fillId="0" borderId="21" xfId="4" applyNumberFormat="1" applyFont="1" applyBorder="1" applyAlignment="1">
      <alignment vertical="center"/>
    </xf>
    <xf numFmtId="184" fontId="18" fillId="0" borderId="0" xfId="4" applyNumberFormat="1" applyFont="1" applyAlignment="1">
      <alignment horizontal="left" indent="1"/>
    </xf>
    <xf numFmtId="185" fontId="14" fillId="0" borderId="25" xfId="4" applyNumberFormat="1" applyFont="1" applyBorder="1"/>
    <xf numFmtId="185" fontId="14" fillId="0" borderId="26" xfId="4" applyNumberFormat="1" applyFont="1" applyBorder="1"/>
    <xf numFmtId="185" fontId="14" fillId="0" borderId="24" xfId="4" applyNumberFormat="1" applyFont="1" applyBorder="1"/>
    <xf numFmtId="166" fontId="12" fillId="0" borderId="23" xfId="4" applyNumberFormat="1" applyFont="1" applyBorder="1" applyAlignment="1">
      <alignment horizontal="right"/>
    </xf>
    <xf numFmtId="37" fontId="8" fillId="0" borderId="23" xfId="4" applyNumberFormat="1" applyFont="1" applyBorder="1" applyAlignment="1">
      <alignment vertical="center"/>
    </xf>
    <xf numFmtId="37" fontId="30" fillId="0" borderId="23" xfId="4" applyNumberFormat="1" applyFont="1" applyBorder="1" applyAlignment="1">
      <alignment vertical="center"/>
    </xf>
    <xf numFmtId="168" fontId="16" fillId="0" borderId="8" xfId="0" applyNumberFormat="1" applyFont="1" applyFill="1" applyBorder="1"/>
    <xf numFmtId="168" fontId="16" fillId="0" borderId="9" xfId="0" applyNumberFormat="1" applyFont="1" applyFill="1" applyBorder="1"/>
    <xf numFmtId="173" fontId="16" fillId="0" borderId="10" xfId="1" applyNumberFormat="1" applyFont="1" applyFill="1" applyBorder="1" applyAlignment="1"/>
    <xf numFmtId="168" fontId="16" fillId="0" borderId="8" xfId="0" applyNumberFormat="1" applyFont="1" applyBorder="1"/>
    <xf numFmtId="168" fontId="16" fillId="0" borderId="9" xfId="0" applyNumberFormat="1" applyFont="1" applyBorder="1"/>
    <xf numFmtId="168" fontId="16" fillId="0" borderId="10" xfId="0" applyNumberFormat="1" applyFont="1" applyBorder="1"/>
    <xf numFmtId="168" fontId="16" fillId="0" borderId="11" xfId="0" applyNumberFormat="1" applyFont="1" applyFill="1" applyBorder="1"/>
    <xf numFmtId="168" fontId="16" fillId="0" borderId="12" xfId="0" applyNumberFormat="1" applyFont="1" applyFill="1" applyBorder="1"/>
    <xf numFmtId="168" fontId="16" fillId="0" borderId="13" xfId="0" applyNumberFormat="1" applyFont="1" applyFill="1" applyBorder="1"/>
    <xf numFmtId="168" fontId="16" fillId="0" borderId="14" xfId="0" applyNumberFormat="1" applyFont="1" applyFill="1" applyBorder="1"/>
    <xf numFmtId="164" fontId="24" fillId="0" borderId="0" xfId="0" applyNumberFormat="1" applyFont="1" applyAlignment="1">
      <alignment vertical="center"/>
    </xf>
    <xf numFmtId="168" fontId="16" fillId="0" borderId="16" xfId="0" applyNumberFormat="1" applyFont="1" applyFill="1" applyBorder="1"/>
    <xf numFmtId="166" fontId="3" fillId="0" borderId="0" xfId="0" applyNumberFormat="1" applyFont="1" applyBorder="1" applyAlignment="1">
      <alignment horizontal="right"/>
    </xf>
    <xf numFmtId="166" fontId="17" fillId="0" borderId="0" xfId="0" applyNumberFormat="1" applyFont="1" applyFill="1" applyBorder="1" applyAlignment="1">
      <alignment horizontal="right"/>
    </xf>
    <xf numFmtId="168" fontId="14" fillId="0" borderId="5" xfId="0" applyNumberFormat="1" applyFont="1" applyFill="1" applyBorder="1"/>
    <xf numFmtId="168" fontId="14" fillId="0" borderId="6" xfId="0" applyNumberFormat="1" applyFont="1" applyFill="1" applyBorder="1"/>
    <xf numFmtId="168" fontId="14" fillId="0" borderId="7" xfId="0" applyNumberFormat="1" applyFont="1" applyFill="1" applyBorder="1"/>
    <xf numFmtId="168" fontId="14" fillId="0" borderId="18" xfId="0" quotePrefix="1" applyNumberFormat="1" applyFont="1" applyFill="1" applyBorder="1" applyAlignment="1">
      <alignment horizontal="right"/>
    </xf>
    <xf numFmtId="37" fontId="10" fillId="0" borderId="0" xfId="4" applyNumberFormat="1" applyFont="1" applyAlignment="1">
      <alignment vertical="center"/>
    </xf>
    <xf numFmtId="164" fontId="24" fillId="0" borderId="0" xfId="4" applyNumberFormat="1" applyFont="1" applyAlignment="1">
      <alignment vertical="center"/>
    </xf>
    <xf numFmtId="168" fontId="16" fillId="0" borderId="8" xfId="4" applyNumberFormat="1" applyFont="1" applyBorder="1"/>
    <xf numFmtId="168" fontId="16" fillId="0" borderId="9" xfId="4" applyNumberFormat="1" applyFont="1" applyBorder="1"/>
    <xf numFmtId="168" fontId="16" fillId="0" borderId="16" xfId="4" applyNumberFormat="1" applyFont="1" applyBorder="1"/>
    <xf numFmtId="171" fontId="16" fillId="0" borderId="13" xfId="4" applyNumberFormat="1" applyFont="1" applyBorder="1"/>
    <xf numFmtId="170" fontId="28" fillId="0" borderId="0" xfId="4" applyNumberFormat="1" applyFont="1" applyAlignment="1">
      <alignment horizontal="centerContinuous"/>
    </xf>
    <xf numFmtId="0" fontId="19" fillId="0" borderId="0" xfId="4" applyFont="1"/>
    <xf numFmtId="174" fontId="16" fillId="0" borderId="3" xfId="4" applyNumberFormat="1" applyFont="1" applyBorder="1"/>
    <xf numFmtId="174" fontId="14" fillId="0" borderId="3" xfId="4" applyNumberFormat="1" applyFont="1" applyBorder="1"/>
    <xf numFmtId="174" fontId="14" fillId="0" borderId="17" xfId="4" applyNumberFormat="1" applyFont="1" applyBorder="1"/>
    <xf numFmtId="0" fontId="19" fillId="0" borderId="18" xfId="4" applyFont="1" applyBorder="1"/>
    <xf numFmtId="168" fontId="14" fillId="0" borderId="15" xfId="4" applyNumberFormat="1" applyFont="1" applyBorder="1"/>
    <xf numFmtId="0" fontId="14" fillId="0" borderId="3" xfId="4" applyFont="1" applyBorder="1" applyAlignment="1">
      <alignment horizontal="left"/>
    </xf>
    <xf numFmtId="0" fontId="14" fillId="0" borderId="3" xfId="4" applyFont="1" applyBorder="1"/>
    <xf numFmtId="0" fontId="15" fillId="0" borderId="3" xfId="4" applyFont="1" applyBorder="1"/>
    <xf numFmtId="0" fontId="23" fillId="0" borderId="0" xfId="4" applyFont="1" applyAlignment="1">
      <alignment horizontal="left"/>
    </xf>
    <xf numFmtId="168" fontId="16" fillId="0" borderId="3" xfId="4" applyNumberFormat="1" applyFont="1" applyBorder="1"/>
    <xf numFmtId="173" fontId="14" fillId="0" borderId="3" xfId="6" applyNumberFormat="1" applyFont="1" applyFill="1" applyBorder="1"/>
    <xf numFmtId="168" fontId="14" fillId="0" borderId="4" xfId="4" applyNumberFormat="1" applyFont="1" applyBorder="1" applyAlignment="1">
      <alignment vertical="center"/>
    </xf>
    <xf numFmtId="168" fontId="14" fillId="0" borderId="20" xfId="4" applyNumberFormat="1" applyFont="1" applyBorder="1" applyAlignment="1">
      <alignment vertical="center"/>
    </xf>
    <xf numFmtId="173" fontId="16" fillId="0" borderId="3" xfId="6" applyNumberFormat="1" applyFont="1" applyFill="1" applyBorder="1"/>
    <xf numFmtId="168" fontId="14" fillId="0" borderId="5" xfId="4" applyNumberFormat="1" applyFont="1" applyBorder="1"/>
    <xf numFmtId="168" fontId="14" fillId="0" borderId="6" xfId="4" applyNumberFormat="1" applyFont="1" applyBorder="1"/>
    <xf numFmtId="168" fontId="14" fillId="0" borderId="7" xfId="4" applyNumberFormat="1" applyFont="1" applyBorder="1"/>
    <xf numFmtId="168" fontId="14" fillId="0" borderId="18" xfId="4" quotePrefix="1" applyNumberFormat="1" applyFont="1" applyBorder="1" applyAlignment="1">
      <alignment horizontal="right"/>
    </xf>
  </cellXfs>
  <cellStyles count="8">
    <cellStyle name="Comma 2" xfId="5" xr:uid="{E4921B80-8D66-4D3A-80A8-30D7AC6654E4}"/>
    <cellStyle name="Comma 3" xfId="7" xr:uid="{D6FCA851-ABB6-4DA0-B192-6DDBCCCE606C}"/>
    <cellStyle name="Hyperlink 2" xfId="2" xr:uid="{AB6B3A7D-3778-4F12-89C6-854994145915}"/>
    <cellStyle name="Hyperlink 2 2" xfId="3" xr:uid="{68C7A1A0-E6BF-4680-81F4-BC0E6FC46C33}"/>
    <cellStyle name="Normal" xfId="0" builtinId="0"/>
    <cellStyle name="Normal 2 2 2" xfId="4" xr:uid="{78B9DE1D-532C-4950-9B15-A4A33EAE21E4}"/>
    <cellStyle name="Percent" xfId="1" builtinId="5"/>
    <cellStyle name="Percent 2" xfId="6" xr:uid="{5947CDD5-E616-4392-A85B-C3F11E77458C}"/>
  </cellStyles>
  <dxfs count="3">
    <dxf>
      <font>
        <b/>
        <i val="0"/>
        <color theme="0"/>
      </font>
      <fill>
        <patternFill patternType="solid">
          <bgColor rgb="FFFA621C"/>
        </patternFill>
      </fill>
    </dxf>
    <dxf>
      <font>
        <b/>
        <i val="0"/>
        <color theme="0"/>
      </font>
      <fill>
        <patternFill patternType="solid">
          <bgColor rgb="FFFA621C"/>
        </patternFill>
      </fill>
    </dxf>
    <dxf>
      <font>
        <b/>
        <i val="0"/>
        <color theme="0"/>
      </font>
      <fill>
        <patternFill patternType="solid">
          <bgColor rgb="FFFA621C"/>
        </patternFill>
      </fill>
    </dxf>
  </dxfs>
  <tableStyles count="0" defaultTableStyle="TableStyleMedium2" defaultPivotStyle="PivotStyleLight16"/>
  <colors>
    <mruColors>
      <color rgb="FFFA621C"/>
      <color rgb="FFC32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43"/>
  <sheetViews>
    <sheetView showGridLines="0" zoomScale="130" zoomScaleNormal="130" zoomScaleSheetLayoutView="140" workbookViewId="0">
      <selection activeCell="B2" sqref="B2:N42"/>
    </sheetView>
  </sheetViews>
  <sheetFormatPr defaultColWidth="9.140625" defaultRowHeight="15" customHeight="1" outlineLevelRow="1"/>
  <cols>
    <col min="1" max="1" width="9.140625" style="118"/>
    <col min="2" max="2" width="17.7109375" style="118" customWidth="1"/>
    <col min="3" max="3" width="11.28515625" style="118" customWidth="1"/>
    <col min="4" max="4" width="15.7109375" style="118" customWidth="1"/>
    <col min="5" max="5" width="1.7109375" style="118" customWidth="1"/>
    <col min="6" max="14" width="10.28515625" style="118" customWidth="1"/>
    <col min="15" max="15" width="1.7109375" style="118" customWidth="1"/>
    <col min="16" max="16384" width="9.140625" style="118"/>
  </cols>
  <sheetData>
    <row r="1" spans="1:15" ht="15" customHeight="1">
      <c r="A1" s="1"/>
      <c r="B1" s="245"/>
      <c r="C1" s="246"/>
      <c r="D1" s="247"/>
      <c r="E1" s="247"/>
      <c r="F1" s="244"/>
      <c r="G1" s="244"/>
      <c r="H1" s="244"/>
      <c r="I1" s="244"/>
      <c r="J1" s="244"/>
      <c r="K1" s="244"/>
      <c r="L1" s="244"/>
      <c r="M1" s="244"/>
      <c r="N1" s="244"/>
      <c r="O1" s="47"/>
    </row>
    <row r="2" spans="1:15" ht="15" customHeight="1">
      <c r="A2" s="1" t="s">
        <v>80</v>
      </c>
      <c r="B2" s="103" t="s">
        <v>18</v>
      </c>
      <c r="C2" s="104"/>
      <c r="D2" s="105"/>
      <c r="E2" s="105"/>
      <c r="F2" s="106"/>
      <c r="G2" s="106"/>
      <c r="H2" s="106"/>
      <c r="I2" s="106"/>
      <c r="J2" s="106"/>
      <c r="K2" s="106"/>
      <c r="L2" s="106"/>
      <c r="M2" s="106"/>
      <c r="N2" s="171" t="s">
        <v>80</v>
      </c>
    </row>
    <row r="3" spans="1:15" s="202" customFormat="1" ht="15" customHeight="1" outlineLevel="1">
      <c r="A3" s="162"/>
      <c r="B3" s="116"/>
      <c r="C3" s="83"/>
      <c r="D3" s="163"/>
      <c r="E3" s="163"/>
      <c r="F3" s="117"/>
      <c r="G3" s="117"/>
      <c r="H3" s="117"/>
      <c r="I3" s="117"/>
      <c r="J3" s="117"/>
      <c r="K3" s="117"/>
      <c r="L3" s="117"/>
      <c r="M3" s="117"/>
      <c r="N3" s="213"/>
    </row>
    <row r="4" spans="1:15" ht="15" customHeight="1" outlineLevel="1" thickBot="1">
      <c r="A4" s="1"/>
      <c r="B4" s="7" t="s">
        <v>19</v>
      </c>
      <c r="C4" s="4"/>
      <c r="D4" s="8"/>
      <c r="E4" s="8"/>
      <c r="F4" s="272">
        <f>G4-1</f>
        <v>2020</v>
      </c>
      <c r="G4" s="272">
        <f>H4-1</f>
        <v>2021</v>
      </c>
      <c r="H4" s="272">
        <f>I4-1</f>
        <v>2022</v>
      </c>
      <c r="I4" s="273">
        <v>2023</v>
      </c>
      <c r="J4" s="228">
        <f>I4+1</f>
        <v>2024</v>
      </c>
      <c r="K4" s="228">
        <f>J4+1</f>
        <v>2025</v>
      </c>
      <c r="L4" s="228">
        <f>K4+1</f>
        <v>2026</v>
      </c>
      <c r="M4" s="228">
        <f>L4+1</f>
        <v>2027</v>
      </c>
      <c r="N4" s="97" t="s">
        <v>63</v>
      </c>
      <c r="O4" s="167"/>
    </row>
    <row r="5" spans="1:15" ht="15" customHeight="1" outlineLevel="1">
      <c r="A5" s="1"/>
      <c r="B5" s="7" t="s">
        <v>102</v>
      </c>
      <c r="C5" s="4"/>
      <c r="D5" s="8"/>
      <c r="E5" s="8"/>
      <c r="F5" s="85"/>
      <c r="G5" s="85"/>
      <c r="H5" s="85"/>
      <c r="I5" s="153"/>
      <c r="J5" s="153"/>
      <c r="K5" s="153"/>
      <c r="L5" s="153"/>
      <c r="M5" s="153"/>
      <c r="N5" s="153"/>
      <c r="O5" s="167"/>
    </row>
    <row r="6" spans="1:15" ht="15" customHeight="1" outlineLevel="1">
      <c r="A6" s="1"/>
      <c r="C6" s="4"/>
      <c r="D6" s="8"/>
      <c r="E6" s="8"/>
      <c r="F6" s="85"/>
      <c r="G6" s="85"/>
      <c r="H6" s="85"/>
      <c r="I6" s="153"/>
      <c r="J6" s="153"/>
      <c r="K6" s="153"/>
      <c r="L6" s="153"/>
      <c r="M6" s="153"/>
      <c r="N6" s="153"/>
      <c r="O6" s="167"/>
    </row>
    <row r="7" spans="1:15" s="9" customFormat="1" ht="15" customHeight="1" outlineLevel="1">
      <c r="B7" s="215" t="s">
        <v>1</v>
      </c>
      <c r="C7" s="274">
        <v>365</v>
      </c>
      <c r="D7" s="250"/>
      <c r="E7" s="38"/>
      <c r="F7" s="382">
        <f>$C$7</f>
        <v>365</v>
      </c>
      <c r="G7" s="383">
        <f t="shared" ref="G7:N7" si="0">$C$7</f>
        <v>365</v>
      </c>
      <c r="H7" s="383">
        <f t="shared" si="0"/>
        <v>365</v>
      </c>
      <c r="I7" s="383">
        <f t="shared" si="0"/>
        <v>365</v>
      </c>
      <c r="J7" s="383">
        <f t="shared" si="0"/>
        <v>365</v>
      </c>
      <c r="K7" s="383">
        <f t="shared" si="0"/>
        <v>365</v>
      </c>
      <c r="L7" s="383">
        <f t="shared" si="0"/>
        <v>365</v>
      </c>
      <c r="M7" s="383">
        <f t="shared" si="0"/>
        <v>365</v>
      </c>
      <c r="N7" s="384">
        <f t="shared" si="0"/>
        <v>365</v>
      </c>
      <c r="O7" s="87"/>
    </row>
    <row r="8" spans="1:15" ht="15" customHeight="1" outlineLevel="1">
      <c r="A8" s="2"/>
      <c r="B8" s="216" t="s">
        <v>9</v>
      </c>
      <c r="C8" s="275">
        <v>1600</v>
      </c>
      <c r="D8" s="250"/>
      <c r="E8" s="8"/>
      <c r="F8" s="111"/>
      <c r="G8" s="111"/>
      <c r="H8" s="111"/>
      <c r="I8" s="111"/>
      <c r="J8" s="111"/>
      <c r="K8" s="111"/>
      <c r="L8" s="111"/>
      <c r="M8" s="111"/>
      <c r="N8" s="111"/>
      <c r="O8" s="167"/>
    </row>
    <row r="9" spans="1:15" ht="15" customHeight="1" outlineLevel="1">
      <c r="A9" s="2"/>
      <c r="B9" s="7"/>
      <c r="C9" s="4"/>
      <c r="D9" s="8"/>
      <c r="E9" s="8"/>
      <c r="F9" s="84"/>
      <c r="G9" s="84"/>
      <c r="H9" s="84"/>
      <c r="I9" s="82"/>
      <c r="J9" s="82"/>
      <c r="K9" s="82"/>
      <c r="L9" s="82"/>
      <c r="M9" s="88"/>
      <c r="N9" s="200"/>
      <c r="O9" s="167"/>
    </row>
    <row r="10" spans="1:15" ht="15" customHeight="1" outlineLevel="1">
      <c r="A10" s="2"/>
      <c r="B10" s="7"/>
      <c r="C10" s="4"/>
      <c r="D10" s="8"/>
      <c r="E10" s="8"/>
      <c r="F10" s="84"/>
      <c r="G10" s="84"/>
      <c r="H10" s="84"/>
      <c r="I10" s="82"/>
      <c r="J10" s="82"/>
      <c r="K10" s="82"/>
      <c r="L10" s="82"/>
      <c r="M10" s="88"/>
      <c r="N10" s="200"/>
      <c r="O10" s="167"/>
    </row>
    <row r="11" spans="1:15" s="9" customFormat="1" ht="15" customHeight="1" outlineLevel="1">
      <c r="B11" s="13" t="s">
        <v>70</v>
      </c>
      <c r="C11" s="17"/>
      <c r="D11" s="18"/>
      <c r="E11" s="11"/>
      <c r="F11" s="136"/>
      <c r="G11" s="80"/>
      <c r="H11" s="80"/>
      <c r="I11" s="82"/>
      <c r="J11" s="82"/>
      <c r="K11" s="82"/>
      <c r="L11" s="82"/>
      <c r="M11" s="88"/>
      <c r="N11" s="200"/>
      <c r="O11" s="87"/>
    </row>
    <row r="12" spans="1:15" s="9" customFormat="1" ht="15" customHeight="1" outlineLevel="1">
      <c r="B12" s="10"/>
      <c r="C12" s="17"/>
      <c r="D12" s="18"/>
      <c r="E12" s="11"/>
      <c r="F12" s="80"/>
      <c r="G12" s="80"/>
      <c r="H12" s="80"/>
      <c r="I12" s="80"/>
      <c r="J12" s="80"/>
      <c r="K12" s="80"/>
      <c r="L12" s="80"/>
      <c r="M12" s="80"/>
      <c r="N12" s="142"/>
      <c r="O12" s="87"/>
    </row>
    <row r="13" spans="1:15" ht="15" customHeight="1" outlineLevel="1">
      <c r="A13" s="2"/>
      <c r="B13" s="232" t="s">
        <v>11</v>
      </c>
      <c r="C13" s="4"/>
      <c r="D13" s="8"/>
      <c r="E13" s="8"/>
      <c r="F13" s="84"/>
      <c r="G13" s="114">
        <f>G15/F15-1</f>
        <v>1.9650655021834051E-2</v>
      </c>
      <c r="H13" s="114">
        <f>H15/G15-1</f>
        <v>2.0699500356887945E-2</v>
      </c>
      <c r="I13" s="124">
        <v>0.02</v>
      </c>
      <c r="J13" s="124">
        <v>0.01</v>
      </c>
      <c r="K13" s="124">
        <v>0.01</v>
      </c>
      <c r="L13" s="124">
        <v>5.0000000000000001E-3</v>
      </c>
      <c r="M13" s="124">
        <v>5.0000000000000001E-3</v>
      </c>
      <c r="N13" s="276">
        <v>5.0000000000000001E-3</v>
      </c>
    </row>
    <row r="14" spans="1:15" ht="15" customHeight="1" outlineLevel="1">
      <c r="A14" s="2"/>
      <c r="B14" s="232"/>
      <c r="C14" s="4"/>
      <c r="D14" s="8"/>
      <c r="E14" s="8"/>
      <c r="F14" s="84"/>
      <c r="G14" s="114"/>
      <c r="H14" s="90"/>
      <c r="I14" s="119"/>
      <c r="J14" s="119"/>
      <c r="K14" s="119"/>
      <c r="L14" s="119"/>
      <c r="M14" s="119"/>
      <c r="N14" s="92"/>
      <c r="O14" s="167"/>
    </row>
    <row r="15" spans="1:15" ht="15" customHeight="1" outlineLevel="1">
      <c r="A15" s="2"/>
      <c r="B15" s="232" t="s">
        <v>12</v>
      </c>
      <c r="C15" s="4"/>
      <c r="D15" s="18" t="s">
        <v>10</v>
      </c>
      <c r="E15" s="8"/>
      <c r="F15" s="154">
        <v>1374</v>
      </c>
      <c r="G15" s="154">
        <v>1401</v>
      </c>
      <c r="H15" s="154">
        <v>1430</v>
      </c>
      <c r="I15" s="115">
        <f>H15*(1+I13)</f>
        <v>1458.6000000000001</v>
      </c>
      <c r="J15" s="115">
        <f t="shared" ref="J15:N15" si="1">I15*(1+J13)</f>
        <v>1473.1860000000001</v>
      </c>
      <c r="K15" s="115">
        <f t="shared" si="1"/>
        <v>1487.9178600000002</v>
      </c>
      <c r="L15" s="115">
        <f t="shared" si="1"/>
        <v>1495.3574493000001</v>
      </c>
      <c r="M15" s="115">
        <f t="shared" si="1"/>
        <v>1502.8342365465001</v>
      </c>
      <c r="N15" s="93">
        <f t="shared" si="1"/>
        <v>1510.3484077292323</v>
      </c>
      <c r="O15" s="167"/>
    </row>
    <row r="16" spans="1:15" s="9" customFormat="1" ht="15" customHeight="1" outlineLevel="1">
      <c r="B16" s="232" t="s">
        <v>9</v>
      </c>
      <c r="C16" s="17"/>
      <c r="D16" s="18" t="s">
        <v>10</v>
      </c>
      <c r="E16" s="11"/>
      <c r="F16" s="154">
        <v>1600</v>
      </c>
      <c r="G16" s="154">
        <v>1600</v>
      </c>
      <c r="H16" s="154">
        <v>1600</v>
      </c>
      <c r="I16" s="115">
        <f>$C$8</f>
        <v>1600</v>
      </c>
      <c r="J16" s="115">
        <f t="shared" ref="J16:N16" si="2">$C$8</f>
        <v>1600</v>
      </c>
      <c r="K16" s="115">
        <f t="shared" si="2"/>
        <v>1600</v>
      </c>
      <c r="L16" s="115">
        <f t="shared" si="2"/>
        <v>1600</v>
      </c>
      <c r="M16" s="115">
        <f t="shared" si="2"/>
        <v>1600</v>
      </c>
      <c r="N16" s="385">
        <f t="shared" si="2"/>
        <v>1600</v>
      </c>
      <c r="O16" s="87"/>
    </row>
    <row r="17" spans="1:15" s="113" customFormat="1" ht="15" customHeight="1" outlineLevel="1">
      <c r="B17" s="232" t="s">
        <v>13</v>
      </c>
      <c r="C17" s="4"/>
      <c r="D17" s="8"/>
      <c r="E17" s="8"/>
      <c r="F17" s="198">
        <f>F15/F16</f>
        <v>0.85875000000000001</v>
      </c>
      <c r="G17" s="198">
        <f t="shared" ref="G17:N17" si="3">G15/G16</f>
        <v>0.87562499999999999</v>
      </c>
      <c r="H17" s="198">
        <f t="shared" si="3"/>
        <v>0.89375000000000004</v>
      </c>
      <c r="I17" s="198">
        <f t="shared" si="3"/>
        <v>0.91162500000000013</v>
      </c>
      <c r="J17" s="198">
        <f t="shared" si="3"/>
        <v>0.92074125000000007</v>
      </c>
      <c r="K17" s="198">
        <f t="shared" si="3"/>
        <v>0.92994866250000019</v>
      </c>
      <c r="L17" s="198">
        <f t="shared" si="3"/>
        <v>0.93459840581250009</v>
      </c>
      <c r="M17" s="198">
        <f t="shared" si="3"/>
        <v>0.93927139784156255</v>
      </c>
      <c r="N17" s="155">
        <f t="shared" si="3"/>
        <v>0.94396775483077022</v>
      </c>
      <c r="O17" s="201"/>
    </row>
    <row r="18" spans="1:15" ht="15" customHeight="1" outlineLevel="1">
      <c r="A18" s="2"/>
      <c r="C18" s="4"/>
      <c r="D18" s="18"/>
      <c r="E18" s="8"/>
      <c r="F18" s="111"/>
      <c r="G18" s="111"/>
      <c r="H18" s="111"/>
      <c r="I18" s="111"/>
      <c r="J18" s="111"/>
      <c r="K18" s="111"/>
      <c r="L18" s="111"/>
      <c r="M18" s="111"/>
      <c r="N18" s="115"/>
      <c r="O18" s="167"/>
    </row>
    <row r="19" spans="1:15" ht="15" customHeight="1" outlineLevel="1">
      <c r="A19" s="2"/>
      <c r="B19" s="165"/>
      <c r="C19" s="32"/>
      <c r="D19" s="40"/>
      <c r="E19" s="33"/>
      <c r="F19" s="109"/>
      <c r="G19" s="109"/>
      <c r="H19" s="109"/>
      <c r="I19" s="109"/>
      <c r="J19" s="109"/>
      <c r="K19" s="109"/>
      <c r="L19" s="109"/>
      <c r="M19" s="109"/>
      <c r="N19" s="109"/>
      <c r="O19" s="167"/>
    </row>
    <row r="20" spans="1:15" ht="15" customHeight="1" outlineLevel="1">
      <c r="A20" s="2"/>
      <c r="B20" s="28"/>
      <c r="C20" s="29"/>
      <c r="D20" s="30"/>
      <c r="E20" s="30"/>
      <c r="F20" s="85"/>
      <c r="G20" s="85"/>
      <c r="H20" s="85"/>
      <c r="I20" s="88"/>
      <c r="J20" s="88"/>
      <c r="K20" s="88"/>
      <c r="L20" s="88"/>
      <c r="M20" s="88"/>
      <c r="N20" s="88"/>
      <c r="O20" s="167"/>
    </row>
    <row r="21" spans="1:15" ht="15" customHeight="1" outlineLevel="1">
      <c r="A21" s="2"/>
      <c r="B21" s="7"/>
      <c r="C21" s="29"/>
      <c r="D21" s="30"/>
      <c r="E21" s="30"/>
      <c r="F21" s="85"/>
      <c r="G21" s="85"/>
      <c r="H21" s="85"/>
      <c r="I21" s="88"/>
      <c r="J21" s="88"/>
      <c r="K21" s="88"/>
      <c r="L21" s="88"/>
      <c r="M21" s="88"/>
      <c r="N21" s="88"/>
      <c r="O21" s="167"/>
    </row>
    <row r="22" spans="1:15" s="9" customFormat="1" ht="15" customHeight="1" outlineLevel="1">
      <c r="B22" s="13" t="s">
        <v>66</v>
      </c>
      <c r="C22" s="17"/>
      <c r="D22" s="18"/>
      <c r="E22" s="11"/>
      <c r="F22" s="80"/>
      <c r="G22" s="80"/>
      <c r="H22" s="80"/>
      <c r="I22" s="80"/>
      <c r="J22" s="80"/>
      <c r="K22" s="80"/>
      <c r="L22" s="80"/>
      <c r="M22" s="80"/>
      <c r="N22" s="96"/>
      <c r="O22" s="87"/>
    </row>
    <row r="23" spans="1:15" s="9" customFormat="1" ht="15" customHeight="1" outlineLevel="1">
      <c r="B23" s="10"/>
      <c r="C23" s="17"/>
      <c r="D23" s="18"/>
      <c r="E23" s="11"/>
      <c r="F23" s="80"/>
      <c r="G23" s="80"/>
      <c r="H23" s="80"/>
      <c r="I23" s="80"/>
      <c r="J23" s="80"/>
      <c r="K23" s="80"/>
      <c r="L23" s="80"/>
      <c r="M23" s="80"/>
      <c r="N23" s="96"/>
      <c r="O23" s="87"/>
    </row>
    <row r="24" spans="1:15" ht="15" customHeight="1" outlineLevel="1">
      <c r="A24" s="2"/>
      <c r="B24" s="232" t="s">
        <v>1</v>
      </c>
      <c r="C24" s="4"/>
      <c r="D24" s="8"/>
      <c r="E24" s="8"/>
      <c r="F24" s="111">
        <f t="shared" ref="F24:N24" si="4">F7</f>
        <v>365</v>
      </c>
      <c r="G24" s="111">
        <f t="shared" si="4"/>
        <v>365</v>
      </c>
      <c r="H24" s="111">
        <f t="shared" si="4"/>
        <v>365</v>
      </c>
      <c r="I24" s="111">
        <f t="shared" si="4"/>
        <v>365</v>
      </c>
      <c r="J24" s="111">
        <f t="shared" si="4"/>
        <v>365</v>
      </c>
      <c r="K24" s="111">
        <f t="shared" si="4"/>
        <v>365</v>
      </c>
      <c r="L24" s="111">
        <f t="shared" si="4"/>
        <v>365</v>
      </c>
      <c r="M24" s="111">
        <f t="shared" si="4"/>
        <v>365</v>
      </c>
      <c r="N24" s="157">
        <f t="shared" si="4"/>
        <v>365</v>
      </c>
      <c r="O24" s="167"/>
    </row>
    <row r="25" spans="1:15" ht="15" customHeight="1" outlineLevel="1">
      <c r="A25" s="2"/>
      <c r="B25" s="232" t="s">
        <v>12</v>
      </c>
      <c r="C25" s="4"/>
      <c r="D25" s="18" t="s">
        <v>10</v>
      </c>
      <c r="E25" s="8"/>
      <c r="F25" s="109">
        <f>F15</f>
        <v>1374</v>
      </c>
      <c r="G25" s="109">
        <f t="shared" ref="G25:N25" si="5">G15</f>
        <v>1401</v>
      </c>
      <c r="H25" s="109">
        <f t="shared" si="5"/>
        <v>1430</v>
      </c>
      <c r="I25" s="115">
        <f t="shared" si="5"/>
        <v>1458.6000000000001</v>
      </c>
      <c r="J25" s="109">
        <f t="shared" si="5"/>
        <v>1473.1860000000001</v>
      </c>
      <c r="K25" s="109">
        <f t="shared" si="5"/>
        <v>1487.9178600000002</v>
      </c>
      <c r="L25" s="109">
        <f t="shared" si="5"/>
        <v>1495.3574493000001</v>
      </c>
      <c r="M25" s="109">
        <f t="shared" si="5"/>
        <v>1502.8342365465001</v>
      </c>
      <c r="N25" s="93">
        <f t="shared" si="5"/>
        <v>1510.3484077292323</v>
      </c>
      <c r="O25" s="167"/>
    </row>
    <row r="26" spans="1:15" ht="15" customHeight="1" outlineLevel="1">
      <c r="A26" s="2"/>
      <c r="B26" s="232" t="s">
        <v>12</v>
      </c>
      <c r="C26" s="4"/>
      <c r="D26" s="18" t="s">
        <v>14</v>
      </c>
      <c r="E26" s="8"/>
      <c r="F26" s="111">
        <f>F25*F24</f>
        <v>501510</v>
      </c>
      <c r="G26" s="111">
        <f t="shared" ref="G26:M26" si="6">G25*G24</f>
        <v>511365</v>
      </c>
      <c r="H26" s="111">
        <f t="shared" si="6"/>
        <v>521950</v>
      </c>
      <c r="I26" s="156">
        <f t="shared" si="6"/>
        <v>532389</v>
      </c>
      <c r="J26" s="111">
        <f t="shared" si="6"/>
        <v>537712.89</v>
      </c>
      <c r="K26" s="111">
        <f t="shared" si="6"/>
        <v>543090.01890000014</v>
      </c>
      <c r="L26" s="111">
        <f t="shared" si="6"/>
        <v>545805.4689945</v>
      </c>
      <c r="M26" s="111">
        <f t="shared" si="6"/>
        <v>548534.49633947248</v>
      </c>
      <c r="N26" s="157">
        <f>N25*N24</f>
        <v>551277.16882116976</v>
      </c>
      <c r="O26" s="167"/>
    </row>
    <row r="27" spans="1:15" ht="15" customHeight="1" outlineLevel="1">
      <c r="A27" s="2"/>
      <c r="B27" s="230"/>
      <c r="C27" s="4"/>
      <c r="D27" s="18"/>
      <c r="E27" s="8"/>
      <c r="F27" s="111"/>
      <c r="G27" s="111"/>
      <c r="H27" s="111"/>
      <c r="I27" s="143"/>
      <c r="J27" s="143"/>
      <c r="K27" s="143"/>
      <c r="L27" s="143"/>
      <c r="M27" s="143"/>
      <c r="N27" s="144"/>
      <c r="O27" s="167"/>
    </row>
    <row r="28" spans="1:15" ht="15" customHeight="1" outlineLevel="1">
      <c r="A28" s="2"/>
      <c r="B28" s="230"/>
      <c r="C28" s="4"/>
      <c r="D28" s="18"/>
      <c r="E28" s="8"/>
      <c r="F28" s="111"/>
      <c r="G28" s="111"/>
      <c r="H28" s="111"/>
      <c r="I28" s="143"/>
      <c r="J28" s="143"/>
      <c r="K28" s="143"/>
      <c r="L28" s="143"/>
      <c r="M28" s="143"/>
      <c r="N28" s="144"/>
      <c r="O28" s="167"/>
    </row>
    <row r="29" spans="1:15" s="9" customFormat="1" ht="15" customHeight="1" outlineLevel="1">
      <c r="B29" s="233" t="s">
        <v>65</v>
      </c>
      <c r="C29" s="17"/>
      <c r="D29" s="18"/>
      <c r="E29" s="18"/>
      <c r="F29" s="121"/>
      <c r="G29" s="121"/>
      <c r="H29" s="121"/>
      <c r="I29" s="121"/>
      <c r="J29" s="121"/>
      <c r="K29" s="121"/>
      <c r="L29" s="121"/>
      <c r="M29" s="111"/>
      <c r="N29" s="93"/>
      <c r="O29" s="87"/>
    </row>
    <row r="30" spans="1:15" s="9" customFormat="1" ht="15" customHeight="1" outlineLevel="1">
      <c r="B30" s="230"/>
      <c r="C30" s="17"/>
      <c r="D30" s="18"/>
      <c r="E30" s="11"/>
      <c r="F30" s="80"/>
      <c r="G30" s="80"/>
      <c r="H30" s="80"/>
      <c r="I30" s="80"/>
      <c r="J30" s="80"/>
      <c r="K30" s="80"/>
      <c r="L30" s="80"/>
      <c r="M30" s="80"/>
      <c r="N30" s="94"/>
      <c r="O30" s="87"/>
    </row>
    <row r="31" spans="1:15" ht="15" customHeight="1" outlineLevel="1">
      <c r="A31" s="2"/>
      <c r="B31" s="232" t="s">
        <v>17</v>
      </c>
      <c r="C31" s="4"/>
      <c r="D31" s="8"/>
      <c r="E31" s="8"/>
      <c r="F31" s="112"/>
      <c r="G31" s="158">
        <f>G32/F32-1</f>
        <v>1.701341629399189E-2</v>
      </c>
      <c r="H31" s="158">
        <f>H32/G32-1</f>
        <v>2.1030494216614182E-2</v>
      </c>
      <c r="I31" s="125">
        <v>0.03</v>
      </c>
      <c r="J31" s="125">
        <v>0.01</v>
      </c>
      <c r="K31" s="125">
        <v>0.01</v>
      </c>
      <c r="L31" s="125">
        <v>0.01</v>
      </c>
      <c r="M31" s="125">
        <v>5.0000000000000001E-3</v>
      </c>
      <c r="N31" s="277">
        <v>5.0000000000000001E-3</v>
      </c>
      <c r="O31" s="167"/>
    </row>
    <row r="32" spans="1:15" ht="15" customHeight="1" outlineLevel="1">
      <c r="A32" s="2"/>
      <c r="B32" s="232" t="s">
        <v>15</v>
      </c>
      <c r="C32" s="4"/>
      <c r="D32" s="18" t="s">
        <v>16</v>
      </c>
      <c r="E32" s="8"/>
      <c r="F32" s="110">
        <v>102.86</v>
      </c>
      <c r="G32" s="110">
        <v>104.61</v>
      </c>
      <c r="H32" s="110">
        <v>106.81</v>
      </c>
      <c r="I32" s="129">
        <f>H32*(1+I31)</f>
        <v>110.01430000000001</v>
      </c>
      <c r="J32" s="129">
        <f t="shared" ref="J32:N32" si="7">I32*(1+J31)</f>
        <v>111.11444300000001</v>
      </c>
      <c r="K32" s="129">
        <f t="shared" si="7"/>
        <v>112.22558743</v>
      </c>
      <c r="L32" s="129">
        <f t="shared" si="7"/>
        <v>113.3478433043</v>
      </c>
      <c r="M32" s="129">
        <f t="shared" si="7"/>
        <v>113.91458252082148</v>
      </c>
      <c r="N32" s="159">
        <f t="shared" si="7"/>
        <v>114.48415543342558</v>
      </c>
      <c r="O32" s="167"/>
    </row>
    <row r="33" spans="1:15" ht="15" customHeight="1" outlineLevel="1">
      <c r="A33" s="2"/>
      <c r="B33" s="202"/>
      <c r="C33" s="4"/>
      <c r="D33" s="18"/>
      <c r="E33" s="8"/>
      <c r="F33" s="122"/>
      <c r="G33" s="122"/>
      <c r="H33" s="122"/>
      <c r="I33" s="123"/>
      <c r="J33" s="123"/>
      <c r="K33" s="123"/>
      <c r="L33" s="123"/>
      <c r="M33" s="123"/>
      <c r="N33" s="95"/>
      <c r="O33" s="167"/>
    </row>
    <row r="34" spans="1:15" ht="15" customHeight="1" outlineLevel="1">
      <c r="A34" s="2"/>
      <c r="B34" s="202"/>
      <c r="C34" s="4"/>
      <c r="D34" s="18"/>
      <c r="E34" s="8"/>
      <c r="F34" s="122"/>
      <c r="G34" s="122"/>
      <c r="H34" s="122"/>
      <c r="I34" s="123"/>
      <c r="J34" s="123"/>
      <c r="K34" s="123"/>
      <c r="L34" s="123"/>
      <c r="M34" s="123"/>
      <c r="N34" s="95"/>
      <c r="O34" s="167"/>
    </row>
    <row r="35" spans="1:15" s="9" customFormat="1" ht="15" customHeight="1" outlineLevel="1">
      <c r="B35" s="233" t="s">
        <v>64</v>
      </c>
      <c r="C35" s="17"/>
      <c r="D35" s="18"/>
      <c r="E35" s="11"/>
      <c r="F35" s="80"/>
      <c r="G35" s="80"/>
      <c r="H35" s="80"/>
      <c r="I35" s="80"/>
      <c r="J35" s="80"/>
      <c r="K35" s="80"/>
      <c r="L35" s="80"/>
      <c r="M35" s="80"/>
      <c r="N35" s="94"/>
      <c r="O35" s="87"/>
    </row>
    <row r="36" spans="1:15" s="9" customFormat="1" ht="15" customHeight="1" outlineLevel="1">
      <c r="B36" s="230"/>
      <c r="C36" s="17"/>
      <c r="D36" s="18"/>
      <c r="E36" s="11"/>
      <c r="F36" s="80"/>
      <c r="G36" s="80"/>
      <c r="H36" s="80"/>
      <c r="I36" s="80"/>
      <c r="J36" s="80"/>
      <c r="K36" s="80"/>
      <c r="L36" s="80"/>
      <c r="M36" s="80"/>
      <c r="N36" s="94"/>
      <c r="O36" s="87"/>
    </row>
    <row r="37" spans="1:15" ht="15" customHeight="1" outlineLevel="1">
      <c r="A37" s="2"/>
      <c r="B37" s="232" t="s">
        <v>12</v>
      </c>
      <c r="C37" s="4"/>
      <c r="D37" s="18" t="s">
        <v>14</v>
      </c>
      <c r="E37" s="8"/>
      <c r="F37" s="111">
        <f>F26</f>
        <v>501510</v>
      </c>
      <c r="G37" s="111">
        <f t="shared" ref="G37:N37" si="8">G26</f>
        <v>511365</v>
      </c>
      <c r="H37" s="111">
        <f t="shared" si="8"/>
        <v>521950</v>
      </c>
      <c r="I37" s="111">
        <f t="shared" si="8"/>
        <v>532389</v>
      </c>
      <c r="J37" s="111">
        <f t="shared" si="8"/>
        <v>537712.89</v>
      </c>
      <c r="K37" s="111">
        <f t="shared" si="8"/>
        <v>543090.01890000014</v>
      </c>
      <c r="L37" s="111">
        <f t="shared" si="8"/>
        <v>545805.4689945</v>
      </c>
      <c r="M37" s="111">
        <f t="shared" si="8"/>
        <v>548534.49633947248</v>
      </c>
      <c r="N37" s="93">
        <f t="shared" si="8"/>
        <v>551277.16882116976</v>
      </c>
      <c r="O37" s="167"/>
    </row>
    <row r="38" spans="1:15" ht="15" customHeight="1" outlineLevel="1">
      <c r="A38" s="2"/>
      <c r="B38" s="232" t="s">
        <v>62</v>
      </c>
      <c r="C38" s="4"/>
      <c r="D38" s="18" t="s">
        <v>16</v>
      </c>
      <c r="E38" s="8"/>
      <c r="F38" s="129">
        <f>F32</f>
        <v>102.86</v>
      </c>
      <c r="G38" s="129">
        <f t="shared" ref="G38:N38" si="9">G32</f>
        <v>104.61</v>
      </c>
      <c r="H38" s="129">
        <f t="shared" si="9"/>
        <v>106.81</v>
      </c>
      <c r="I38" s="129">
        <f t="shared" si="9"/>
        <v>110.01430000000001</v>
      </c>
      <c r="J38" s="129">
        <f t="shared" si="9"/>
        <v>111.11444300000001</v>
      </c>
      <c r="K38" s="129">
        <f>K32</f>
        <v>112.22558743</v>
      </c>
      <c r="L38" s="129">
        <f t="shared" si="9"/>
        <v>113.3478433043</v>
      </c>
      <c r="M38" s="129">
        <f t="shared" si="9"/>
        <v>113.91458252082148</v>
      </c>
      <c r="N38" s="95">
        <f t="shared" si="9"/>
        <v>114.48415543342558</v>
      </c>
      <c r="O38" s="167"/>
    </row>
    <row r="39" spans="1:15" ht="15" customHeight="1" outlineLevel="1" thickBot="1">
      <c r="A39" s="2"/>
      <c r="B39" s="232" t="s">
        <v>0</v>
      </c>
      <c r="C39" s="4"/>
      <c r="D39" s="18"/>
      <c r="E39" s="8"/>
      <c r="F39" s="265">
        <f>F37*F38/1000</f>
        <v>51585.318599999999</v>
      </c>
      <c r="G39" s="265">
        <f t="shared" ref="G39:N39" si="10">G37*G38/1000</f>
        <v>53493.892650000002</v>
      </c>
      <c r="H39" s="265">
        <f t="shared" si="10"/>
        <v>55749.479500000001</v>
      </c>
      <c r="I39" s="265">
        <f t="shared" si="10"/>
        <v>58570.403162700008</v>
      </c>
      <c r="J39" s="265">
        <f t="shared" si="10"/>
        <v>59747.668266270273</v>
      </c>
      <c r="K39" s="265">
        <f t="shared" si="10"/>
        <v>60948.59639842232</v>
      </c>
      <c r="L39" s="265">
        <f t="shared" si="10"/>
        <v>61865.872774218558</v>
      </c>
      <c r="M39" s="265">
        <f t="shared" si="10"/>
        <v>62486.078148780085</v>
      </c>
      <c r="N39" s="266">
        <f t="shared" si="10"/>
        <v>63112.501082221599</v>
      </c>
    </row>
    <row r="40" spans="1:15" ht="15" customHeight="1" outlineLevel="1">
      <c r="A40" s="2"/>
      <c r="C40" s="4"/>
      <c r="D40" s="18"/>
      <c r="E40" s="8"/>
      <c r="F40" s="111"/>
      <c r="G40" s="111"/>
      <c r="H40" s="111"/>
      <c r="I40" s="111"/>
      <c r="J40" s="111"/>
      <c r="K40" s="111"/>
      <c r="L40" s="111"/>
      <c r="M40" s="111"/>
      <c r="N40" s="111"/>
    </row>
    <row r="41" spans="1:15" ht="15" customHeight="1" outlineLevel="1">
      <c r="A41" s="2"/>
      <c r="C41" s="4"/>
      <c r="D41" s="18"/>
      <c r="E41" s="8"/>
      <c r="F41" s="111"/>
      <c r="G41" s="111"/>
      <c r="H41" s="111"/>
      <c r="I41" s="111"/>
      <c r="J41" s="111"/>
      <c r="K41" s="111"/>
      <c r="L41" s="111"/>
      <c r="M41" s="111"/>
      <c r="N41" s="111"/>
    </row>
    <row r="42" spans="1:15" ht="15" customHeight="1" outlineLevel="1">
      <c r="A42" s="2"/>
      <c r="B42" s="35" t="s">
        <v>94</v>
      </c>
      <c r="C42" s="29"/>
      <c r="D42" s="164"/>
      <c r="E42" s="30"/>
      <c r="F42" s="221">
        <f>IF(F17&gt;=1,1,0)</f>
        <v>0</v>
      </c>
      <c r="G42" s="222">
        <f t="shared" ref="G42:N42" si="11">IF(G17&gt;=1,1,0)</f>
        <v>0</v>
      </c>
      <c r="H42" s="222">
        <f t="shared" si="11"/>
        <v>0</v>
      </c>
      <c r="I42" s="222">
        <f t="shared" si="11"/>
        <v>0</v>
      </c>
      <c r="J42" s="222">
        <f t="shared" si="11"/>
        <v>0</v>
      </c>
      <c r="K42" s="222">
        <f>IF(K17&gt;=1,1,0)</f>
        <v>0</v>
      </c>
      <c r="L42" s="222">
        <f t="shared" si="11"/>
        <v>0</v>
      </c>
      <c r="M42" s="222">
        <f t="shared" si="11"/>
        <v>0</v>
      </c>
      <c r="N42" s="223">
        <f t="shared" si="11"/>
        <v>0</v>
      </c>
      <c r="O42" s="167"/>
    </row>
    <row r="43" spans="1:15" ht="15" customHeight="1" outlineLevel="1">
      <c r="A43" s="2"/>
      <c r="B43" s="7"/>
      <c r="C43" s="4"/>
      <c r="D43" s="8"/>
      <c r="E43" s="8"/>
      <c r="F43" s="168"/>
      <c r="G43" s="168"/>
      <c r="H43" s="168"/>
      <c r="I43" s="203"/>
      <c r="J43" s="203"/>
      <c r="K43" s="203"/>
      <c r="L43" s="203"/>
      <c r="M43" s="203"/>
      <c r="N43" s="204"/>
      <c r="O43" s="167"/>
    </row>
    <row r="44" spans="1:15" ht="15" customHeight="1" outlineLevel="1"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</row>
    <row r="45" spans="1:15" s="9" customFormat="1" ht="15" customHeight="1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48"/>
    </row>
    <row r="46" spans="1:15" ht="15" customHeight="1">
      <c r="A46" s="9" t="s">
        <v>80</v>
      </c>
      <c r="B46" s="103" t="s">
        <v>20</v>
      </c>
      <c r="C46" s="104"/>
      <c r="D46" s="105"/>
      <c r="E46" s="105"/>
      <c r="F46" s="106"/>
      <c r="G46" s="106"/>
      <c r="H46" s="106"/>
      <c r="I46" s="106"/>
      <c r="J46" s="106"/>
      <c r="K46" s="106"/>
      <c r="L46" s="106"/>
      <c r="M46" s="106"/>
      <c r="N46" s="171" t="s">
        <v>80</v>
      </c>
      <c r="O46" s="47"/>
    </row>
    <row r="47" spans="1:15" ht="15" customHeight="1" outlineLevel="1">
      <c r="A47" s="9"/>
      <c r="B47" s="3"/>
      <c r="C47" s="4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</row>
    <row r="48" spans="1:15" ht="15" customHeight="1" outlineLevel="1" thickBot="1">
      <c r="A48" s="9"/>
      <c r="B48" s="7" t="s">
        <v>19</v>
      </c>
      <c r="C48" s="4"/>
      <c r="D48" s="8"/>
      <c r="E48" s="8"/>
      <c r="F48" s="272">
        <f>G48-1</f>
        <v>2020</v>
      </c>
      <c r="G48" s="272">
        <f>H48-1</f>
        <v>2021</v>
      </c>
      <c r="H48" s="272">
        <f>I48-1</f>
        <v>2022</v>
      </c>
      <c r="I48" s="273">
        <v>2023</v>
      </c>
      <c r="J48" s="228">
        <f>I48+1</f>
        <v>2024</v>
      </c>
      <c r="K48" s="228">
        <f>J48+1</f>
        <v>2025</v>
      </c>
      <c r="L48" s="228">
        <f>K48+1</f>
        <v>2026</v>
      </c>
      <c r="M48" s="228">
        <f>L48+1</f>
        <v>2027</v>
      </c>
      <c r="N48" s="97" t="s">
        <v>63</v>
      </c>
    </row>
    <row r="49" spans="1:15" ht="15" customHeight="1" outlineLevel="1">
      <c r="A49" s="9"/>
      <c r="B49" s="378" t="s">
        <v>102</v>
      </c>
      <c r="C49" s="4"/>
      <c r="D49" s="8"/>
      <c r="E49" s="8"/>
      <c r="F49" s="85"/>
      <c r="G49" s="85"/>
      <c r="H49" s="85"/>
      <c r="I49" s="153"/>
      <c r="J49" s="153"/>
      <c r="K49" s="153"/>
      <c r="L49" s="153"/>
      <c r="M49" s="153"/>
      <c r="N49" s="153"/>
    </row>
    <row r="50" spans="1:15" ht="15" customHeight="1" outlineLevel="1">
      <c r="A50" s="9"/>
      <c r="B50" s="7"/>
      <c r="C50" s="4"/>
      <c r="D50" s="8"/>
      <c r="E50" s="8"/>
      <c r="F50" s="8"/>
      <c r="G50" s="8"/>
      <c r="H50" s="8"/>
      <c r="I50" s="2"/>
      <c r="J50" s="2"/>
      <c r="K50" s="2"/>
      <c r="L50" s="2"/>
      <c r="M50" s="2"/>
      <c r="N50" s="202"/>
    </row>
    <row r="51" spans="1:15" ht="15" customHeight="1" outlineLevel="1">
      <c r="A51" s="9"/>
      <c r="B51" s="10" t="s">
        <v>12</v>
      </c>
      <c r="C51" s="4"/>
      <c r="D51" s="18"/>
      <c r="E51" s="8"/>
      <c r="F51" s="368">
        <v>501510</v>
      </c>
      <c r="G51" s="369">
        <v>511365</v>
      </c>
      <c r="H51" s="369">
        <v>521950</v>
      </c>
      <c r="I51" s="369">
        <v>532389</v>
      </c>
      <c r="J51" s="369">
        <v>537712.89</v>
      </c>
      <c r="K51" s="369">
        <v>543090.01890000014</v>
      </c>
      <c r="L51" s="369">
        <v>545805.4689945</v>
      </c>
      <c r="M51" s="369">
        <v>548534.49633947248</v>
      </c>
      <c r="N51" s="379">
        <v>551277.16882116976</v>
      </c>
    </row>
    <row r="52" spans="1:15" ht="15" customHeight="1" outlineLevel="1">
      <c r="A52" s="9"/>
      <c r="B52" s="10" t="s">
        <v>26</v>
      </c>
      <c r="C52" s="4"/>
      <c r="D52" s="8"/>
      <c r="E52" s="8"/>
      <c r="F52" s="137">
        <v>2.4E-2</v>
      </c>
      <c r="G52" s="125">
        <v>2.1999999999999999E-2</v>
      </c>
      <c r="H52" s="125">
        <v>2.3E-2</v>
      </c>
      <c r="I52" s="125">
        <v>3.5000000000000003E-2</v>
      </c>
      <c r="J52" s="125">
        <v>0.03</v>
      </c>
      <c r="K52" s="125">
        <v>0.03</v>
      </c>
      <c r="L52" s="125">
        <v>2.5000000000000001E-2</v>
      </c>
      <c r="M52" s="125">
        <v>2.5000000000000001E-2</v>
      </c>
      <c r="N52" s="277">
        <v>1.4999999999999999E-2</v>
      </c>
    </row>
    <row r="53" spans="1:15" ht="15" customHeight="1" outlineLevel="1">
      <c r="A53" s="9"/>
      <c r="B53" s="10"/>
      <c r="C53" s="4"/>
      <c r="D53" s="8"/>
      <c r="E53" s="8"/>
      <c r="F53" s="124"/>
      <c r="G53" s="124"/>
      <c r="H53" s="124"/>
      <c r="I53" s="90"/>
      <c r="J53" s="90"/>
      <c r="K53" s="90"/>
      <c r="L53" s="90"/>
      <c r="M53" s="90"/>
      <c r="N53" s="90"/>
    </row>
    <row r="54" spans="1:15" s="9" customFormat="1" ht="15" customHeight="1" outlineLevel="1">
      <c r="B54" s="13" t="s">
        <v>72</v>
      </c>
      <c r="C54" s="17"/>
      <c r="D54" s="18"/>
      <c r="E54" s="11"/>
      <c r="F54" s="141"/>
      <c r="G54" s="141"/>
      <c r="H54" s="141"/>
      <c r="I54" s="80"/>
      <c r="J54" s="25"/>
      <c r="K54" s="25"/>
      <c r="L54" s="25"/>
      <c r="M54" s="25"/>
      <c r="N54" s="25"/>
      <c r="O54" s="47"/>
    </row>
    <row r="55" spans="1:15" s="9" customFormat="1" ht="15" customHeight="1" outlineLevel="1">
      <c r="B55" s="10"/>
      <c r="C55" s="17"/>
      <c r="D55" s="18"/>
      <c r="E55" s="11"/>
      <c r="F55" s="25"/>
      <c r="G55" s="25"/>
      <c r="H55" s="25"/>
      <c r="I55" s="25"/>
      <c r="J55" s="25"/>
      <c r="K55" s="25"/>
      <c r="L55" s="25"/>
      <c r="M55" s="25"/>
      <c r="N55" s="98"/>
      <c r="O55" s="47"/>
    </row>
    <row r="56" spans="1:15" s="9" customFormat="1" ht="15" customHeight="1" outlineLevel="1">
      <c r="B56" s="232" t="s">
        <v>67</v>
      </c>
      <c r="C56" s="4"/>
      <c r="D56" s="18" t="s">
        <v>16</v>
      </c>
      <c r="E56" s="8"/>
      <c r="F56" s="122">
        <v>9.51</v>
      </c>
      <c r="G56" s="122">
        <v>9.7200000000000006</v>
      </c>
      <c r="H56" s="122">
        <v>9.91</v>
      </c>
      <c r="I56" s="130">
        <f>H56*(1+I$52)</f>
        <v>10.25685</v>
      </c>
      <c r="J56" s="130">
        <f t="shared" ref="J56:N58" si="12">I56*(1+J$52)</f>
        <v>10.564555500000001</v>
      </c>
      <c r="K56" s="130">
        <f t="shared" si="12"/>
        <v>10.881492165000001</v>
      </c>
      <c r="L56" s="130">
        <f t="shared" si="12"/>
        <v>11.153529469125001</v>
      </c>
      <c r="M56" s="130">
        <f t="shared" si="12"/>
        <v>11.432367705853125</v>
      </c>
      <c r="N56" s="133">
        <f t="shared" si="12"/>
        <v>11.60385322144092</v>
      </c>
    </row>
    <row r="57" spans="1:15" s="9" customFormat="1" ht="15" customHeight="1" outlineLevel="1">
      <c r="B57" s="232" t="s">
        <v>22</v>
      </c>
      <c r="C57" s="4"/>
      <c r="D57" s="18" t="s">
        <v>16</v>
      </c>
      <c r="E57" s="8"/>
      <c r="F57" s="122">
        <v>0.82</v>
      </c>
      <c r="G57" s="122">
        <v>0.84</v>
      </c>
      <c r="H57" s="122">
        <v>0.86</v>
      </c>
      <c r="I57" s="130">
        <f>H57*(1+I$52)</f>
        <v>0.89009999999999989</v>
      </c>
      <c r="J57" s="130">
        <f t="shared" si="12"/>
        <v>0.91680299999999992</v>
      </c>
      <c r="K57" s="130">
        <f t="shared" si="12"/>
        <v>0.9443070899999999</v>
      </c>
      <c r="L57" s="130">
        <f t="shared" si="12"/>
        <v>0.96791476724999981</v>
      </c>
      <c r="M57" s="130">
        <f t="shared" si="12"/>
        <v>0.99211263643124969</v>
      </c>
      <c r="N57" s="100">
        <f t="shared" si="12"/>
        <v>1.0069943259777183</v>
      </c>
    </row>
    <row r="58" spans="1:15" s="9" customFormat="1" ht="15" customHeight="1" outlineLevel="1">
      <c r="B58" s="232" t="s">
        <v>27</v>
      </c>
      <c r="C58" s="4"/>
      <c r="D58" s="18" t="s">
        <v>16</v>
      </c>
      <c r="E58" s="8"/>
      <c r="F58" s="126">
        <v>1.54</v>
      </c>
      <c r="G58" s="126">
        <v>1.58</v>
      </c>
      <c r="H58" s="126">
        <v>1.62</v>
      </c>
      <c r="I58" s="131">
        <f>H58*(1+I$52)</f>
        <v>1.6767000000000001</v>
      </c>
      <c r="J58" s="131">
        <f t="shared" si="12"/>
        <v>1.7270010000000002</v>
      </c>
      <c r="K58" s="131">
        <f t="shared" si="12"/>
        <v>1.7788110300000002</v>
      </c>
      <c r="L58" s="131">
        <f t="shared" si="12"/>
        <v>1.8232813057500001</v>
      </c>
      <c r="M58" s="131">
        <f t="shared" si="12"/>
        <v>1.8688633383937501</v>
      </c>
      <c r="N58" s="102">
        <f t="shared" si="12"/>
        <v>1.8968962884696561</v>
      </c>
    </row>
    <row r="59" spans="1:15" s="9" customFormat="1" ht="15" customHeight="1" outlineLevel="1">
      <c r="B59" s="232" t="s">
        <v>28</v>
      </c>
      <c r="C59" s="17"/>
      <c r="D59" s="18"/>
      <c r="E59" s="11"/>
      <c r="F59" s="129">
        <f>SUM(F56:F58)</f>
        <v>11.870000000000001</v>
      </c>
      <c r="G59" s="129">
        <f t="shared" ref="G59:N59" si="13">SUM(G56:G58)</f>
        <v>12.14</v>
      </c>
      <c r="H59" s="129">
        <f t="shared" si="13"/>
        <v>12.39</v>
      </c>
      <c r="I59" s="129">
        <f t="shared" si="13"/>
        <v>12.823650000000001</v>
      </c>
      <c r="J59" s="129">
        <f>SUM(J56:J58)</f>
        <v>13.2083595</v>
      </c>
      <c r="K59" s="129">
        <f t="shared" si="13"/>
        <v>13.604610285000001</v>
      </c>
      <c r="L59" s="129">
        <f t="shared" si="13"/>
        <v>13.944725542124999</v>
      </c>
      <c r="M59" s="129">
        <f t="shared" si="13"/>
        <v>14.293343680678124</v>
      </c>
      <c r="N59" s="100">
        <f t="shared" si="13"/>
        <v>14.507743835888295</v>
      </c>
    </row>
    <row r="60" spans="1:15" s="9" customFormat="1" ht="15" customHeight="1" outlineLevel="1">
      <c r="B60" s="234"/>
      <c r="C60" s="17"/>
      <c r="D60" s="18"/>
      <c r="E60" s="11"/>
      <c r="F60" s="129"/>
      <c r="G60" s="129"/>
      <c r="H60" s="129"/>
      <c r="I60" s="34"/>
      <c r="J60" s="34"/>
      <c r="K60" s="34"/>
      <c r="L60" s="34"/>
      <c r="M60" s="34"/>
      <c r="N60" s="101"/>
    </row>
    <row r="61" spans="1:15" s="9" customFormat="1" ht="15" customHeight="1" outlineLevel="1">
      <c r="B61" s="232" t="s">
        <v>67</v>
      </c>
      <c r="C61" s="4"/>
      <c r="D61" s="18"/>
      <c r="E61" s="8"/>
      <c r="F61" s="132">
        <f>F56*F$51/1000</f>
        <v>4769.3600999999999</v>
      </c>
      <c r="G61" s="132">
        <f t="shared" ref="G61:N61" si="14">G56*G$51/1000</f>
        <v>4970.4678000000004</v>
      </c>
      <c r="H61" s="132">
        <f t="shared" si="14"/>
        <v>5172.5245000000004</v>
      </c>
      <c r="I61" s="132">
        <f t="shared" si="14"/>
        <v>5460.6341146499999</v>
      </c>
      <c r="J61" s="132">
        <f t="shared" si="14"/>
        <v>5680.6976694703962</v>
      </c>
      <c r="K61" s="132">
        <f t="shared" si="14"/>
        <v>5909.6297855500543</v>
      </c>
      <c r="L61" s="132">
        <f t="shared" si="14"/>
        <v>6087.6573828397477</v>
      </c>
      <c r="M61" s="132">
        <f t="shared" si="14"/>
        <v>6271.0480614977942</v>
      </c>
      <c r="N61" s="99">
        <f t="shared" si="14"/>
        <v>6396.9393513323612</v>
      </c>
    </row>
    <row r="62" spans="1:15" s="9" customFormat="1" ht="15" customHeight="1" outlineLevel="1">
      <c r="B62" s="232" t="s">
        <v>22</v>
      </c>
      <c r="C62" s="4"/>
      <c r="D62" s="18"/>
      <c r="E62" s="8"/>
      <c r="F62" s="132">
        <f>F57*F$51/1000</f>
        <v>411.23819999999995</v>
      </c>
      <c r="G62" s="132">
        <f t="shared" ref="G62:N62" si="15">G57*G$51/1000</f>
        <v>429.54659999999996</v>
      </c>
      <c r="H62" s="132">
        <f t="shared" si="15"/>
        <v>448.87700000000001</v>
      </c>
      <c r="I62" s="132">
        <f t="shared" si="15"/>
        <v>473.87944889999994</v>
      </c>
      <c r="J62" s="132">
        <f t="shared" si="15"/>
        <v>492.97679069066999</v>
      </c>
      <c r="K62" s="132">
        <f t="shared" si="15"/>
        <v>512.84375535550407</v>
      </c>
      <c r="L62" s="132">
        <f t="shared" si="15"/>
        <v>528.29317348558845</v>
      </c>
      <c r="M62" s="132">
        <f t="shared" si="15"/>
        <v>544.20800533684167</v>
      </c>
      <c r="N62" s="99">
        <f t="shared" si="15"/>
        <v>555.1329810439787</v>
      </c>
    </row>
    <row r="63" spans="1:15" s="9" customFormat="1" ht="15" customHeight="1" outlineLevel="1">
      <c r="B63" s="232" t="s">
        <v>27</v>
      </c>
      <c r="C63" s="4"/>
      <c r="D63" s="18"/>
      <c r="E63" s="8"/>
      <c r="F63" s="109">
        <f>F58*F$51/1000</f>
        <v>772.32540000000006</v>
      </c>
      <c r="G63" s="109">
        <f t="shared" ref="G63:N63" si="16">G58*G$51/1000</f>
        <v>807.95670000000007</v>
      </c>
      <c r="H63" s="109">
        <f t="shared" si="16"/>
        <v>845.55899999999997</v>
      </c>
      <c r="I63" s="109">
        <f t="shared" si="16"/>
        <v>892.65663630000006</v>
      </c>
      <c r="J63" s="109">
        <f t="shared" si="16"/>
        <v>928.6306987428901</v>
      </c>
      <c r="K63" s="109">
        <f t="shared" si="16"/>
        <v>966.05451590222879</v>
      </c>
      <c r="L63" s="109">
        <f t="shared" si="16"/>
        <v>995.15690819378312</v>
      </c>
      <c r="M63" s="109">
        <f t="shared" si="16"/>
        <v>1025.1360100531208</v>
      </c>
      <c r="N63" s="99">
        <f t="shared" si="16"/>
        <v>1045.7156154549371</v>
      </c>
    </row>
    <row r="64" spans="1:15" s="9" customFormat="1" ht="15" customHeight="1" outlineLevel="1">
      <c r="B64" s="232" t="s">
        <v>28</v>
      </c>
      <c r="C64" s="17"/>
      <c r="D64" s="18"/>
      <c r="E64" s="11"/>
      <c r="F64" s="111">
        <f>SUM(F61:F63)</f>
        <v>5952.9236999999994</v>
      </c>
      <c r="G64" s="111">
        <f t="shared" ref="G64:N64" si="17">SUM(G61:G63)</f>
        <v>6207.9710999999998</v>
      </c>
      <c r="H64" s="111">
        <f t="shared" si="17"/>
        <v>6466.960500000001</v>
      </c>
      <c r="I64" s="111">
        <f t="shared" si="17"/>
        <v>6827.1701998500002</v>
      </c>
      <c r="J64" s="111">
        <f t="shared" si="17"/>
        <v>7102.305158903956</v>
      </c>
      <c r="K64" s="111">
        <f t="shared" si="17"/>
        <v>7388.5280568077869</v>
      </c>
      <c r="L64" s="111">
        <f t="shared" si="17"/>
        <v>7611.1074645191193</v>
      </c>
      <c r="M64" s="111">
        <f t="shared" si="17"/>
        <v>7840.392076887757</v>
      </c>
      <c r="N64" s="134">
        <f t="shared" si="17"/>
        <v>7997.7879478312771</v>
      </c>
      <c r="O64" s="250"/>
    </row>
    <row r="65" spans="2:15" s="9" customFormat="1" ht="15" customHeight="1" outlineLevel="1">
      <c r="B65" s="237"/>
      <c r="C65" s="42"/>
      <c r="D65" s="40"/>
      <c r="E65" s="23"/>
      <c r="F65" s="81"/>
      <c r="G65" s="81"/>
      <c r="H65" s="81"/>
      <c r="I65" s="19"/>
      <c r="J65" s="19"/>
      <c r="K65" s="19"/>
      <c r="L65" s="19"/>
      <c r="M65" s="19"/>
      <c r="N65" s="81"/>
    </row>
    <row r="66" spans="2:15" s="9" customFormat="1" ht="15" customHeight="1" outlineLevel="1">
      <c r="B66" s="235"/>
      <c r="C66" s="36"/>
      <c r="D66" s="37"/>
      <c r="E66" s="38"/>
      <c r="F66" s="80"/>
      <c r="G66" s="80"/>
      <c r="H66" s="80"/>
      <c r="I66" s="25"/>
      <c r="J66" s="25"/>
      <c r="K66" s="25"/>
      <c r="L66" s="25"/>
      <c r="M66" s="25"/>
      <c r="N66" s="80"/>
    </row>
    <row r="67" spans="2:15" s="9" customFormat="1" ht="15" customHeight="1" outlineLevel="1">
      <c r="B67" s="233" t="s">
        <v>71</v>
      </c>
      <c r="C67" s="17"/>
      <c r="D67" s="18"/>
      <c r="E67" s="11"/>
      <c r="F67" s="25"/>
      <c r="G67" s="25"/>
      <c r="H67" s="25"/>
      <c r="I67" s="25"/>
      <c r="J67" s="25"/>
      <c r="K67" s="25"/>
      <c r="L67" s="25"/>
      <c r="M67" s="25"/>
      <c r="N67" s="98"/>
      <c r="O67" s="47"/>
    </row>
    <row r="68" spans="2:15" s="9" customFormat="1" ht="15" customHeight="1" outlineLevel="1">
      <c r="B68" s="236"/>
      <c r="C68" s="17"/>
      <c r="D68" s="18"/>
      <c r="E68" s="11"/>
      <c r="F68" s="25"/>
      <c r="G68" s="25"/>
      <c r="H68" s="25"/>
      <c r="I68" s="25"/>
      <c r="J68" s="25"/>
      <c r="K68" s="25"/>
      <c r="L68" s="25"/>
      <c r="M68" s="25"/>
      <c r="N68" s="98"/>
      <c r="O68" s="47"/>
    </row>
    <row r="69" spans="2:15" s="9" customFormat="1" ht="15" customHeight="1" outlineLevel="1">
      <c r="B69" s="232" t="s">
        <v>99</v>
      </c>
      <c r="C69" s="4"/>
      <c r="D69" s="18" t="s">
        <v>16</v>
      </c>
      <c r="E69" s="8"/>
      <c r="F69" s="130">
        <f>(F74*1000)/F$51</f>
        <v>31.165879045283244</v>
      </c>
      <c r="G69" s="130">
        <f t="shared" ref="G69:N69" si="18">(G74*1000)/G$51</f>
        <v>31.236005592873976</v>
      </c>
      <c r="H69" s="130">
        <f t="shared" si="18"/>
        <v>31.307596513075964</v>
      </c>
      <c r="I69" s="130">
        <f t="shared" si="18"/>
        <v>31.768002344150606</v>
      </c>
      <c r="J69" s="130">
        <f t="shared" si="18"/>
        <v>32.397071697500131</v>
      </c>
      <c r="K69" s="130">
        <f t="shared" si="18"/>
        <v>33.038597869727845</v>
      </c>
      <c r="L69" s="130">
        <f t="shared" si="18"/>
        <v>33.696082404448809</v>
      </c>
      <c r="M69" s="130">
        <f t="shared" si="18"/>
        <v>34.366651208517439</v>
      </c>
      <c r="N69" s="133">
        <f t="shared" si="18"/>
        <v>34.708607936960405</v>
      </c>
    </row>
    <row r="70" spans="2:15" s="9" customFormat="1" ht="15" customHeight="1" outlineLevel="1">
      <c r="B70" s="232" t="s">
        <v>25</v>
      </c>
      <c r="C70" s="4"/>
      <c r="D70" s="18" t="s">
        <v>16</v>
      </c>
      <c r="E70" s="8"/>
      <c r="F70" s="130">
        <f>(F75*1000)/F$51</f>
        <v>7.2800143566429387</v>
      </c>
      <c r="G70" s="130">
        <f t="shared" ref="G70:N70" si="19">(G75*1000)/G$51</f>
        <v>7.2961583213555876</v>
      </c>
      <c r="H70" s="130">
        <f t="shared" si="19"/>
        <v>7.312961011591149</v>
      </c>
      <c r="I70" s="130">
        <f t="shared" si="19"/>
        <v>7.4205045558792539</v>
      </c>
      <c r="J70" s="130">
        <f t="shared" si="19"/>
        <v>7.5674452401540906</v>
      </c>
      <c r="K70" s="130">
        <f t="shared" si="19"/>
        <v>7.7172956409492199</v>
      </c>
      <c r="L70" s="130">
        <f t="shared" si="19"/>
        <v>7.8708736636546774</v>
      </c>
      <c r="M70" s="130">
        <f t="shared" si="19"/>
        <v>8.0275079654189501</v>
      </c>
      <c r="N70" s="100">
        <f t="shared" si="19"/>
        <v>8.1073836665673973</v>
      </c>
    </row>
    <row r="71" spans="2:15" s="9" customFormat="1" ht="15" customHeight="1" outlineLevel="1">
      <c r="B71" s="232" t="s">
        <v>24</v>
      </c>
      <c r="C71" s="4"/>
      <c r="D71" s="18" t="s">
        <v>16</v>
      </c>
      <c r="E71" s="8"/>
      <c r="F71" s="131">
        <f>(F76*1000)/F$51</f>
        <v>4.9111682718191059</v>
      </c>
      <c r="G71" s="131">
        <f t="shared" ref="G71:N71" si="20">(G76*1000)/G$51</f>
        <v>4.9221202076794466</v>
      </c>
      <c r="H71" s="131">
        <f t="shared" si="20"/>
        <v>4.9334227416419196</v>
      </c>
      <c r="I71" s="131">
        <f t="shared" si="20"/>
        <v>5.0059730760778303</v>
      </c>
      <c r="J71" s="131">
        <f t="shared" si="20"/>
        <v>5.1051012558021434</v>
      </c>
      <c r="K71" s="131">
        <f t="shared" si="20"/>
        <v>5.2061923697784227</v>
      </c>
      <c r="L71" s="131">
        <f t="shared" si="20"/>
        <v>5.3097981880824729</v>
      </c>
      <c r="M71" s="131">
        <f t="shared" si="20"/>
        <v>5.4154658137159544</v>
      </c>
      <c r="N71" s="102">
        <f t="shared" si="20"/>
        <v>5.4693510456932275</v>
      </c>
    </row>
    <row r="72" spans="2:15" s="9" customFormat="1" ht="15" customHeight="1" outlineLevel="1">
      <c r="B72" s="232" t="s">
        <v>28</v>
      </c>
      <c r="C72" s="17"/>
      <c r="D72" s="18"/>
      <c r="E72" s="11"/>
      <c r="F72" s="129">
        <f>SUM(F69:F71)</f>
        <v>43.357061673745292</v>
      </c>
      <c r="G72" s="129">
        <f t="shared" ref="G72:N72" si="21">SUM(G69:G71)</f>
        <v>43.454284121909012</v>
      </c>
      <c r="H72" s="129">
        <f t="shared" si="21"/>
        <v>43.553980266309033</v>
      </c>
      <c r="I72" s="129">
        <f t="shared" si="21"/>
        <v>44.194479976107687</v>
      </c>
      <c r="J72" s="129">
        <f t="shared" si="21"/>
        <v>45.069618193456364</v>
      </c>
      <c r="K72" s="129">
        <f t="shared" si="21"/>
        <v>45.962085880455483</v>
      </c>
      <c r="L72" s="129">
        <f t="shared" si="21"/>
        <v>46.876754256185961</v>
      </c>
      <c r="M72" s="129">
        <f t="shared" si="21"/>
        <v>47.809624987652342</v>
      </c>
      <c r="N72" s="100">
        <f t="shared" si="21"/>
        <v>48.285342649221036</v>
      </c>
    </row>
    <row r="73" spans="2:15" s="9" customFormat="1" ht="15" customHeight="1" outlineLevel="1">
      <c r="B73" s="234"/>
      <c r="C73" s="17"/>
      <c r="D73" s="18"/>
      <c r="E73" s="11"/>
      <c r="F73" s="80"/>
      <c r="G73" s="80"/>
      <c r="H73" s="80"/>
      <c r="I73" s="25"/>
      <c r="J73" s="25"/>
      <c r="K73" s="25"/>
      <c r="L73" s="25"/>
      <c r="M73" s="25"/>
      <c r="N73" s="101"/>
    </row>
    <row r="74" spans="2:15" s="9" customFormat="1" ht="15" customHeight="1" outlineLevel="1">
      <c r="B74" s="232" t="s">
        <v>99</v>
      </c>
      <c r="C74" s="4"/>
      <c r="D74" s="127"/>
      <c r="E74" s="8"/>
      <c r="F74" s="127">
        <v>15630</v>
      </c>
      <c r="G74" s="127">
        <v>15973</v>
      </c>
      <c r="H74" s="127">
        <v>16341</v>
      </c>
      <c r="I74" s="132">
        <f>H74*(1+I$52)</f>
        <v>16912.934999999998</v>
      </c>
      <c r="J74" s="132">
        <f t="shared" ref="I74:N76" si="22">I74*(1+J$52)</f>
        <v>17420.323049999999</v>
      </c>
      <c r="K74" s="132">
        <f t="shared" si="22"/>
        <v>17942.932741500001</v>
      </c>
      <c r="L74" s="132">
        <f t="shared" si="22"/>
        <v>18391.5060600375</v>
      </c>
      <c r="M74" s="132">
        <f t="shared" si="22"/>
        <v>18851.293711538437</v>
      </c>
      <c r="N74" s="99">
        <f t="shared" si="22"/>
        <v>19134.063117211514</v>
      </c>
    </row>
    <row r="75" spans="2:15" s="9" customFormat="1" ht="15" customHeight="1" outlineLevel="1">
      <c r="B75" s="232" t="s">
        <v>25</v>
      </c>
      <c r="C75" s="4"/>
      <c r="D75" s="18"/>
      <c r="E75" s="8"/>
      <c r="F75" s="127">
        <v>3651</v>
      </c>
      <c r="G75" s="127">
        <v>3731</v>
      </c>
      <c r="H75" s="127">
        <v>3817</v>
      </c>
      <c r="I75" s="132">
        <f t="shared" si="22"/>
        <v>3950.5949999999998</v>
      </c>
      <c r="J75" s="132">
        <f t="shared" si="22"/>
        <v>4069.11285</v>
      </c>
      <c r="K75" s="132">
        <f t="shared" si="22"/>
        <v>4191.1862355000003</v>
      </c>
      <c r="L75" s="132">
        <f t="shared" si="22"/>
        <v>4295.9658913875001</v>
      </c>
      <c r="M75" s="132">
        <f t="shared" si="22"/>
        <v>4403.3650386721874</v>
      </c>
      <c r="N75" s="99">
        <f t="shared" si="22"/>
        <v>4469.4155142522695</v>
      </c>
    </row>
    <row r="76" spans="2:15" s="9" customFormat="1" ht="15" customHeight="1" outlineLevel="1">
      <c r="B76" s="232" t="s">
        <v>24</v>
      </c>
      <c r="C76" s="4"/>
      <c r="D76" s="18"/>
      <c r="E76" s="8"/>
      <c r="F76" s="128">
        <v>2463</v>
      </c>
      <c r="G76" s="128">
        <v>2517</v>
      </c>
      <c r="H76" s="128">
        <v>2575</v>
      </c>
      <c r="I76" s="109">
        <f t="shared" si="22"/>
        <v>2665.125</v>
      </c>
      <c r="J76" s="109">
        <f t="shared" si="22"/>
        <v>2745.0787500000001</v>
      </c>
      <c r="K76" s="109">
        <f t="shared" si="22"/>
        <v>2827.4311125000004</v>
      </c>
      <c r="L76" s="109">
        <f t="shared" si="22"/>
        <v>2898.1168903125003</v>
      </c>
      <c r="M76" s="109">
        <f t="shared" si="22"/>
        <v>2970.5698125703125</v>
      </c>
      <c r="N76" s="99">
        <f t="shared" si="22"/>
        <v>3015.1283597588667</v>
      </c>
    </row>
    <row r="77" spans="2:15" s="9" customFormat="1" ht="15" customHeight="1" outlineLevel="1">
      <c r="B77" s="232" t="s">
        <v>28</v>
      </c>
      <c r="C77" s="17"/>
      <c r="D77" s="18"/>
      <c r="E77" s="11"/>
      <c r="F77" s="111">
        <f>SUM(F74:F76)</f>
        <v>21744</v>
      </c>
      <c r="G77" s="111">
        <f t="shared" ref="G77:N77" si="23">SUM(G74:G76)</f>
        <v>22221</v>
      </c>
      <c r="H77" s="111">
        <f t="shared" si="23"/>
        <v>22733</v>
      </c>
      <c r="I77" s="111">
        <f t="shared" si="23"/>
        <v>23528.654999999999</v>
      </c>
      <c r="J77" s="111">
        <f t="shared" si="23"/>
        <v>24234.514650000001</v>
      </c>
      <c r="K77" s="111">
        <f t="shared" si="23"/>
        <v>24961.5500895</v>
      </c>
      <c r="L77" s="111">
        <f t="shared" si="23"/>
        <v>25585.588841737499</v>
      </c>
      <c r="M77" s="111">
        <f t="shared" si="23"/>
        <v>26225.22856278094</v>
      </c>
      <c r="N77" s="134">
        <f t="shared" si="23"/>
        <v>26618.606991222649</v>
      </c>
    </row>
    <row r="78" spans="2:15" s="9" customFormat="1" ht="15" customHeight="1" outlineLevel="1">
      <c r="B78" s="237"/>
      <c r="C78" s="42"/>
      <c r="D78" s="40"/>
      <c r="E78" s="23"/>
      <c r="F78" s="81"/>
      <c r="G78" s="145"/>
      <c r="H78" s="145"/>
      <c r="I78" s="19"/>
      <c r="J78" s="19"/>
      <c r="K78" s="19"/>
      <c r="L78" s="19"/>
      <c r="M78" s="19"/>
      <c r="N78" s="81"/>
    </row>
    <row r="79" spans="2:15" s="9" customFormat="1" ht="15" customHeight="1" outlineLevel="1">
      <c r="B79" s="235"/>
      <c r="C79" s="36"/>
      <c r="D79" s="37"/>
      <c r="E79" s="38"/>
      <c r="F79" s="80"/>
      <c r="G79" s="143"/>
      <c r="H79" s="143"/>
      <c r="I79" s="25"/>
      <c r="J79" s="25"/>
      <c r="K79" s="25"/>
      <c r="L79" s="25"/>
      <c r="M79" s="25"/>
      <c r="N79" s="80"/>
    </row>
    <row r="80" spans="2:15" s="9" customFormat="1" ht="15" customHeight="1" outlineLevel="1">
      <c r="B80" s="233" t="s">
        <v>73</v>
      </c>
      <c r="C80" s="17"/>
      <c r="D80" s="18"/>
      <c r="E80" s="11"/>
      <c r="F80" s="80"/>
      <c r="G80" s="80"/>
      <c r="H80" s="80"/>
      <c r="I80" s="25"/>
    </row>
    <row r="81" spans="1:15" s="9" customFormat="1" ht="15" customHeight="1" outlineLevel="1">
      <c r="B81" s="233"/>
      <c r="C81" s="17"/>
      <c r="D81" s="18"/>
      <c r="E81" s="11"/>
      <c r="F81" s="80"/>
      <c r="G81" s="80"/>
      <c r="H81" s="80"/>
      <c r="I81" s="25"/>
      <c r="J81" s="25"/>
      <c r="K81" s="25"/>
      <c r="L81" s="25"/>
      <c r="M81" s="25"/>
      <c r="N81" s="98"/>
    </row>
    <row r="82" spans="1:15" s="9" customFormat="1" ht="15" customHeight="1" outlineLevel="1">
      <c r="B82" s="232" t="s">
        <v>21</v>
      </c>
      <c r="C82" s="17"/>
      <c r="D82" s="18" t="s">
        <v>16</v>
      </c>
      <c r="E82" s="11"/>
      <c r="F82" s="129">
        <f t="shared" ref="F82:N82" si="24">F59</f>
        <v>11.870000000000001</v>
      </c>
      <c r="G82" s="129">
        <f t="shared" si="24"/>
        <v>12.14</v>
      </c>
      <c r="H82" s="129">
        <f t="shared" si="24"/>
        <v>12.39</v>
      </c>
      <c r="I82" s="129">
        <f t="shared" si="24"/>
        <v>12.823650000000001</v>
      </c>
      <c r="J82" s="129">
        <f t="shared" si="24"/>
        <v>13.2083595</v>
      </c>
      <c r="K82" s="129">
        <f t="shared" si="24"/>
        <v>13.604610285000001</v>
      </c>
      <c r="L82" s="129">
        <f t="shared" si="24"/>
        <v>13.944725542124999</v>
      </c>
      <c r="M82" s="129">
        <f t="shared" si="24"/>
        <v>14.293343680678124</v>
      </c>
      <c r="N82" s="133">
        <f t="shared" si="24"/>
        <v>14.507743835888295</v>
      </c>
    </row>
    <row r="83" spans="1:15" s="9" customFormat="1" ht="15" customHeight="1" outlineLevel="1">
      <c r="B83" s="232" t="s">
        <v>23</v>
      </c>
      <c r="C83" s="17"/>
      <c r="D83" s="18" t="s">
        <v>16</v>
      </c>
      <c r="E83" s="11"/>
      <c r="F83" s="131">
        <f t="shared" ref="F83:N83" si="25">F72</f>
        <v>43.357061673745292</v>
      </c>
      <c r="G83" s="131">
        <f t="shared" si="25"/>
        <v>43.454284121909012</v>
      </c>
      <c r="H83" s="131">
        <f t="shared" si="25"/>
        <v>43.553980266309033</v>
      </c>
      <c r="I83" s="131">
        <f t="shared" si="25"/>
        <v>44.194479976107687</v>
      </c>
      <c r="J83" s="131">
        <f t="shared" si="25"/>
        <v>45.069618193456364</v>
      </c>
      <c r="K83" s="131">
        <f t="shared" si="25"/>
        <v>45.962085880455483</v>
      </c>
      <c r="L83" s="131">
        <f t="shared" si="25"/>
        <v>46.876754256185961</v>
      </c>
      <c r="M83" s="131">
        <f t="shared" si="25"/>
        <v>47.809624987652342</v>
      </c>
      <c r="N83" s="102">
        <f t="shared" si="25"/>
        <v>48.285342649221036</v>
      </c>
    </row>
    <row r="84" spans="1:15" s="9" customFormat="1" ht="15" customHeight="1" outlineLevel="1">
      <c r="B84" s="232" t="s">
        <v>29</v>
      </c>
      <c r="C84" s="17"/>
      <c r="D84" s="18" t="s">
        <v>16</v>
      </c>
      <c r="E84" s="11"/>
      <c r="F84" s="129">
        <f>SUM(F82:F83)</f>
        <v>55.227061673745297</v>
      </c>
      <c r="G84" s="129">
        <f t="shared" ref="G84:N84" si="26">SUM(G82:G83)</f>
        <v>55.594284121909013</v>
      </c>
      <c r="H84" s="129">
        <f t="shared" si="26"/>
        <v>55.943980266309033</v>
      </c>
      <c r="I84" s="129">
        <f t="shared" si="26"/>
        <v>57.018129976107687</v>
      </c>
      <c r="J84" s="129">
        <f t="shared" si="26"/>
        <v>58.277977693456364</v>
      </c>
      <c r="K84" s="129">
        <f t="shared" si="26"/>
        <v>59.566696165455483</v>
      </c>
      <c r="L84" s="129">
        <f t="shared" si="26"/>
        <v>60.821479798310961</v>
      </c>
      <c r="M84" s="129">
        <f t="shared" si="26"/>
        <v>62.102968668330462</v>
      </c>
      <c r="N84" s="100">
        <f t="shared" si="26"/>
        <v>62.793086485109328</v>
      </c>
    </row>
    <row r="85" spans="1:15" s="9" customFormat="1" ht="15" customHeight="1" outlineLevel="1">
      <c r="B85" s="230"/>
      <c r="C85" s="17"/>
      <c r="D85" s="18"/>
      <c r="E85" s="11"/>
      <c r="F85" s="129"/>
      <c r="G85" s="129"/>
      <c r="H85" s="129"/>
      <c r="I85" s="129"/>
      <c r="J85" s="129"/>
      <c r="K85" s="129"/>
      <c r="L85" s="129"/>
      <c r="M85" s="129"/>
      <c r="N85" s="100"/>
      <c r="O85" s="87"/>
    </row>
    <row r="86" spans="1:15" s="9" customFormat="1" ht="15" customHeight="1" outlineLevel="1">
      <c r="B86" s="232" t="s">
        <v>21</v>
      </c>
      <c r="C86" s="17"/>
      <c r="D86" s="18"/>
      <c r="E86" s="11"/>
      <c r="F86" s="111">
        <f t="shared" ref="F86:N86" si="27">F64</f>
        <v>5952.9236999999994</v>
      </c>
      <c r="G86" s="111">
        <f t="shared" si="27"/>
        <v>6207.9710999999998</v>
      </c>
      <c r="H86" s="111">
        <f t="shared" si="27"/>
        <v>6466.960500000001</v>
      </c>
      <c r="I86" s="111">
        <f t="shared" si="27"/>
        <v>6827.1701998500002</v>
      </c>
      <c r="J86" s="111">
        <f t="shared" si="27"/>
        <v>7102.305158903956</v>
      </c>
      <c r="K86" s="111">
        <f t="shared" si="27"/>
        <v>7388.5280568077869</v>
      </c>
      <c r="L86" s="111">
        <f t="shared" si="27"/>
        <v>7611.1074645191193</v>
      </c>
      <c r="M86" s="111">
        <f t="shared" si="27"/>
        <v>7840.392076887757</v>
      </c>
      <c r="N86" s="99">
        <f t="shared" si="27"/>
        <v>7997.7879478312771</v>
      </c>
    </row>
    <row r="87" spans="1:15" s="9" customFormat="1" ht="15" customHeight="1" outlineLevel="1">
      <c r="B87" s="232" t="s">
        <v>23</v>
      </c>
      <c r="C87" s="17"/>
      <c r="D87" s="18"/>
      <c r="E87" s="11"/>
      <c r="F87" s="111">
        <f t="shared" ref="F87:N87" si="28">F77</f>
        <v>21744</v>
      </c>
      <c r="G87" s="111">
        <f t="shared" si="28"/>
        <v>22221</v>
      </c>
      <c r="H87" s="111">
        <f t="shared" si="28"/>
        <v>22733</v>
      </c>
      <c r="I87" s="111">
        <f t="shared" si="28"/>
        <v>23528.654999999999</v>
      </c>
      <c r="J87" s="111">
        <f t="shared" si="28"/>
        <v>24234.514650000001</v>
      </c>
      <c r="K87" s="111">
        <f t="shared" si="28"/>
        <v>24961.5500895</v>
      </c>
      <c r="L87" s="111">
        <f t="shared" si="28"/>
        <v>25585.588841737499</v>
      </c>
      <c r="M87" s="111">
        <f t="shared" si="28"/>
        <v>26225.22856278094</v>
      </c>
      <c r="N87" s="99">
        <f t="shared" si="28"/>
        <v>26618.606991222649</v>
      </c>
    </row>
    <row r="88" spans="1:15" s="9" customFormat="1" ht="15" customHeight="1" outlineLevel="1" thickBot="1">
      <c r="B88" s="232" t="s">
        <v>29</v>
      </c>
      <c r="C88" s="17"/>
      <c r="D88" s="18"/>
      <c r="E88" s="11"/>
      <c r="F88" s="267">
        <f>SUM(F86:F87)</f>
        <v>27696.923699999999</v>
      </c>
      <c r="G88" s="267">
        <f t="shared" ref="G88:N88" si="29">SUM(G86:G87)</f>
        <v>28428.971099999999</v>
      </c>
      <c r="H88" s="267">
        <f t="shared" si="29"/>
        <v>29199.960500000001</v>
      </c>
      <c r="I88" s="267">
        <f t="shared" si="29"/>
        <v>30355.825199849998</v>
      </c>
      <c r="J88" s="267">
        <f t="shared" si="29"/>
        <v>31336.819808903958</v>
      </c>
      <c r="K88" s="267">
        <f>SUM(K86:K87)</f>
        <v>32350.078146307787</v>
      </c>
      <c r="L88" s="267">
        <f t="shared" si="29"/>
        <v>33196.696306256621</v>
      </c>
      <c r="M88" s="267">
        <f t="shared" si="29"/>
        <v>34065.620639668698</v>
      </c>
      <c r="N88" s="268">
        <f t="shared" si="29"/>
        <v>34616.394939053927</v>
      </c>
    </row>
    <row r="89" spans="1:15" s="9" customFormat="1" ht="15" customHeight="1" outlineLevel="1">
      <c r="B89" s="13"/>
      <c r="C89" s="17"/>
      <c r="D89" s="18"/>
      <c r="E89" s="11"/>
      <c r="F89" s="111"/>
      <c r="G89" s="111"/>
      <c r="H89" s="111"/>
      <c r="I89" s="111"/>
      <c r="J89" s="111"/>
      <c r="K89" s="111"/>
      <c r="L89" s="111"/>
      <c r="M89" s="111"/>
      <c r="N89" s="111"/>
    </row>
    <row r="90" spans="1:15" s="9" customFormat="1" ht="15" customHeight="1" outlineLevel="1">
      <c r="B90" s="39"/>
      <c r="C90" s="32"/>
      <c r="D90" s="40"/>
      <c r="E90" s="33"/>
      <c r="F90" s="12"/>
      <c r="G90" s="12"/>
      <c r="H90" s="146"/>
      <c r="I90" s="146"/>
      <c r="J90" s="146"/>
      <c r="K90" s="146"/>
      <c r="L90" s="146"/>
      <c r="M90" s="146"/>
      <c r="N90" s="146"/>
      <c r="O90" s="47"/>
    </row>
    <row r="91" spans="1:15" s="9" customFormat="1" ht="15" customHeight="1">
      <c r="B91" s="35"/>
      <c r="C91" s="29"/>
      <c r="D91" s="37"/>
      <c r="E91" s="30"/>
      <c r="F91" s="45"/>
      <c r="G91" s="45"/>
      <c r="H91" s="45"/>
      <c r="I91" s="46"/>
      <c r="J91" s="46"/>
      <c r="K91" s="46"/>
      <c r="L91" s="46"/>
      <c r="M91" s="46"/>
      <c r="N91" s="46"/>
      <c r="O91" s="47"/>
    </row>
    <row r="92" spans="1:15" s="2" customFormat="1" ht="15" customHeight="1">
      <c r="A92" s="2" t="s">
        <v>80</v>
      </c>
      <c r="B92" s="103" t="s">
        <v>78</v>
      </c>
      <c r="C92" s="104"/>
      <c r="D92" s="251"/>
      <c r="E92" s="251"/>
      <c r="F92" s="106"/>
      <c r="G92" s="106"/>
      <c r="H92" s="106"/>
      <c r="I92" s="107"/>
      <c r="J92" s="108"/>
      <c r="K92" s="108"/>
      <c r="L92" s="108"/>
      <c r="M92" s="108"/>
      <c r="N92" s="171" t="s">
        <v>80</v>
      </c>
      <c r="O92" s="47"/>
    </row>
    <row r="93" spans="1:15" s="2" customFormat="1" ht="15" customHeight="1" outlineLevel="1">
      <c r="B93" s="3"/>
      <c r="C93" s="4"/>
      <c r="D93" s="5"/>
      <c r="E93" s="5"/>
      <c r="F93" s="6"/>
      <c r="G93" s="6"/>
      <c r="H93" s="6"/>
      <c r="I93" s="6"/>
      <c r="J93" s="6"/>
      <c r="K93" s="6"/>
      <c r="L93" s="6"/>
      <c r="M93" s="6"/>
      <c r="O93" s="48"/>
    </row>
    <row r="94" spans="1:15" s="2" customFormat="1" ht="15" customHeight="1" outlineLevel="1" thickBot="1">
      <c r="B94" s="7" t="s">
        <v>19</v>
      </c>
      <c r="C94" s="4"/>
      <c r="D94" s="8"/>
      <c r="E94" s="8"/>
      <c r="F94" s="272">
        <f>G94-1</f>
        <v>2020</v>
      </c>
      <c r="G94" s="272">
        <f>H94-1</f>
        <v>2021</v>
      </c>
      <c r="H94" s="272">
        <f>I94-1</f>
        <v>2022</v>
      </c>
      <c r="I94" s="273">
        <v>2023</v>
      </c>
      <c r="J94" s="228">
        <f>I94+1</f>
        <v>2024</v>
      </c>
      <c r="K94" s="228">
        <f>J94+1</f>
        <v>2025</v>
      </c>
      <c r="L94" s="228">
        <f>K94+1</f>
        <v>2026</v>
      </c>
      <c r="M94" s="228">
        <f>L94+1</f>
        <v>2027</v>
      </c>
      <c r="N94" s="97" t="s">
        <v>63</v>
      </c>
    </row>
    <row r="95" spans="1:15" ht="15" customHeight="1" outlineLevel="1">
      <c r="A95" s="9"/>
      <c r="B95" s="378" t="s">
        <v>102</v>
      </c>
      <c r="C95" s="4"/>
      <c r="D95" s="8"/>
      <c r="E95" s="8"/>
      <c r="F95" s="85"/>
      <c r="G95" s="85"/>
      <c r="H95" s="85"/>
      <c r="I95" s="153"/>
      <c r="J95" s="153"/>
      <c r="K95" s="153"/>
      <c r="L95" s="153"/>
      <c r="M95" s="153"/>
      <c r="N95" s="153"/>
    </row>
    <row r="96" spans="1:15" s="2" customFormat="1" ht="15" customHeight="1" outlineLevel="1">
      <c r="B96" s="7"/>
      <c r="C96" s="4"/>
      <c r="D96" s="8"/>
      <c r="E96" s="8"/>
      <c r="F96" s="8"/>
      <c r="G96" s="8"/>
      <c r="H96" s="8"/>
      <c r="O96" s="48"/>
    </row>
    <row r="97" spans="2:15" s="9" customFormat="1" ht="15" customHeight="1" outlineLevel="1">
      <c r="B97" s="232" t="s">
        <v>1</v>
      </c>
      <c r="C97" s="17"/>
      <c r="D97" s="18"/>
      <c r="E97" s="11"/>
      <c r="F97" s="371">
        <v>365</v>
      </c>
      <c r="G97" s="372">
        <v>365</v>
      </c>
      <c r="H97" s="372">
        <v>365</v>
      </c>
      <c r="I97" s="372">
        <v>365</v>
      </c>
      <c r="J97" s="372">
        <v>365</v>
      </c>
      <c r="K97" s="372">
        <v>365</v>
      </c>
      <c r="L97" s="372">
        <v>365</v>
      </c>
      <c r="M97" s="372">
        <v>365</v>
      </c>
      <c r="N97" s="373">
        <v>365</v>
      </c>
      <c r="O97" s="47"/>
    </row>
    <row r="98" spans="2:15" s="9" customFormat="1" ht="15" customHeight="1" outlineLevel="1">
      <c r="B98" s="232" t="s">
        <v>0</v>
      </c>
      <c r="C98" s="11"/>
      <c r="D98" s="11"/>
      <c r="E98" s="11"/>
      <c r="F98" s="374">
        <v>51585</v>
      </c>
      <c r="G98" s="127">
        <v>53494</v>
      </c>
      <c r="H98" s="127">
        <v>55749</v>
      </c>
      <c r="I98" s="127">
        <v>58570.403162700008</v>
      </c>
      <c r="J98" s="127">
        <v>59747.668266270273</v>
      </c>
      <c r="K98" s="127">
        <v>60948.59639842232</v>
      </c>
      <c r="L98" s="127">
        <v>61865.872774218558</v>
      </c>
      <c r="M98" s="127">
        <v>62486.078148780085</v>
      </c>
      <c r="N98" s="375">
        <v>63112.501082221599</v>
      </c>
      <c r="O98" s="47"/>
    </row>
    <row r="99" spans="2:15" s="9" customFormat="1" ht="15" customHeight="1" outlineLevel="1">
      <c r="B99" s="232" t="s">
        <v>69</v>
      </c>
      <c r="C99" s="11"/>
      <c r="D99" s="11"/>
      <c r="E99" s="11"/>
      <c r="F99" s="376">
        <v>27697</v>
      </c>
      <c r="G99" s="128">
        <v>28429</v>
      </c>
      <c r="H99" s="128">
        <v>29200</v>
      </c>
      <c r="I99" s="128">
        <v>30355.825199849998</v>
      </c>
      <c r="J99" s="128">
        <v>31336.819808903958</v>
      </c>
      <c r="K99" s="128">
        <v>32350.078146307787</v>
      </c>
      <c r="L99" s="128">
        <v>33196.696306256621</v>
      </c>
      <c r="M99" s="128">
        <v>34065.620639668698</v>
      </c>
      <c r="N99" s="377">
        <v>34616.394939053927</v>
      </c>
      <c r="O99" s="47"/>
    </row>
    <row r="100" spans="2:15" s="9" customFormat="1" ht="15" customHeight="1" outlineLevel="1">
      <c r="B100" s="113"/>
      <c r="C100" s="14"/>
      <c r="D100" s="11"/>
      <c r="E100" s="11"/>
      <c r="F100" s="11"/>
      <c r="G100" s="11"/>
      <c r="H100" s="11"/>
      <c r="I100" s="15"/>
      <c r="J100" s="15"/>
      <c r="K100" s="15"/>
      <c r="L100" s="15"/>
      <c r="M100" s="15"/>
      <c r="N100" s="15"/>
      <c r="O100" s="48"/>
    </row>
    <row r="101" spans="2:15" s="9" customFormat="1" ht="15" customHeight="1" outlineLevel="1">
      <c r="B101" s="113"/>
      <c r="C101" s="14"/>
      <c r="D101" s="11"/>
      <c r="E101" s="11"/>
      <c r="F101" s="11"/>
      <c r="G101" s="11"/>
      <c r="H101" s="11"/>
      <c r="I101" s="15"/>
      <c r="J101" s="15"/>
      <c r="K101" s="15"/>
      <c r="L101" s="15"/>
      <c r="M101" s="15"/>
      <c r="N101" s="15"/>
      <c r="O101" s="48"/>
    </row>
    <row r="102" spans="2:15" s="9" customFormat="1" ht="15" customHeight="1" outlineLevel="1">
      <c r="B102" s="233" t="s">
        <v>83</v>
      </c>
      <c r="C102" s="14"/>
      <c r="D102" s="11"/>
      <c r="E102" s="11"/>
      <c r="F102" s="11"/>
      <c r="G102" s="11"/>
      <c r="H102" s="11"/>
      <c r="I102" s="15"/>
      <c r="J102" s="15"/>
      <c r="K102" s="15"/>
      <c r="L102" s="15"/>
      <c r="M102" s="211"/>
      <c r="N102" s="211"/>
      <c r="O102" s="48"/>
    </row>
    <row r="103" spans="2:15" s="9" customFormat="1" ht="15" customHeight="1" outlineLevel="1">
      <c r="B103" s="238" t="s">
        <v>2</v>
      </c>
      <c r="C103" s="11"/>
      <c r="D103" s="18" t="s">
        <v>3</v>
      </c>
      <c r="E103" s="18"/>
      <c r="F103" s="132">
        <f>(F109/F98)*F$97</f>
        <v>40.388097315110983</v>
      </c>
      <c r="G103" s="132">
        <f>(G109/G98)*G$97</f>
        <v>43.211294724642016</v>
      </c>
      <c r="H103" s="132">
        <f t="shared" ref="H103:H104" si="30">(H109/H98)*H$97</f>
        <v>43.368670290050048</v>
      </c>
      <c r="I103" s="154">
        <v>45</v>
      </c>
      <c r="J103" s="154">
        <v>45</v>
      </c>
      <c r="K103" s="154">
        <v>45</v>
      </c>
      <c r="L103" s="154">
        <v>45</v>
      </c>
      <c r="M103" s="248">
        <v>45</v>
      </c>
      <c r="N103" s="278">
        <v>45</v>
      </c>
    </row>
    <row r="104" spans="2:15" s="9" customFormat="1" ht="15" customHeight="1" outlineLevel="1">
      <c r="B104" s="238" t="s">
        <v>4</v>
      </c>
      <c r="C104" s="11"/>
      <c r="D104" s="18" t="s">
        <v>3</v>
      </c>
      <c r="E104" s="18"/>
      <c r="F104" s="132">
        <f>(F110/F99)*F$97</f>
        <v>23.615554031122503</v>
      </c>
      <c r="G104" s="132">
        <f>(G110/G99)*G$97</f>
        <v>24.689401667311547</v>
      </c>
      <c r="H104" s="132">
        <f t="shared" si="30"/>
        <v>25.112500000000001</v>
      </c>
      <c r="I104" s="154">
        <v>25</v>
      </c>
      <c r="J104" s="154">
        <v>25</v>
      </c>
      <c r="K104" s="154">
        <v>25</v>
      </c>
      <c r="L104" s="154">
        <v>25</v>
      </c>
      <c r="M104" s="279">
        <v>25</v>
      </c>
      <c r="N104" s="280">
        <v>25</v>
      </c>
      <c r="O104" s="87"/>
    </row>
    <row r="105" spans="2:15" s="9" customFormat="1" ht="15" customHeight="1" outlineLevel="1">
      <c r="B105" s="238" t="s">
        <v>5</v>
      </c>
      <c r="C105" s="11"/>
      <c r="D105" s="18" t="s">
        <v>3</v>
      </c>
      <c r="E105" s="18"/>
      <c r="F105" s="132">
        <f>(F111/F99)*F$97</f>
        <v>39.851247427519226</v>
      </c>
      <c r="G105" s="132">
        <f>(G111/G99)*G$97</f>
        <v>41.149002778852577</v>
      </c>
      <c r="H105" s="132">
        <f>(H111/H99)*H$97</f>
        <v>41.487499999999997</v>
      </c>
      <c r="I105" s="154">
        <v>40</v>
      </c>
      <c r="J105" s="154">
        <v>40</v>
      </c>
      <c r="K105" s="154">
        <v>40</v>
      </c>
      <c r="L105" s="154">
        <v>40</v>
      </c>
      <c r="M105" s="249">
        <v>40</v>
      </c>
      <c r="N105" s="275">
        <v>40</v>
      </c>
      <c r="O105" s="87"/>
    </row>
    <row r="106" spans="2:15" s="9" customFormat="1" ht="15" customHeight="1" outlineLevel="1">
      <c r="B106" s="113"/>
      <c r="C106" s="11"/>
      <c r="D106" s="21"/>
      <c r="E106" s="21"/>
      <c r="F106" s="41"/>
      <c r="G106" s="20"/>
      <c r="H106" s="20"/>
      <c r="I106" s="22"/>
      <c r="J106" s="22"/>
      <c r="K106" s="22"/>
      <c r="L106" s="22"/>
      <c r="M106" s="212"/>
      <c r="N106" s="212"/>
    </row>
    <row r="107" spans="2:15" s="9" customFormat="1" ht="15" customHeight="1" outlineLevel="1">
      <c r="B107" s="113"/>
      <c r="C107" s="11"/>
      <c r="D107" s="21"/>
      <c r="E107" s="21"/>
      <c r="F107" s="41"/>
      <c r="G107" s="20"/>
      <c r="H107" s="20"/>
      <c r="I107" s="22"/>
      <c r="J107" s="22"/>
      <c r="K107" s="22"/>
      <c r="L107" s="22"/>
      <c r="M107" s="22"/>
      <c r="N107" s="22"/>
    </row>
    <row r="108" spans="2:15" s="9" customFormat="1" ht="15" customHeight="1" outlineLevel="1">
      <c r="B108" s="233" t="s">
        <v>68</v>
      </c>
      <c r="C108" s="14"/>
      <c r="D108" s="11"/>
      <c r="E108" s="11"/>
      <c r="F108" s="11"/>
      <c r="G108" s="11"/>
      <c r="H108" s="11"/>
      <c r="I108" s="15"/>
      <c r="J108" s="15"/>
      <c r="K108" s="15"/>
      <c r="L108" s="15"/>
      <c r="M108" s="15"/>
      <c r="N108" s="15"/>
      <c r="O108" s="48"/>
    </row>
    <row r="109" spans="2:15" s="9" customFormat="1" ht="15" customHeight="1" outlineLevel="1">
      <c r="B109" s="238" t="s">
        <v>2</v>
      </c>
      <c r="C109" s="11"/>
      <c r="D109" s="11"/>
      <c r="E109" s="11"/>
      <c r="F109" s="195">
        <v>5708</v>
      </c>
      <c r="G109" s="195">
        <v>6333</v>
      </c>
      <c r="H109" s="195">
        <v>6624</v>
      </c>
      <c r="I109" s="132">
        <f>(I103/I$97)*I98</f>
        <v>7221.0086091000003</v>
      </c>
      <c r="J109" s="132">
        <f>(J103/J$97)*J98</f>
        <v>7366.1508821429097</v>
      </c>
      <c r="K109" s="132">
        <f>(K103/K$97)*K98</f>
        <v>7514.2105148739838</v>
      </c>
      <c r="L109" s="132">
        <f t="shared" ref="J109:L110" si="31">(L103/L$97)*L98</f>
        <v>7627.2993831228359</v>
      </c>
      <c r="M109" s="172">
        <f>(M103/M$97)*M98</f>
        <v>7703.7630594386401</v>
      </c>
      <c r="N109" s="187">
        <f>(N103/N$97)*N98</f>
        <v>7780.9932841095115</v>
      </c>
      <c r="O109" s="48"/>
    </row>
    <row r="110" spans="2:15" s="9" customFormat="1" ht="15" customHeight="1" outlineLevel="1">
      <c r="B110" s="238" t="s">
        <v>4</v>
      </c>
      <c r="C110" s="11"/>
      <c r="D110" s="11"/>
      <c r="E110" s="11"/>
      <c r="F110" s="195">
        <v>1792</v>
      </c>
      <c r="G110" s="195">
        <v>1923</v>
      </c>
      <c r="H110" s="195">
        <v>2009</v>
      </c>
      <c r="I110" s="132">
        <f>(I104/I$97)*I99</f>
        <v>2079.1661095787667</v>
      </c>
      <c r="J110" s="132">
        <f t="shared" si="31"/>
        <v>2146.3575211578054</v>
      </c>
      <c r="K110" s="132">
        <f t="shared" si="31"/>
        <v>2215.7587771443687</v>
      </c>
      <c r="L110" s="132">
        <f t="shared" si="31"/>
        <v>2273.7463223463437</v>
      </c>
      <c r="M110" s="196">
        <f>(M104/M$97)*M99</f>
        <v>2333.2616876485408</v>
      </c>
      <c r="N110" s="188">
        <f>(N104/N$97)*N99</f>
        <v>2370.985954729721</v>
      </c>
      <c r="O110" s="48"/>
    </row>
    <row r="111" spans="2:15" s="9" customFormat="1" ht="15" customHeight="1" outlineLevel="1">
      <c r="B111" s="238" t="s">
        <v>5</v>
      </c>
      <c r="C111" s="11"/>
      <c r="D111" s="11"/>
      <c r="E111" s="11"/>
      <c r="F111" s="195">
        <v>3024</v>
      </c>
      <c r="G111" s="195">
        <v>3205</v>
      </c>
      <c r="H111" s="195">
        <v>3319</v>
      </c>
      <c r="I111" s="132">
        <f>(I105/I$97)*I99</f>
        <v>3326.665775326027</v>
      </c>
      <c r="J111" s="132">
        <f t="shared" ref="J111:L111" si="32">(J105/J$97)*J99</f>
        <v>3434.1720338524883</v>
      </c>
      <c r="K111" s="132">
        <f t="shared" si="32"/>
        <v>3545.2140434309904</v>
      </c>
      <c r="L111" s="132">
        <f t="shared" si="32"/>
        <v>3637.9941157541502</v>
      </c>
      <c r="M111" s="197">
        <f>(M105/M$97)*M99</f>
        <v>3733.2187002376654</v>
      </c>
      <c r="N111" s="189">
        <f>(N105/N$97)*N99</f>
        <v>3793.5775275675533</v>
      </c>
      <c r="O111" s="48"/>
    </row>
    <row r="112" spans="2:15" s="9" customFormat="1" ht="15" customHeight="1" outlineLevel="1">
      <c r="B112" s="113"/>
      <c r="C112" s="14"/>
      <c r="D112" s="11"/>
      <c r="E112" s="11"/>
      <c r="F112" s="11"/>
      <c r="G112" s="11"/>
      <c r="H112" s="11"/>
      <c r="I112" s="15"/>
      <c r="J112" s="15"/>
      <c r="K112" s="15"/>
      <c r="L112" s="15"/>
      <c r="M112" s="15"/>
      <c r="N112" s="15"/>
      <c r="O112" s="48"/>
    </row>
    <row r="113" spans="1:15" s="9" customFormat="1" ht="15" customHeight="1" outlineLevel="1">
      <c r="B113" s="113"/>
      <c r="C113" s="14"/>
      <c r="D113" s="11"/>
      <c r="E113" s="11"/>
      <c r="F113" s="11"/>
      <c r="G113" s="11"/>
      <c r="H113" s="11"/>
      <c r="I113" s="15"/>
      <c r="J113" s="15"/>
      <c r="K113" s="15"/>
      <c r="L113" s="15"/>
      <c r="M113" s="15"/>
      <c r="N113" s="15"/>
      <c r="O113" s="48"/>
    </row>
    <row r="114" spans="1:15" s="9" customFormat="1" ht="15" customHeight="1" outlineLevel="1">
      <c r="B114" s="233" t="s">
        <v>77</v>
      </c>
      <c r="C114" s="14"/>
      <c r="D114" s="11"/>
      <c r="E114" s="11"/>
      <c r="F114" s="11"/>
      <c r="G114" s="11"/>
      <c r="H114" s="11"/>
      <c r="I114" s="15"/>
      <c r="J114" s="15"/>
      <c r="K114" s="15"/>
      <c r="L114" s="15"/>
      <c r="M114" s="15"/>
      <c r="N114" s="15"/>
      <c r="O114" s="48"/>
    </row>
    <row r="115" spans="1:15" s="9" customFormat="1" ht="15" customHeight="1" outlineLevel="1">
      <c r="B115" s="238" t="s">
        <v>74</v>
      </c>
      <c r="C115" s="11"/>
      <c r="D115" s="11"/>
      <c r="E115" s="11"/>
      <c r="F115" s="132">
        <f>SUM(F109:F110)</f>
        <v>7500</v>
      </c>
      <c r="G115" s="132">
        <f t="shared" ref="G115:N115" si="33">SUM(G109:G110)</f>
        <v>8256</v>
      </c>
      <c r="H115" s="132">
        <f t="shared" si="33"/>
        <v>8633</v>
      </c>
      <c r="I115" s="132">
        <f>SUM(I109:I110)</f>
        <v>9300.174718678767</v>
      </c>
      <c r="J115" s="132">
        <f t="shared" si="33"/>
        <v>9512.5084033007151</v>
      </c>
      <c r="K115" s="132">
        <f>SUM(K109:K110)</f>
        <v>9729.9692920183516</v>
      </c>
      <c r="L115" s="132">
        <f t="shared" si="33"/>
        <v>9901.0457054691797</v>
      </c>
      <c r="M115" s="172">
        <f>SUM(M109:M110)</f>
        <v>10037.02474708718</v>
      </c>
      <c r="N115" s="187">
        <f t="shared" si="33"/>
        <v>10151.979238839232</v>
      </c>
      <c r="O115" s="48"/>
    </row>
    <row r="116" spans="1:15" s="9" customFormat="1" ht="15" customHeight="1" outlineLevel="1">
      <c r="B116" s="238" t="s">
        <v>75</v>
      </c>
      <c r="C116" s="11"/>
      <c r="D116" s="11"/>
      <c r="E116" s="11"/>
      <c r="F116" s="109">
        <f>SUM(F111)</f>
        <v>3024</v>
      </c>
      <c r="G116" s="109">
        <f t="shared" ref="G116:N116" si="34">SUM(G111)</f>
        <v>3205</v>
      </c>
      <c r="H116" s="109">
        <f t="shared" si="34"/>
        <v>3319</v>
      </c>
      <c r="I116" s="109">
        <f>SUM(I111)</f>
        <v>3326.665775326027</v>
      </c>
      <c r="J116" s="109">
        <f t="shared" si="34"/>
        <v>3434.1720338524883</v>
      </c>
      <c r="K116" s="109">
        <f>SUM(K111)</f>
        <v>3545.2140434309904</v>
      </c>
      <c r="L116" s="109">
        <f t="shared" si="34"/>
        <v>3637.9941157541502</v>
      </c>
      <c r="M116" s="197">
        <f>SUM(M111)</f>
        <v>3733.2187002376654</v>
      </c>
      <c r="N116" s="189">
        <f t="shared" si="34"/>
        <v>3793.5775275675533</v>
      </c>
      <c r="O116" s="48"/>
    </row>
    <row r="117" spans="1:15" s="9" customFormat="1" ht="15" customHeight="1" outlineLevel="1">
      <c r="B117" s="238" t="s">
        <v>6</v>
      </c>
      <c r="C117" s="11"/>
      <c r="D117" s="11"/>
      <c r="E117" s="11"/>
      <c r="F117" s="132">
        <f>F115-F116</f>
        <v>4476</v>
      </c>
      <c r="G117" s="132">
        <f t="shared" ref="G117:N117" si="35">G115-G116</f>
        <v>5051</v>
      </c>
      <c r="H117" s="132">
        <f t="shared" si="35"/>
        <v>5314</v>
      </c>
      <c r="I117" s="132">
        <f>I115-I116</f>
        <v>5973.5089433527401</v>
      </c>
      <c r="J117" s="132">
        <f t="shared" si="35"/>
        <v>6078.3363694482268</v>
      </c>
      <c r="K117" s="132">
        <f>K115-K116</f>
        <v>6184.7552485873612</v>
      </c>
      <c r="L117" s="132">
        <f t="shared" si="35"/>
        <v>6263.051589715029</v>
      </c>
      <c r="M117" s="197">
        <f>M115-M116</f>
        <v>6303.806046849515</v>
      </c>
      <c r="N117" s="189">
        <f t="shared" si="35"/>
        <v>6358.4017112716792</v>
      </c>
      <c r="O117" s="48"/>
    </row>
    <row r="118" spans="1:15" s="9" customFormat="1" ht="15" customHeight="1" outlineLevel="1">
      <c r="B118" s="231"/>
      <c r="C118" s="14"/>
      <c r="D118" s="11"/>
      <c r="E118" s="11"/>
      <c r="F118" s="11"/>
      <c r="G118" s="11"/>
      <c r="H118" s="11"/>
      <c r="I118" s="15"/>
      <c r="J118" s="15"/>
      <c r="K118" s="15"/>
      <c r="L118" s="15"/>
      <c r="M118" s="15"/>
      <c r="N118" s="15"/>
      <c r="O118" s="48"/>
    </row>
    <row r="119" spans="1:15" s="9" customFormat="1" ht="15" customHeight="1" outlineLevel="1">
      <c r="B119" s="231"/>
      <c r="C119" s="14"/>
      <c r="D119" s="11"/>
      <c r="E119" s="11"/>
      <c r="F119" s="11"/>
      <c r="G119" s="11"/>
      <c r="H119" s="11"/>
      <c r="I119" s="15"/>
      <c r="J119" s="15"/>
      <c r="K119" s="15"/>
      <c r="L119" s="15"/>
      <c r="M119" s="15"/>
      <c r="N119" s="15"/>
      <c r="O119" s="48"/>
    </row>
    <row r="120" spans="1:15" s="9" customFormat="1" ht="15" customHeight="1" outlineLevel="1" thickBot="1">
      <c r="B120" s="239" t="s">
        <v>76</v>
      </c>
      <c r="C120" s="14"/>
      <c r="D120" s="14"/>
      <c r="E120" s="14"/>
      <c r="F120" s="14"/>
      <c r="G120" s="269">
        <f>F117-G117</f>
        <v>-575</v>
      </c>
      <c r="H120" s="269">
        <f t="shared" ref="H120:N120" si="36">G117-H117</f>
        <v>-263</v>
      </c>
      <c r="I120" s="269">
        <f t="shared" si="36"/>
        <v>-659.50894335274006</v>
      </c>
      <c r="J120" s="269">
        <f t="shared" si="36"/>
        <v>-104.82742609548677</v>
      </c>
      <c r="K120" s="269">
        <f>J117-K117</f>
        <v>-106.41887913913433</v>
      </c>
      <c r="L120" s="269">
        <f t="shared" si="36"/>
        <v>-78.296341127667802</v>
      </c>
      <c r="M120" s="269">
        <f>L117-M117</f>
        <v>-40.754457134486074</v>
      </c>
      <c r="N120" s="270">
        <f t="shared" si="36"/>
        <v>-54.595664422164191</v>
      </c>
      <c r="O120" s="86"/>
    </row>
    <row r="121" spans="1:15" s="9" customFormat="1" ht="15" customHeight="1" outlineLevel="1">
      <c r="C121" s="14"/>
      <c r="D121" s="14"/>
      <c r="E121" s="14"/>
      <c r="F121" s="14"/>
      <c r="G121" s="218"/>
      <c r="H121" s="218"/>
      <c r="I121" s="218"/>
      <c r="J121" s="218"/>
      <c r="K121" s="218"/>
      <c r="L121" s="218"/>
      <c r="M121" s="218"/>
      <c r="N121" s="218"/>
      <c r="O121" s="86"/>
    </row>
    <row r="122" spans="1:15" s="9" customFormat="1" ht="15" customHeight="1" outlineLevel="1">
      <c r="C122" s="14"/>
      <c r="D122" s="14"/>
      <c r="E122" s="14"/>
      <c r="F122" s="14"/>
      <c r="G122" s="218"/>
      <c r="H122" s="218"/>
      <c r="I122" s="218"/>
      <c r="J122" s="218"/>
      <c r="K122" s="218"/>
      <c r="L122" s="218"/>
      <c r="M122" s="218"/>
      <c r="N122" s="218"/>
      <c r="O122" s="86"/>
    </row>
    <row r="123" spans="1:15" s="2" customFormat="1" ht="15" customHeight="1" outlineLevel="1">
      <c r="C123" s="4"/>
      <c r="D123" s="8"/>
      <c r="E123" s="8"/>
      <c r="F123" s="30"/>
      <c r="G123" s="30"/>
      <c r="H123" s="30"/>
      <c r="I123" s="44"/>
      <c r="J123" s="44"/>
      <c r="K123" s="44"/>
      <c r="N123" s="219" t="s">
        <v>95</v>
      </c>
      <c r="O123" s="47"/>
    </row>
    <row r="124" spans="1:15" s="9" customFormat="1" ht="15" customHeight="1" outlineLevel="1">
      <c r="B124" s="11"/>
      <c r="C124" s="11"/>
      <c r="D124" s="15"/>
      <c r="E124" s="15"/>
      <c r="F124" s="15"/>
      <c r="G124" s="15"/>
      <c r="H124" s="15"/>
      <c r="I124" s="15"/>
      <c r="J124" s="15"/>
      <c r="K124" s="15"/>
      <c r="L124" s="15"/>
      <c r="M124" s="11"/>
      <c r="O124" s="48"/>
    </row>
    <row r="125" spans="1:15" s="9" customFormat="1" ht="15" customHeight="1" outlineLevel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8"/>
    </row>
    <row r="126" spans="1:15" s="9" customFormat="1" ht="15" customHeight="1">
      <c r="B126" s="35"/>
      <c r="C126" s="36"/>
      <c r="D126" s="37"/>
      <c r="E126" s="38"/>
      <c r="F126" s="25"/>
      <c r="G126" s="25"/>
      <c r="H126" s="25"/>
      <c r="I126" s="25"/>
      <c r="J126" s="25"/>
      <c r="K126" s="25"/>
      <c r="L126" s="25"/>
      <c r="M126" s="25"/>
      <c r="N126" s="25"/>
      <c r="O126" s="47"/>
    </row>
    <row r="127" spans="1:15" s="2" customFormat="1" ht="15" customHeight="1">
      <c r="A127" s="2" t="s">
        <v>80</v>
      </c>
      <c r="B127" s="170" t="s">
        <v>79</v>
      </c>
      <c r="C127" s="104"/>
      <c r="D127" s="251"/>
      <c r="E127" s="251"/>
      <c r="F127" s="106"/>
      <c r="G127" s="106"/>
      <c r="H127" s="106"/>
      <c r="I127" s="107"/>
      <c r="J127" s="108"/>
      <c r="K127" s="108"/>
      <c r="L127" s="108"/>
      <c r="M127" s="108"/>
      <c r="N127" s="171" t="s">
        <v>80</v>
      </c>
    </row>
    <row r="128" spans="1:15" s="2" customFormat="1" ht="15" customHeight="1" outlineLevel="1">
      <c r="B128" s="3"/>
      <c r="C128" s="4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5"/>
    </row>
    <row r="129" spans="1:15" s="2" customFormat="1" ht="15" customHeight="1" outlineLevel="1" thickBot="1">
      <c r="B129" s="7" t="s">
        <v>19</v>
      </c>
      <c r="C129" s="4"/>
      <c r="D129" s="8"/>
      <c r="E129" s="8"/>
      <c r="F129" s="272">
        <f>G129-1</f>
        <v>2020</v>
      </c>
      <c r="G129" s="272">
        <f>H129-1</f>
        <v>2021</v>
      </c>
      <c r="H129" s="272">
        <f>I129-1</f>
        <v>2022</v>
      </c>
      <c r="I129" s="273">
        <v>2023</v>
      </c>
      <c r="J129" s="228">
        <f>I129+1</f>
        <v>2024</v>
      </c>
      <c r="K129" s="228">
        <f>J129+1</f>
        <v>2025</v>
      </c>
      <c r="L129" s="228">
        <f>K129+1</f>
        <v>2026</v>
      </c>
      <c r="M129" s="228">
        <f>L129+1</f>
        <v>2027</v>
      </c>
      <c r="N129" s="153"/>
    </row>
    <row r="130" spans="1:15" ht="15" customHeight="1" outlineLevel="1">
      <c r="A130" s="9"/>
      <c r="B130" s="7" t="s">
        <v>102</v>
      </c>
      <c r="C130" s="4"/>
      <c r="D130" s="8"/>
      <c r="E130" s="8"/>
      <c r="F130" s="85"/>
      <c r="G130" s="85"/>
      <c r="H130" s="85"/>
      <c r="I130" s="153"/>
      <c r="J130" s="153"/>
      <c r="K130" s="153"/>
      <c r="L130" s="153"/>
      <c r="M130" s="153"/>
      <c r="N130" s="153"/>
    </row>
    <row r="131" spans="1:15" s="2" customFormat="1" ht="15" customHeight="1" outlineLevel="1">
      <c r="B131" s="7"/>
      <c r="C131" s="4"/>
      <c r="D131" s="8"/>
      <c r="E131" s="8"/>
      <c r="F131" s="30"/>
      <c r="G131" s="30"/>
      <c r="H131" s="140"/>
      <c r="I131" s="140"/>
      <c r="J131" s="140"/>
      <c r="K131" s="140"/>
      <c r="L131" s="140"/>
      <c r="M131" s="140"/>
    </row>
    <row r="132" spans="1:15" s="2" customFormat="1" ht="15" customHeight="1" outlineLevel="1">
      <c r="B132" s="225" t="s">
        <v>85</v>
      </c>
      <c r="C132" s="29"/>
      <c r="D132" s="30"/>
      <c r="E132" s="30"/>
      <c r="F132" s="214">
        <v>4982</v>
      </c>
      <c r="G132" s="194">
        <v>5199</v>
      </c>
      <c r="H132" s="194">
        <v>4400</v>
      </c>
      <c r="I132" s="194">
        <v>4550</v>
      </c>
      <c r="J132" s="194">
        <v>4700</v>
      </c>
      <c r="K132" s="194">
        <v>4850</v>
      </c>
      <c r="L132" s="194">
        <v>5000</v>
      </c>
      <c r="M132" s="281">
        <v>5125</v>
      </c>
      <c r="N132" s="55"/>
    </row>
    <row r="133" spans="1:15" s="2" customFormat="1" ht="15" customHeight="1" outlineLevel="1">
      <c r="B133" s="199"/>
      <c r="C133" s="29"/>
      <c r="D133" s="30"/>
      <c r="E133" s="30"/>
      <c r="F133" s="45"/>
      <c r="G133" s="45"/>
      <c r="H133" s="120"/>
      <c r="I133" s="111"/>
      <c r="J133" s="111"/>
      <c r="K133" s="111"/>
      <c r="L133" s="111"/>
      <c r="M133" s="111"/>
    </row>
    <row r="134" spans="1:15" s="2" customFormat="1" ht="15" customHeight="1" outlineLevel="1">
      <c r="B134" s="7"/>
      <c r="C134" s="4"/>
      <c r="D134" s="8"/>
      <c r="E134" s="8"/>
      <c r="F134" s="30"/>
      <c r="G134" s="30"/>
      <c r="H134" s="30"/>
      <c r="I134" s="44"/>
      <c r="J134" s="44"/>
      <c r="K134" s="44"/>
      <c r="L134" s="44"/>
      <c r="M134" s="44"/>
    </row>
    <row r="135" spans="1:15" s="2" customFormat="1" ht="15" customHeight="1" outlineLevel="1">
      <c r="B135" s="169" t="s">
        <v>86</v>
      </c>
      <c r="D135" s="62" t="s">
        <v>56</v>
      </c>
      <c r="E135" s="8"/>
      <c r="F135" s="30"/>
      <c r="G135" s="30"/>
      <c r="H135" s="30"/>
      <c r="I135" s="60" t="s">
        <v>59</v>
      </c>
      <c r="J135" s="61"/>
      <c r="K135" s="61"/>
      <c r="L135" s="61"/>
      <c r="M135" s="206"/>
      <c r="N135" s="55"/>
    </row>
    <row r="136" spans="1:15" s="2" customFormat="1" ht="15" customHeight="1" outlineLevel="1">
      <c r="B136" s="53" t="s">
        <v>60</v>
      </c>
      <c r="C136" s="207"/>
      <c r="D136" s="282">
        <v>16</v>
      </c>
      <c r="E136" s="8"/>
      <c r="F136" s="63"/>
      <c r="G136" s="30"/>
      <c r="H136" s="30"/>
      <c r="I136" s="283">
        <v>1</v>
      </c>
      <c r="J136" s="284">
        <f>I136+1</f>
        <v>2</v>
      </c>
      <c r="K136" s="284">
        <f>J136+1</f>
        <v>3</v>
      </c>
      <c r="L136" s="284">
        <f>K136+1</f>
        <v>4</v>
      </c>
      <c r="M136" s="284">
        <f>L136+1</f>
        <v>5</v>
      </c>
    </row>
    <row r="137" spans="1:15" s="2" customFormat="1" ht="15" customHeight="1" outlineLevel="1">
      <c r="B137" s="68" t="str">
        <f>CONCATENATE("PP&amp;E at End of ",H129)</f>
        <v>PP&amp;E at End of 2022</v>
      </c>
      <c r="C137" s="208"/>
      <c r="D137" s="285">
        <v>65014</v>
      </c>
      <c r="E137" s="8"/>
      <c r="F137" s="63"/>
      <c r="G137" s="30"/>
      <c r="H137" s="139"/>
      <c r="I137" s="175">
        <f>MIN($D136-SUM($H137:H137),1)</f>
        <v>1</v>
      </c>
      <c r="J137" s="175">
        <f>MIN($D136-SUM($H137:I137),1)</f>
        <v>1</v>
      </c>
      <c r="K137" s="175">
        <f>MIN($D136-SUM($H137:J137),1)</f>
        <v>1</v>
      </c>
      <c r="L137" s="175">
        <f>MIN($D136-SUM($H137:K137),1)</f>
        <v>1</v>
      </c>
      <c r="M137" s="176">
        <f>MIN($D136-SUM($H137:L137),1)</f>
        <v>1</v>
      </c>
      <c r="O137" s="252"/>
    </row>
    <row r="138" spans="1:15" s="2" customFormat="1" ht="15" customHeight="1" outlineLevel="1">
      <c r="B138" s="52"/>
      <c r="C138" s="64"/>
      <c r="D138" s="91"/>
      <c r="E138" s="8"/>
      <c r="F138" s="30"/>
      <c r="G138" s="30"/>
      <c r="H138" s="30"/>
      <c r="I138" s="65"/>
      <c r="J138" s="65"/>
      <c r="K138" s="65"/>
      <c r="L138" s="65"/>
      <c r="M138" s="65"/>
    </row>
    <row r="139" spans="1:15" s="2" customFormat="1" ht="15" customHeight="1" outlineLevel="1">
      <c r="B139" s="31"/>
      <c r="C139" s="32"/>
      <c r="D139" s="33"/>
      <c r="E139" s="33"/>
      <c r="F139" s="33"/>
      <c r="G139" s="33"/>
      <c r="H139" s="33"/>
      <c r="I139" s="51"/>
      <c r="J139" s="51"/>
      <c r="K139" s="51"/>
      <c r="L139" s="51"/>
      <c r="M139" s="51"/>
    </row>
    <row r="140" spans="1:15" s="2" customFormat="1" ht="15" customHeight="1" outlineLevel="1">
      <c r="B140" s="28"/>
      <c r="C140" s="29"/>
      <c r="D140" s="30"/>
      <c r="E140" s="30"/>
      <c r="F140" s="30"/>
      <c r="G140" s="30"/>
      <c r="H140" s="30"/>
      <c r="I140" s="44"/>
      <c r="J140" s="44"/>
      <c r="K140" s="44"/>
      <c r="L140" s="44"/>
      <c r="M140" s="44"/>
    </row>
    <row r="141" spans="1:15" s="2" customFormat="1" ht="15" customHeight="1" outlineLevel="1">
      <c r="B141" s="169" t="s">
        <v>87</v>
      </c>
      <c r="D141" s="62" t="s">
        <v>56</v>
      </c>
      <c r="E141" s="8"/>
      <c r="F141" s="30"/>
      <c r="G141" s="30"/>
      <c r="H141" s="30"/>
      <c r="I141" s="60" t="s">
        <v>59</v>
      </c>
      <c r="J141" s="61"/>
      <c r="K141" s="61"/>
      <c r="L141" s="61"/>
      <c r="M141" s="206"/>
      <c r="N141" s="55"/>
    </row>
    <row r="142" spans="1:15" s="2" customFormat="1" ht="15" customHeight="1" outlineLevel="1">
      <c r="B142" s="53" t="s">
        <v>61</v>
      </c>
      <c r="C142" s="207"/>
      <c r="D142" s="286">
        <v>20</v>
      </c>
      <c r="E142" s="8"/>
      <c r="F142" s="30"/>
      <c r="G142" s="30"/>
      <c r="H142" s="30"/>
      <c r="I142" s="287">
        <v>1</v>
      </c>
      <c r="J142" s="288">
        <f>I142+1</f>
        <v>2</v>
      </c>
      <c r="K142" s="288">
        <f>J142+1</f>
        <v>3</v>
      </c>
      <c r="L142" s="288">
        <f>K142+1</f>
        <v>4</v>
      </c>
      <c r="M142" s="288">
        <f>L142+1</f>
        <v>5</v>
      </c>
    </row>
    <row r="143" spans="1:15" s="2" customFormat="1" ht="15" customHeight="1" outlineLevel="1">
      <c r="B143" s="68" t="s">
        <v>57</v>
      </c>
      <c r="C143" s="208"/>
      <c r="D143" s="289">
        <v>0.5</v>
      </c>
      <c r="E143" s="8"/>
      <c r="F143" s="30"/>
      <c r="G143" s="30"/>
      <c r="H143" s="30"/>
      <c r="I143" s="177">
        <f>IF(H143="",$D$143,MIN($D142-SUM($H143:H143),1))</f>
        <v>0.5</v>
      </c>
      <c r="J143" s="178">
        <f>IF(I143="",$D$143,MIN($D142-SUM($H143:I143),1))</f>
        <v>1</v>
      </c>
      <c r="K143" s="178">
        <f>IF(J143="",$D$143,MIN($D142-SUM($H143:J143),1))</f>
        <v>1</v>
      </c>
      <c r="L143" s="178">
        <f>IF(K143="",$D$143,MIN($D142-SUM($H143:K143),1))</f>
        <v>1</v>
      </c>
      <c r="M143" s="179">
        <f>IF(L143="",$D$143,MIN($D142-SUM($H143:L143),1))</f>
        <v>1</v>
      </c>
    </row>
    <row r="144" spans="1:15" s="2" customFormat="1" ht="15" customHeight="1" outlineLevel="1">
      <c r="B144" s="52"/>
      <c r="C144" s="55"/>
      <c r="D144" s="71"/>
      <c r="E144" s="8"/>
      <c r="F144" s="30"/>
      <c r="G144" s="30"/>
      <c r="H144" s="30"/>
      <c r="I144" s="65"/>
      <c r="J144" s="65"/>
      <c r="K144" s="65"/>
      <c r="L144" s="65"/>
      <c r="M144" s="65"/>
    </row>
    <row r="145" spans="2:15" s="2" customFormat="1" ht="15" customHeight="1" outlineLevel="1">
      <c r="B145" s="7"/>
      <c r="C145" s="4"/>
      <c r="D145" s="8"/>
      <c r="E145" s="8"/>
      <c r="F145" s="30"/>
      <c r="G145" s="30"/>
      <c r="H145" s="30"/>
      <c r="I145" s="60" t="s">
        <v>59</v>
      </c>
      <c r="J145" s="61"/>
      <c r="K145" s="61"/>
      <c r="L145" s="61"/>
      <c r="M145" s="206"/>
      <c r="O145" s="66"/>
    </row>
    <row r="146" spans="2:15" s="2" customFormat="1" ht="15" customHeight="1" outlineLevel="1">
      <c r="D146" s="59"/>
      <c r="F146" s="59" t="s">
        <v>50</v>
      </c>
      <c r="G146" s="59" t="s">
        <v>52</v>
      </c>
      <c r="H146" s="30"/>
      <c r="I146" s="295">
        <f>I$129</f>
        <v>2023</v>
      </c>
      <c r="J146" s="295">
        <f>J$129</f>
        <v>2024</v>
      </c>
      <c r="K146" s="295">
        <f>K$129</f>
        <v>2025</v>
      </c>
      <c r="L146" s="295">
        <f>L$129</f>
        <v>2026</v>
      </c>
      <c r="M146" s="295">
        <f>M$129</f>
        <v>2027</v>
      </c>
    </row>
    <row r="147" spans="2:15" s="2" customFormat="1" ht="15" customHeight="1" outlineLevel="1">
      <c r="B147" s="7"/>
      <c r="D147" s="59"/>
      <c r="F147" s="290">
        <f>I129</f>
        <v>2023</v>
      </c>
      <c r="G147" s="75">
        <f>$D$142</f>
        <v>20</v>
      </c>
      <c r="H147" s="76"/>
      <c r="I147" s="257">
        <f>I143</f>
        <v>0.5</v>
      </c>
      <c r="J147" s="257">
        <f>J143</f>
        <v>1</v>
      </c>
      <c r="K147" s="257">
        <f>K143</f>
        <v>1</v>
      </c>
      <c r="L147" s="257">
        <f>L143</f>
        <v>1</v>
      </c>
      <c r="M147" s="258">
        <f>M143</f>
        <v>1</v>
      </c>
    </row>
    <row r="148" spans="2:15" s="2" customFormat="1" ht="15" customHeight="1" outlineLevel="1">
      <c r="B148" s="7"/>
      <c r="D148" s="59"/>
      <c r="F148" s="291">
        <f>F147+1</f>
        <v>2024</v>
      </c>
      <c r="G148" s="72">
        <f t="shared" ref="G148:G151" si="37">$D$142</f>
        <v>20</v>
      </c>
      <c r="H148" s="77"/>
      <c r="I148" s="73">
        <f t="shared" ref="I148:M151" si="38">H147</f>
        <v>0</v>
      </c>
      <c r="J148" s="73">
        <f t="shared" si="38"/>
        <v>0.5</v>
      </c>
      <c r="K148" s="73">
        <f t="shared" si="38"/>
        <v>1</v>
      </c>
      <c r="L148" s="73">
        <f t="shared" si="38"/>
        <v>1</v>
      </c>
      <c r="M148" s="259">
        <f t="shared" si="38"/>
        <v>1</v>
      </c>
    </row>
    <row r="149" spans="2:15" s="2" customFormat="1" ht="15" customHeight="1" outlineLevel="1">
      <c r="B149" s="7"/>
      <c r="D149" s="59"/>
      <c r="F149" s="291">
        <f>F148+1</f>
        <v>2025</v>
      </c>
      <c r="G149" s="72">
        <f t="shared" si="37"/>
        <v>20</v>
      </c>
      <c r="H149" s="77"/>
      <c r="I149" s="73">
        <f t="shared" si="38"/>
        <v>0</v>
      </c>
      <c r="J149" s="73">
        <f t="shared" si="38"/>
        <v>0</v>
      </c>
      <c r="K149" s="73">
        <f t="shared" si="38"/>
        <v>0.5</v>
      </c>
      <c r="L149" s="73">
        <f t="shared" si="38"/>
        <v>1</v>
      </c>
      <c r="M149" s="259">
        <f t="shared" si="38"/>
        <v>1</v>
      </c>
    </row>
    <row r="150" spans="2:15" s="2" customFormat="1" ht="15" customHeight="1" outlineLevel="1">
      <c r="B150" s="7"/>
      <c r="D150" s="59"/>
      <c r="F150" s="291">
        <f>F149+1</f>
        <v>2026</v>
      </c>
      <c r="G150" s="72">
        <f t="shared" si="37"/>
        <v>20</v>
      </c>
      <c r="H150" s="77"/>
      <c r="I150" s="73">
        <f t="shared" si="38"/>
        <v>0</v>
      </c>
      <c r="J150" s="73">
        <f t="shared" si="38"/>
        <v>0</v>
      </c>
      <c r="K150" s="73">
        <f t="shared" si="38"/>
        <v>0</v>
      </c>
      <c r="L150" s="73">
        <f t="shared" si="38"/>
        <v>0.5</v>
      </c>
      <c r="M150" s="259">
        <f t="shared" si="38"/>
        <v>1</v>
      </c>
    </row>
    <row r="151" spans="2:15" s="2" customFormat="1" ht="15" customHeight="1" outlineLevel="1">
      <c r="B151" s="7"/>
      <c r="D151" s="59"/>
      <c r="F151" s="292">
        <f>F150+1</f>
        <v>2027</v>
      </c>
      <c r="G151" s="78">
        <f t="shared" si="37"/>
        <v>20</v>
      </c>
      <c r="H151" s="79"/>
      <c r="I151" s="74">
        <f t="shared" si="38"/>
        <v>0</v>
      </c>
      <c r="J151" s="74">
        <f t="shared" si="38"/>
        <v>0</v>
      </c>
      <c r="K151" s="74">
        <f t="shared" si="38"/>
        <v>0</v>
      </c>
      <c r="L151" s="74">
        <f t="shared" si="38"/>
        <v>0</v>
      </c>
      <c r="M151" s="260">
        <f t="shared" si="38"/>
        <v>0.5</v>
      </c>
    </row>
    <row r="152" spans="2:15" s="2" customFormat="1" ht="15" customHeight="1" outlineLevel="1">
      <c r="B152" s="7"/>
      <c r="C152" s="4"/>
      <c r="D152" s="59"/>
      <c r="E152" s="8"/>
      <c r="F152" s="30"/>
      <c r="G152" s="30"/>
      <c r="H152" s="30"/>
      <c r="I152" s="44"/>
      <c r="J152" s="44"/>
      <c r="K152" s="44"/>
      <c r="L152" s="44"/>
      <c r="M152" s="44"/>
      <c r="O152" s="48"/>
    </row>
    <row r="153" spans="2:15" s="2" customFormat="1" ht="15" customHeight="1" outlineLevel="1">
      <c r="B153" s="7"/>
      <c r="C153" s="4"/>
      <c r="D153" s="8"/>
      <c r="E153" s="8"/>
      <c r="F153" s="30"/>
      <c r="G153" s="30"/>
      <c r="H153" s="30"/>
      <c r="I153" s="60" t="s">
        <v>53</v>
      </c>
      <c r="J153" s="61"/>
      <c r="K153" s="61"/>
      <c r="L153" s="61"/>
      <c r="M153" s="206"/>
      <c r="O153" s="48"/>
    </row>
    <row r="154" spans="2:15" s="2" customFormat="1" ht="15" customHeight="1" outlineLevel="1">
      <c r="E154" s="8"/>
      <c r="F154" s="59" t="s">
        <v>50</v>
      </c>
      <c r="G154" s="59" t="s">
        <v>51</v>
      </c>
      <c r="H154" s="59" t="s">
        <v>55</v>
      </c>
      <c r="I154" s="295">
        <f>I$129</f>
        <v>2023</v>
      </c>
      <c r="J154" s="295">
        <f>J$129</f>
        <v>2024</v>
      </c>
      <c r="K154" s="295">
        <f>K$129</f>
        <v>2025</v>
      </c>
      <c r="L154" s="295">
        <f>L$129</f>
        <v>2026</v>
      </c>
      <c r="M154" s="295">
        <f>M$129</f>
        <v>2027</v>
      </c>
      <c r="O154" s="48"/>
    </row>
    <row r="155" spans="2:15" s="2" customFormat="1" ht="15" customHeight="1" outlineLevel="1">
      <c r="B155" s="7"/>
      <c r="E155" s="8"/>
      <c r="F155" s="290">
        <f>F147</f>
        <v>2023</v>
      </c>
      <c r="G155" s="180">
        <f>SUMIF($I$129:$M$129,F155,$I$132:$M$132)</f>
        <v>4550</v>
      </c>
      <c r="H155" s="181">
        <f>G155/G147</f>
        <v>227.5</v>
      </c>
      <c r="I155" s="261">
        <f>$H155*I147</f>
        <v>113.75</v>
      </c>
      <c r="J155" s="261">
        <f t="shared" ref="I155:M159" si="39">$H155*J147</f>
        <v>227.5</v>
      </c>
      <c r="K155" s="261">
        <f t="shared" si="39"/>
        <v>227.5</v>
      </c>
      <c r="L155" s="261">
        <f t="shared" si="39"/>
        <v>227.5</v>
      </c>
      <c r="M155" s="262">
        <f t="shared" si="39"/>
        <v>227.5</v>
      </c>
    </row>
    <row r="156" spans="2:15" s="2" customFormat="1" ht="15" customHeight="1" outlineLevel="1">
      <c r="B156" s="7"/>
      <c r="E156" s="8"/>
      <c r="F156" s="291">
        <f>F148</f>
        <v>2024</v>
      </c>
      <c r="G156" s="182">
        <f>SUMIF($I$129:$M$129,F156,$I$132:$M$132)</f>
        <v>4700</v>
      </c>
      <c r="H156" s="183">
        <f>G156/G148</f>
        <v>235</v>
      </c>
      <c r="I156" s="174">
        <f t="shared" si="39"/>
        <v>0</v>
      </c>
      <c r="J156" s="174">
        <f t="shared" si="39"/>
        <v>117.5</v>
      </c>
      <c r="K156" s="174">
        <f t="shared" si="39"/>
        <v>235</v>
      </c>
      <c r="L156" s="174">
        <f t="shared" si="39"/>
        <v>235</v>
      </c>
      <c r="M156" s="263">
        <f t="shared" si="39"/>
        <v>235</v>
      </c>
    </row>
    <row r="157" spans="2:15" s="2" customFormat="1" ht="15" customHeight="1" outlineLevel="1">
      <c r="B157" s="7"/>
      <c r="E157" s="8"/>
      <c r="F157" s="291">
        <f>F149</f>
        <v>2025</v>
      </c>
      <c r="G157" s="182">
        <f>SUMIF($I$129:$M$129,F157,$I$132:$M$132)</f>
        <v>4850</v>
      </c>
      <c r="H157" s="183">
        <f>G157/G149</f>
        <v>242.5</v>
      </c>
      <c r="I157" s="174">
        <f t="shared" si="39"/>
        <v>0</v>
      </c>
      <c r="J157" s="174">
        <f t="shared" si="39"/>
        <v>0</v>
      </c>
      <c r="K157" s="174">
        <f t="shared" si="39"/>
        <v>121.25</v>
      </c>
      <c r="L157" s="174">
        <f t="shared" si="39"/>
        <v>242.5</v>
      </c>
      <c r="M157" s="263">
        <f t="shared" si="39"/>
        <v>242.5</v>
      </c>
    </row>
    <row r="158" spans="2:15" s="2" customFormat="1" ht="15" customHeight="1" outlineLevel="1">
      <c r="B158" s="7"/>
      <c r="E158" s="8"/>
      <c r="F158" s="291">
        <f>F150</f>
        <v>2026</v>
      </c>
      <c r="G158" s="182">
        <f>SUMIF($I$129:$M$129,F158,$I$132:$M$132)</f>
        <v>5000</v>
      </c>
      <c r="H158" s="183">
        <f>G158/G150</f>
        <v>250</v>
      </c>
      <c r="I158" s="174">
        <f t="shared" si="39"/>
        <v>0</v>
      </c>
      <c r="J158" s="174">
        <f t="shared" si="39"/>
        <v>0</v>
      </c>
      <c r="K158" s="174">
        <f t="shared" si="39"/>
        <v>0</v>
      </c>
      <c r="L158" s="174">
        <f t="shared" si="39"/>
        <v>125</v>
      </c>
      <c r="M158" s="263">
        <f t="shared" si="39"/>
        <v>250</v>
      </c>
    </row>
    <row r="159" spans="2:15" s="2" customFormat="1" ht="15" customHeight="1" outlineLevel="1">
      <c r="B159" s="7"/>
      <c r="E159" s="8"/>
      <c r="F159" s="292">
        <f>F151</f>
        <v>2027</v>
      </c>
      <c r="G159" s="184">
        <f>SUMIF($I$129:$M$129,F159,$I$132:$M$132)</f>
        <v>5125</v>
      </c>
      <c r="H159" s="185">
        <f>G159/G151</f>
        <v>256.25</v>
      </c>
      <c r="I159" s="193">
        <f t="shared" si="39"/>
        <v>0</v>
      </c>
      <c r="J159" s="193">
        <f t="shared" si="39"/>
        <v>0</v>
      </c>
      <c r="K159" s="193">
        <f t="shared" si="39"/>
        <v>0</v>
      </c>
      <c r="L159" s="193">
        <f t="shared" si="39"/>
        <v>0</v>
      </c>
      <c r="M159" s="264">
        <f>$H159*M151</f>
        <v>128.125</v>
      </c>
    </row>
    <row r="160" spans="2:15" s="2" customFormat="1" ht="15" customHeight="1" outlineLevel="1">
      <c r="B160" s="31"/>
      <c r="C160" s="32"/>
      <c r="D160" s="33"/>
      <c r="E160" s="33"/>
      <c r="F160" s="33"/>
      <c r="G160" s="33"/>
      <c r="H160" s="33"/>
      <c r="I160" s="51"/>
      <c r="J160" s="51"/>
      <c r="K160" s="51"/>
      <c r="L160" s="51"/>
      <c r="M160" s="51"/>
      <c r="O160" s="48"/>
    </row>
    <row r="161" spans="1:15" s="2" customFormat="1" ht="15" customHeight="1" outlineLevel="1">
      <c r="B161" s="28"/>
      <c r="C161" s="29"/>
      <c r="D161" s="30"/>
      <c r="E161" s="30"/>
      <c r="F161" s="30"/>
      <c r="G161" s="30"/>
      <c r="H161" s="30"/>
      <c r="I161" s="44"/>
      <c r="J161" s="44"/>
      <c r="K161" s="44"/>
      <c r="L161" s="44"/>
      <c r="M161" s="44"/>
      <c r="O161" s="48"/>
    </row>
    <row r="162" spans="1:15" s="2" customFormat="1" ht="15" customHeight="1" outlineLevel="1">
      <c r="B162" s="169" t="s">
        <v>101</v>
      </c>
      <c r="C162" s="4"/>
      <c r="D162" s="8"/>
      <c r="E162" s="8"/>
      <c r="F162" s="30"/>
      <c r="G162" s="30"/>
      <c r="H162" s="30"/>
      <c r="I162" s="44"/>
      <c r="J162" s="44"/>
      <c r="K162" s="44"/>
      <c r="L162" s="44"/>
      <c r="M162" s="44"/>
      <c r="O162" s="48"/>
    </row>
    <row r="163" spans="1:15" s="2" customFormat="1" ht="15" customHeight="1" outlineLevel="1">
      <c r="B163" s="238" t="s">
        <v>48</v>
      </c>
      <c r="C163" s="4"/>
      <c r="D163" s="8"/>
      <c r="E163" s="8"/>
      <c r="F163" s="16"/>
      <c r="G163" s="16"/>
      <c r="H163" s="16"/>
      <c r="I163" s="111">
        <f>($D$137/$D$136)*I137</f>
        <v>4063.375</v>
      </c>
      <c r="J163" s="111">
        <f>($D$137/$D$136)*J137</f>
        <v>4063.375</v>
      </c>
      <c r="K163" s="111">
        <f>($D$137/$D$136)*K137</f>
        <v>4063.375</v>
      </c>
      <c r="L163" s="111">
        <f>($D$137/$D$136)*L137</f>
        <v>4063.375</v>
      </c>
      <c r="M163" s="111">
        <f>($D$137/$D$136)*M137</f>
        <v>4063.375</v>
      </c>
      <c r="O163" s="47"/>
    </row>
    <row r="164" spans="1:15" s="2" customFormat="1" ht="15" customHeight="1" outlineLevel="1">
      <c r="B164" s="238" t="s">
        <v>49</v>
      </c>
      <c r="C164" s="4"/>
      <c r="D164" s="8"/>
      <c r="E164" s="8"/>
      <c r="F164" s="30"/>
      <c r="G164" s="30"/>
      <c r="H164" s="30"/>
      <c r="I164" s="111">
        <f>SUM(I155:I159)</f>
        <v>113.75</v>
      </c>
      <c r="J164" s="111">
        <f>SUM(J155:J159)</f>
        <v>345</v>
      </c>
      <c r="K164" s="111">
        <f>SUM(K155:K159)</f>
        <v>583.75</v>
      </c>
      <c r="L164" s="111">
        <f>SUM(L155:L159)</f>
        <v>830</v>
      </c>
      <c r="M164" s="111">
        <f>SUM(M155:M159)</f>
        <v>1083.125</v>
      </c>
      <c r="O164" s="47"/>
    </row>
    <row r="165" spans="1:15" s="2" customFormat="1" ht="15" customHeight="1" outlineLevel="1" thickBot="1">
      <c r="B165" s="238" t="s">
        <v>54</v>
      </c>
      <c r="C165" s="4"/>
      <c r="D165" s="8"/>
      <c r="E165" s="8"/>
      <c r="F165" s="30"/>
      <c r="G165" s="30"/>
      <c r="H165" s="30"/>
      <c r="I165" s="267">
        <f>SUM(I163:I164)</f>
        <v>4177.125</v>
      </c>
      <c r="J165" s="267">
        <f>SUM(J163:J164)</f>
        <v>4408.375</v>
      </c>
      <c r="K165" s="267">
        <f>SUM(K163:K164)</f>
        <v>4647.125</v>
      </c>
      <c r="L165" s="267">
        <f>SUM(L163:L164)</f>
        <v>4893.375</v>
      </c>
      <c r="M165" s="267">
        <f>SUM(M163:M164)</f>
        <v>5146.5</v>
      </c>
      <c r="O165" s="48"/>
    </row>
    <row r="166" spans="1:15" s="2" customFormat="1" ht="15" customHeight="1" outlineLevel="1">
      <c r="B166" s="7"/>
      <c r="C166" s="4"/>
      <c r="D166" s="8"/>
      <c r="E166" s="8"/>
      <c r="F166" s="30"/>
      <c r="G166" s="30"/>
      <c r="H166" s="30"/>
      <c r="I166" s="25"/>
      <c r="J166" s="25"/>
      <c r="K166" s="25"/>
      <c r="L166" s="25"/>
      <c r="M166" s="25"/>
      <c r="O166" s="48"/>
    </row>
    <row r="167" spans="1:15" s="2" customFormat="1" ht="15" customHeight="1" outlineLevel="1">
      <c r="B167" s="7"/>
      <c r="C167" s="4"/>
      <c r="D167" s="8"/>
      <c r="E167" s="8"/>
      <c r="F167" s="30"/>
      <c r="G167" s="30"/>
      <c r="H167" s="30"/>
      <c r="I167" s="25"/>
      <c r="J167" s="25"/>
      <c r="K167" s="25"/>
      <c r="L167" s="25"/>
      <c r="M167" s="25"/>
      <c r="O167" s="48"/>
    </row>
    <row r="168" spans="1:15" s="2" customFormat="1" ht="15" customHeight="1" outlineLevel="1">
      <c r="C168" s="4"/>
      <c r="D168" s="8"/>
      <c r="E168" s="8"/>
      <c r="F168" s="30"/>
      <c r="G168" s="30"/>
      <c r="H168" s="30"/>
      <c r="I168" s="44"/>
      <c r="J168" s="44"/>
      <c r="K168" s="44"/>
      <c r="L168" s="44"/>
      <c r="M168" s="219" t="s">
        <v>82</v>
      </c>
      <c r="O168" s="47"/>
    </row>
    <row r="169" spans="1:15" s="2" customFormat="1" ht="15" customHeight="1" outlineLevel="1">
      <c r="C169" s="4"/>
      <c r="D169" s="8"/>
      <c r="E169" s="8"/>
      <c r="F169" s="30"/>
      <c r="G169" s="30"/>
      <c r="H169" s="30"/>
      <c r="I169" s="44"/>
      <c r="J169" s="44"/>
      <c r="K169" s="44"/>
      <c r="L169" s="44"/>
      <c r="M169" s="220" t="s">
        <v>96</v>
      </c>
      <c r="O169" s="47"/>
    </row>
    <row r="170" spans="1:15" s="2" customFormat="1" ht="15" customHeight="1" outlineLevel="1">
      <c r="C170" s="4"/>
      <c r="D170" s="8"/>
      <c r="E170" s="8"/>
      <c r="F170" s="30"/>
      <c r="G170" s="30"/>
      <c r="H170" s="30"/>
      <c r="I170" s="44"/>
      <c r="J170" s="44"/>
      <c r="K170" s="44"/>
      <c r="L170" s="44"/>
      <c r="M170" s="149"/>
      <c r="O170" s="47"/>
    </row>
    <row r="171" spans="1:15" s="2" customFormat="1" ht="15" customHeight="1" outlineLevel="1">
      <c r="B171" s="31"/>
      <c r="C171" s="32"/>
      <c r="D171" s="33"/>
      <c r="E171" s="33"/>
      <c r="F171" s="33"/>
      <c r="G171" s="33"/>
      <c r="H171" s="33"/>
      <c r="I171" s="51"/>
      <c r="J171" s="51"/>
      <c r="K171" s="51"/>
      <c r="L171" s="51"/>
      <c r="M171" s="51"/>
      <c r="N171" s="51"/>
      <c r="O171" s="48"/>
    </row>
    <row r="172" spans="1:15" s="2" customFormat="1" ht="15" customHeight="1">
      <c r="B172" s="7"/>
      <c r="C172" s="4"/>
      <c r="D172" s="8"/>
      <c r="E172" s="8"/>
      <c r="F172" s="30"/>
      <c r="G172" s="30"/>
      <c r="H172" s="30"/>
      <c r="I172" s="44"/>
      <c r="J172" s="44"/>
      <c r="K172" s="44"/>
      <c r="L172" s="44"/>
      <c r="M172" s="44"/>
      <c r="N172" s="44"/>
      <c r="O172" s="48"/>
    </row>
    <row r="173" spans="1:15" s="2" customFormat="1" ht="15" customHeight="1">
      <c r="A173" s="2" t="s">
        <v>80</v>
      </c>
      <c r="B173" s="103" t="s">
        <v>40</v>
      </c>
      <c r="C173" s="104"/>
      <c r="D173" s="251"/>
      <c r="E173" s="251"/>
      <c r="F173" s="106"/>
      <c r="G173" s="106"/>
      <c r="H173" s="106"/>
      <c r="I173" s="107"/>
      <c r="J173" s="108"/>
      <c r="K173" s="108"/>
      <c r="L173" s="108"/>
      <c r="M173" s="108"/>
      <c r="N173" s="171" t="s">
        <v>80</v>
      </c>
      <c r="O173" s="48"/>
    </row>
    <row r="174" spans="1:15" s="2" customFormat="1" ht="15" customHeight="1" outlineLevel="1">
      <c r="B174" s="3"/>
      <c r="C174" s="4"/>
      <c r="D174" s="5"/>
      <c r="E174" s="5"/>
      <c r="F174" s="380"/>
      <c r="G174" s="380"/>
      <c r="H174" s="6"/>
      <c r="I174" s="6"/>
      <c r="J174" s="6"/>
      <c r="K174" s="6"/>
      <c r="L174" s="6"/>
      <c r="M174" s="6"/>
      <c r="N174" s="88"/>
      <c r="O174" s="48"/>
    </row>
    <row r="175" spans="1:15" s="2" customFormat="1" ht="15" customHeight="1" outlineLevel="1" thickBot="1">
      <c r="B175" s="7" t="s">
        <v>19</v>
      </c>
      <c r="C175" s="4"/>
      <c r="D175" s="8"/>
      <c r="E175" s="8"/>
      <c r="F175" s="381"/>
      <c r="G175" s="381"/>
      <c r="H175" s="272">
        <f>I175-1</f>
        <v>2022</v>
      </c>
      <c r="I175" s="273">
        <v>2023</v>
      </c>
      <c r="J175" s="228">
        <f>I175+1</f>
        <v>2024</v>
      </c>
      <c r="K175" s="228">
        <f>J175+1</f>
        <v>2025</v>
      </c>
      <c r="L175" s="228">
        <f>K175+1</f>
        <v>2026</v>
      </c>
      <c r="M175" s="228">
        <f>L175+1</f>
        <v>2027</v>
      </c>
      <c r="N175" s="153"/>
      <c r="O175" s="47"/>
    </row>
    <row r="176" spans="1:15" ht="15" customHeight="1" outlineLevel="1">
      <c r="A176" s="9"/>
      <c r="B176" s="7" t="s">
        <v>102</v>
      </c>
      <c r="C176" s="4"/>
      <c r="D176" s="8"/>
      <c r="E176" s="8"/>
      <c r="F176" s="85"/>
      <c r="G176" s="85"/>
      <c r="H176" s="85"/>
      <c r="I176" s="153"/>
      <c r="J176" s="153"/>
      <c r="K176" s="153"/>
      <c r="L176" s="153"/>
      <c r="M176" s="153"/>
      <c r="N176" s="153"/>
    </row>
    <row r="177" spans="2:15" s="2" customFormat="1" ht="15" customHeight="1" outlineLevel="1">
      <c r="B177" s="7"/>
      <c r="C177" s="4"/>
      <c r="D177" s="8"/>
      <c r="E177" s="8"/>
      <c r="F177" s="30"/>
      <c r="G177" s="30"/>
      <c r="H177" s="30"/>
      <c r="I177" s="44"/>
      <c r="J177" s="44"/>
      <c r="K177" s="44"/>
      <c r="L177" s="44"/>
      <c r="M177" s="44"/>
      <c r="N177" s="88"/>
      <c r="O177" s="48"/>
    </row>
    <row r="178" spans="2:15" s="2" customFormat="1" ht="15" customHeight="1" outlineLevel="1">
      <c r="B178" s="52" t="s">
        <v>41</v>
      </c>
      <c r="C178" s="29"/>
      <c r="D178" s="30"/>
      <c r="E178" s="30"/>
      <c r="F178" s="30"/>
      <c r="G178" s="111"/>
      <c r="H178" s="111"/>
      <c r="I178" s="214">
        <v>4550</v>
      </c>
      <c r="J178" s="194">
        <v>4700</v>
      </c>
      <c r="K178" s="194">
        <v>4850</v>
      </c>
      <c r="L178" s="194">
        <v>5000</v>
      </c>
      <c r="M178" s="281">
        <v>5125</v>
      </c>
      <c r="N178" s="111"/>
    </row>
    <row r="179" spans="2:15" s="2" customFormat="1" ht="15" customHeight="1" outlineLevel="1">
      <c r="B179" s="7"/>
      <c r="C179" s="4"/>
      <c r="D179" s="8"/>
      <c r="E179" s="8"/>
      <c r="F179" s="30"/>
      <c r="G179" s="30"/>
      <c r="H179" s="30"/>
      <c r="I179" s="153"/>
      <c r="J179" s="153"/>
      <c r="K179" s="153"/>
      <c r="L179" s="153"/>
      <c r="M179" s="153"/>
      <c r="N179" s="88"/>
    </row>
    <row r="180" spans="2:15" s="2" customFormat="1" ht="15" customHeight="1" outlineLevel="1">
      <c r="B180" s="161" t="s">
        <v>58</v>
      </c>
      <c r="C180" s="217"/>
      <c r="D180" s="293">
        <v>0.5</v>
      </c>
      <c r="E180" s="8"/>
      <c r="F180" s="30"/>
      <c r="G180" s="30"/>
      <c r="H180" s="30"/>
      <c r="I180" s="153"/>
      <c r="J180" s="153"/>
      <c r="K180" s="153"/>
      <c r="L180" s="153"/>
      <c r="M180" s="153"/>
      <c r="N180" s="88"/>
    </row>
    <row r="181" spans="2:15" s="2" customFormat="1" ht="15" customHeight="1" outlineLevel="1">
      <c r="B181" s="54" t="s">
        <v>44</v>
      </c>
      <c r="C181" s="208"/>
      <c r="D181" s="294">
        <v>0.15</v>
      </c>
      <c r="E181" s="8"/>
      <c r="F181" s="30"/>
      <c r="G181" s="30"/>
      <c r="H181" s="30"/>
      <c r="I181" s="82"/>
      <c r="J181" s="153"/>
      <c r="K181" s="153"/>
      <c r="L181" s="153"/>
      <c r="M181" s="153"/>
      <c r="N181" s="88"/>
    </row>
    <row r="182" spans="2:15" s="2" customFormat="1" ht="15" customHeight="1" outlineLevel="1">
      <c r="B182" s="69"/>
      <c r="C182" s="200"/>
      <c r="D182" s="70"/>
      <c r="E182" s="8"/>
      <c r="F182" s="30"/>
      <c r="G182" s="30"/>
      <c r="H182" s="30"/>
      <c r="I182" s="271"/>
      <c r="J182" s="271"/>
      <c r="K182" s="271"/>
      <c r="L182" s="271"/>
      <c r="M182" s="271"/>
      <c r="N182" s="88"/>
    </row>
    <row r="183" spans="2:15" s="2" customFormat="1" ht="15" customHeight="1" outlineLevel="1">
      <c r="B183" s="69"/>
      <c r="C183" s="200"/>
      <c r="D183" s="70"/>
      <c r="E183" s="8"/>
      <c r="F183" s="30"/>
      <c r="G183" s="30"/>
      <c r="H183" s="30"/>
      <c r="I183" s="271"/>
      <c r="J183" s="271"/>
      <c r="K183" s="271"/>
      <c r="L183" s="271"/>
      <c r="M183" s="271"/>
      <c r="N183" s="88"/>
    </row>
    <row r="184" spans="2:15" s="2" customFormat="1" ht="15" customHeight="1" outlineLevel="1">
      <c r="B184" s="169" t="s">
        <v>88</v>
      </c>
      <c r="C184" s="4"/>
      <c r="D184" s="8"/>
      <c r="E184" s="8"/>
      <c r="F184" s="30"/>
      <c r="G184" s="30"/>
      <c r="H184" s="30"/>
      <c r="I184" s="153"/>
      <c r="J184" s="153"/>
      <c r="K184" s="153"/>
      <c r="L184" s="153"/>
      <c r="M184" s="153"/>
      <c r="N184" s="88"/>
    </row>
    <row r="185" spans="2:15" s="2" customFormat="1" ht="15" customHeight="1" outlineLevel="1">
      <c r="B185" s="238" t="s">
        <v>7</v>
      </c>
      <c r="C185" s="4"/>
      <c r="D185" s="8"/>
      <c r="E185" s="8"/>
      <c r="F185" s="30"/>
      <c r="G185" s="16"/>
      <c r="H185" s="24"/>
      <c r="I185" s="132">
        <f>H188</f>
        <v>65014</v>
      </c>
      <c r="J185" s="132">
        <f>I188</f>
        <v>65386.875</v>
      </c>
      <c r="K185" s="132">
        <f>J188</f>
        <v>65678.5</v>
      </c>
      <c r="L185" s="132">
        <f>K188</f>
        <v>65881.375</v>
      </c>
      <c r="M185" s="132">
        <f>L188</f>
        <v>65988</v>
      </c>
      <c r="N185" s="111"/>
    </row>
    <row r="186" spans="2:15" s="2" customFormat="1" ht="15" customHeight="1" outlineLevel="1">
      <c r="B186" s="238" t="s">
        <v>41</v>
      </c>
      <c r="C186" s="4"/>
      <c r="D186" s="8"/>
      <c r="E186" s="8"/>
      <c r="F186" s="30"/>
      <c r="G186" s="16"/>
      <c r="H186" s="192"/>
      <c r="I186" s="127">
        <v>4550</v>
      </c>
      <c r="J186" s="127">
        <v>4700</v>
      </c>
      <c r="K186" s="127">
        <v>4850</v>
      </c>
      <c r="L186" s="127">
        <v>5000</v>
      </c>
      <c r="M186" s="127">
        <v>5125</v>
      </c>
      <c r="N186" s="111"/>
    </row>
    <row r="187" spans="2:15" s="2" customFormat="1" ht="15" customHeight="1" outlineLevel="1">
      <c r="B187" s="238" t="s">
        <v>42</v>
      </c>
      <c r="C187" s="4"/>
      <c r="D187" s="8"/>
      <c r="E187" s="8"/>
      <c r="F187" s="30"/>
      <c r="G187" s="25"/>
      <c r="H187" s="27"/>
      <c r="I187" s="128">
        <v>-4177.125</v>
      </c>
      <c r="J187" s="128">
        <v>-4408.375</v>
      </c>
      <c r="K187" s="128">
        <v>-4647.125</v>
      </c>
      <c r="L187" s="128">
        <v>-4893.375</v>
      </c>
      <c r="M187" s="128">
        <v>-5146.5</v>
      </c>
      <c r="N187" s="111"/>
    </row>
    <row r="188" spans="2:15" s="2" customFormat="1" ht="15" customHeight="1" outlineLevel="1">
      <c r="B188" s="238" t="s">
        <v>8</v>
      </c>
      <c r="C188" s="4"/>
      <c r="D188" s="8"/>
      <c r="E188" s="8"/>
      <c r="F188" s="138"/>
      <c r="G188" s="25"/>
      <c r="H188" s="120">
        <v>65014</v>
      </c>
      <c r="I188" s="111">
        <f>SUM(I185:I187)</f>
        <v>65386.875</v>
      </c>
      <c r="J188" s="111">
        <f>SUM(J185:J187)</f>
        <v>65678.5</v>
      </c>
      <c r="K188" s="111">
        <f>SUM(K185:K187)</f>
        <v>65881.375</v>
      </c>
      <c r="L188" s="111">
        <f>SUM(L185:L187)</f>
        <v>65988</v>
      </c>
      <c r="M188" s="111">
        <f>SUM(M185:M187)</f>
        <v>65966.5</v>
      </c>
      <c r="N188" s="111"/>
    </row>
    <row r="189" spans="2:15" s="2" customFormat="1" ht="15" customHeight="1" outlineLevel="1">
      <c r="B189" s="7"/>
      <c r="C189" s="4"/>
      <c r="D189" s="8"/>
      <c r="E189" s="8"/>
      <c r="F189" s="30"/>
      <c r="G189" s="30"/>
      <c r="H189" s="135"/>
      <c r="I189" s="135"/>
      <c r="J189" s="135"/>
      <c r="K189" s="135"/>
      <c r="L189" s="135"/>
      <c r="M189" s="135"/>
      <c r="N189" s="173"/>
      <c r="O189" s="44"/>
    </row>
    <row r="190" spans="2:15" s="2" customFormat="1" ht="15" customHeight="1" outlineLevel="1">
      <c r="B190" s="7"/>
      <c r="C190" s="4"/>
      <c r="D190" s="8"/>
      <c r="E190" s="8"/>
      <c r="F190" s="30"/>
      <c r="G190" s="30"/>
      <c r="H190" s="135"/>
      <c r="I190" s="135"/>
      <c r="J190" s="135"/>
      <c r="K190" s="135"/>
      <c r="L190" s="135"/>
      <c r="M190" s="135"/>
      <c r="N190" s="173"/>
      <c r="O190" s="44"/>
    </row>
    <row r="191" spans="2:15" s="2" customFormat="1" ht="15" customHeight="1" outlineLevel="1">
      <c r="B191" s="169" t="s">
        <v>89</v>
      </c>
      <c r="C191" s="4"/>
      <c r="D191" s="8"/>
      <c r="E191" s="8"/>
      <c r="F191" s="30"/>
      <c r="G191" s="30"/>
      <c r="H191" s="135"/>
      <c r="I191" s="135"/>
      <c r="J191" s="135"/>
      <c r="K191" s="135"/>
      <c r="L191" s="135"/>
      <c r="M191" s="135"/>
      <c r="N191" s="173"/>
      <c r="O191" s="44"/>
    </row>
    <row r="192" spans="2:15" s="2" customFormat="1" ht="15" customHeight="1" outlineLevel="1">
      <c r="B192" s="238" t="s">
        <v>7</v>
      </c>
      <c r="C192" s="4"/>
      <c r="D192" s="8"/>
      <c r="E192" s="8"/>
      <c r="F192" s="30"/>
      <c r="G192" s="16"/>
      <c r="H192" s="24"/>
      <c r="I192" s="132">
        <f>H195</f>
        <v>39211</v>
      </c>
      <c r="J192" s="132">
        <f>I195</f>
        <v>37538.1</v>
      </c>
      <c r="K192" s="132">
        <f>J195</f>
        <v>36254.885000000002</v>
      </c>
      <c r="L192" s="132">
        <f>K195</f>
        <v>35302.902249999999</v>
      </c>
      <c r="M192" s="132">
        <f>L195</f>
        <v>34632.4669125</v>
      </c>
      <c r="N192" s="111"/>
      <c r="O192" s="44"/>
    </row>
    <row r="193" spans="1:15" s="2" customFormat="1" ht="15" customHeight="1" outlineLevel="1">
      <c r="B193" s="238" t="s">
        <v>41</v>
      </c>
      <c r="C193" s="4"/>
      <c r="D193" s="8"/>
      <c r="E193" s="8"/>
      <c r="F193" s="30"/>
      <c r="G193" s="16"/>
      <c r="H193" s="24"/>
      <c r="I193" s="132">
        <f>I186</f>
        <v>4550</v>
      </c>
      <c r="J193" s="132">
        <f>J186</f>
        <v>4700</v>
      </c>
      <c r="K193" s="132">
        <f>K186</f>
        <v>4850</v>
      </c>
      <c r="L193" s="132">
        <f>L186</f>
        <v>5000</v>
      </c>
      <c r="M193" s="132">
        <f>M186</f>
        <v>5125</v>
      </c>
      <c r="N193" s="111"/>
      <c r="O193" s="44"/>
    </row>
    <row r="194" spans="1:15" s="2" customFormat="1" ht="15" customHeight="1" outlineLevel="1">
      <c r="B194" s="238" t="s">
        <v>43</v>
      </c>
      <c r="H194" s="209"/>
      <c r="I194" s="109">
        <f>-(I192+I193*$D$180)*$D$181</f>
        <v>-6222.9</v>
      </c>
      <c r="J194" s="109">
        <f>-(J192+J193*$D$180)*$D$181</f>
        <v>-5983.2149999999992</v>
      </c>
      <c r="K194" s="109">
        <f t="shared" ref="K194:L194" si="40">-(K192+K193*$D$180)*$D$181</f>
        <v>-5801.9827500000001</v>
      </c>
      <c r="L194" s="109">
        <f t="shared" si="40"/>
        <v>-5670.4353375000001</v>
      </c>
      <c r="M194" s="109">
        <f>-(M192+M193*$D$180)*$D$181</f>
        <v>-5579.2450368749996</v>
      </c>
      <c r="N194" s="111"/>
    </row>
    <row r="195" spans="1:15" s="2" customFormat="1" ht="15" customHeight="1" outlineLevel="1">
      <c r="B195" s="238" t="s">
        <v>8</v>
      </c>
      <c r="C195" s="4"/>
      <c r="D195" s="8"/>
      <c r="E195" s="8"/>
      <c r="F195" s="49"/>
      <c r="G195" s="25"/>
      <c r="H195" s="120">
        <v>39211</v>
      </c>
      <c r="I195" s="111">
        <f>SUM(I192:I194)</f>
        <v>37538.1</v>
      </c>
      <c r="J195" s="111">
        <f>SUM(J192:J194)</f>
        <v>36254.885000000002</v>
      </c>
      <c r="K195" s="111">
        <f>SUM(K192:K194)</f>
        <v>35302.902249999999</v>
      </c>
      <c r="L195" s="111">
        <f>SUM(L192:L194)</f>
        <v>34632.4669125</v>
      </c>
      <c r="M195" s="111">
        <f>SUM(M192:M194)</f>
        <v>34178.221875625</v>
      </c>
      <c r="N195" s="111"/>
    </row>
    <row r="196" spans="1:15" s="2" customFormat="1" ht="15" customHeight="1" outlineLevel="1">
      <c r="B196" s="7"/>
      <c r="C196" s="4"/>
      <c r="D196" s="8"/>
      <c r="E196" s="8"/>
      <c r="F196" s="30"/>
      <c r="G196" s="30"/>
      <c r="H196" s="30"/>
      <c r="I196" s="44"/>
      <c r="J196" s="44"/>
      <c r="K196" s="44"/>
      <c r="L196" s="44"/>
      <c r="M196" s="44"/>
    </row>
    <row r="197" spans="1:15" s="2" customFormat="1" ht="15" customHeight="1" outlineLevel="1">
      <c r="B197" s="7"/>
      <c r="C197" s="4"/>
      <c r="D197" s="8"/>
      <c r="E197" s="8"/>
      <c r="F197" s="30"/>
      <c r="G197" s="30"/>
      <c r="H197" s="30"/>
      <c r="I197" s="44"/>
      <c r="J197" s="44"/>
      <c r="K197" s="44"/>
      <c r="L197" s="44"/>
      <c r="M197" s="44"/>
      <c r="O197" s="48"/>
    </row>
    <row r="198" spans="1:15" s="2" customFormat="1" ht="15" customHeight="1" outlineLevel="1">
      <c r="B198" s="7"/>
      <c r="C198" s="4"/>
      <c r="D198" s="8"/>
      <c r="E198" s="8"/>
      <c r="F198" s="30"/>
      <c r="G198" s="30"/>
      <c r="H198" s="30"/>
      <c r="I198" s="44"/>
      <c r="J198" s="44"/>
      <c r="K198" s="44"/>
      <c r="L198" s="44"/>
      <c r="M198" s="219" t="s">
        <v>84</v>
      </c>
      <c r="O198" s="47"/>
    </row>
    <row r="199" spans="1:15" s="2" customFormat="1" ht="15" customHeight="1" outlineLevel="1">
      <c r="B199" s="7"/>
      <c r="C199" s="4"/>
      <c r="D199" s="8"/>
      <c r="E199" s="8"/>
      <c r="F199" s="30"/>
      <c r="G199" s="30"/>
      <c r="H199" s="30"/>
      <c r="I199" s="44"/>
      <c r="J199" s="44"/>
      <c r="K199" s="44"/>
      <c r="L199" s="44"/>
      <c r="M199" s="149"/>
      <c r="O199" s="47"/>
    </row>
    <row r="200" spans="1:15" s="2" customFormat="1" ht="15" customHeight="1" outlineLevel="1">
      <c r="B200" s="31"/>
      <c r="C200" s="32"/>
      <c r="D200" s="33"/>
      <c r="E200" s="33"/>
      <c r="F200" s="33"/>
      <c r="G200" s="33"/>
      <c r="H200" s="33"/>
      <c r="I200" s="51"/>
      <c r="J200" s="51"/>
      <c r="K200" s="51"/>
      <c r="L200" s="51"/>
      <c r="M200" s="51"/>
      <c r="N200" s="51"/>
      <c r="O200" s="67"/>
    </row>
    <row r="201" spans="1:15" s="2" customFormat="1" ht="15" customHeight="1">
      <c r="B201" s="28"/>
      <c r="C201" s="29"/>
      <c r="D201" s="30"/>
      <c r="E201" s="30"/>
      <c r="F201" s="30"/>
      <c r="G201" s="30"/>
      <c r="H201" s="30"/>
      <c r="I201" s="44"/>
      <c r="J201" s="44"/>
      <c r="K201" s="44"/>
      <c r="L201" s="44"/>
      <c r="M201" s="44"/>
      <c r="N201" s="44"/>
      <c r="O201" s="67"/>
    </row>
    <row r="202" spans="1:15" s="2" customFormat="1" ht="15" customHeight="1">
      <c r="A202" s="2" t="s">
        <v>80</v>
      </c>
      <c r="B202" s="103" t="s">
        <v>103</v>
      </c>
      <c r="C202" s="104"/>
      <c r="D202" s="251"/>
      <c r="E202" s="251"/>
      <c r="F202" s="106"/>
      <c r="G202" s="106"/>
      <c r="H202" s="106"/>
      <c r="I202" s="107"/>
      <c r="J202" s="108"/>
      <c r="K202" s="108"/>
      <c r="L202" s="108"/>
      <c r="M202" s="108"/>
      <c r="N202" s="171" t="s">
        <v>80</v>
      </c>
      <c r="O202" s="67"/>
    </row>
    <row r="203" spans="1:15" s="2" customFormat="1" ht="15" customHeight="1" outlineLevel="1">
      <c r="B203" s="3"/>
      <c r="C203" s="4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88"/>
      <c r="O203" s="67"/>
    </row>
    <row r="204" spans="1:15" s="2" customFormat="1" ht="15" customHeight="1" outlineLevel="1" thickBot="1">
      <c r="B204" s="7" t="s">
        <v>19</v>
      </c>
      <c r="C204" s="4"/>
      <c r="D204" s="8"/>
      <c r="E204" s="8"/>
      <c r="F204" s="30"/>
      <c r="G204" s="30"/>
      <c r="H204" s="272">
        <f>I204-1</f>
        <v>2022</v>
      </c>
      <c r="I204" s="273">
        <v>2023</v>
      </c>
      <c r="J204" s="228">
        <f>I204+1</f>
        <v>2024</v>
      </c>
      <c r="K204" s="228">
        <f>J204+1</f>
        <v>2025</v>
      </c>
      <c r="L204" s="228">
        <f>K204+1</f>
        <v>2026</v>
      </c>
      <c r="M204" s="228">
        <f>L204+1</f>
        <v>2027</v>
      </c>
      <c r="N204" s="153"/>
      <c r="O204" s="67"/>
    </row>
    <row r="205" spans="1:15" ht="15" customHeight="1" outlineLevel="1">
      <c r="A205" s="9"/>
      <c r="B205" s="7" t="s">
        <v>102</v>
      </c>
      <c r="C205" s="4"/>
      <c r="D205" s="8"/>
      <c r="E205" s="8"/>
      <c r="F205" s="85"/>
      <c r="G205" s="85"/>
      <c r="H205" s="85"/>
      <c r="I205" s="153"/>
      <c r="J205" s="153"/>
      <c r="K205" s="153"/>
      <c r="L205" s="153"/>
      <c r="M205" s="153"/>
      <c r="N205" s="153"/>
    </row>
    <row r="206" spans="1:15" s="2" customFormat="1" ht="15" customHeight="1" outlineLevel="1">
      <c r="B206" s="7"/>
      <c r="C206" s="4"/>
      <c r="D206" s="8"/>
      <c r="E206" s="8"/>
      <c r="F206" s="30"/>
      <c r="G206" s="30"/>
      <c r="H206" s="30"/>
      <c r="I206" s="44"/>
      <c r="J206" s="44"/>
      <c r="K206" s="44"/>
      <c r="L206" s="44"/>
      <c r="M206" s="44"/>
      <c r="N206" s="88"/>
      <c r="O206" s="48"/>
    </row>
    <row r="207" spans="1:15" s="2" customFormat="1" ht="15" customHeight="1" outlineLevel="1">
      <c r="B207" s="52" t="s">
        <v>47</v>
      </c>
      <c r="C207" s="29"/>
      <c r="D207" s="30"/>
      <c r="E207" s="30"/>
      <c r="G207" s="25"/>
      <c r="H207" s="26"/>
      <c r="I207" s="368">
        <v>13061.502962850012</v>
      </c>
      <c r="J207" s="369">
        <v>12772.844957366317</v>
      </c>
      <c r="K207" s="369">
        <v>12460.475897114535</v>
      </c>
      <c r="L207" s="369">
        <v>12060.61117908694</v>
      </c>
      <c r="M207" s="274">
        <v>11328.887463014515</v>
      </c>
      <c r="N207" s="111"/>
      <c r="O207" s="47"/>
    </row>
    <row r="208" spans="1:15" s="2" customFormat="1" ht="15" customHeight="1" outlineLevel="1">
      <c r="B208" s="256" t="s">
        <v>39</v>
      </c>
      <c r="C208" s="89"/>
      <c r="D208" s="85"/>
      <c r="E208" s="30"/>
      <c r="F208" s="30"/>
      <c r="G208" s="30"/>
      <c r="H208" s="30"/>
      <c r="I208" s="253">
        <f>IF(I218&gt;0,1,0)</f>
        <v>1</v>
      </c>
      <c r="J208" s="254">
        <f t="shared" ref="J208:M208" si="41">IF(J218&gt;0,1,0)</f>
        <v>1</v>
      </c>
      <c r="K208" s="254">
        <f t="shared" si="41"/>
        <v>1</v>
      </c>
      <c r="L208" s="254">
        <f t="shared" si="41"/>
        <v>1</v>
      </c>
      <c r="M208" s="255">
        <f t="shared" si="41"/>
        <v>1</v>
      </c>
      <c r="N208" s="226"/>
      <c r="O208" s="47"/>
    </row>
    <row r="209" spans="1:15" s="2" customFormat="1" ht="15" customHeight="1" outlineLevel="1">
      <c r="B209" s="7"/>
      <c r="C209" s="4"/>
      <c r="D209" s="8"/>
      <c r="E209" s="8"/>
      <c r="F209" s="30"/>
      <c r="G209" s="30"/>
      <c r="H209" s="30"/>
      <c r="I209" s="153"/>
      <c r="J209" s="153"/>
      <c r="K209" s="153"/>
      <c r="L209" s="153"/>
      <c r="M209" s="153"/>
      <c r="N209" s="88"/>
      <c r="O209" s="47"/>
    </row>
    <row r="210" spans="1:15" s="55" customFormat="1" ht="15" customHeight="1" outlineLevel="1">
      <c r="B210" s="161" t="s">
        <v>38</v>
      </c>
      <c r="C210" s="160"/>
      <c r="D210" s="370">
        <v>0.3</v>
      </c>
      <c r="E210" s="30"/>
      <c r="F210" s="30"/>
      <c r="G210" s="30"/>
      <c r="H210" s="30"/>
      <c r="I210" s="153"/>
      <c r="J210" s="153"/>
      <c r="K210" s="153"/>
      <c r="L210" s="153"/>
      <c r="M210" s="153"/>
      <c r="N210" s="88"/>
      <c r="O210" s="47"/>
    </row>
    <row r="211" spans="1:15" ht="15" customHeight="1" outlineLevel="1">
      <c r="A211" s="2"/>
      <c r="B211" s="186" t="s">
        <v>81</v>
      </c>
      <c r="C211" s="32"/>
      <c r="D211" s="224">
        <f>IF(M229=0,0,1)</f>
        <v>0</v>
      </c>
      <c r="E211" s="8"/>
      <c r="F211" s="24"/>
      <c r="G211" s="229"/>
      <c r="H211" s="24"/>
      <c r="I211" s="132"/>
      <c r="J211" s="132"/>
      <c r="K211" s="132"/>
      <c r="L211" s="132"/>
      <c r="M211" s="202"/>
      <c r="N211" s="205"/>
      <c r="O211" s="47"/>
    </row>
    <row r="212" spans="1:15" s="55" customFormat="1" ht="15" customHeight="1" outlineLevel="1">
      <c r="B212" s="28"/>
      <c r="C212" s="29"/>
      <c r="D212" s="50"/>
      <c r="E212" s="30"/>
      <c r="F212" s="30"/>
      <c r="G212" s="30"/>
      <c r="H212" s="30"/>
      <c r="I212" s="153"/>
      <c r="J212" s="153"/>
      <c r="K212" s="153"/>
      <c r="L212" s="153"/>
      <c r="M212" s="153"/>
      <c r="N212" s="88"/>
    </row>
    <row r="213" spans="1:15" s="55" customFormat="1" ht="15" customHeight="1" outlineLevel="1">
      <c r="B213" s="28"/>
      <c r="C213" s="29"/>
      <c r="D213" s="50"/>
      <c r="E213" s="30"/>
      <c r="F213" s="30"/>
      <c r="G213" s="30"/>
      <c r="H213" s="30"/>
      <c r="I213" s="153"/>
      <c r="J213" s="153"/>
      <c r="K213" s="153"/>
      <c r="L213" s="153"/>
      <c r="M213" s="153"/>
      <c r="N213" s="88"/>
    </row>
    <row r="214" spans="1:15" s="2" customFormat="1" ht="15" customHeight="1" outlineLevel="1">
      <c r="B214" s="231" t="s">
        <v>90</v>
      </c>
      <c r="C214" s="4"/>
      <c r="D214" s="8"/>
      <c r="E214" s="8"/>
      <c r="F214" s="30"/>
      <c r="G214" s="30"/>
      <c r="H214" s="30"/>
      <c r="I214" s="153"/>
      <c r="J214" s="153"/>
      <c r="K214" s="153"/>
      <c r="L214" s="153"/>
      <c r="M214" s="153"/>
      <c r="N214" s="88"/>
      <c r="O214" s="48"/>
    </row>
    <row r="215" spans="1:15" s="2" customFormat="1" ht="15" customHeight="1" outlineLevel="1">
      <c r="B215" s="238" t="s">
        <v>30</v>
      </c>
      <c r="C215" s="4"/>
      <c r="D215" s="8"/>
      <c r="E215" s="8"/>
      <c r="F215" s="30"/>
      <c r="G215" s="30"/>
      <c r="H215" s="24"/>
      <c r="I215" s="132">
        <f>I207</f>
        <v>13061.502962850012</v>
      </c>
      <c r="J215" s="132">
        <f>J207</f>
        <v>12772.844957366317</v>
      </c>
      <c r="K215" s="132">
        <f>K207</f>
        <v>12460.475897114535</v>
      </c>
      <c r="L215" s="132">
        <f>L207</f>
        <v>12060.61117908694</v>
      </c>
      <c r="M215" s="132">
        <f>M207</f>
        <v>11328.887463014515</v>
      </c>
      <c r="N215" s="111"/>
      <c r="O215" s="48"/>
    </row>
    <row r="216" spans="1:15" s="2" customFormat="1" ht="15" customHeight="1" outlineLevel="1">
      <c r="B216" s="238" t="s">
        <v>31</v>
      </c>
      <c r="C216" s="4"/>
      <c r="D216" s="8"/>
      <c r="E216" s="8"/>
      <c r="F216" s="30"/>
      <c r="G216" s="30"/>
      <c r="H216" s="135"/>
      <c r="I216" s="127">
        <v>4177.125</v>
      </c>
      <c r="J216" s="127">
        <v>4408.375</v>
      </c>
      <c r="K216" s="127">
        <v>4647.125</v>
      </c>
      <c r="L216" s="127">
        <v>4893.375</v>
      </c>
      <c r="M216" s="127">
        <v>5146.5</v>
      </c>
      <c r="N216" s="111"/>
      <c r="O216" s="47"/>
    </row>
    <row r="217" spans="1:15" s="2" customFormat="1" ht="15" customHeight="1" outlineLevel="1">
      <c r="B217" s="238" t="s">
        <v>32</v>
      </c>
      <c r="C217" s="4"/>
      <c r="D217" s="8"/>
      <c r="E217" s="8"/>
      <c r="F217" s="30"/>
      <c r="G217" s="30"/>
      <c r="H217" s="135"/>
      <c r="I217" s="128">
        <v>-6222.9</v>
      </c>
      <c r="J217" s="128">
        <v>-5983.2149999999992</v>
      </c>
      <c r="K217" s="128">
        <v>-5801.9827500000001</v>
      </c>
      <c r="L217" s="128">
        <v>-5670.4353375000001</v>
      </c>
      <c r="M217" s="128">
        <v>-5579.2450368749996</v>
      </c>
      <c r="N217" s="111"/>
      <c r="O217" s="47"/>
    </row>
    <row r="218" spans="1:15" s="2" customFormat="1" ht="15" customHeight="1" outlineLevel="1">
      <c r="B218" s="238" t="s">
        <v>45</v>
      </c>
      <c r="C218" s="4"/>
      <c r="D218" s="8"/>
      <c r="E218" s="8"/>
      <c r="F218" s="30"/>
      <c r="G218" s="30"/>
      <c r="H218" s="24"/>
      <c r="I218" s="111">
        <f>SUM(I215:I217)</f>
        <v>11015.727962850013</v>
      </c>
      <c r="J218" s="111">
        <f>SUM(J215:J217)</f>
        <v>11198.004957366316</v>
      </c>
      <c r="K218" s="111">
        <f>SUM(K215:K217)</f>
        <v>11305.618147114536</v>
      </c>
      <c r="L218" s="111">
        <f>SUM(L215:L217)</f>
        <v>11283.550841586941</v>
      </c>
      <c r="M218" s="111">
        <f>SUM(M215:M217)</f>
        <v>10896.142426139515</v>
      </c>
      <c r="N218" s="111"/>
      <c r="O218" s="48"/>
    </row>
    <row r="219" spans="1:15" s="2" customFormat="1" ht="15" customHeight="1" outlineLevel="1">
      <c r="B219" s="240"/>
      <c r="C219" s="4"/>
      <c r="D219" s="8"/>
      <c r="E219" s="8"/>
      <c r="F219" s="30"/>
      <c r="G219" s="30"/>
      <c r="H219" s="135"/>
      <c r="I219" s="24"/>
      <c r="J219" s="132"/>
      <c r="K219" s="24"/>
      <c r="L219" s="24"/>
      <c r="M219" s="24"/>
      <c r="N219" s="111"/>
      <c r="O219" s="47"/>
    </row>
    <row r="220" spans="1:15" s="2" customFormat="1" ht="15" customHeight="1" outlineLevel="1">
      <c r="B220" s="241" t="s">
        <v>91</v>
      </c>
      <c r="C220" s="4"/>
      <c r="D220" s="8"/>
      <c r="E220" s="8"/>
      <c r="F220" s="30"/>
      <c r="G220" s="30"/>
      <c r="H220" s="135"/>
      <c r="I220" s="24"/>
      <c r="J220" s="132"/>
      <c r="K220" s="24"/>
      <c r="L220" s="24"/>
      <c r="M220" s="24"/>
      <c r="N220" s="111"/>
      <c r="O220" s="47"/>
    </row>
    <row r="221" spans="1:15" s="2" customFormat="1" ht="15" customHeight="1" outlineLevel="1">
      <c r="B221" s="238" t="s">
        <v>45</v>
      </c>
      <c r="C221" s="4"/>
      <c r="D221" s="8"/>
      <c r="E221" s="8"/>
      <c r="F221" s="30"/>
      <c r="G221" s="30"/>
      <c r="H221" s="24"/>
      <c r="I221" s="111">
        <f>I218</f>
        <v>11015.727962850013</v>
      </c>
      <c r="J221" s="111">
        <f>J218</f>
        <v>11198.004957366316</v>
      </c>
      <c r="K221" s="111">
        <f>K218</f>
        <v>11305.618147114536</v>
      </c>
      <c r="L221" s="111">
        <f>L218</f>
        <v>11283.550841586941</v>
      </c>
      <c r="M221" s="111">
        <f>M218</f>
        <v>10896.142426139515</v>
      </c>
      <c r="N221" s="111"/>
      <c r="O221" s="47"/>
    </row>
    <row r="222" spans="1:15" s="2" customFormat="1" ht="15" customHeight="1" outlineLevel="1">
      <c r="B222" s="242" t="s">
        <v>100</v>
      </c>
      <c r="C222" s="4"/>
      <c r="D222" s="8"/>
      <c r="E222" s="8"/>
      <c r="F222" s="30"/>
      <c r="G222" s="30"/>
      <c r="H222" s="135"/>
      <c r="I222" s="109">
        <f>I228</f>
        <v>-11015.727962850013</v>
      </c>
      <c r="J222" s="109">
        <f>J228</f>
        <v>-11198.004957366316</v>
      </c>
      <c r="K222" s="109">
        <f>K228</f>
        <v>-1914.2670797836709</v>
      </c>
      <c r="L222" s="109">
        <f>L228</f>
        <v>0</v>
      </c>
      <c r="M222" s="109">
        <f>M228</f>
        <v>0</v>
      </c>
      <c r="N222" s="111"/>
      <c r="O222" s="47"/>
    </row>
    <row r="223" spans="1:15" s="2" customFormat="1" ht="15" customHeight="1" outlineLevel="1">
      <c r="B223" s="238" t="s">
        <v>33</v>
      </c>
      <c r="C223" s="4"/>
      <c r="D223" s="8"/>
      <c r="E223" s="8"/>
      <c r="F223" s="30"/>
      <c r="G223" s="30"/>
      <c r="H223" s="135"/>
      <c r="I223" s="111">
        <f xml:space="preserve"> MAX(SUM(I221:I222),0)</f>
        <v>0</v>
      </c>
      <c r="J223" s="111">
        <f xml:space="preserve"> MAX(SUM(J221:J222),0)</f>
        <v>0</v>
      </c>
      <c r="K223" s="111">
        <f xml:space="preserve"> MAX(SUM(K221:K222),0)</f>
        <v>9391.3510673308647</v>
      </c>
      <c r="L223" s="111">
        <f xml:space="preserve"> MAX(SUM(L221:L222),0)</f>
        <v>11283.550841586941</v>
      </c>
      <c r="M223" s="111">
        <f xml:space="preserve"> MAX(SUM(M221:M222),0)</f>
        <v>10896.142426139515</v>
      </c>
      <c r="N223" s="111"/>
      <c r="O223" s="48"/>
    </row>
    <row r="224" spans="1:15" s="2" customFormat="1" ht="15" customHeight="1" outlineLevel="1">
      <c r="B224" s="240"/>
      <c r="C224" s="4"/>
      <c r="D224" s="8"/>
      <c r="E224" s="8"/>
      <c r="F224" s="30"/>
      <c r="G224" s="30"/>
      <c r="H224" s="135"/>
      <c r="I224" s="135"/>
      <c r="J224" s="173"/>
      <c r="K224" s="135"/>
      <c r="L224" s="135"/>
      <c r="M224" s="135"/>
      <c r="N224" s="173"/>
      <c r="O224" s="48"/>
    </row>
    <row r="225" spans="2:15" s="2" customFormat="1" ht="15" customHeight="1" outlineLevel="1">
      <c r="B225" s="241" t="s">
        <v>92</v>
      </c>
      <c r="C225" s="4"/>
      <c r="D225" s="8"/>
      <c r="E225" s="8"/>
      <c r="F225" s="30"/>
      <c r="G225" s="30"/>
      <c r="H225" s="135"/>
      <c r="I225" s="135"/>
      <c r="J225" s="173"/>
      <c r="K225" s="135"/>
      <c r="L225" s="135"/>
      <c r="M225" s="135"/>
      <c r="N225" s="173"/>
      <c r="O225" s="48"/>
    </row>
    <row r="226" spans="2:15" s="2" customFormat="1" ht="15" customHeight="1" outlineLevel="1">
      <c r="B226" s="238" t="s">
        <v>7</v>
      </c>
      <c r="C226" s="4"/>
      <c r="D226" s="8"/>
      <c r="E226" s="8"/>
      <c r="F226" s="30"/>
      <c r="G226" s="30"/>
      <c r="H226" s="135"/>
      <c r="I226" s="132">
        <f>H229</f>
        <v>24128</v>
      </c>
      <c r="J226" s="132">
        <f>I229</f>
        <v>13112.272037149987</v>
      </c>
      <c r="K226" s="132">
        <f>J229</f>
        <v>1914.2670797836709</v>
      </c>
      <c r="L226" s="132">
        <f>K229</f>
        <v>0</v>
      </c>
      <c r="M226" s="132">
        <f>L229</f>
        <v>0</v>
      </c>
      <c r="N226" s="111"/>
      <c r="O226" s="48"/>
    </row>
    <row r="227" spans="2:15" s="2" customFormat="1" ht="15" customHeight="1" outlineLevel="1">
      <c r="B227" s="238" t="s">
        <v>34</v>
      </c>
      <c r="C227" s="4"/>
      <c r="D227" s="8"/>
      <c r="E227" s="8"/>
      <c r="F227" s="30"/>
      <c r="G227" s="30"/>
      <c r="H227" s="135"/>
      <c r="I227" s="132">
        <f>-MIN(I215,0)</f>
        <v>0</v>
      </c>
      <c r="J227" s="132">
        <f>-MIN(J215,0)</f>
        <v>0</v>
      </c>
      <c r="K227" s="132">
        <f>-MIN(K215,0)</f>
        <v>0</v>
      </c>
      <c r="L227" s="132">
        <f>-MIN(L215,0)</f>
        <v>0</v>
      </c>
      <c r="M227" s="132">
        <f>-MIN(M215,0)</f>
        <v>0</v>
      </c>
      <c r="N227" s="111"/>
      <c r="O227" s="48"/>
    </row>
    <row r="228" spans="2:15" s="2" customFormat="1" ht="15" customHeight="1" outlineLevel="1">
      <c r="B228" s="242" t="s">
        <v>46</v>
      </c>
      <c r="C228" s="4"/>
      <c r="D228" s="8"/>
      <c r="E228" s="8"/>
      <c r="F228" s="30"/>
      <c r="G228" s="30"/>
      <c r="H228" s="190"/>
      <c r="I228" s="109">
        <f>-MIN(I226,I221)*I208</f>
        <v>-11015.727962850013</v>
      </c>
      <c r="J228" s="109">
        <f>-MIN(J226,J221)*J208</f>
        <v>-11198.004957366316</v>
      </c>
      <c r="K228" s="109">
        <f>-MIN(K226,K221)*K208</f>
        <v>-1914.2670797836709</v>
      </c>
      <c r="L228" s="109">
        <f>-MIN(L226,L221)*L208</f>
        <v>0</v>
      </c>
      <c r="M228" s="109">
        <f>-MIN(M226,M221)*M208</f>
        <v>0</v>
      </c>
      <c r="N228" s="111"/>
      <c r="O228" s="48"/>
    </row>
    <row r="229" spans="2:15" s="2" customFormat="1" ht="15" customHeight="1" outlineLevel="1">
      <c r="B229" s="238" t="s">
        <v>8</v>
      </c>
      <c r="C229" s="4"/>
      <c r="D229" s="8"/>
      <c r="E229" s="8"/>
      <c r="F229" s="30"/>
      <c r="G229" s="30"/>
      <c r="H229" s="120">
        <v>24128</v>
      </c>
      <c r="I229" s="111">
        <f>SUM(I226:I228)</f>
        <v>13112.272037149987</v>
      </c>
      <c r="J229" s="111">
        <f>SUM(J226:J228)</f>
        <v>1914.2670797836709</v>
      </c>
      <c r="K229" s="111">
        <f>SUM(K226:K228)</f>
        <v>0</v>
      </c>
      <c r="L229" s="111">
        <f>SUM(L226:L228)</f>
        <v>0</v>
      </c>
      <c r="M229" s="111">
        <f>SUM(M226:M228)</f>
        <v>0</v>
      </c>
      <c r="N229" s="111"/>
      <c r="O229" s="47"/>
    </row>
    <row r="230" spans="2:15" s="2" customFormat="1" ht="15" customHeight="1" outlineLevel="1">
      <c r="B230" s="240"/>
      <c r="C230" s="4"/>
      <c r="D230" s="8"/>
      <c r="E230" s="8"/>
      <c r="F230" s="30"/>
      <c r="G230" s="30"/>
      <c r="H230" s="135"/>
      <c r="I230" s="135"/>
      <c r="J230" s="135"/>
      <c r="K230" s="135"/>
      <c r="L230" s="135"/>
      <c r="M230" s="135"/>
      <c r="N230" s="173"/>
      <c r="O230" s="48"/>
    </row>
    <row r="231" spans="2:15" s="2" customFormat="1" ht="15" customHeight="1" outlineLevel="1">
      <c r="B231" s="56"/>
      <c r="C231" s="57"/>
      <c r="D231" s="58"/>
      <c r="E231" s="58"/>
      <c r="F231" s="58"/>
      <c r="G231" s="58"/>
      <c r="H231" s="191"/>
      <c r="I231" s="191"/>
      <c r="J231" s="191"/>
      <c r="K231" s="191"/>
      <c r="L231" s="191"/>
      <c r="M231" s="191"/>
      <c r="N231" s="227"/>
      <c r="O231" s="48"/>
    </row>
    <row r="232" spans="2:15" s="2" customFormat="1" ht="15" customHeight="1" outlineLevel="1">
      <c r="B232" s="243"/>
      <c r="C232" s="29"/>
      <c r="D232" s="30"/>
      <c r="E232" s="30"/>
      <c r="F232" s="30"/>
      <c r="G232" s="30"/>
      <c r="H232" s="135"/>
      <c r="I232" s="135"/>
      <c r="J232" s="135"/>
      <c r="K232" s="135"/>
      <c r="L232" s="135"/>
      <c r="M232" s="135"/>
      <c r="N232" s="173"/>
      <c r="O232" s="48"/>
    </row>
    <row r="233" spans="2:15" s="2" customFormat="1" ht="15" customHeight="1" outlineLevel="1">
      <c r="B233" s="231" t="s">
        <v>93</v>
      </c>
      <c r="C233" s="4"/>
      <c r="D233" s="8"/>
      <c r="E233" s="8"/>
      <c r="F233" s="30"/>
      <c r="G233" s="30"/>
      <c r="H233" s="135"/>
      <c r="I233" s="135"/>
      <c r="J233" s="135"/>
      <c r="K233" s="135"/>
      <c r="L233" s="135"/>
      <c r="M233" s="135"/>
      <c r="N233" s="173"/>
      <c r="O233" s="48"/>
    </row>
    <row r="234" spans="2:15" s="2" customFormat="1" ht="15" customHeight="1" outlineLevel="1">
      <c r="B234" s="238" t="s">
        <v>35</v>
      </c>
      <c r="C234" s="4"/>
      <c r="D234" s="8"/>
      <c r="E234" s="8"/>
      <c r="F234" s="16"/>
      <c r="G234" s="16"/>
      <c r="H234" s="24"/>
      <c r="I234" s="111">
        <f>$D$210*I223</f>
        <v>0</v>
      </c>
      <c r="J234" s="111">
        <f>$D$210*J223</f>
        <v>0</v>
      </c>
      <c r="K234" s="111">
        <f>$D$210*K223</f>
        <v>2817.4053201992592</v>
      </c>
      <c r="L234" s="111">
        <f>$D$210*L223</f>
        <v>3385.0652524760822</v>
      </c>
      <c r="M234" s="111">
        <f>$D$210*M223</f>
        <v>3268.8427278418544</v>
      </c>
      <c r="N234" s="111"/>
    </row>
    <row r="235" spans="2:15" s="2" customFormat="1" ht="15" customHeight="1" outlineLevel="1">
      <c r="B235" s="238" t="s">
        <v>36</v>
      </c>
      <c r="C235" s="4"/>
      <c r="D235" s="8"/>
      <c r="E235" s="8"/>
      <c r="F235" s="30"/>
      <c r="G235" s="30"/>
      <c r="H235" s="135"/>
      <c r="I235" s="111">
        <f>I236-I234</f>
        <v>3918.4508888550035</v>
      </c>
      <c r="J235" s="111">
        <f>J236-J234</f>
        <v>3831.8534872098949</v>
      </c>
      <c r="K235" s="111">
        <f>K236-K234</f>
        <v>920.73744893510093</v>
      </c>
      <c r="L235" s="111">
        <f>L236-L234</f>
        <v>233.11810124999965</v>
      </c>
      <c r="M235" s="111">
        <f>M236-M234</f>
        <v>129.82351106250007</v>
      </c>
      <c r="N235" s="111"/>
    </row>
    <row r="236" spans="2:15" s="2" customFormat="1" ht="15" customHeight="1" outlineLevel="1" thickBot="1">
      <c r="B236" s="238" t="s">
        <v>37</v>
      </c>
      <c r="C236" s="4"/>
      <c r="D236" s="8"/>
      <c r="E236" s="8"/>
      <c r="F236" s="30"/>
      <c r="G236" s="30"/>
      <c r="H236" s="135"/>
      <c r="I236" s="267">
        <f>MAX($D$210*I215,0)</f>
        <v>3918.4508888550035</v>
      </c>
      <c r="J236" s="267">
        <f>MAX($D$210*J215,0)</f>
        <v>3831.8534872098949</v>
      </c>
      <c r="K236" s="267">
        <f>MAX($D$210*K215,0)</f>
        <v>3738.1427691343602</v>
      </c>
      <c r="L236" s="267">
        <f>MAX($D$210*L215,0)</f>
        <v>3618.1833537260818</v>
      </c>
      <c r="M236" s="267">
        <f>MAX($D$210*M215,0)</f>
        <v>3398.6662389043545</v>
      </c>
      <c r="N236" s="111"/>
    </row>
    <row r="237" spans="2:15" s="2" customFormat="1" ht="15" customHeight="1" outlineLevel="1">
      <c r="B237" s="7"/>
      <c r="C237" s="4"/>
      <c r="D237" s="8"/>
      <c r="E237" s="8"/>
      <c r="F237" s="30"/>
      <c r="G237" s="30"/>
      <c r="H237" s="30"/>
      <c r="I237" s="44"/>
      <c r="J237" s="44"/>
      <c r="K237" s="44"/>
      <c r="L237" s="44"/>
      <c r="M237" s="44"/>
      <c r="N237" s="88"/>
      <c r="O237" s="47"/>
    </row>
    <row r="238" spans="2:15" s="9" customFormat="1" ht="15" customHeight="1" outlineLevel="1">
      <c r="B238" s="147"/>
      <c r="C238" s="147"/>
      <c r="D238" s="148"/>
      <c r="E238" s="148"/>
      <c r="F238" s="151"/>
      <c r="G238" s="151"/>
      <c r="H238" s="151"/>
      <c r="I238" s="152"/>
      <c r="J238" s="152"/>
      <c r="K238" s="152"/>
      <c r="L238" s="152"/>
      <c r="M238" s="166"/>
      <c r="N238" s="166"/>
      <c r="O238" s="210"/>
    </row>
    <row r="239" spans="2:15" s="2" customFormat="1" ht="15" customHeight="1" outlineLevel="1">
      <c r="C239" s="4"/>
      <c r="D239" s="8"/>
      <c r="E239" s="8"/>
      <c r="F239" s="30"/>
      <c r="G239" s="30"/>
      <c r="H239" s="30"/>
      <c r="I239" s="44"/>
      <c r="J239" s="44"/>
      <c r="K239" s="44"/>
      <c r="L239" s="44"/>
      <c r="M239" s="219" t="s">
        <v>97</v>
      </c>
      <c r="O239" s="47"/>
    </row>
    <row r="240" spans="2:15" s="2" customFormat="1" ht="15" customHeight="1" outlineLevel="1">
      <c r="C240" s="4"/>
      <c r="D240" s="8"/>
      <c r="E240" s="8"/>
      <c r="F240" s="30"/>
      <c r="G240" s="30"/>
      <c r="H240" s="30"/>
      <c r="I240" s="44"/>
      <c r="J240" s="44"/>
      <c r="K240" s="44"/>
      <c r="L240" s="44"/>
      <c r="M240" s="220" t="s">
        <v>98</v>
      </c>
      <c r="O240" s="47"/>
    </row>
    <row r="241" spans="2:15" s="2" customFormat="1" ht="15" customHeight="1" outlineLevel="1">
      <c r="C241" s="4"/>
      <c r="D241" s="8"/>
      <c r="E241" s="8"/>
      <c r="F241" s="30"/>
      <c r="G241" s="30"/>
      <c r="H241" s="30"/>
      <c r="I241" s="44"/>
      <c r="J241" s="44"/>
      <c r="K241" s="44"/>
      <c r="L241" s="44"/>
      <c r="M241" s="150"/>
      <c r="O241" s="47"/>
    </row>
    <row r="242" spans="2:15" s="2" customFormat="1" ht="15" customHeight="1" outlineLevel="1">
      <c r="B242" s="31"/>
      <c r="C242" s="32"/>
      <c r="D242" s="33"/>
      <c r="E242" s="33"/>
      <c r="F242" s="33"/>
      <c r="G242" s="33"/>
      <c r="H242" s="33"/>
      <c r="I242" s="51"/>
      <c r="J242" s="51"/>
      <c r="K242" s="51"/>
      <c r="L242" s="51"/>
      <c r="M242" s="51"/>
      <c r="N242" s="51"/>
      <c r="O242" s="48"/>
    </row>
    <row r="243" spans="2:15" s="2" customFormat="1" ht="15" customHeight="1">
      <c r="B243" s="28"/>
      <c r="C243" s="29"/>
      <c r="D243" s="30"/>
      <c r="E243" s="30"/>
      <c r="F243" s="30"/>
      <c r="G243" s="30"/>
      <c r="H243" s="30"/>
      <c r="I243" s="44"/>
      <c r="J243" s="44"/>
      <c r="K243" s="44"/>
      <c r="L243" s="44"/>
      <c r="M243" s="44"/>
      <c r="N243" s="44"/>
      <c r="O243" s="48"/>
    </row>
  </sheetData>
  <conditionalFormatting sqref="I42:N42">
    <cfRule type="expression" dxfId="2" priority="16">
      <formula>I$42=1</formula>
    </cfRule>
  </conditionalFormatting>
  <conditionalFormatting sqref="D211">
    <cfRule type="expression" dxfId="1" priority="12">
      <formula>$D$211=1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scale="88" orientation="landscape" r:id="rId1"/>
  <headerFooter>
    <oddFooter>&amp;L&amp;"Open Sans,Bold"&amp;10&amp;K002060DCF Valuation Modeling&amp;C&amp;"Open Sans,Bold"&amp;10&amp;K002060Page &amp;P of 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6767-E7E6-45AD-8F48-2BDBB9113625}">
  <dimension ref="A2:N90"/>
  <sheetViews>
    <sheetView showGridLines="0" tabSelected="1" zoomScaleNormal="100" workbookViewId="0">
      <selection activeCell="A46" sqref="A46"/>
    </sheetView>
  </sheetViews>
  <sheetFormatPr defaultRowHeight="15"/>
  <cols>
    <col min="2" max="2" width="17.7109375" customWidth="1"/>
    <col min="3" max="3" width="11.28515625" customWidth="1"/>
    <col min="4" max="4" width="15.7109375" customWidth="1"/>
    <col min="5" max="5" width="1.7109375" customWidth="1"/>
    <col min="6" max="14" width="10.28515625" customWidth="1"/>
  </cols>
  <sheetData>
    <row r="2" spans="1:14" ht="15" customHeight="1">
      <c r="A2" s="1" t="s">
        <v>80</v>
      </c>
      <c r="B2" s="297" t="s">
        <v>18</v>
      </c>
      <c r="C2" s="298"/>
      <c r="D2" s="299"/>
      <c r="E2" s="299"/>
      <c r="F2" s="300"/>
      <c r="G2" s="300"/>
      <c r="H2" s="300"/>
      <c r="I2" s="300"/>
      <c r="J2" s="300"/>
      <c r="K2" s="300"/>
      <c r="L2" s="300"/>
      <c r="M2" s="300"/>
      <c r="N2" s="301" t="s">
        <v>80</v>
      </c>
    </row>
    <row r="3" spans="1:14" ht="15" customHeight="1">
      <c r="A3" s="162"/>
      <c r="B3" s="302"/>
      <c r="C3" s="303"/>
      <c r="D3" s="304"/>
      <c r="E3" s="304"/>
      <c r="F3" s="305"/>
      <c r="G3" s="305"/>
      <c r="H3" s="305"/>
      <c r="I3" s="305"/>
      <c r="J3" s="305"/>
      <c r="K3" s="305"/>
      <c r="L3" s="305"/>
      <c r="M3" s="305"/>
      <c r="N3" s="306"/>
    </row>
    <row r="4" spans="1:14" ht="15" customHeight="1" thickBot="1">
      <c r="A4" s="1"/>
      <c r="B4" s="307" t="s">
        <v>19</v>
      </c>
      <c r="C4" s="303"/>
      <c r="D4" s="308"/>
      <c r="E4" s="308"/>
      <c r="F4" s="309">
        <f>G4-1</f>
        <v>2020</v>
      </c>
      <c r="G4" s="309">
        <f>H4-1</f>
        <v>2021</v>
      </c>
      <c r="H4" s="309">
        <f>I4-1</f>
        <v>2022</v>
      </c>
      <c r="I4" s="310">
        <v>2023</v>
      </c>
      <c r="J4" s="311">
        <f>I4+1</f>
        <v>2024</v>
      </c>
      <c r="K4" s="311">
        <f>J4+1</f>
        <v>2025</v>
      </c>
      <c r="L4" s="311">
        <f>K4+1</f>
        <v>2026</v>
      </c>
      <c r="M4" s="311">
        <f>L4+1</f>
        <v>2027</v>
      </c>
      <c r="N4" s="312" t="s">
        <v>63</v>
      </c>
    </row>
    <row r="5" spans="1:14" ht="15" customHeight="1">
      <c r="A5" s="1"/>
      <c r="B5" s="307" t="s">
        <v>102</v>
      </c>
      <c r="C5" s="303"/>
      <c r="D5" s="308"/>
      <c r="E5" s="308"/>
      <c r="F5" s="308"/>
      <c r="G5" s="308"/>
      <c r="H5" s="308"/>
      <c r="I5" s="313"/>
      <c r="J5" s="313"/>
      <c r="K5" s="313"/>
      <c r="L5" s="313"/>
      <c r="M5" s="313"/>
      <c r="N5" s="313"/>
    </row>
    <row r="6" spans="1:14" ht="15" customHeight="1">
      <c r="A6" s="1"/>
      <c r="B6" s="296"/>
      <c r="C6" s="303"/>
      <c r="D6" s="308"/>
      <c r="E6" s="308"/>
      <c r="F6" s="308"/>
      <c r="G6" s="308"/>
      <c r="H6" s="308"/>
      <c r="I6" s="313"/>
      <c r="J6" s="313"/>
      <c r="K6" s="313"/>
      <c r="L6" s="313"/>
      <c r="M6" s="313"/>
      <c r="N6" s="313"/>
    </row>
    <row r="7" spans="1:14" ht="15" customHeight="1">
      <c r="A7" s="314"/>
      <c r="B7" s="315" t="s">
        <v>1</v>
      </c>
      <c r="C7" s="316">
        <v>365</v>
      </c>
      <c r="D7" s="317"/>
      <c r="E7" s="318"/>
      <c r="F7" s="408">
        <f>$C$7</f>
        <v>365</v>
      </c>
      <c r="G7" s="409">
        <f>$C$7</f>
        <v>365</v>
      </c>
      <c r="H7" s="409">
        <f>$C$7</f>
        <v>365</v>
      </c>
      <c r="I7" s="409">
        <f>$C$7</f>
        <v>365</v>
      </c>
      <c r="J7" s="409">
        <f>$C$7</f>
        <v>365</v>
      </c>
      <c r="K7" s="409">
        <f>$C$7</f>
        <v>365</v>
      </c>
      <c r="L7" s="409">
        <f>$C$7</f>
        <v>365</v>
      </c>
      <c r="M7" s="409">
        <f>$C$7</f>
        <v>365</v>
      </c>
      <c r="N7" s="410">
        <f>$C$7</f>
        <v>365</v>
      </c>
    </row>
    <row r="8" spans="1:14" ht="15" customHeight="1">
      <c r="A8" s="319"/>
      <c r="B8" s="320" t="s">
        <v>9</v>
      </c>
      <c r="C8" s="321">
        <v>1600</v>
      </c>
      <c r="D8" s="317"/>
      <c r="E8" s="308"/>
      <c r="F8" s="322"/>
      <c r="G8" s="322"/>
      <c r="H8" s="322"/>
      <c r="I8" s="322"/>
      <c r="J8" s="322"/>
      <c r="K8" s="322"/>
      <c r="L8" s="322"/>
      <c r="M8" s="322"/>
      <c r="N8" s="322"/>
    </row>
    <row r="9" spans="1:14" ht="15" customHeight="1">
      <c r="A9" s="319"/>
      <c r="B9" s="307"/>
      <c r="C9" s="303"/>
      <c r="D9" s="308"/>
      <c r="E9" s="308"/>
      <c r="F9" s="308"/>
      <c r="G9" s="308"/>
      <c r="H9" s="308"/>
      <c r="I9" s="319"/>
      <c r="J9" s="319"/>
      <c r="K9" s="319"/>
      <c r="L9" s="319"/>
      <c r="M9" s="319"/>
      <c r="N9" s="323"/>
    </row>
    <row r="10" spans="1:14" ht="15" customHeight="1">
      <c r="A10" s="319"/>
      <c r="B10" s="307"/>
      <c r="C10" s="303"/>
      <c r="D10" s="308"/>
      <c r="E10" s="308"/>
      <c r="F10" s="308"/>
      <c r="G10" s="308"/>
      <c r="H10" s="308"/>
      <c r="I10" s="319"/>
      <c r="J10" s="319"/>
      <c r="K10" s="319"/>
      <c r="L10" s="319"/>
      <c r="M10" s="319"/>
      <c r="N10" s="323"/>
    </row>
    <row r="11" spans="1:14" ht="15" customHeight="1">
      <c r="A11" s="314"/>
      <c r="B11" s="324" t="s">
        <v>70</v>
      </c>
      <c r="C11" s="325"/>
      <c r="D11" s="326"/>
      <c r="E11" s="318"/>
      <c r="F11" s="327"/>
      <c r="G11" s="328"/>
      <c r="H11" s="328"/>
      <c r="I11" s="319"/>
      <c r="J11" s="319"/>
      <c r="K11" s="319"/>
      <c r="L11" s="319"/>
      <c r="M11" s="319"/>
      <c r="N11" s="323"/>
    </row>
    <row r="12" spans="1:14" ht="15" customHeight="1">
      <c r="A12" s="314"/>
      <c r="B12" s="329"/>
      <c r="C12" s="325"/>
      <c r="D12" s="326"/>
      <c r="E12" s="318"/>
      <c r="F12" s="328"/>
      <c r="G12" s="328"/>
      <c r="H12" s="328"/>
      <c r="I12" s="328"/>
      <c r="J12" s="328"/>
      <c r="K12" s="328"/>
      <c r="L12" s="328"/>
      <c r="M12" s="328"/>
      <c r="N12" s="330"/>
    </row>
    <row r="13" spans="1:14" ht="15" customHeight="1">
      <c r="A13" s="319"/>
      <c r="B13" s="331" t="s">
        <v>11</v>
      </c>
      <c r="C13" s="303"/>
      <c r="D13" s="308"/>
      <c r="E13" s="308"/>
      <c r="F13" s="308"/>
      <c r="G13" s="332">
        <f>G15/F15-1</f>
        <v>1.9650655021834051E-2</v>
      </c>
      <c r="H13" s="332">
        <f>H15/G15-1</f>
        <v>2.0699500356887945E-2</v>
      </c>
      <c r="I13" s="333">
        <v>0.02</v>
      </c>
      <c r="J13" s="333">
        <v>0.01</v>
      </c>
      <c r="K13" s="333">
        <v>0.01</v>
      </c>
      <c r="L13" s="333">
        <v>5.0000000000000001E-3</v>
      </c>
      <c r="M13" s="333">
        <v>5.0000000000000001E-3</v>
      </c>
      <c r="N13" s="334">
        <v>5.0000000000000001E-3</v>
      </c>
    </row>
    <row r="14" spans="1:14" ht="15" customHeight="1">
      <c r="A14" s="319"/>
      <c r="B14" s="331"/>
      <c r="C14" s="303"/>
      <c r="D14" s="308"/>
      <c r="E14" s="308"/>
      <c r="F14" s="308"/>
      <c r="G14" s="332"/>
      <c r="H14" s="332"/>
      <c r="I14" s="335"/>
      <c r="J14" s="335"/>
      <c r="K14" s="335"/>
      <c r="L14" s="335"/>
      <c r="M14" s="335"/>
      <c r="N14" s="336"/>
    </row>
    <row r="15" spans="1:14" ht="15" customHeight="1">
      <c r="A15" s="319"/>
      <c r="B15" s="331" t="s">
        <v>12</v>
      </c>
      <c r="C15" s="303"/>
      <c r="D15" s="326" t="s">
        <v>10</v>
      </c>
      <c r="E15" s="308"/>
      <c r="F15" s="337">
        <v>1374</v>
      </c>
      <c r="G15" s="337">
        <v>1401</v>
      </c>
      <c r="H15" s="337">
        <v>1430</v>
      </c>
      <c r="I15" s="322">
        <f>H15*(1+I13)</f>
        <v>1458.6000000000001</v>
      </c>
      <c r="J15" s="322">
        <f>I15*(1+J13)</f>
        <v>1473.1860000000001</v>
      </c>
      <c r="K15" s="322">
        <f>J15*(1+K13)</f>
        <v>1487.9178600000002</v>
      </c>
      <c r="L15" s="322">
        <f>K15*(1+L13)</f>
        <v>1495.3574493000001</v>
      </c>
      <c r="M15" s="322">
        <f>L15*(1+M13)</f>
        <v>1502.8342365465001</v>
      </c>
      <c r="N15" s="338">
        <f>M15*(1+N13)</f>
        <v>1510.3484077292323</v>
      </c>
    </row>
    <row r="16" spans="1:14" ht="15" customHeight="1">
      <c r="A16" s="314"/>
      <c r="B16" s="331" t="s">
        <v>9</v>
      </c>
      <c r="C16" s="325"/>
      <c r="D16" s="326" t="s">
        <v>10</v>
      </c>
      <c r="E16" s="318"/>
      <c r="F16" s="337">
        <v>1600</v>
      </c>
      <c r="G16" s="337">
        <v>1600</v>
      </c>
      <c r="H16" s="337">
        <v>1600</v>
      </c>
      <c r="I16" s="322">
        <f>$C$8</f>
        <v>1600</v>
      </c>
      <c r="J16" s="322">
        <f>$C$8</f>
        <v>1600</v>
      </c>
      <c r="K16" s="322">
        <f>$C$8</f>
        <v>1600</v>
      </c>
      <c r="L16" s="322">
        <f>$C$8</f>
        <v>1600</v>
      </c>
      <c r="M16" s="322">
        <f>$C$8</f>
        <v>1600</v>
      </c>
      <c r="N16" s="411">
        <f>$C$8</f>
        <v>1600</v>
      </c>
    </row>
    <row r="17" spans="1:14" ht="15" customHeight="1">
      <c r="A17" s="314"/>
      <c r="B17" s="331" t="s">
        <v>13</v>
      </c>
      <c r="C17" s="303"/>
      <c r="D17" s="308"/>
      <c r="E17" s="308"/>
      <c r="F17" s="339">
        <f>F15/F16</f>
        <v>0.85875000000000001</v>
      </c>
      <c r="G17" s="339">
        <f>G15/G16</f>
        <v>0.87562499999999999</v>
      </c>
      <c r="H17" s="339">
        <f>H15/H16</f>
        <v>0.89375000000000004</v>
      </c>
      <c r="I17" s="339">
        <f>I15/I16</f>
        <v>0.91162500000000013</v>
      </c>
      <c r="J17" s="339">
        <f>J15/J16</f>
        <v>0.92074125000000007</v>
      </c>
      <c r="K17" s="339">
        <f>K15/K16</f>
        <v>0.92994866250000019</v>
      </c>
      <c r="L17" s="339">
        <f>L15/L16</f>
        <v>0.93459840581250009</v>
      </c>
      <c r="M17" s="339">
        <f>M15/M16</f>
        <v>0.93927139784156255</v>
      </c>
      <c r="N17" s="340">
        <f>N15/N16</f>
        <v>0.94396775483077022</v>
      </c>
    </row>
    <row r="18" spans="1:14" ht="15" customHeight="1">
      <c r="A18" s="319"/>
      <c r="B18" s="296"/>
      <c r="C18" s="303"/>
      <c r="D18" s="326"/>
      <c r="E18" s="308"/>
      <c r="F18" s="322"/>
      <c r="G18" s="322"/>
      <c r="H18" s="322"/>
      <c r="I18" s="322"/>
      <c r="J18" s="322"/>
      <c r="K18" s="322"/>
      <c r="L18" s="322"/>
      <c r="M18" s="322"/>
      <c r="N18" s="322"/>
    </row>
    <row r="19" spans="1:14" ht="15" customHeight="1">
      <c r="A19" s="319"/>
      <c r="B19" s="341"/>
      <c r="C19" s="342"/>
      <c r="D19" s="343"/>
      <c r="E19" s="344"/>
      <c r="F19" s="345"/>
      <c r="G19" s="345"/>
      <c r="H19" s="345"/>
      <c r="I19" s="345"/>
      <c r="J19" s="345"/>
      <c r="K19" s="345"/>
      <c r="L19" s="345"/>
      <c r="M19" s="345"/>
      <c r="N19" s="345"/>
    </row>
    <row r="20" spans="1:14" ht="15" customHeight="1">
      <c r="A20" s="319"/>
      <c r="B20" s="307"/>
      <c r="C20" s="303"/>
      <c r="D20" s="308"/>
      <c r="E20" s="308"/>
      <c r="F20" s="308"/>
      <c r="G20" s="308"/>
      <c r="H20" s="308"/>
      <c r="I20" s="319"/>
      <c r="J20" s="319"/>
      <c r="K20" s="319"/>
      <c r="L20" s="319"/>
      <c r="M20" s="319"/>
      <c r="N20" s="319"/>
    </row>
    <row r="21" spans="1:14" ht="15" customHeight="1">
      <c r="A21" s="319"/>
      <c r="B21" s="307"/>
      <c r="C21" s="303"/>
      <c r="D21" s="308"/>
      <c r="E21" s="308"/>
      <c r="F21" s="308"/>
      <c r="G21" s="308"/>
      <c r="H21" s="308"/>
      <c r="I21" s="319"/>
      <c r="J21" s="319"/>
      <c r="K21" s="319"/>
      <c r="L21" s="319"/>
      <c r="M21" s="319"/>
      <c r="N21" s="319"/>
    </row>
    <row r="22" spans="1:14" ht="15" customHeight="1">
      <c r="A22" s="314"/>
      <c r="B22" s="324" t="s">
        <v>66</v>
      </c>
      <c r="C22" s="325"/>
      <c r="D22" s="326"/>
      <c r="E22" s="318"/>
      <c r="F22" s="328"/>
      <c r="G22" s="328"/>
      <c r="H22" s="328"/>
      <c r="I22" s="328"/>
      <c r="J22" s="328"/>
      <c r="K22" s="328"/>
      <c r="L22" s="328"/>
      <c r="M22" s="328"/>
      <c r="N22" s="328"/>
    </row>
    <row r="23" spans="1:14" ht="15" customHeight="1">
      <c r="A23" s="314"/>
      <c r="B23" s="329"/>
      <c r="C23" s="325"/>
      <c r="D23" s="326"/>
      <c r="E23" s="318"/>
      <c r="F23" s="328"/>
      <c r="G23" s="328"/>
      <c r="H23" s="328"/>
      <c r="I23" s="328"/>
      <c r="J23" s="328"/>
      <c r="K23" s="328"/>
      <c r="L23" s="328"/>
      <c r="M23" s="328"/>
      <c r="N23" s="328"/>
    </row>
    <row r="24" spans="1:14" ht="15" customHeight="1">
      <c r="A24" s="319"/>
      <c r="B24" s="331" t="s">
        <v>1</v>
      </c>
      <c r="C24" s="303"/>
      <c r="D24" s="308"/>
      <c r="E24" s="308"/>
      <c r="F24" s="322">
        <f>F7</f>
        <v>365</v>
      </c>
      <c r="G24" s="322">
        <f>G7</f>
        <v>365</v>
      </c>
      <c r="H24" s="322">
        <f>H7</f>
        <v>365</v>
      </c>
      <c r="I24" s="322">
        <f>I7</f>
        <v>365</v>
      </c>
      <c r="J24" s="322">
        <f>J7</f>
        <v>365</v>
      </c>
      <c r="K24" s="322">
        <f>K7</f>
        <v>365</v>
      </c>
      <c r="L24" s="322">
        <f>L7</f>
        <v>365</v>
      </c>
      <c r="M24" s="322">
        <f>M7</f>
        <v>365</v>
      </c>
      <c r="N24" s="346">
        <f>N7</f>
        <v>365</v>
      </c>
    </row>
    <row r="25" spans="1:14" ht="15" customHeight="1">
      <c r="A25" s="319"/>
      <c r="B25" s="331" t="s">
        <v>12</v>
      </c>
      <c r="C25" s="303"/>
      <c r="D25" s="326" t="s">
        <v>10</v>
      </c>
      <c r="E25" s="308"/>
      <c r="F25" s="345">
        <f>F15</f>
        <v>1374</v>
      </c>
      <c r="G25" s="345">
        <f>G15</f>
        <v>1401</v>
      </c>
      <c r="H25" s="345">
        <f>H15</f>
        <v>1430</v>
      </c>
      <c r="I25" s="322">
        <f>I15</f>
        <v>1458.6000000000001</v>
      </c>
      <c r="J25" s="345">
        <f>J15</f>
        <v>1473.1860000000001</v>
      </c>
      <c r="K25" s="345">
        <f>K15</f>
        <v>1487.9178600000002</v>
      </c>
      <c r="L25" s="345">
        <f>L15</f>
        <v>1495.3574493000001</v>
      </c>
      <c r="M25" s="345">
        <f>M15</f>
        <v>1502.8342365465001</v>
      </c>
      <c r="N25" s="338">
        <f>N15</f>
        <v>1510.3484077292323</v>
      </c>
    </row>
    <row r="26" spans="1:14" ht="15" customHeight="1">
      <c r="A26" s="319"/>
      <c r="B26" s="331" t="s">
        <v>12</v>
      </c>
      <c r="C26" s="303"/>
      <c r="D26" s="326" t="s">
        <v>14</v>
      </c>
      <c r="E26" s="308"/>
      <c r="F26" s="322">
        <f>F25*F24</f>
        <v>501510</v>
      </c>
      <c r="G26" s="322">
        <f>G25*G24</f>
        <v>511365</v>
      </c>
      <c r="H26" s="322">
        <f>H25*H24</f>
        <v>521950</v>
      </c>
      <c r="I26" s="347">
        <f>I25*I24</f>
        <v>532389</v>
      </c>
      <c r="J26" s="322">
        <f>J25*J24</f>
        <v>537712.89</v>
      </c>
      <c r="K26" s="322">
        <f>K25*K24</f>
        <v>543090.01890000014</v>
      </c>
      <c r="L26" s="322">
        <f>L25*L24</f>
        <v>545805.4689945</v>
      </c>
      <c r="M26" s="322">
        <f>M25*M24</f>
        <v>548534.49633947248</v>
      </c>
      <c r="N26" s="346">
        <f>N25*N24</f>
        <v>551277.16882116976</v>
      </c>
    </row>
    <row r="27" spans="1:14" ht="15" customHeight="1">
      <c r="A27" s="319"/>
      <c r="B27" s="329"/>
      <c r="C27" s="303"/>
      <c r="D27" s="326"/>
      <c r="E27" s="308"/>
      <c r="F27" s="322"/>
      <c r="G27" s="322"/>
      <c r="H27" s="322"/>
      <c r="I27" s="348"/>
      <c r="J27" s="348"/>
      <c r="K27" s="348"/>
      <c r="L27" s="348"/>
      <c r="M27" s="348"/>
      <c r="N27" s="349"/>
    </row>
    <row r="28" spans="1:14" ht="15" customHeight="1">
      <c r="A28" s="319"/>
      <c r="B28" s="329"/>
      <c r="C28" s="303"/>
      <c r="D28" s="326"/>
      <c r="E28" s="308"/>
      <c r="F28" s="322"/>
      <c r="G28" s="322"/>
      <c r="H28" s="322"/>
      <c r="I28" s="348"/>
      <c r="J28" s="348"/>
      <c r="K28" s="348"/>
      <c r="L28" s="348"/>
      <c r="M28" s="348"/>
      <c r="N28" s="349"/>
    </row>
    <row r="29" spans="1:14" ht="15" customHeight="1">
      <c r="A29" s="314"/>
      <c r="B29" s="324" t="s">
        <v>65</v>
      </c>
      <c r="C29" s="325"/>
      <c r="D29" s="326"/>
      <c r="E29" s="326"/>
      <c r="F29" s="326"/>
      <c r="G29" s="326"/>
      <c r="H29" s="326"/>
      <c r="I29" s="326"/>
      <c r="J29" s="326"/>
      <c r="K29" s="326"/>
      <c r="L29" s="326"/>
      <c r="M29" s="322"/>
      <c r="N29" s="338"/>
    </row>
    <row r="30" spans="1:14" ht="15" customHeight="1">
      <c r="A30" s="314"/>
      <c r="B30" s="329"/>
      <c r="C30" s="325"/>
      <c r="D30" s="326"/>
      <c r="E30" s="318"/>
      <c r="F30" s="328"/>
      <c r="G30" s="328"/>
      <c r="H30" s="328"/>
      <c r="I30" s="328"/>
      <c r="J30" s="328"/>
      <c r="K30" s="328"/>
      <c r="L30" s="328"/>
      <c r="M30" s="328"/>
      <c r="N30" s="350"/>
    </row>
    <row r="31" spans="1:14" ht="15" customHeight="1">
      <c r="A31" s="319"/>
      <c r="B31" s="331" t="s">
        <v>17</v>
      </c>
      <c r="C31" s="303"/>
      <c r="D31" s="308"/>
      <c r="E31" s="308"/>
      <c r="F31" s="344"/>
      <c r="G31" s="351">
        <f>G32/F32-1</f>
        <v>1.701341629399189E-2</v>
      </c>
      <c r="H31" s="351">
        <f>H32/G32-1</f>
        <v>2.1030494216614182E-2</v>
      </c>
      <c r="I31" s="352">
        <v>0.03</v>
      </c>
      <c r="J31" s="352">
        <v>0.01</v>
      </c>
      <c r="K31" s="352">
        <v>0.01</v>
      </c>
      <c r="L31" s="352">
        <v>0.01</v>
      </c>
      <c r="M31" s="352">
        <v>5.0000000000000001E-3</v>
      </c>
      <c r="N31" s="353">
        <v>5.0000000000000001E-3</v>
      </c>
    </row>
    <row r="32" spans="1:14" ht="15" customHeight="1">
      <c r="A32" s="319"/>
      <c r="B32" s="331" t="s">
        <v>15</v>
      </c>
      <c r="C32" s="303"/>
      <c r="D32" s="326" t="s">
        <v>16</v>
      </c>
      <c r="E32" s="308"/>
      <c r="F32" s="354">
        <v>102.86</v>
      </c>
      <c r="G32" s="354">
        <v>104.61</v>
      </c>
      <c r="H32" s="354">
        <v>106.81</v>
      </c>
      <c r="I32" s="355">
        <f>H32*(1+I31)</f>
        <v>110.01430000000001</v>
      </c>
      <c r="J32" s="355">
        <f>I32*(1+J31)</f>
        <v>111.11444300000001</v>
      </c>
      <c r="K32" s="355">
        <f>J32*(1+K31)</f>
        <v>112.22558743</v>
      </c>
      <c r="L32" s="355">
        <f>K32*(1+L31)</f>
        <v>113.3478433043</v>
      </c>
      <c r="M32" s="355">
        <f>L32*(1+M31)</f>
        <v>113.91458252082148</v>
      </c>
      <c r="N32" s="356">
        <f>M32*(1+N31)</f>
        <v>114.48415543342558</v>
      </c>
    </row>
    <row r="33" spans="1:14" ht="15" customHeight="1">
      <c r="A33" s="319"/>
      <c r="B33" s="296"/>
      <c r="C33" s="303"/>
      <c r="D33" s="326"/>
      <c r="E33" s="308"/>
      <c r="F33" s="354"/>
      <c r="G33" s="354"/>
      <c r="H33" s="354"/>
      <c r="I33" s="357"/>
      <c r="J33" s="357"/>
      <c r="K33" s="357"/>
      <c r="L33" s="357"/>
      <c r="M33" s="357"/>
      <c r="N33" s="358"/>
    </row>
    <row r="34" spans="1:14" ht="15" customHeight="1">
      <c r="A34" s="319"/>
      <c r="B34" s="296"/>
      <c r="C34" s="303"/>
      <c r="D34" s="326"/>
      <c r="E34" s="308"/>
      <c r="F34" s="354"/>
      <c r="G34" s="354"/>
      <c r="H34" s="354"/>
      <c r="I34" s="357"/>
      <c r="J34" s="357"/>
      <c r="K34" s="357"/>
      <c r="L34" s="357"/>
      <c r="M34" s="357"/>
      <c r="N34" s="358"/>
    </row>
    <row r="35" spans="1:14" ht="15" customHeight="1">
      <c r="A35" s="314"/>
      <c r="B35" s="324" t="s">
        <v>64</v>
      </c>
      <c r="C35" s="325"/>
      <c r="D35" s="326"/>
      <c r="E35" s="318"/>
      <c r="F35" s="328"/>
      <c r="G35" s="328"/>
      <c r="H35" s="328"/>
      <c r="I35" s="328"/>
      <c r="J35" s="328"/>
      <c r="K35" s="328"/>
      <c r="L35" s="328"/>
      <c r="M35" s="328"/>
      <c r="N35" s="350"/>
    </row>
    <row r="36" spans="1:14" ht="15" customHeight="1">
      <c r="A36" s="314"/>
      <c r="B36" s="329"/>
      <c r="C36" s="325"/>
      <c r="D36" s="326"/>
      <c r="E36" s="318"/>
      <c r="F36" s="328"/>
      <c r="G36" s="328"/>
      <c r="H36" s="328"/>
      <c r="I36" s="328"/>
      <c r="J36" s="328"/>
      <c r="K36" s="328"/>
      <c r="L36" s="328"/>
      <c r="M36" s="328"/>
      <c r="N36" s="350"/>
    </row>
    <row r="37" spans="1:14" ht="15" customHeight="1">
      <c r="A37" s="319"/>
      <c r="B37" s="331" t="s">
        <v>12</v>
      </c>
      <c r="C37" s="303"/>
      <c r="D37" s="326" t="s">
        <v>14</v>
      </c>
      <c r="E37" s="308"/>
      <c r="F37" s="322">
        <f>F26</f>
        <v>501510</v>
      </c>
      <c r="G37" s="322">
        <f>G26</f>
        <v>511365</v>
      </c>
      <c r="H37" s="322">
        <f>H26</f>
        <v>521950</v>
      </c>
      <c r="I37" s="322">
        <f>I26</f>
        <v>532389</v>
      </c>
      <c r="J37" s="322">
        <f>J26</f>
        <v>537712.89</v>
      </c>
      <c r="K37" s="322">
        <f>K26</f>
        <v>543090.01890000014</v>
      </c>
      <c r="L37" s="322">
        <f>L26</f>
        <v>545805.4689945</v>
      </c>
      <c r="M37" s="322">
        <f>M26</f>
        <v>548534.49633947248</v>
      </c>
      <c r="N37" s="338">
        <f>N26</f>
        <v>551277.16882116976</v>
      </c>
    </row>
    <row r="38" spans="1:14" ht="15" customHeight="1">
      <c r="A38" s="319"/>
      <c r="B38" s="331" t="s">
        <v>62</v>
      </c>
      <c r="C38" s="303"/>
      <c r="D38" s="326" t="s">
        <v>16</v>
      </c>
      <c r="E38" s="308"/>
      <c r="F38" s="355">
        <f>F32</f>
        <v>102.86</v>
      </c>
      <c r="G38" s="355">
        <f>G32</f>
        <v>104.61</v>
      </c>
      <c r="H38" s="355">
        <f>H32</f>
        <v>106.81</v>
      </c>
      <c r="I38" s="355">
        <f>I32</f>
        <v>110.01430000000001</v>
      </c>
      <c r="J38" s="355">
        <f>J32</f>
        <v>111.11444300000001</v>
      </c>
      <c r="K38" s="355">
        <f>K32</f>
        <v>112.22558743</v>
      </c>
      <c r="L38" s="355">
        <f>L32</f>
        <v>113.3478433043</v>
      </c>
      <c r="M38" s="355">
        <f>M32</f>
        <v>113.91458252082148</v>
      </c>
      <c r="N38" s="358">
        <f>N32</f>
        <v>114.48415543342558</v>
      </c>
    </row>
    <row r="39" spans="1:14" ht="15" customHeight="1" thickBot="1">
      <c r="A39" s="319"/>
      <c r="B39" s="331" t="s">
        <v>0</v>
      </c>
      <c r="C39" s="303"/>
      <c r="D39" s="326"/>
      <c r="E39" s="308"/>
      <c r="F39" s="359">
        <f>F37*F38/1000</f>
        <v>51585.318599999999</v>
      </c>
      <c r="G39" s="359">
        <f>G37*G38/1000</f>
        <v>53493.892650000002</v>
      </c>
      <c r="H39" s="359">
        <f>H37*H38/1000</f>
        <v>55749.479500000001</v>
      </c>
      <c r="I39" s="359">
        <f>I37*I38/1000</f>
        <v>58570.403162700008</v>
      </c>
      <c r="J39" s="359">
        <f>J37*J38/1000</f>
        <v>59747.668266270273</v>
      </c>
      <c r="K39" s="359">
        <f>K37*K38/1000</f>
        <v>60948.59639842232</v>
      </c>
      <c r="L39" s="359">
        <f>L37*L38/1000</f>
        <v>61865.872774218558</v>
      </c>
      <c r="M39" s="359">
        <f>M37*M38/1000</f>
        <v>62486.078148780085</v>
      </c>
      <c r="N39" s="360">
        <f>N37*N38/1000</f>
        <v>63112.501082221599</v>
      </c>
    </row>
    <row r="40" spans="1:14" ht="15" customHeight="1">
      <c r="A40" s="319"/>
      <c r="B40" s="296"/>
      <c r="C40" s="303"/>
      <c r="D40" s="326"/>
      <c r="E40" s="308"/>
      <c r="F40" s="322"/>
      <c r="G40" s="322"/>
      <c r="H40" s="322"/>
      <c r="I40" s="322"/>
      <c r="J40" s="322"/>
      <c r="K40" s="322"/>
      <c r="L40" s="322"/>
      <c r="M40" s="322"/>
      <c r="N40" s="322"/>
    </row>
    <row r="41" spans="1:14" ht="15" customHeight="1">
      <c r="A41" s="319"/>
      <c r="B41" s="296"/>
      <c r="C41" s="303"/>
      <c r="D41" s="326"/>
      <c r="E41" s="308"/>
      <c r="F41" s="322"/>
      <c r="G41" s="322"/>
      <c r="H41" s="322"/>
      <c r="I41" s="322"/>
      <c r="J41" s="322"/>
      <c r="K41" s="322"/>
      <c r="L41" s="322"/>
      <c r="M41" s="322"/>
      <c r="N41" s="322"/>
    </row>
    <row r="42" spans="1:14" ht="15" customHeight="1">
      <c r="A42" s="319"/>
      <c r="B42" s="329" t="s">
        <v>94</v>
      </c>
      <c r="C42" s="303"/>
      <c r="D42" s="361"/>
      <c r="E42" s="308"/>
      <c r="F42" s="362">
        <f>IF(F17&gt;=1,1,0)</f>
        <v>0</v>
      </c>
      <c r="G42" s="363">
        <f>IF(G17&gt;=1,1,0)</f>
        <v>0</v>
      </c>
      <c r="H42" s="363">
        <f>IF(H17&gt;=1,1,0)</f>
        <v>0</v>
      </c>
      <c r="I42" s="363">
        <f>IF(I17&gt;=1,1,0)</f>
        <v>0</v>
      </c>
      <c r="J42" s="363">
        <f>IF(J17&gt;=1,1,0)</f>
        <v>0</v>
      </c>
      <c r="K42" s="363">
        <f>IF(K17&gt;=1,1,0)</f>
        <v>0</v>
      </c>
      <c r="L42" s="363">
        <f>IF(L17&gt;=1,1,0)</f>
        <v>0</v>
      </c>
      <c r="M42" s="363">
        <f>IF(M17&gt;=1,1,0)</f>
        <v>0</v>
      </c>
      <c r="N42" s="364">
        <f>IF(N17&gt;=1,1,0)</f>
        <v>0</v>
      </c>
    </row>
    <row r="43" spans="1:14" ht="15" customHeight="1">
      <c r="A43" s="319"/>
      <c r="B43" s="307"/>
      <c r="C43" s="303"/>
      <c r="D43" s="308"/>
      <c r="E43" s="308"/>
      <c r="F43" s="365"/>
      <c r="G43" s="365"/>
      <c r="H43" s="365"/>
      <c r="I43" s="366"/>
      <c r="J43" s="366"/>
      <c r="K43" s="366"/>
      <c r="L43" s="366"/>
      <c r="M43" s="366"/>
      <c r="N43" s="367"/>
    </row>
    <row r="44" spans="1:14" ht="15" customHeight="1">
      <c r="A44" s="296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</row>
    <row r="46" spans="1:14" ht="15" customHeight="1">
      <c r="A46" s="314" t="s">
        <v>80</v>
      </c>
      <c r="B46" s="297" t="s">
        <v>20</v>
      </c>
      <c r="C46" s="298"/>
      <c r="D46" s="299"/>
      <c r="E46" s="299"/>
      <c r="F46" s="300"/>
      <c r="G46" s="300"/>
      <c r="H46" s="300"/>
      <c r="I46" s="300"/>
      <c r="J46" s="300"/>
      <c r="K46" s="300"/>
      <c r="L46" s="300"/>
      <c r="M46" s="300"/>
      <c r="N46" s="301" t="s">
        <v>80</v>
      </c>
    </row>
    <row r="47" spans="1:14" ht="15" customHeight="1">
      <c r="A47" s="314"/>
      <c r="B47" s="386"/>
      <c r="C47" s="303"/>
      <c r="D47" s="304"/>
      <c r="E47" s="304"/>
      <c r="F47" s="305"/>
      <c r="G47" s="305"/>
      <c r="H47" s="305"/>
      <c r="I47" s="305"/>
      <c r="J47" s="305"/>
      <c r="K47" s="305"/>
      <c r="L47" s="305"/>
      <c r="M47" s="305"/>
      <c r="N47" s="305"/>
    </row>
    <row r="48" spans="1:14" ht="15" customHeight="1" thickBot="1">
      <c r="A48" s="314"/>
      <c r="B48" s="307" t="s">
        <v>19</v>
      </c>
      <c r="C48" s="303"/>
      <c r="D48" s="308"/>
      <c r="E48" s="308"/>
      <c r="F48" s="309">
        <f>G48-1</f>
        <v>2020</v>
      </c>
      <c r="G48" s="309">
        <f>H48-1</f>
        <v>2021</v>
      </c>
      <c r="H48" s="309">
        <f>I48-1</f>
        <v>2022</v>
      </c>
      <c r="I48" s="310">
        <v>2023</v>
      </c>
      <c r="J48" s="311">
        <f>I48+1</f>
        <v>2024</v>
      </c>
      <c r="K48" s="311">
        <f>J48+1</f>
        <v>2025</v>
      </c>
      <c r="L48" s="311">
        <f>K48+1</f>
        <v>2026</v>
      </c>
      <c r="M48" s="311">
        <f>L48+1</f>
        <v>2027</v>
      </c>
      <c r="N48" s="312" t="s">
        <v>63</v>
      </c>
    </row>
    <row r="49" spans="1:14" ht="15" customHeight="1">
      <c r="A49" s="314"/>
      <c r="B49" s="387" t="s">
        <v>102</v>
      </c>
      <c r="C49" s="303"/>
      <c r="D49" s="308"/>
      <c r="E49" s="308"/>
      <c r="F49" s="308"/>
      <c r="G49" s="308"/>
      <c r="H49" s="308"/>
      <c r="I49" s="313"/>
      <c r="J49" s="313"/>
      <c r="K49" s="313"/>
      <c r="L49" s="313"/>
      <c r="M49" s="313"/>
      <c r="N49" s="313"/>
    </row>
    <row r="50" spans="1:14" ht="15" customHeight="1">
      <c r="A50" s="314"/>
      <c r="B50" s="307"/>
      <c r="C50" s="303"/>
      <c r="D50" s="308"/>
      <c r="E50" s="308"/>
      <c r="F50" s="308"/>
      <c r="G50" s="308"/>
      <c r="H50" s="308"/>
      <c r="I50" s="319"/>
      <c r="J50" s="319"/>
      <c r="K50" s="319"/>
      <c r="L50" s="319"/>
      <c r="M50" s="319"/>
      <c r="N50" s="296"/>
    </row>
    <row r="51" spans="1:14" ht="15" customHeight="1">
      <c r="A51" s="314"/>
      <c r="B51" s="329" t="s">
        <v>12</v>
      </c>
      <c r="C51" s="303"/>
      <c r="D51" s="326"/>
      <c r="E51" s="308"/>
      <c r="F51" s="388">
        <v>501510</v>
      </c>
      <c r="G51" s="389">
        <v>511365</v>
      </c>
      <c r="H51" s="389">
        <v>521950</v>
      </c>
      <c r="I51" s="389">
        <v>532389</v>
      </c>
      <c r="J51" s="389">
        <v>537712.89</v>
      </c>
      <c r="K51" s="389">
        <v>543090.01890000014</v>
      </c>
      <c r="L51" s="389">
        <v>545805.4689945</v>
      </c>
      <c r="M51" s="389">
        <v>548534.49633947248</v>
      </c>
      <c r="N51" s="390">
        <v>551277.16882116976</v>
      </c>
    </row>
    <row r="52" spans="1:14" ht="15" customHeight="1">
      <c r="A52" s="314"/>
      <c r="B52" s="329" t="s">
        <v>26</v>
      </c>
      <c r="C52" s="303"/>
      <c r="D52" s="308"/>
      <c r="E52" s="308"/>
      <c r="F52" s="391">
        <v>2.4E-2</v>
      </c>
      <c r="G52" s="352">
        <v>2.1999999999999999E-2</v>
      </c>
      <c r="H52" s="352">
        <v>2.3E-2</v>
      </c>
      <c r="I52" s="352">
        <v>3.5000000000000003E-2</v>
      </c>
      <c r="J52" s="352">
        <v>0.03</v>
      </c>
      <c r="K52" s="352">
        <v>0.03</v>
      </c>
      <c r="L52" s="352">
        <v>2.5000000000000001E-2</v>
      </c>
      <c r="M52" s="352">
        <v>2.5000000000000001E-2</v>
      </c>
      <c r="N52" s="353">
        <v>1.4999999999999999E-2</v>
      </c>
    </row>
    <row r="53" spans="1:14" ht="15" customHeight="1">
      <c r="A53" s="314"/>
      <c r="B53" s="329"/>
      <c r="C53" s="303"/>
      <c r="D53" s="308"/>
      <c r="E53" s="308"/>
      <c r="F53" s="333"/>
      <c r="G53" s="333"/>
      <c r="H53" s="333"/>
      <c r="I53" s="332"/>
      <c r="J53" s="332"/>
      <c r="K53" s="332"/>
      <c r="L53" s="332"/>
      <c r="M53" s="332"/>
      <c r="N53" s="332"/>
    </row>
    <row r="54" spans="1:14" ht="15" customHeight="1">
      <c r="A54" s="314"/>
      <c r="B54" s="324" t="s">
        <v>72</v>
      </c>
      <c r="C54" s="325"/>
      <c r="D54" s="326"/>
      <c r="E54" s="318"/>
      <c r="F54" s="392"/>
      <c r="G54" s="392"/>
      <c r="H54" s="392"/>
      <c r="I54" s="328"/>
      <c r="J54" s="328"/>
      <c r="K54" s="328"/>
      <c r="L54" s="328"/>
      <c r="M54" s="328"/>
      <c r="N54" s="328"/>
    </row>
    <row r="55" spans="1:14" ht="15" customHeight="1">
      <c r="A55" s="314"/>
      <c r="B55" s="329"/>
      <c r="C55" s="325"/>
      <c r="D55" s="326"/>
      <c r="E55" s="318"/>
      <c r="F55" s="328"/>
      <c r="G55" s="328"/>
      <c r="H55" s="328"/>
      <c r="I55" s="328"/>
      <c r="J55" s="328"/>
      <c r="K55" s="328"/>
      <c r="L55" s="328"/>
      <c r="M55" s="328"/>
      <c r="N55" s="393"/>
    </row>
    <row r="56" spans="1:14" ht="15" customHeight="1">
      <c r="A56" s="314"/>
      <c r="B56" s="331" t="s">
        <v>67</v>
      </c>
      <c r="C56" s="303"/>
      <c r="D56" s="326" t="s">
        <v>16</v>
      </c>
      <c r="E56" s="308"/>
      <c r="F56" s="354">
        <v>9.51</v>
      </c>
      <c r="G56" s="354">
        <v>9.7200000000000006</v>
      </c>
      <c r="H56" s="354">
        <v>9.91</v>
      </c>
      <c r="I56" s="355">
        <f>H56*(1+I$52)</f>
        <v>10.25685</v>
      </c>
      <c r="J56" s="355">
        <f>I56*(1+J$52)</f>
        <v>10.564555500000001</v>
      </c>
      <c r="K56" s="355">
        <f>J56*(1+K$52)</f>
        <v>10.881492165000001</v>
      </c>
      <c r="L56" s="355">
        <f>K56*(1+L$52)</f>
        <v>11.153529469125001</v>
      </c>
      <c r="M56" s="355">
        <f>L56*(1+M$52)</f>
        <v>11.432367705853125</v>
      </c>
      <c r="N56" s="356">
        <f>M56*(1+N$52)</f>
        <v>11.60385322144092</v>
      </c>
    </row>
    <row r="57" spans="1:14" ht="15" customHeight="1">
      <c r="A57" s="314"/>
      <c r="B57" s="331" t="s">
        <v>22</v>
      </c>
      <c r="C57" s="303"/>
      <c r="D57" s="326" t="s">
        <v>16</v>
      </c>
      <c r="E57" s="308"/>
      <c r="F57" s="354">
        <v>0.82</v>
      </c>
      <c r="G57" s="354">
        <v>0.84</v>
      </c>
      <c r="H57" s="354">
        <v>0.86</v>
      </c>
      <c r="I57" s="355">
        <f>H57*(1+I$52)</f>
        <v>0.89009999999999989</v>
      </c>
      <c r="J57" s="355">
        <f>I57*(1+J$52)</f>
        <v>0.91680299999999992</v>
      </c>
      <c r="K57" s="355">
        <f>J57*(1+K$52)</f>
        <v>0.9443070899999999</v>
      </c>
      <c r="L57" s="355">
        <f>K57*(1+L$52)</f>
        <v>0.96791476724999981</v>
      </c>
      <c r="M57" s="355">
        <f>L57*(1+M$52)</f>
        <v>0.99211263643124969</v>
      </c>
      <c r="N57" s="358">
        <f>M57*(1+N$52)</f>
        <v>1.0069943259777183</v>
      </c>
    </row>
    <row r="58" spans="1:14" ht="15" customHeight="1">
      <c r="A58" s="314"/>
      <c r="B58" s="331" t="s">
        <v>27</v>
      </c>
      <c r="C58" s="303"/>
      <c r="D58" s="326" t="s">
        <v>16</v>
      </c>
      <c r="E58" s="308"/>
      <c r="F58" s="394">
        <v>1.54</v>
      </c>
      <c r="G58" s="394">
        <v>1.58</v>
      </c>
      <c r="H58" s="394">
        <v>1.62</v>
      </c>
      <c r="I58" s="395">
        <f>H58*(1+I$52)</f>
        <v>1.6767000000000001</v>
      </c>
      <c r="J58" s="395">
        <f>I58*(1+J$52)</f>
        <v>1.7270010000000002</v>
      </c>
      <c r="K58" s="395">
        <f>J58*(1+K$52)</f>
        <v>1.7788110300000002</v>
      </c>
      <c r="L58" s="395">
        <f>K58*(1+L$52)</f>
        <v>1.8232813057500001</v>
      </c>
      <c r="M58" s="395">
        <f>L58*(1+M$52)</f>
        <v>1.8688633383937501</v>
      </c>
      <c r="N58" s="396">
        <f>M58*(1+N$52)</f>
        <v>1.8968962884696561</v>
      </c>
    </row>
    <row r="59" spans="1:14" ht="15" customHeight="1">
      <c r="A59" s="314"/>
      <c r="B59" s="331" t="s">
        <v>28</v>
      </c>
      <c r="C59" s="325"/>
      <c r="D59" s="326"/>
      <c r="E59" s="318"/>
      <c r="F59" s="355">
        <f>SUM(F56:F58)</f>
        <v>11.870000000000001</v>
      </c>
      <c r="G59" s="355">
        <f>SUM(G56:G58)</f>
        <v>12.14</v>
      </c>
      <c r="H59" s="355">
        <f>SUM(H56:H58)</f>
        <v>12.39</v>
      </c>
      <c r="I59" s="355">
        <f>SUM(I56:I58)</f>
        <v>12.823650000000001</v>
      </c>
      <c r="J59" s="355">
        <f>SUM(J56:J58)</f>
        <v>13.2083595</v>
      </c>
      <c r="K59" s="355">
        <f>SUM(K56:K58)</f>
        <v>13.604610285000001</v>
      </c>
      <c r="L59" s="355">
        <f>SUM(L56:L58)</f>
        <v>13.944725542124999</v>
      </c>
      <c r="M59" s="355">
        <f>SUM(M56:M58)</f>
        <v>14.293343680678124</v>
      </c>
      <c r="N59" s="358">
        <f>SUM(N56:N58)</f>
        <v>14.507743835888295</v>
      </c>
    </row>
    <row r="60" spans="1:14" ht="15" customHeight="1">
      <c r="A60" s="314"/>
      <c r="B60" s="325"/>
      <c r="C60" s="325"/>
      <c r="D60" s="326"/>
      <c r="E60" s="318"/>
      <c r="F60" s="355"/>
      <c r="G60" s="355"/>
      <c r="H60" s="355"/>
      <c r="I60" s="355"/>
      <c r="J60" s="355"/>
      <c r="K60" s="355"/>
      <c r="L60" s="355"/>
      <c r="M60" s="355"/>
      <c r="N60" s="397"/>
    </row>
    <row r="61" spans="1:14" ht="15" customHeight="1">
      <c r="A61" s="314"/>
      <c r="B61" s="331" t="s">
        <v>67</v>
      </c>
      <c r="C61" s="303"/>
      <c r="D61" s="326"/>
      <c r="E61" s="308"/>
      <c r="F61" s="322">
        <f>F56*F$51/1000</f>
        <v>4769.3600999999999</v>
      </c>
      <c r="G61" s="322">
        <f>G56*G$51/1000</f>
        <v>4970.4678000000004</v>
      </c>
      <c r="H61" s="322">
        <f>H56*H$51/1000</f>
        <v>5172.5245000000004</v>
      </c>
      <c r="I61" s="322">
        <f>I56*I$51/1000</f>
        <v>5460.6341146499999</v>
      </c>
      <c r="J61" s="322">
        <f>J56*J$51/1000</f>
        <v>5680.6976694703962</v>
      </c>
      <c r="K61" s="322">
        <f>K56*K$51/1000</f>
        <v>5909.6297855500543</v>
      </c>
      <c r="L61" s="322">
        <f>L56*L$51/1000</f>
        <v>6087.6573828397477</v>
      </c>
      <c r="M61" s="322">
        <f>M56*M$51/1000</f>
        <v>6271.0480614977942</v>
      </c>
      <c r="N61" s="338">
        <f>N56*N$51/1000</f>
        <v>6396.9393513323612</v>
      </c>
    </row>
    <row r="62" spans="1:14" ht="15" customHeight="1">
      <c r="A62" s="314"/>
      <c r="B62" s="331" t="s">
        <v>22</v>
      </c>
      <c r="C62" s="303"/>
      <c r="D62" s="326"/>
      <c r="E62" s="308"/>
      <c r="F62" s="322">
        <f>F57*F$51/1000</f>
        <v>411.23819999999995</v>
      </c>
      <c r="G62" s="322">
        <f>G57*G$51/1000</f>
        <v>429.54659999999996</v>
      </c>
      <c r="H62" s="322">
        <f>H57*H$51/1000</f>
        <v>448.87700000000001</v>
      </c>
      <c r="I62" s="322">
        <f>I57*I$51/1000</f>
        <v>473.87944889999994</v>
      </c>
      <c r="J62" s="322">
        <f>J57*J$51/1000</f>
        <v>492.97679069066999</v>
      </c>
      <c r="K62" s="322">
        <f>K57*K$51/1000</f>
        <v>512.84375535550407</v>
      </c>
      <c r="L62" s="322">
        <f>L57*L$51/1000</f>
        <v>528.29317348558845</v>
      </c>
      <c r="M62" s="322">
        <f>M57*M$51/1000</f>
        <v>544.20800533684167</v>
      </c>
      <c r="N62" s="338">
        <f>N57*N$51/1000</f>
        <v>555.1329810439787</v>
      </c>
    </row>
    <row r="63" spans="1:14" ht="15" customHeight="1">
      <c r="A63" s="314"/>
      <c r="B63" s="331" t="s">
        <v>27</v>
      </c>
      <c r="C63" s="303"/>
      <c r="D63" s="326"/>
      <c r="E63" s="308"/>
      <c r="F63" s="345">
        <f>F58*F$51/1000</f>
        <v>772.32540000000006</v>
      </c>
      <c r="G63" s="345">
        <f>G58*G$51/1000</f>
        <v>807.95670000000007</v>
      </c>
      <c r="H63" s="345">
        <f>H58*H$51/1000</f>
        <v>845.55899999999997</v>
      </c>
      <c r="I63" s="345">
        <f>I58*I$51/1000</f>
        <v>892.65663630000006</v>
      </c>
      <c r="J63" s="345">
        <f>J58*J$51/1000</f>
        <v>928.6306987428901</v>
      </c>
      <c r="K63" s="345">
        <f>K58*K$51/1000</f>
        <v>966.05451590222879</v>
      </c>
      <c r="L63" s="345">
        <f>L58*L$51/1000</f>
        <v>995.15690819378312</v>
      </c>
      <c r="M63" s="345">
        <f>M58*M$51/1000</f>
        <v>1025.1360100531208</v>
      </c>
      <c r="N63" s="338">
        <f>N58*N$51/1000</f>
        <v>1045.7156154549371</v>
      </c>
    </row>
    <row r="64" spans="1:14" ht="15" customHeight="1">
      <c r="A64" s="314"/>
      <c r="B64" s="331" t="s">
        <v>28</v>
      </c>
      <c r="C64" s="325"/>
      <c r="D64" s="326"/>
      <c r="E64" s="318"/>
      <c r="F64" s="322">
        <f>SUM(F61:F63)</f>
        <v>5952.9236999999994</v>
      </c>
      <c r="G64" s="322">
        <f>SUM(G61:G63)</f>
        <v>6207.9710999999998</v>
      </c>
      <c r="H64" s="322">
        <f>SUM(H61:H63)</f>
        <v>6466.960500000001</v>
      </c>
      <c r="I64" s="322">
        <f>SUM(I61:I63)</f>
        <v>6827.1701998500002</v>
      </c>
      <c r="J64" s="322">
        <f>SUM(J61:J63)</f>
        <v>7102.305158903956</v>
      </c>
      <c r="K64" s="322">
        <f>SUM(K61:K63)</f>
        <v>7388.5280568077869</v>
      </c>
      <c r="L64" s="322">
        <f>SUM(L61:L63)</f>
        <v>7611.1074645191193</v>
      </c>
      <c r="M64" s="322">
        <f>SUM(M61:M63)</f>
        <v>7840.392076887757</v>
      </c>
      <c r="N64" s="398">
        <f>SUM(N61:N63)</f>
        <v>7997.7879478312771</v>
      </c>
    </row>
    <row r="65" spans="1:14" ht="15" customHeight="1">
      <c r="A65" s="314"/>
      <c r="B65" s="399"/>
      <c r="C65" s="400"/>
      <c r="D65" s="343"/>
      <c r="E65" s="401"/>
      <c r="F65" s="330"/>
      <c r="G65" s="330"/>
      <c r="H65" s="330"/>
      <c r="I65" s="330"/>
      <c r="J65" s="330"/>
      <c r="K65" s="330"/>
      <c r="L65" s="330"/>
      <c r="M65" s="330"/>
      <c r="N65" s="330"/>
    </row>
    <row r="66" spans="1:14" ht="15" customHeight="1">
      <c r="A66" s="314"/>
      <c r="B66" s="329"/>
      <c r="C66" s="325"/>
      <c r="D66" s="326"/>
      <c r="E66" s="318"/>
      <c r="F66" s="328"/>
      <c r="G66" s="328"/>
      <c r="H66" s="328"/>
      <c r="I66" s="328"/>
      <c r="J66" s="328"/>
      <c r="K66" s="328"/>
      <c r="L66" s="328"/>
      <c r="M66" s="328"/>
      <c r="N66" s="328"/>
    </row>
    <row r="67" spans="1:14" ht="15" customHeight="1">
      <c r="A67" s="314"/>
      <c r="B67" s="324" t="s">
        <v>71</v>
      </c>
      <c r="C67" s="325"/>
      <c r="D67" s="326"/>
      <c r="E67" s="318"/>
      <c r="F67" s="328"/>
      <c r="G67" s="328"/>
      <c r="H67" s="328"/>
      <c r="I67" s="328"/>
      <c r="J67" s="328"/>
      <c r="K67" s="328"/>
      <c r="L67" s="328"/>
      <c r="M67" s="328"/>
      <c r="N67" s="393"/>
    </row>
    <row r="68" spans="1:14" ht="15" customHeight="1">
      <c r="A68" s="314"/>
      <c r="B68" s="402"/>
      <c r="C68" s="325"/>
      <c r="D68" s="326"/>
      <c r="E68" s="318"/>
      <c r="F68" s="328"/>
      <c r="G68" s="328"/>
      <c r="H68" s="328"/>
      <c r="I68" s="328"/>
      <c r="J68" s="328"/>
      <c r="K68" s="328"/>
      <c r="L68" s="328"/>
      <c r="M68" s="328"/>
      <c r="N68" s="393"/>
    </row>
    <row r="69" spans="1:14" ht="15" customHeight="1">
      <c r="A69" s="314"/>
      <c r="B69" s="331" t="s">
        <v>99</v>
      </c>
      <c r="C69" s="303"/>
      <c r="D69" s="326" t="s">
        <v>16</v>
      </c>
      <c r="E69" s="308"/>
      <c r="F69" s="355">
        <f>(F74*1000)/F$51</f>
        <v>31.165879045283244</v>
      </c>
      <c r="G69" s="355">
        <f>(G74*1000)/G$51</f>
        <v>31.236005592873976</v>
      </c>
      <c r="H69" s="355">
        <f>(H74*1000)/H$51</f>
        <v>31.307596513075964</v>
      </c>
      <c r="I69" s="355">
        <f>(I74*1000)/I$51</f>
        <v>31.768002344150606</v>
      </c>
      <c r="J69" s="355">
        <f>(J74*1000)/J$51</f>
        <v>32.397071697500131</v>
      </c>
      <c r="K69" s="355">
        <f>(K74*1000)/K$51</f>
        <v>33.038597869727845</v>
      </c>
      <c r="L69" s="355">
        <f>(L74*1000)/L$51</f>
        <v>33.696082404448809</v>
      </c>
      <c r="M69" s="355">
        <f>(M74*1000)/M$51</f>
        <v>34.366651208517439</v>
      </c>
      <c r="N69" s="356">
        <f>(N74*1000)/N$51</f>
        <v>34.708607936960405</v>
      </c>
    </row>
    <row r="70" spans="1:14" ht="15" customHeight="1">
      <c r="A70" s="314"/>
      <c r="B70" s="331" t="s">
        <v>25</v>
      </c>
      <c r="C70" s="303"/>
      <c r="D70" s="326" t="s">
        <v>16</v>
      </c>
      <c r="E70" s="308"/>
      <c r="F70" s="355">
        <f>(F75*1000)/F$51</f>
        <v>7.2800143566429387</v>
      </c>
      <c r="G70" s="355">
        <f>(G75*1000)/G$51</f>
        <v>7.2961583213555876</v>
      </c>
      <c r="H70" s="355">
        <f>(H75*1000)/H$51</f>
        <v>7.312961011591149</v>
      </c>
      <c r="I70" s="355">
        <f>(I75*1000)/I$51</f>
        <v>7.4205045558792539</v>
      </c>
      <c r="J70" s="355">
        <f>(J75*1000)/J$51</f>
        <v>7.5674452401540906</v>
      </c>
      <c r="K70" s="355">
        <f>(K75*1000)/K$51</f>
        <v>7.7172956409492199</v>
      </c>
      <c r="L70" s="355">
        <f>(L75*1000)/L$51</f>
        <v>7.8708736636546774</v>
      </c>
      <c r="M70" s="355">
        <f>(M75*1000)/M$51</f>
        <v>8.0275079654189501</v>
      </c>
      <c r="N70" s="358">
        <f>(N75*1000)/N$51</f>
        <v>8.1073836665673973</v>
      </c>
    </row>
    <row r="71" spans="1:14" ht="15" customHeight="1">
      <c r="A71" s="314"/>
      <c r="B71" s="331" t="s">
        <v>24</v>
      </c>
      <c r="C71" s="303"/>
      <c r="D71" s="326" t="s">
        <v>16</v>
      </c>
      <c r="E71" s="308"/>
      <c r="F71" s="395">
        <f>(F76*1000)/F$51</f>
        <v>4.9111682718191059</v>
      </c>
      <c r="G71" s="395">
        <f>(G76*1000)/G$51</f>
        <v>4.9221202076794466</v>
      </c>
      <c r="H71" s="395">
        <f>(H76*1000)/H$51</f>
        <v>4.9334227416419196</v>
      </c>
      <c r="I71" s="395">
        <f>(I76*1000)/I$51</f>
        <v>5.0059730760778303</v>
      </c>
      <c r="J71" s="395">
        <f>(J76*1000)/J$51</f>
        <v>5.1051012558021434</v>
      </c>
      <c r="K71" s="395">
        <f>(K76*1000)/K$51</f>
        <v>5.2061923697784227</v>
      </c>
      <c r="L71" s="395">
        <f>(L76*1000)/L$51</f>
        <v>5.3097981880824729</v>
      </c>
      <c r="M71" s="395">
        <f>(M76*1000)/M$51</f>
        <v>5.4154658137159544</v>
      </c>
      <c r="N71" s="396">
        <f>(N76*1000)/N$51</f>
        <v>5.4693510456932275</v>
      </c>
    </row>
    <row r="72" spans="1:14" ht="15" customHeight="1">
      <c r="A72" s="314"/>
      <c r="B72" s="331" t="s">
        <v>28</v>
      </c>
      <c r="C72" s="325"/>
      <c r="D72" s="326"/>
      <c r="E72" s="318"/>
      <c r="F72" s="355">
        <f>SUM(F69:F71)</f>
        <v>43.357061673745292</v>
      </c>
      <c r="G72" s="355">
        <f>SUM(G69:G71)</f>
        <v>43.454284121909012</v>
      </c>
      <c r="H72" s="355">
        <f>SUM(H69:H71)</f>
        <v>43.553980266309033</v>
      </c>
      <c r="I72" s="355">
        <f>SUM(I69:I71)</f>
        <v>44.194479976107687</v>
      </c>
      <c r="J72" s="355">
        <f>SUM(J69:J71)</f>
        <v>45.069618193456364</v>
      </c>
      <c r="K72" s="355">
        <f>SUM(K69:K71)</f>
        <v>45.962085880455483</v>
      </c>
      <c r="L72" s="355">
        <f>SUM(L69:L71)</f>
        <v>46.876754256185961</v>
      </c>
      <c r="M72" s="355">
        <f>SUM(M69:M71)</f>
        <v>47.809624987652342</v>
      </c>
      <c r="N72" s="358">
        <f>SUM(N69:N71)</f>
        <v>48.285342649221036</v>
      </c>
    </row>
    <row r="73" spans="1:14" ht="15" customHeight="1">
      <c r="A73" s="314"/>
      <c r="B73" s="325"/>
      <c r="C73" s="325"/>
      <c r="D73" s="326"/>
      <c r="E73" s="318"/>
      <c r="F73" s="328"/>
      <c r="G73" s="328"/>
      <c r="H73" s="328"/>
      <c r="I73" s="328"/>
      <c r="J73" s="328"/>
      <c r="K73" s="328"/>
      <c r="L73" s="328"/>
      <c r="M73" s="328"/>
      <c r="N73" s="397"/>
    </row>
    <row r="74" spans="1:14" ht="15" customHeight="1">
      <c r="A74" s="314"/>
      <c r="B74" s="331" t="s">
        <v>99</v>
      </c>
      <c r="C74" s="303"/>
      <c r="D74" s="337"/>
      <c r="E74" s="308"/>
      <c r="F74" s="337">
        <v>15630</v>
      </c>
      <c r="G74" s="337">
        <v>15973</v>
      </c>
      <c r="H74" s="337">
        <v>16341</v>
      </c>
      <c r="I74" s="322">
        <f>H74*(1+I$52)</f>
        <v>16912.934999999998</v>
      </c>
      <c r="J74" s="322">
        <f>I74*(1+J$52)</f>
        <v>17420.323049999999</v>
      </c>
      <c r="K74" s="322">
        <f>J74*(1+K$52)</f>
        <v>17942.932741500001</v>
      </c>
      <c r="L74" s="322">
        <f>K74*(1+L$52)</f>
        <v>18391.5060600375</v>
      </c>
      <c r="M74" s="322">
        <f>L74*(1+M$52)</f>
        <v>18851.293711538437</v>
      </c>
      <c r="N74" s="338">
        <f>M74*(1+N$52)</f>
        <v>19134.063117211514</v>
      </c>
    </row>
    <row r="75" spans="1:14" ht="15" customHeight="1">
      <c r="A75" s="314"/>
      <c r="B75" s="331" t="s">
        <v>25</v>
      </c>
      <c r="C75" s="303"/>
      <c r="D75" s="326"/>
      <c r="E75" s="308"/>
      <c r="F75" s="337">
        <v>3651</v>
      </c>
      <c r="G75" s="337">
        <v>3731</v>
      </c>
      <c r="H75" s="337">
        <v>3817</v>
      </c>
      <c r="I75" s="322">
        <f>H75*(1+I$52)</f>
        <v>3950.5949999999998</v>
      </c>
      <c r="J75" s="322">
        <f>I75*(1+J$52)</f>
        <v>4069.11285</v>
      </c>
      <c r="K75" s="322">
        <f>J75*(1+K$52)</f>
        <v>4191.1862355000003</v>
      </c>
      <c r="L75" s="322">
        <f>K75*(1+L$52)</f>
        <v>4295.9658913875001</v>
      </c>
      <c r="M75" s="322">
        <f>L75*(1+M$52)</f>
        <v>4403.3650386721874</v>
      </c>
      <c r="N75" s="338">
        <f>M75*(1+N$52)</f>
        <v>4469.4155142522695</v>
      </c>
    </row>
    <row r="76" spans="1:14" ht="15" customHeight="1">
      <c r="A76" s="314"/>
      <c r="B76" s="331" t="s">
        <v>24</v>
      </c>
      <c r="C76" s="303"/>
      <c r="D76" s="326"/>
      <c r="E76" s="308"/>
      <c r="F76" s="403">
        <v>2463</v>
      </c>
      <c r="G76" s="403">
        <v>2517</v>
      </c>
      <c r="H76" s="403">
        <v>2575</v>
      </c>
      <c r="I76" s="345">
        <f>H76*(1+I$52)</f>
        <v>2665.125</v>
      </c>
      <c r="J76" s="345">
        <f>I76*(1+J$52)</f>
        <v>2745.0787500000001</v>
      </c>
      <c r="K76" s="345">
        <f>J76*(1+K$52)</f>
        <v>2827.4311125000004</v>
      </c>
      <c r="L76" s="345">
        <f>K76*(1+L$52)</f>
        <v>2898.1168903125003</v>
      </c>
      <c r="M76" s="345">
        <f>L76*(1+M$52)</f>
        <v>2970.5698125703125</v>
      </c>
      <c r="N76" s="338">
        <f>M76*(1+N$52)</f>
        <v>3015.1283597588667</v>
      </c>
    </row>
    <row r="77" spans="1:14" ht="15" customHeight="1">
      <c r="A77" s="314"/>
      <c r="B77" s="331" t="s">
        <v>28</v>
      </c>
      <c r="C77" s="325"/>
      <c r="D77" s="326"/>
      <c r="E77" s="318"/>
      <c r="F77" s="322">
        <f>SUM(F74:F76)</f>
        <v>21744</v>
      </c>
      <c r="G77" s="322">
        <f>SUM(G74:G76)</f>
        <v>22221</v>
      </c>
      <c r="H77" s="322">
        <f>SUM(H74:H76)</f>
        <v>22733</v>
      </c>
      <c r="I77" s="322">
        <f>SUM(I74:I76)</f>
        <v>23528.654999999999</v>
      </c>
      <c r="J77" s="322">
        <f>SUM(J74:J76)</f>
        <v>24234.514650000001</v>
      </c>
      <c r="K77" s="322">
        <f>SUM(K74:K76)</f>
        <v>24961.5500895</v>
      </c>
      <c r="L77" s="322">
        <f>SUM(L74:L76)</f>
        <v>25585.588841737499</v>
      </c>
      <c r="M77" s="322">
        <f>SUM(M74:M76)</f>
        <v>26225.22856278094</v>
      </c>
      <c r="N77" s="398">
        <f>SUM(N74:N76)</f>
        <v>26618.606991222649</v>
      </c>
    </row>
    <row r="78" spans="1:14" ht="15" customHeight="1">
      <c r="A78" s="314"/>
      <c r="B78" s="399"/>
      <c r="C78" s="400"/>
      <c r="D78" s="343"/>
      <c r="E78" s="401"/>
      <c r="F78" s="330"/>
      <c r="G78" s="404"/>
      <c r="H78" s="404"/>
      <c r="I78" s="330"/>
      <c r="J78" s="330"/>
      <c r="K78" s="330"/>
      <c r="L78" s="330"/>
      <c r="M78" s="330"/>
      <c r="N78" s="330"/>
    </row>
    <row r="79" spans="1:14" ht="15" customHeight="1">
      <c r="A79" s="314"/>
      <c r="B79" s="329"/>
      <c r="C79" s="325"/>
      <c r="D79" s="326"/>
      <c r="E79" s="318"/>
      <c r="F79" s="328"/>
      <c r="G79" s="348"/>
      <c r="H79" s="348"/>
      <c r="I79" s="328"/>
      <c r="J79" s="328"/>
      <c r="K79" s="328"/>
      <c r="L79" s="328"/>
      <c r="M79" s="328"/>
      <c r="N79" s="328"/>
    </row>
    <row r="80" spans="1:14" ht="15" customHeight="1">
      <c r="A80" s="314"/>
      <c r="B80" s="324" t="s">
        <v>73</v>
      </c>
      <c r="C80" s="325"/>
      <c r="D80" s="326"/>
      <c r="E80" s="318"/>
      <c r="F80" s="328"/>
      <c r="G80" s="328"/>
      <c r="H80" s="328"/>
      <c r="I80" s="328"/>
      <c r="J80" s="314"/>
      <c r="K80" s="314"/>
      <c r="L80" s="314"/>
      <c r="M80" s="314"/>
      <c r="N80" s="314"/>
    </row>
    <row r="81" spans="1:14" ht="15" customHeight="1">
      <c r="A81" s="314"/>
      <c r="B81" s="324"/>
      <c r="C81" s="325"/>
      <c r="D81" s="326"/>
      <c r="E81" s="318"/>
      <c r="F81" s="328"/>
      <c r="G81" s="328"/>
      <c r="H81" s="328"/>
      <c r="I81" s="328"/>
      <c r="J81" s="328"/>
      <c r="K81" s="328"/>
      <c r="L81" s="328"/>
      <c r="M81" s="328"/>
      <c r="N81" s="393"/>
    </row>
    <row r="82" spans="1:14" ht="15" customHeight="1">
      <c r="A82" s="314"/>
      <c r="B82" s="331" t="s">
        <v>21</v>
      </c>
      <c r="C82" s="325"/>
      <c r="D82" s="326" t="s">
        <v>16</v>
      </c>
      <c r="E82" s="318"/>
      <c r="F82" s="355">
        <f>F59</f>
        <v>11.870000000000001</v>
      </c>
      <c r="G82" s="355">
        <f>G59</f>
        <v>12.14</v>
      </c>
      <c r="H82" s="355">
        <f>H59</f>
        <v>12.39</v>
      </c>
      <c r="I82" s="355">
        <f>I59</f>
        <v>12.823650000000001</v>
      </c>
      <c r="J82" s="355">
        <f>J59</f>
        <v>13.2083595</v>
      </c>
      <c r="K82" s="355">
        <f>K59</f>
        <v>13.604610285000001</v>
      </c>
      <c r="L82" s="355">
        <f>L59</f>
        <v>13.944725542124999</v>
      </c>
      <c r="M82" s="355">
        <f>M59</f>
        <v>14.293343680678124</v>
      </c>
      <c r="N82" s="356">
        <f>N59</f>
        <v>14.507743835888295</v>
      </c>
    </row>
    <row r="83" spans="1:14" ht="15" customHeight="1">
      <c r="A83" s="314"/>
      <c r="B83" s="331" t="s">
        <v>23</v>
      </c>
      <c r="C83" s="325"/>
      <c r="D83" s="326" t="s">
        <v>16</v>
      </c>
      <c r="E83" s="318"/>
      <c r="F83" s="395">
        <f>F72</f>
        <v>43.357061673745292</v>
      </c>
      <c r="G83" s="395">
        <f>G72</f>
        <v>43.454284121909012</v>
      </c>
      <c r="H83" s="395">
        <f>H72</f>
        <v>43.553980266309033</v>
      </c>
      <c r="I83" s="395">
        <f>I72</f>
        <v>44.194479976107687</v>
      </c>
      <c r="J83" s="395">
        <f>J72</f>
        <v>45.069618193456364</v>
      </c>
      <c r="K83" s="395">
        <f>K72</f>
        <v>45.962085880455483</v>
      </c>
      <c r="L83" s="395">
        <f>L72</f>
        <v>46.876754256185961</v>
      </c>
      <c r="M83" s="395">
        <f>M72</f>
        <v>47.809624987652342</v>
      </c>
      <c r="N83" s="396">
        <f>N72</f>
        <v>48.285342649221036</v>
      </c>
    </row>
    <row r="84" spans="1:14" ht="15" customHeight="1">
      <c r="A84" s="314"/>
      <c r="B84" s="331" t="s">
        <v>29</v>
      </c>
      <c r="C84" s="325"/>
      <c r="D84" s="326" t="s">
        <v>16</v>
      </c>
      <c r="E84" s="318"/>
      <c r="F84" s="355">
        <f>SUM(F82:F83)</f>
        <v>55.227061673745297</v>
      </c>
      <c r="G84" s="355">
        <f>SUM(G82:G83)</f>
        <v>55.594284121909013</v>
      </c>
      <c r="H84" s="355">
        <f>SUM(H82:H83)</f>
        <v>55.943980266309033</v>
      </c>
      <c r="I84" s="355">
        <f>SUM(I82:I83)</f>
        <v>57.018129976107687</v>
      </c>
      <c r="J84" s="355">
        <f>SUM(J82:J83)</f>
        <v>58.277977693456364</v>
      </c>
      <c r="K84" s="355">
        <f>SUM(K82:K83)</f>
        <v>59.566696165455483</v>
      </c>
      <c r="L84" s="355">
        <f>SUM(L82:L83)</f>
        <v>60.821479798310961</v>
      </c>
      <c r="M84" s="355">
        <f>SUM(M82:M83)</f>
        <v>62.102968668330462</v>
      </c>
      <c r="N84" s="358">
        <f>SUM(N82:N83)</f>
        <v>62.793086485109328</v>
      </c>
    </row>
    <row r="85" spans="1:14" ht="15" customHeight="1">
      <c r="A85" s="314"/>
      <c r="B85" s="329"/>
      <c r="C85" s="325"/>
      <c r="D85" s="326"/>
      <c r="E85" s="318"/>
      <c r="F85" s="355"/>
      <c r="G85" s="355"/>
      <c r="H85" s="355"/>
      <c r="I85" s="355"/>
      <c r="J85" s="355"/>
      <c r="K85" s="355"/>
      <c r="L85" s="355"/>
      <c r="M85" s="355"/>
      <c r="N85" s="358"/>
    </row>
    <row r="86" spans="1:14" ht="15" customHeight="1">
      <c r="A86" s="314"/>
      <c r="B86" s="331" t="s">
        <v>21</v>
      </c>
      <c r="C86" s="325"/>
      <c r="D86" s="326"/>
      <c r="E86" s="318"/>
      <c r="F86" s="322">
        <f>F64</f>
        <v>5952.9236999999994</v>
      </c>
      <c r="G86" s="322">
        <f>G64</f>
        <v>6207.9710999999998</v>
      </c>
      <c r="H86" s="322">
        <f>H64</f>
        <v>6466.960500000001</v>
      </c>
      <c r="I86" s="322">
        <f>I64</f>
        <v>6827.1701998500002</v>
      </c>
      <c r="J86" s="322">
        <f>J64</f>
        <v>7102.305158903956</v>
      </c>
      <c r="K86" s="322">
        <f>K64</f>
        <v>7388.5280568077869</v>
      </c>
      <c r="L86" s="322">
        <f>L64</f>
        <v>7611.1074645191193</v>
      </c>
      <c r="M86" s="322">
        <f>M64</f>
        <v>7840.392076887757</v>
      </c>
      <c r="N86" s="338">
        <f>N64</f>
        <v>7997.7879478312771</v>
      </c>
    </row>
    <row r="87" spans="1:14" ht="15" customHeight="1">
      <c r="A87" s="314"/>
      <c r="B87" s="331" t="s">
        <v>23</v>
      </c>
      <c r="C87" s="325"/>
      <c r="D87" s="326"/>
      <c r="E87" s="318"/>
      <c r="F87" s="322">
        <f>F77</f>
        <v>21744</v>
      </c>
      <c r="G87" s="322">
        <f>G77</f>
        <v>22221</v>
      </c>
      <c r="H87" s="322">
        <f>H77</f>
        <v>22733</v>
      </c>
      <c r="I87" s="322">
        <f>I77</f>
        <v>23528.654999999999</v>
      </c>
      <c r="J87" s="322">
        <f>J77</f>
        <v>24234.514650000001</v>
      </c>
      <c r="K87" s="322">
        <f>K77</f>
        <v>24961.5500895</v>
      </c>
      <c r="L87" s="322">
        <f>L77</f>
        <v>25585.588841737499</v>
      </c>
      <c r="M87" s="322">
        <f>M77</f>
        <v>26225.22856278094</v>
      </c>
      <c r="N87" s="338">
        <f>N77</f>
        <v>26618.606991222649</v>
      </c>
    </row>
    <row r="88" spans="1:14" ht="15" customHeight="1" thickBot="1">
      <c r="A88" s="314"/>
      <c r="B88" s="331" t="s">
        <v>29</v>
      </c>
      <c r="C88" s="325"/>
      <c r="D88" s="326"/>
      <c r="E88" s="318"/>
      <c r="F88" s="405">
        <f>SUM(F86:F87)</f>
        <v>27696.923699999999</v>
      </c>
      <c r="G88" s="405">
        <f>SUM(G86:G87)</f>
        <v>28428.971099999999</v>
      </c>
      <c r="H88" s="405">
        <f>SUM(H86:H87)</f>
        <v>29199.960500000001</v>
      </c>
      <c r="I88" s="405">
        <f>SUM(I86:I87)</f>
        <v>30355.825199849998</v>
      </c>
      <c r="J88" s="405">
        <f>SUM(J86:J87)</f>
        <v>31336.819808903958</v>
      </c>
      <c r="K88" s="405">
        <f>SUM(K86:K87)</f>
        <v>32350.078146307787</v>
      </c>
      <c r="L88" s="405">
        <f>SUM(L86:L87)</f>
        <v>33196.696306256621</v>
      </c>
      <c r="M88" s="405">
        <f>SUM(M86:M87)</f>
        <v>34065.620639668698</v>
      </c>
      <c r="N88" s="406">
        <f>SUM(N86:N87)</f>
        <v>34616.394939053927</v>
      </c>
    </row>
    <row r="89" spans="1:14" ht="15" customHeight="1">
      <c r="A89" s="314"/>
      <c r="B89" s="324"/>
      <c r="C89" s="325"/>
      <c r="D89" s="326"/>
      <c r="E89" s="318"/>
      <c r="F89" s="322"/>
      <c r="G89" s="322"/>
      <c r="H89" s="322"/>
      <c r="I89" s="322"/>
      <c r="J89" s="322"/>
      <c r="K89" s="322"/>
      <c r="L89" s="322"/>
      <c r="M89" s="322"/>
      <c r="N89" s="322"/>
    </row>
    <row r="90" spans="1:14" ht="15" customHeight="1">
      <c r="A90" s="314"/>
      <c r="B90" s="399"/>
      <c r="C90" s="342"/>
      <c r="D90" s="343"/>
      <c r="E90" s="344"/>
      <c r="F90" s="403"/>
      <c r="G90" s="403"/>
      <c r="H90" s="407"/>
      <c r="I90" s="407"/>
      <c r="J90" s="407"/>
      <c r="K90" s="407"/>
      <c r="L90" s="407"/>
      <c r="M90" s="407"/>
      <c r="N90" s="407"/>
    </row>
  </sheetData>
  <conditionalFormatting sqref="I42:N42">
    <cfRule type="expression" dxfId="0" priority="1">
      <formula>I$42=1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F87FA3EF-5CAE-45FE-8E65-0323A68546CC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Duncan McKeen</cp:lastModifiedBy>
  <cp:revision/>
  <cp:lastPrinted>1899-12-30T05:00:00Z</cp:lastPrinted>
  <dcterms:created xsi:type="dcterms:W3CDTF">1899-12-30T05:00:00Z</dcterms:created>
  <dcterms:modified xsi:type="dcterms:W3CDTF">2022-09-16T14:42:58Z</dcterms:modified>
  <cp:category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(3)XalBEmYe1RE401m6jFyJl1xqxmEwfiOQbCvdh4Pi3QQqBkbJmu2yuPNVeC0eh4H4uft367d5
N/GtWx9x2jVXl4jJb06jgs60r9lz0XyuMLMxjK5CMM9yiIOvX7HF6yuPu5a1gmzq5DaerZz4
RFmK8CEcMTGWsIzLZ3/ElidsCYTj/QwRrY2jJrLDbl1gADQDGMyCAQ97GyTlemAV3csMr0hj
zsKRBjkvneKtILfdxQ</vt:lpwstr>
  </property>
  <property fmtid="{D5CDD505-2E9C-101B-9397-08002B2CF9AE}" pid="3" name="_2015_ms_pID_7253431">
    <vt:lpwstr>vDU1gNBGjqIM8xSqT3EPoVenWqx0bcgcSU0o5osKTIzTHpeF9hpmrT
b/zJvHAck6jzyOkBD0oNN2aJIMNZA0x9TlAseWtcjzvsfN7idQQEMo8L7yI6RZGFW4zHW9qs
xqM+qLZi8qNMzrWJyBrRzf7sWJ1kTOZcdgkSYEMoqc+po2eHUaRN2/XgIA9E/yaIm5cvmv71
MjaxRjMkRjRbO43QdlXkg1GRNgniLN2Y9tx9</vt:lpwstr>
  </property>
  <property fmtid="{D5CDD505-2E9C-101B-9397-08002B2CF9AE}" pid="4" name="_2015_ms_pID_7253432">
    <vt:lpwstr>Ow==</vt:lpwstr>
  </property>
</Properties>
</file>