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 de situación financiera" sheetId="1" r:id="rId4"/>
    <sheet state="visible" name="Estado de resultados" sheetId="2" r:id="rId5"/>
    <sheet state="visible" name="Ratios" sheetId="3" r:id="rId6"/>
  </sheets>
  <definedNames>
    <definedName name="ACTIVONOCORR19">'Estado de situación financiera'!$D$30</definedName>
    <definedName name="INGRESOS18">'Estado de resultados'!$E$8</definedName>
    <definedName name="INGRESOS19">'Estado de resultados'!$D$8</definedName>
    <definedName name="INGRESOS20">'Estado de resultados'!$E$8</definedName>
    <definedName name="ACTIVOT19">'Estado de situación financiera'!$D$31</definedName>
    <definedName name="ACTIVOT18">'Estado de situación financiera'!$E$31</definedName>
    <definedName name="ACTIVONOCORR18">'Estado de situación financiera'!$E$30</definedName>
  </definedNames>
  <calcPr/>
  <extLst>
    <ext uri="GoogleSheetsCustomDataVersion1">
      <go:sheetsCustomData xmlns:go="http://customooxmlschemas.google.com/" r:id="rId7" roundtripDataSignature="AMtx7mjp8Zr8vJeZzgfRrO2ktg8/BZxIHQ=="/>
    </ext>
  </extLst>
</workbook>
</file>

<file path=xl/sharedStrings.xml><?xml version="1.0" encoding="utf-8"?>
<sst xmlns="http://schemas.openxmlformats.org/spreadsheetml/2006/main" count="306" uniqueCount="119">
  <si>
    <t>BANCO BBVA PERÚ Y SUBSIDIARIAS</t>
  </si>
  <si>
    <t>ESTADO CONSOLIDADO DE SITUACIÓN FINANCIERA</t>
  </si>
  <si>
    <t>ANÁLISIS VERTICAL DEL ESTADO DE SITUACIÓN FINANCIERA</t>
  </si>
  <si>
    <t>ANÁLISIS HORIZONTAL DEL ESTADO DE SITUACIÓN FINANCIERA</t>
  </si>
  <si>
    <t>Al 31 de diciembre de 2019 y 2018</t>
  </si>
  <si>
    <t>En miles de soles</t>
  </si>
  <si>
    <t>% DEL ACTIVO TOTAL</t>
  </si>
  <si>
    <t>% DEL TOTAL PASIVO Y PATRIMONIO</t>
  </si>
  <si>
    <t>∆  abs</t>
  </si>
  <si>
    <t>∆  %</t>
  </si>
  <si>
    <t>Cuenta</t>
  </si>
  <si>
    <t>NOTA</t>
  </si>
  <si>
    <t>2019-2018</t>
  </si>
  <si>
    <t>ACTIVO</t>
  </si>
  <si>
    <t xml:space="preserve">PASIVO  </t>
  </si>
  <si>
    <t>ACTIVO CORRIENTE</t>
  </si>
  <si>
    <t>PASIVO CORRIENTE</t>
  </si>
  <si>
    <t>Disponibles</t>
  </si>
  <si>
    <t>Obligaciones con el público</t>
  </si>
  <si>
    <t>Fondos interbancarios</t>
  </si>
  <si>
    <t>Depósitos de empresas del sistema financiero y organismos financieros internacionales</t>
  </si>
  <si>
    <t>Inversiones a valor razonable con cambios en resultados</t>
  </si>
  <si>
    <t>Inversiones disponibles para la venta</t>
  </si>
  <si>
    <t>CXPD</t>
  </si>
  <si>
    <t>Adeudados y obligaciones financieras</t>
  </si>
  <si>
    <t>CXC</t>
  </si>
  <si>
    <t>Cartera de créditos (neto)</t>
  </si>
  <si>
    <t>Derivados para negociación</t>
  </si>
  <si>
    <t>CXCDIVERSA</t>
  </si>
  <si>
    <t>Derivados de cobertura</t>
  </si>
  <si>
    <t>Cuentas por pagar</t>
  </si>
  <si>
    <t>Cuentas por cobrar (neto)</t>
  </si>
  <si>
    <t>Provisiones</t>
  </si>
  <si>
    <t>Impuestos a las ganancias corrientes</t>
  </si>
  <si>
    <t>Activos no corrientes mantenidos para la venta</t>
  </si>
  <si>
    <t>Otros pasivos</t>
  </si>
  <si>
    <t>Gastos pagados por anticipado</t>
  </si>
  <si>
    <t>Otros activos (netos)</t>
  </si>
  <si>
    <t>TOTAL PASIVO CORRIENTE</t>
  </si>
  <si>
    <t>TOTAL ACTIVO CORRIENTE</t>
  </si>
  <si>
    <t>PASIVO NO CORRIENTE</t>
  </si>
  <si>
    <t>ACTIVO NO CORRIENTE</t>
  </si>
  <si>
    <t>Adeudos y obligaciones financieras</t>
  </si>
  <si>
    <t>TOTAL PASIVO NO CORRIENTE</t>
  </si>
  <si>
    <t>Bienes realizables, recibidos en pago, adjudicados</t>
  </si>
  <si>
    <t>TOTAL PASIVO</t>
  </si>
  <si>
    <t>Participaciones en asociadas y negocios conjuntos</t>
  </si>
  <si>
    <t xml:space="preserve">PATRIMONIO  </t>
  </si>
  <si>
    <t>Inmuebles, mobiliario y equipo (neto)</t>
  </si>
  <si>
    <t>Capital social</t>
  </si>
  <si>
    <t>Activo intangible (neto) distinto a la plusvalía</t>
  </si>
  <si>
    <t>Reservas</t>
  </si>
  <si>
    <t>Plusvalía</t>
  </si>
  <si>
    <t>Resultados acumulados</t>
  </si>
  <si>
    <t>Impuestos a las ganancias diferidas</t>
  </si>
  <si>
    <t>Ajustes al patrimonio</t>
  </si>
  <si>
    <t>TOTAL ACTIVO NO CORRIENTE</t>
  </si>
  <si>
    <t>TOTAL PATRIMONIO</t>
  </si>
  <si>
    <t>TOTAL ACTIVO</t>
  </si>
  <si>
    <t>TOTALPASIVO Y PATRIMONIO</t>
  </si>
  <si>
    <t>ESTADO CONSOLIDADO DE RESULTADOS</t>
  </si>
  <si>
    <t>ANÁLISIS VERTICAL DEL ESTADO CONSOLIDADO DE RESULTADOS</t>
  </si>
  <si>
    <t>ANÁLISIS HORIZONTAL DEL ESTADO CONSOLIDADO DE RESULTADOS</t>
  </si>
  <si>
    <t>Periodos anuales terminados el 31 de diciembre de 2019 y 2018</t>
  </si>
  <si>
    <t>% DE INGRESOS POR INTERESES</t>
  </si>
  <si>
    <t>2019 - 2018</t>
  </si>
  <si>
    <t>Ingresos por intereses</t>
  </si>
  <si>
    <t>Gastos por intereses</t>
  </si>
  <si>
    <t>MARGEN FINANCIERO BRUTO</t>
  </si>
  <si>
    <t>Provisión para créditos</t>
  </si>
  <si>
    <t xml:space="preserve">MARGEN FINANCIERO NETO  </t>
  </si>
  <si>
    <t>Ingresos por servicios financieros (neto)</t>
  </si>
  <si>
    <t>MARGEN FINANCIERO NETO DE INGRESOS Y GASTOS POR SERVICIOS FINANCIEROS</t>
  </si>
  <si>
    <t>Resultado por operaciones financieras (ROF)</t>
  </si>
  <si>
    <t>MARGEN OPERACIONAL</t>
  </si>
  <si>
    <t>Gastos de administración</t>
  </si>
  <si>
    <t>Gastos de ventas</t>
  </si>
  <si>
    <t>Depreciación y amortización</t>
  </si>
  <si>
    <t>MARGEN OPERACIONAL NETO</t>
  </si>
  <si>
    <t>Valuación de activos y provisiones</t>
  </si>
  <si>
    <t>RESULTADO DE OPERACIÓN</t>
  </si>
  <si>
    <t>Otros Ingresos y gastos, neto</t>
  </si>
  <si>
    <t>UTILIDAD ANTES DE IMPUESTO A LA RENTA</t>
  </si>
  <si>
    <t>Impuesto a la renta</t>
  </si>
  <si>
    <t>UTILIDAD NETA</t>
  </si>
  <si>
    <t>Utilidad por acción básica y diluida en soles</t>
  </si>
  <si>
    <t>Promedio ponderado de número de acciones en circulación</t>
  </si>
  <si>
    <t>RAZONES DE LIQUIDEZ</t>
  </si>
  <si>
    <t>Año</t>
  </si>
  <si>
    <t>Razón corriente</t>
  </si>
  <si>
    <t>Razón de acidez</t>
  </si>
  <si>
    <t>Razón de efectivo</t>
  </si>
  <si>
    <t>Capital de trabajo</t>
  </si>
  <si>
    <t>RAZONES DE ENDEUDAMIENTO</t>
  </si>
  <si>
    <t>Razón de endeudamiento patrimonial</t>
  </si>
  <si>
    <t>Razón de endeudamiento del activo</t>
  </si>
  <si>
    <t>Razón de endeudamiento del activo fijo</t>
  </si>
  <si>
    <t>Razón activo sobre patrimonio</t>
  </si>
  <si>
    <t>RAZONES DE GESTIÓN</t>
  </si>
  <si>
    <t>ya lo actualice</t>
  </si>
  <si>
    <t>Rotación de cuentas por cobrar</t>
  </si>
  <si>
    <t>Período promedio de cobro</t>
  </si>
  <si>
    <t>Rotación de cuentas por pagar</t>
  </si>
  <si>
    <t>Período promedio de pago</t>
  </si>
  <si>
    <t>Rotación del activo fijo</t>
  </si>
  <si>
    <t>Rotación del activo total</t>
  </si>
  <si>
    <t>RAZONES DE RENTABILIDAD</t>
  </si>
  <si>
    <t>Identidad DuPont</t>
  </si>
  <si>
    <t>Rentabilidad bruta sobre ventas</t>
  </si>
  <si>
    <t>ROE</t>
  </si>
  <si>
    <t>Rentabilidad neta sobre ventas</t>
  </si>
  <si>
    <t>Rentabilidad neta sobre el patrimonio</t>
  </si>
  <si>
    <t>Rentabilidad neta sobre la inversión</t>
  </si>
  <si>
    <t>Rentabilidad operativa sobre la inversión</t>
  </si>
  <si>
    <t>EBIT</t>
  </si>
  <si>
    <t>Depreciación y Amortización</t>
  </si>
  <si>
    <t>EBITDA</t>
  </si>
  <si>
    <t>Impuestos</t>
  </si>
  <si>
    <t>NOPAT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</si>
</sst>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  <font>
      <b/>
      <sz val="8.0"/>
      <color rgb="FFFFFFFF"/>
      <name val="Calibri"/>
    </font>
    <font>
      <sz val="8.0"/>
      <color theme="1"/>
      <name val="Calibri"/>
    </font>
    <font>
      <b/>
      <sz val="8.0"/>
      <color theme="1"/>
      <name val="Calibri"/>
    </font>
    <font>
      <sz val="8.0"/>
      <color rgb="FF000000"/>
      <name val="Calibri"/>
    </font>
    <font>
      <b/>
      <sz val="8.0"/>
      <color rgb="FF000000"/>
      <name val="Calibri"/>
    </font>
    <font>
      <sz val="8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37AB6"/>
        <bgColor rgb="FF337AB6"/>
      </patternFill>
    </fill>
    <fill>
      <patternFill patternType="solid">
        <fgColor rgb="FF8EAADB"/>
        <bgColor rgb="FF8EAADB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 style="thick">
        <color rgb="FF000000"/>
      </top>
      <bottom style="thick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left"/>
    </xf>
    <xf borderId="4" fillId="0" fontId="3" numFmtId="0" xfId="0" applyBorder="1" applyFont="1"/>
    <xf borderId="5" fillId="0" fontId="3" numFmtId="0" xfId="0" applyBorder="1" applyFont="1"/>
    <xf borderId="6" fillId="2" fontId="1" numFmtId="0" xfId="0" applyBorder="1" applyFont="1"/>
    <xf borderId="3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8" fillId="0" fontId="3" numFmtId="0" xfId="0" applyBorder="1" applyFont="1"/>
    <xf borderId="9" fillId="2" fontId="1" numFmtId="0" xfId="0" applyBorder="1" applyFont="1"/>
    <xf borderId="1" fillId="2" fontId="2" numFmtId="0" xfId="0" applyAlignment="1" applyBorder="1" applyFont="1">
      <alignment horizontal="left"/>
    </xf>
    <xf borderId="10" fillId="2" fontId="1" numFmtId="0" xfId="0" applyBorder="1" applyFont="1"/>
    <xf borderId="1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" fillId="2" fontId="4" numFmtId="0" xfId="0" applyBorder="1" applyFont="1"/>
    <xf borderId="1" fillId="2" fontId="2" numFmtId="0" xfId="0" applyAlignment="1" applyBorder="1" applyFont="1">
      <alignment horizontal="right"/>
    </xf>
    <xf borderId="11" fillId="3" fontId="5" numFmtId="0" xfId="0" applyAlignment="1" applyBorder="1" applyFill="1" applyFont="1">
      <alignment horizontal="left" shrinkToFit="0" vertical="center" wrapText="1"/>
    </xf>
    <xf borderId="11" fillId="3" fontId="5" numFmtId="0" xfId="0" applyAlignment="1" applyBorder="1" applyFont="1">
      <alignment horizontal="right" vertical="center"/>
    </xf>
    <xf borderId="1" fillId="2" fontId="6" numFmtId="0" xfId="0" applyBorder="1" applyFont="1"/>
    <xf borderId="12" fillId="3" fontId="5" numFmtId="0" xfId="0" applyAlignment="1" applyBorder="1" applyFont="1">
      <alignment horizontal="center" vertical="center"/>
    </xf>
    <xf borderId="13" fillId="0" fontId="3" numFmtId="0" xfId="0" applyBorder="1" applyFont="1"/>
    <xf borderId="12" fillId="4" fontId="7" numFmtId="0" xfId="0" applyAlignment="1" applyBorder="1" applyFill="1" applyFont="1">
      <alignment horizontal="left" shrinkToFit="0" wrapText="1"/>
    </xf>
    <xf borderId="14" fillId="0" fontId="3" numFmtId="0" xfId="0" applyBorder="1" applyFont="1"/>
    <xf borderId="15" fillId="5" fontId="6" numFmtId="0" xfId="0" applyAlignment="1" applyBorder="1" applyFill="1" applyFont="1">
      <alignment horizontal="left" shrinkToFit="0" wrapText="1"/>
    </xf>
    <xf borderId="15" fillId="5" fontId="6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right" vertical="center"/>
    </xf>
    <xf borderId="1" fillId="2" fontId="8" numFmtId="3" xfId="0" applyAlignment="1" applyBorder="1" applyFont="1" applyNumberFormat="1">
      <alignment horizontal="right" vertical="center"/>
    </xf>
    <xf borderId="1" fillId="2" fontId="6" numFmtId="0" xfId="0" applyAlignment="1" applyBorder="1" applyFont="1">
      <alignment readingOrder="0"/>
    </xf>
    <xf borderId="1" fillId="6" fontId="6" numFmtId="0" xfId="0" applyAlignment="1" applyBorder="1" applyFill="1" applyFont="1">
      <alignment horizontal="left" shrinkToFit="0" vertical="center" wrapText="1"/>
    </xf>
    <xf borderId="1" fillId="6" fontId="6" numFmtId="0" xfId="0" applyAlignment="1" applyBorder="1" applyFont="1">
      <alignment horizontal="right" shrinkToFit="0" vertical="center" wrapText="1"/>
    </xf>
    <xf borderId="1" fillId="6" fontId="6" numFmtId="3" xfId="0" applyAlignment="1" applyBorder="1" applyFont="1" applyNumberFormat="1">
      <alignment horizontal="right" shrinkToFit="0" vertical="center" wrapText="1"/>
    </xf>
    <xf borderId="1" fillId="2" fontId="8" numFmtId="10" xfId="0" applyAlignment="1" applyBorder="1" applyFont="1" applyNumberFormat="1">
      <alignment horizontal="right" vertical="center"/>
    </xf>
    <xf borderId="1" fillId="6" fontId="6" numFmtId="10" xfId="0" applyAlignment="1" applyBorder="1" applyFont="1" applyNumberFormat="1">
      <alignment horizontal="right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right" vertical="center"/>
    </xf>
    <xf borderId="1" fillId="2" fontId="6" numFmtId="3" xfId="0" applyAlignment="1" applyBorder="1" applyFont="1" applyNumberFormat="1">
      <alignment horizontal="right" vertical="center"/>
    </xf>
    <xf borderId="1" fillId="2" fontId="6" numFmtId="10" xfId="0" applyAlignment="1" applyBorder="1" applyFont="1" applyNumberFormat="1">
      <alignment horizontal="right" vertical="center"/>
    </xf>
    <xf borderId="9" fillId="2" fontId="1" numFmtId="0" xfId="0" applyAlignment="1" applyBorder="1" applyFont="1">
      <alignment readingOrder="0"/>
    </xf>
    <xf borderId="1" fillId="7" fontId="6" numFmtId="0" xfId="0" applyAlignment="1" applyBorder="1" applyFill="1" applyFont="1">
      <alignment horizontal="left" shrinkToFit="0" vertical="center" wrapText="1"/>
    </xf>
    <xf borderId="1" fillId="7" fontId="6" numFmtId="0" xfId="0" applyAlignment="1" applyBorder="1" applyFont="1">
      <alignment horizontal="right" vertical="center"/>
    </xf>
    <xf borderId="16" fillId="2" fontId="6" numFmtId="0" xfId="0" applyAlignment="1" applyBorder="1" applyFont="1">
      <alignment horizontal="left" shrinkToFit="0" vertical="center" wrapText="1"/>
    </xf>
    <xf borderId="16" fillId="2" fontId="6" numFmtId="0" xfId="0" applyAlignment="1" applyBorder="1" applyFont="1">
      <alignment horizontal="left" vertical="center"/>
    </xf>
    <xf borderId="16" fillId="2" fontId="6" numFmtId="3" xfId="0" applyAlignment="1" applyBorder="1" applyFont="1" applyNumberFormat="1">
      <alignment horizontal="right" vertical="center"/>
    </xf>
    <xf borderId="16" fillId="2" fontId="6" numFmtId="10" xfId="0" applyAlignment="1" applyBorder="1" applyFont="1" applyNumberFormat="1">
      <alignment horizontal="right" vertical="center"/>
    </xf>
    <xf borderId="15" fillId="5" fontId="6" numFmtId="0" xfId="0" applyAlignment="1" applyBorder="1" applyFont="1">
      <alignment horizontal="left" vertical="center"/>
    </xf>
    <xf borderId="15" fillId="5" fontId="6" numFmtId="3" xfId="0" applyAlignment="1" applyBorder="1" applyFont="1" applyNumberFormat="1">
      <alignment horizontal="left" vertical="center"/>
    </xf>
    <xf borderId="15" fillId="5" fontId="6" numFmtId="10" xfId="0" applyAlignment="1" applyBorder="1" applyFont="1" applyNumberFormat="1">
      <alignment horizontal="left" vertical="center"/>
    </xf>
    <xf borderId="17" fillId="2" fontId="6" numFmtId="0" xfId="0" applyAlignment="1" applyBorder="1" applyFont="1">
      <alignment horizontal="left" shrinkToFit="0" vertical="center" wrapText="1"/>
    </xf>
    <xf borderId="17" fillId="2" fontId="6" numFmtId="0" xfId="0" applyAlignment="1" applyBorder="1" applyFont="1">
      <alignment horizontal="left" vertical="center"/>
    </xf>
    <xf borderId="17" fillId="2" fontId="6" numFmtId="3" xfId="0" applyAlignment="1" applyBorder="1" applyFont="1" applyNumberFormat="1">
      <alignment horizontal="right" vertical="center"/>
    </xf>
    <xf borderId="17" fillId="2" fontId="6" numFmtId="10" xfId="0" applyAlignment="1" applyBorder="1" applyFont="1" applyNumberFormat="1">
      <alignment horizontal="right" vertical="center"/>
    </xf>
    <xf borderId="18" fillId="2" fontId="7" numFmtId="0" xfId="0" applyAlignment="1" applyBorder="1" applyFont="1">
      <alignment horizontal="left" shrinkToFit="0" vertical="center" wrapText="1"/>
    </xf>
    <xf borderId="18" fillId="2" fontId="7" numFmtId="0" xfId="0" applyAlignment="1" applyBorder="1" applyFont="1">
      <alignment horizontal="right" vertical="center"/>
    </xf>
    <xf borderId="18" fillId="2" fontId="7" numFmtId="3" xfId="0" applyAlignment="1" applyBorder="1" applyFont="1" applyNumberFormat="1">
      <alignment horizontal="right" vertical="center"/>
    </xf>
    <xf borderId="18" fillId="2" fontId="7" numFmtId="10" xfId="0" applyAlignment="1" applyBorder="1" applyFont="1" applyNumberFormat="1">
      <alignment horizontal="right" vertical="center"/>
    </xf>
    <xf borderId="19" fillId="4" fontId="7" numFmtId="0" xfId="0" applyAlignment="1" applyBorder="1" applyFont="1">
      <alignment horizontal="left" shrinkToFit="0" wrapText="1"/>
    </xf>
    <xf borderId="20" fillId="0" fontId="3" numFmtId="0" xfId="0" applyBorder="1" applyFont="1"/>
    <xf borderId="21" fillId="0" fontId="3" numFmtId="0" xfId="0" applyBorder="1" applyFont="1"/>
    <xf borderId="22" fillId="4" fontId="7" numFmtId="0" xfId="0" applyAlignment="1" applyBorder="1" applyFont="1">
      <alignment shrinkToFit="0" wrapText="1"/>
    </xf>
    <xf borderId="22" fillId="4" fontId="7" numFmtId="10" xfId="0" applyAlignment="1" applyBorder="1" applyFont="1" applyNumberFormat="1">
      <alignment shrinkToFit="0" wrapText="1"/>
    </xf>
    <xf borderId="23" fillId="2" fontId="8" numFmtId="0" xfId="0" applyAlignment="1" applyBorder="1" applyFont="1">
      <alignment horizontal="left" shrinkToFit="0" vertical="center" wrapText="1"/>
    </xf>
    <xf borderId="23" fillId="2" fontId="8" numFmtId="0" xfId="0" applyAlignment="1" applyBorder="1" applyFont="1">
      <alignment horizontal="right" vertical="center"/>
    </xf>
    <xf borderId="23" fillId="2" fontId="8" numFmtId="3" xfId="0" applyAlignment="1" applyBorder="1" applyFont="1" applyNumberFormat="1">
      <alignment horizontal="right" vertical="center"/>
    </xf>
    <xf borderId="23" fillId="2" fontId="8" numFmtId="10" xfId="0" applyAlignment="1" applyBorder="1" applyFont="1" applyNumberFormat="1">
      <alignment horizontal="right" vertical="center"/>
    </xf>
    <xf borderId="17" fillId="2" fontId="8" numFmtId="0" xfId="0" applyAlignment="1" applyBorder="1" applyFont="1">
      <alignment horizontal="left" shrinkToFit="0" vertical="center" wrapText="1"/>
    </xf>
    <xf borderId="17" fillId="2" fontId="9" numFmtId="0" xfId="0" applyAlignment="1" applyBorder="1" applyFont="1">
      <alignment horizontal="right" vertical="center"/>
    </xf>
    <xf borderId="17" fillId="2" fontId="8" numFmtId="3" xfId="0" applyAlignment="1" applyBorder="1" applyFont="1" applyNumberFormat="1">
      <alignment horizontal="right" vertical="center"/>
    </xf>
    <xf borderId="17" fillId="2" fontId="8" numFmtId="10" xfId="0" applyAlignment="1" applyBorder="1" applyFont="1" applyNumberFormat="1">
      <alignment horizontal="right" vertical="center"/>
    </xf>
    <xf borderId="24" fillId="2" fontId="1" numFmtId="0" xfId="0" applyBorder="1" applyFont="1"/>
    <xf borderId="23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2" fontId="1" numFmtId="0" xfId="0" applyBorder="1" applyFont="1"/>
    <xf borderId="29" fillId="2" fontId="1" numFmtId="0" xfId="0" applyBorder="1" applyFont="1"/>
    <xf borderId="1" fillId="2" fontId="2" numFmtId="0" xfId="0" applyBorder="1" applyFont="1"/>
    <xf borderId="30" fillId="2" fontId="1" numFmtId="0" xfId="0" applyBorder="1" applyFont="1"/>
    <xf borderId="11" fillId="3" fontId="5" numFmtId="0" xfId="0" applyAlignment="1" applyBorder="1" applyFont="1">
      <alignment horizontal="left" vertical="center"/>
    </xf>
    <xf borderId="1" fillId="6" fontId="6" numFmtId="0" xfId="0" applyAlignment="1" applyBorder="1" applyFont="1">
      <alignment horizontal="left" vertical="center"/>
    </xf>
    <xf borderId="1" fillId="6" fontId="6" numFmtId="0" xfId="0" applyAlignment="1" applyBorder="1" applyFont="1">
      <alignment horizontal="right" vertical="center"/>
    </xf>
    <xf borderId="1" fillId="6" fontId="6" numFmtId="3" xfId="0" applyAlignment="1" applyBorder="1" applyFont="1" applyNumberFormat="1">
      <alignment horizontal="right" vertical="center"/>
    </xf>
    <xf borderId="1" fillId="6" fontId="6" numFmtId="10" xfId="0" applyAlignment="1" applyBorder="1" applyFont="1" applyNumberFormat="1">
      <alignment horizontal="right" vertical="center"/>
    </xf>
    <xf borderId="1" fillId="6" fontId="10" numFmtId="3" xfId="0" applyAlignment="1" applyBorder="1" applyFont="1" applyNumberFormat="1">
      <alignment horizontal="right" vertical="center"/>
    </xf>
    <xf borderId="1" fillId="6" fontId="10" numFmtId="10" xfId="0" applyAlignment="1" applyBorder="1" applyFont="1" applyNumberFormat="1">
      <alignment horizontal="right" vertical="center"/>
    </xf>
    <xf borderId="11" fillId="6" fontId="7" numFmtId="0" xfId="0" applyAlignment="1" applyBorder="1" applyFont="1">
      <alignment horizontal="left" vertical="center"/>
    </xf>
    <xf borderId="11" fillId="6" fontId="7" numFmtId="0" xfId="0" applyAlignment="1" applyBorder="1" applyFont="1">
      <alignment horizontal="right" vertical="center"/>
    </xf>
    <xf borderId="11" fillId="6" fontId="7" numFmtId="3" xfId="0" applyAlignment="1" applyBorder="1" applyFont="1" applyNumberFormat="1">
      <alignment horizontal="right" vertical="center"/>
    </xf>
    <xf borderId="11" fillId="7" fontId="7" numFmtId="0" xfId="0" applyAlignment="1" applyBorder="1" applyFont="1">
      <alignment horizontal="left" vertical="center"/>
    </xf>
    <xf borderId="11" fillId="6" fontId="7" numFmtId="10" xfId="0" applyAlignment="1" applyBorder="1" applyFont="1" applyNumberFormat="1">
      <alignment horizontal="right" vertical="center"/>
    </xf>
    <xf borderId="11" fillId="6" fontId="6" numFmtId="0" xfId="0" applyAlignment="1" applyBorder="1" applyFont="1">
      <alignment horizontal="right" vertical="center"/>
    </xf>
    <xf borderId="1" fillId="6" fontId="10" numFmtId="0" xfId="0" applyAlignment="1" applyBorder="1" applyFont="1">
      <alignment horizontal="right" vertical="center"/>
    </xf>
    <xf borderId="11" fillId="6" fontId="6" numFmtId="3" xfId="0" applyAlignment="1" applyBorder="1" applyFont="1" applyNumberFormat="1">
      <alignment horizontal="right" vertical="center"/>
    </xf>
    <xf borderId="11" fillId="6" fontId="6" numFmtId="10" xfId="0" applyAlignment="1" applyBorder="1" applyFont="1" applyNumberFormat="1">
      <alignment horizontal="right" vertical="center"/>
    </xf>
    <xf borderId="31" fillId="6" fontId="7" numFmtId="0" xfId="0" applyAlignment="1" applyBorder="1" applyFont="1">
      <alignment horizontal="left" vertical="center"/>
    </xf>
    <xf borderId="31" fillId="6" fontId="7" numFmtId="0" xfId="0" applyAlignment="1" applyBorder="1" applyFont="1">
      <alignment horizontal="right" vertical="center"/>
    </xf>
    <xf borderId="31" fillId="6" fontId="7" numFmtId="3" xfId="0" applyAlignment="1" applyBorder="1" applyFont="1" applyNumberFormat="1">
      <alignment horizontal="right" vertical="center"/>
    </xf>
    <xf borderId="31" fillId="7" fontId="7" numFmtId="0" xfId="0" applyAlignment="1" applyBorder="1" applyFont="1">
      <alignment horizontal="left" vertical="center"/>
    </xf>
    <xf borderId="31" fillId="6" fontId="7" numFmtId="10" xfId="0" applyAlignment="1" applyBorder="1" applyFont="1" applyNumberFormat="1">
      <alignment horizontal="right" vertical="center"/>
    </xf>
    <xf borderId="1" fillId="6" fontId="6" numFmtId="164" xfId="0" applyAlignment="1" applyBorder="1" applyFont="1" applyNumberFormat="1">
      <alignment horizontal="right" vertical="center"/>
    </xf>
    <xf borderId="32" fillId="2" fontId="1" numFmtId="0" xfId="0" applyBorder="1" applyFont="1"/>
    <xf borderId="33" fillId="2" fontId="1" numFmtId="0" xfId="0" applyBorder="1" applyFont="1"/>
    <xf borderId="34" fillId="2" fontId="1" numFmtId="0" xfId="0" applyBorder="1" applyFont="1"/>
    <xf borderId="35" fillId="2" fontId="2" numFmtId="0" xfId="0" applyAlignment="1" applyBorder="1" applyFont="1">
      <alignment horizontal="center" vertical="center"/>
    </xf>
    <xf borderId="36" fillId="2" fontId="2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1" numFmtId="0" xfId="0" applyBorder="1" applyFont="1"/>
    <xf borderId="39" fillId="2" fontId="1" numFmtId="0" xfId="0" applyAlignment="1" applyBorder="1" applyFont="1">
      <alignment horizontal="left"/>
    </xf>
    <xf borderId="39" fillId="2" fontId="1" numFmtId="2" xfId="0" applyBorder="1" applyFont="1" applyNumberFormat="1"/>
    <xf borderId="39" fillId="7" fontId="1" numFmtId="4" xfId="0" applyBorder="1" applyFont="1" applyNumberFormat="1"/>
    <xf borderId="39" fillId="2" fontId="1" numFmtId="4" xfId="0" applyBorder="1" applyFont="1" applyNumberFormat="1"/>
    <xf borderId="39" fillId="2" fontId="1" numFmtId="3" xfId="0" applyBorder="1" applyFont="1" applyNumberFormat="1"/>
    <xf borderId="39" fillId="2" fontId="1" numFmtId="10" xfId="0" applyBorder="1" applyFont="1" applyNumberFormat="1"/>
    <xf borderId="1" fillId="2" fontId="1" numFmtId="0" xfId="0" applyAlignment="1" applyBorder="1" applyFont="1">
      <alignment readingOrder="0"/>
    </xf>
    <xf borderId="39" fillId="7" fontId="1" numFmtId="2" xfId="0" applyBorder="1" applyFont="1" applyNumberFormat="1"/>
    <xf borderId="40" fillId="2" fontId="2" numFmtId="0" xfId="0" applyAlignment="1" applyBorder="1" applyFont="1">
      <alignment horizontal="center" vertical="center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39" fillId="7" fontId="1" numFmtId="10" xfId="0" applyBorder="1" applyFont="1" applyNumberFormat="1"/>
    <xf borderId="46" fillId="2" fontId="2" numFmtId="0" xfId="0" applyBorder="1" applyFont="1"/>
    <xf borderId="11" fillId="2" fontId="2" numFmtId="0" xfId="0" applyBorder="1" applyFont="1"/>
    <xf borderId="47" fillId="2" fontId="2" numFmtId="0" xfId="0" applyBorder="1" applyFont="1"/>
    <xf borderId="39" fillId="2" fontId="2" numFmtId="10" xfId="0" applyBorder="1" applyFont="1" applyNumberFormat="1"/>
    <xf borderId="46" fillId="2" fontId="1" numFmtId="0" xfId="0" applyAlignment="1" applyBorder="1" applyFont="1">
      <alignment horizontal="left"/>
    </xf>
    <xf borderId="11" fillId="2" fontId="1" numFmtId="0" xfId="0" applyBorder="1" applyFont="1"/>
    <xf borderId="47" fillId="2" fontId="1" numFmtId="0" xfId="0" applyBorder="1" applyFont="1"/>
    <xf borderId="46" fillId="2" fontId="1" numFmtId="2" xfId="0" applyAlignment="1" applyBorder="1" applyFont="1" applyNumberFormat="1">
      <alignment horizontal="left"/>
    </xf>
    <xf borderId="48" fillId="2" fontId="2" numFmtId="0" xfId="0" applyBorder="1" applyFont="1"/>
    <xf borderId="48" fillId="2" fontId="2" numFmtId="3" xfId="0" applyBorder="1" applyFont="1" applyNumberFormat="1"/>
    <xf borderId="49" fillId="2" fontId="1" numFmtId="0" xfId="0" applyBorder="1" applyFont="1"/>
    <xf borderId="49" fillId="2" fontId="1" numFmtId="3" xfId="0" applyBorder="1" applyFont="1" applyNumberFormat="1"/>
    <xf borderId="39" fillId="2" fontId="2" numFmtId="0" xfId="0" applyBorder="1" applyFont="1"/>
    <xf borderId="39" fillId="2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18</xdr:row>
      <xdr:rowOff>171450</xdr:rowOff>
    </xdr:from>
    <xdr:ext cx="5619750" cy="800100"/>
    <xdr:pic>
      <xdr:nvPicPr>
        <xdr:cNvPr descr="Image result for identidad dupont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26.88"/>
    <col customWidth="1" min="3" max="6" width="13.75"/>
    <col customWidth="1" min="7" max="7" width="26.88"/>
    <col customWidth="1" min="8" max="12" width="13.75"/>
    <col customWidth="1" min="13" max="13" width="26.88"/>
    <col customWidth="1" min="14" max="17" width="13.75"/>
    <col customWidth="1" min="18" max="18" width="26.88"/>
    <col customWidth="1" min="19" max="23" width="13.75"/>
    <col customWidth="1" min="24" max="24" width="26.88"/>
    <col customWidth="1" min="25" max="28" width="13.75"/>
    <col customWidth="1" min="29" max="29" width="26.88"/>
    <col customWidth="1" min="30" max="33" width="13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5"/>
      <c r="K2" s="6"/>
      <c r="L2" s="2"/>
      <c r="M2" s="7"/>
      <c r="N2" s="4"/>
      <c r="O2" s="4"/>
      <c r="P2" s="4"/>
      <c r="Q2" s="4"/>
      <c r="R2" s="4"/>
      <c r="S2" s="4"/>
      <c r="T2" s="4"/>
      <c r="U2" s="5"/>
      <c r="V2" s="6"/>
      <c r="W2" s="8"/>
      <c r="X2" s="4"/>
      <c r="Y2" s="4"/>
      <c r="Z2" s="4"/>
      <c r="AA2" s="4"/>
      <c r="AB2" s="4"/>
      <c r="AC2" s="4"/>
      <c r="AD2" s="4"/>
      <c r="AE2" s="4"/>
      <c r="AF2" s="4"/>
      <c r="AG2" s="9"/>
    </row>
    <row r="3">
      <c r="A3" s="10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2"/>
      <c r="L3" s="10"/>
      <c r="M3" s="11" t="s">
        <v>2</v>
      </c>
      <c r="N3" s="13"/>
      <c r="O3" s="13"/>
      <c r="P3" s="13"/>
      <c r="Q3" s="13"/>
      <c r="R3" s="13"/>
      <c r="S3" s="13"/>
      <c r="T3" s="13"/>
      <c r="U3" s="13"/>
      <c r="V3" s="12"/>
      <c r="W3" s="14"/>
      <c r="X3" s="11" t="s">
        <v>3</v>
      </c>
      <c r="Y3" s="13"/>
      <c r="Z3" s="13"/>
      <c r="AA3" s="13"/>
      <c r="AB3" s="13"/>
      <c r="AC3" s="13"/>
      <c r="AD3" s="13"/>
      <c r="AE3" s="13"/>
      <c r="AF3" s="13"/>
      <c r="AG3" s="15"/>
    </row>
    <row r="4">
      <c r="A4" s="10"/>
      <c r="B4" s="11" t="s">
        <v>4</v>
      </c>
      <c r="C4" s="11"/>
      <c r="D4" s="11"/>
      <c r="E4" s="11"/>
      <c r="F4" s="11"/>
      <c r="G4" s="11"/>
      <c r="H4" s="11"/>
      <c r="I4" s="11"/>
      <c r="J4" s="11"/>
      <c r="K4" s="12"/>
      <c r="L4" s="10"/>
      <c r="M4" s="11" t="s">
        <v>4</v>
      </c>
      <c r="N4" s="13"/>
      <c r="O4" s="13"/>
      <c r="P4" s="13"/>
      <c r="Q4" s="13"/>
      <c r="R4" s="13"/>
      <c r="S4" s="13"/>
      <c r="T4" s="13"/>
      <c r="U4" s="13"/>
      <c r="V4" s="12"/>
      <c r="W4" s="14"/>
      <c r="X4" s="11" t="s">
        <v>4</v>
      </c>
      <c r="Y4" s="13"/>
      <c r="Z4" s="13"/>
      <c r="AA4" s="13"/>
      <c r="AB4" s="13"/>
      <c r="AC4" s="13"/>
      <c r="AD4" s="13"/>
      <c r="AE4" s="13"/>
      <c r="AF4" s="13"/>
      <c r="AG4" s="15"/>
    </row>
    <row r="5">
      <c r="A5" s="10"/>
      <c r="B5" s="16" t="s">
        <v>5</v>
      </c>
      <c r="C5" s="1"/>
      <c r="D5" s="1"/>
      <c r="E5" s="1"/>
      <c r="F5" s="1"/>
      <c r="G5" s="16" t="s">
        <v>5</v>
      </c>
      <c r="H5" s="1"/>
      <c r="I5" s="1"/>
      <c r="J5" s="1"/>
      <c r="K5" s="12"/>
      <c r="L5" s="10"/>
      <c r="M5" s="16" t="s">
        <v>6</v>
      </c>
      <c r="N5" s="1"/>
      <c r="O5" s="1"/>
      <c r="P5" s="1"/>
      <c r="Q5" s="1"/>
      <c r="R5" s="16" t="s">
        <v>7</v>
      </c>
      <c r="S5" s="1"/>
      <c r="T5" s="1"/>
      <c r="U5" s="1"/>
      <c r="V5" s="12"/>
      <c r="W5" s="10"/>
      <c r="X5" s="1"/>
      <c r="Y5" s="1"/>
      <c r="Z5" s="17" t="s">
        <v>8</v>
      </c>
      <c r="AA5" s="17" t="s">
        <v>9</v>
      </c>
      <c r="AB5" s="17"/>
      <c r="AC5" s="17"/>
      <c r="AD5" s="17"/>
      <c r="AE5" s="17" t="s">
        <v>8</v>
      </c>
      <c r="AF5" s="17" t="s">
        <v>9</v>
      </c>
      <c r="AG5" s="12"/>
    </row>
    <row r="6">
      <c r="A6" s="10"/>
      <c r="B6" s="18" t="s">
        <v>10</v>
      </c>
      <c r="C6" s="19" t="s">
        <v>11</v>
      </c>
      <c r="D6" s="19">
        <v>2019.0</v>
      </c>
      <c r="E6" s="19">
        <v>2018.0</v>
      </c>
      <c r="F6" s="20"/>
      <c r="G6" s="18" t="s">
        <v>10</v>
      </c>
      <c r="H6" s="19" t="s">
        <v>11</v>
      </c>
      <c r="I6" s="19">
        <v>2019.0</v>
      </c>
      <c r="J6" s="19">
        <v>2018.0</v>
      </c>
      <c r="K6" s="12"/>
      <c r="L6" s="10"/>
      <c r="M6" s="18" t="s">
        <v>10</v>
      </c>
      <c r="N6" s="19" t="s">
        <v>11</v>
      </c>
      <c r="O6" s="19">
        <v>2019.0</v>
      </c>
      <c r="P6" s="19">
        <v>2018.0</v>
      </c>
      <c r="Q6" s="20"/>
      <c r="R6" s="18" t="s">
        <v>10</v>
      </c>
      <c r="S6" s="19" t="s">
        <v>11</v>
      </c>
      <c r="T6" s="19">
        <v>2019.0</v>
      </c>
      <c r="U6" s="19">
        <v>2018.0</v>
      </c>
      <c r="V6" s="12"/>
      <c r="W6" s="10"/>
      <c r="X6" s="18" t="s">
        <v>10</v>
      </c>
      <c r="Y6" s="19" t="s">
        <v>11</v>
      </c>
      <c r="Z6" s="21" t="s">
        <v>12</v>
      </c>
      <c r="AA6" s="22"/>
      <c r="AB6" s="20"/>
      <c r="AC6" s="18" t="s">
        <v>10</v>
      </c>
      <c r="AD6" s="19" t="s">
        <v>11</v>
      </c>
      <c r="AE6" s="21" t="s">
        <v>12</v>
      </c>
      <c r="AF6" s="22"/>
      <c r="AG6" s="12"/>
    </row>
    <row r="7">
      <c r="A7" s="10"/>
      <c r="B7" s="23" t="s">
        <v>13</v>
      </c>
      <c r="C7" s="24"/>
      <c r="D7" s="24"/>
      <c r="E7" s="22"/>
      <c r="F7" s="20"/>
      <c r="G7" s="23" t="s">
        <v>14</v>
      </c>
      <c r="H7" s="24"/>
      <c r="I7" s="24"/>
      <c r="J7" s="22"/>
      <c r="K7" s="12"/>
      <c r="L7" s="10"/>
      <c r="M7" s="23" t="s">
        <v>13</v>
      </c>
      <c r="N7" s="24"/>
      <c r="O7" s="24"/>
      <c r="P7" s="22"/>
      <c r="Q7" s="20"/>
      <c r="R7" s="23" t="s">
        <v>14</v>
      </c>
      <c r="S7" s="24"/>
      <c r="T7" s="24"/>
      <c r="U7" s="22"/>
      <c r="V7" s="12"/>
      <c r="W7" s="10"/>
      <c r="X7" s="23" t="s">
        <v>13</v>
      </c>
      <c r="Y7" s="24"/>
      <c r="Z7" s="24"/>
      <c r="AA7" s="22"/>
      <c r="AB7" s="20"/>
      <c r="AC7" s="23" t="s">
        <v>14</v>
      </c>
      <c r="AD7" s="24"/>
      <c r="AE7" s="24"/>
      <c r="AF7" s="22"/>
      <c r="AG7" s="12"/>
    </row>
    <row r="8">
      <c r="A8" s="10"/>
      <c r="B8" s="25" t="s">
        <v>15</v>
      </c>
      <c r="C8" s="25"/>
      <c r="D8" s="25"/>
      <c r="E8" s="25"/>
      <c r="F8" s="20"/>
      <c r="G8" s="26" t="s">
        <v>16</v>
      </c>
      <c r="H8" s="26"/>
      <c r="I8" s="26"/>
      <c r="J8" s="26"/>
      <c r="K8" s="12"/>
      <c r="L8" s="10"/>
      <c r="M8" s="25" t="s">
        <v>15</v>
      </c>
      <c r="N8" s="25"/>
      <c r="O8" s="25"/>
      <c r="P8" s="25"/>
      <c r="Q8" s="20"/>
      <c r="R8" s="26" t="s">
        <v>16</v>
      </c>
      <c r="S8" s="26"/>
      <c r="T8" s="26"/>
      <c r="U8" s="26"/>
      <c r="V8" s="12"/>
      <c r="W8" s="10"/>
      <c r="X8" s="25" t="s">
        <v>15</v>
      </c>
      <c r="Y8" s="25"/>
      <c r="Z8" s="25"/>
      <c r="AA8" s="25"/>
      <c r="AB8" s="20"/>
      <c r="AC8" s="26" t="s">
        <v>16</v>
      </c>
      <c r="AD8" s="26"/>
      <c r="AE8" s="26"/>
      <c r="AF8" s="26"/>
      <c r="AG8" s="12"/>
    </row>
    <row r="9">
      <c r="A9" s="10"/>
      <c r="B9" s="27" t="s">
        <v>17</v>
      </c>
      <c r="C9" s="28">
        <v>5.0</v>
      </c>
      <c r="D9" s="29">
        <v>1.4816709E7</v>
      </c>
      <c r="E9" s="29">
        <v>1.2934941E7</v>
      </c>
      <c r="F9" s="30">
        <v>1.0</v>
      </c>
      <c r="G9" s="31" t="s">
        <v>18</v>
      </c>
      <c r="H9" s="32">
        <v>12.0</v>
      </c>
      <c r="I9" s="33">
        <v>5.4659978E7</v>
      </c>
      <c r="J9" s="33">
        <v>4.894648E7</v>
      </c>
      <c r="K9" s="12"/>
      <c r="L9" s="10"/>
      <c r="M9" s="27" t="s">
        <v>17</v>
      </c>
      <c r="N9" s="28">
        <v>5.0</v>
      </c>
      <c r="O9" s="34">
        <f t="shared" ref="O9:P9" si="1">D9/D$31</f>
        <v>0.1811800988</v>
      </c>
      <c r="P9" s="34">
        <f t="shared" si="1"/>
        <v>0.1725056299</v>
      </c>
      <c r="Q9" s="20"/>
      <c r="R9" s="31" t="s">
        <v>18</v>
      </c>
      <c r="S9" s="32">
        <v>12.0</v>
      </c>
      <c r="T9" s="35">
        <f t="shared" ref="T9:U9" si="2">I9/I$31</f>
        <v>0.6683873061</v>
      </c>
      <c r="U9" s="35">
        <f t="shared" si="2"/>
        <v>0.652770149</v>
      </c>
      <c r="V9" s="12"/>
      <c r="W9" s="10"/>
      <c r="X9" s="27" t="s">
        <v>17</v>
      </c>
      <c r="Y9" s="28">
        <v>5.0</v>
      </c>
      <c r="Z9" s="29">
        <f t="shared" ref="Z9:Z21" si="5">D9-E9</f>
        <v>1881768</v>
      </c>
      <c r="AA9" s="34">
        <f>Z9/ABS(E9)</f>
        <v>0.1454794421</v>
      </c>
      <c r="AB9" s="20"/>
      <c r="AC9" s="31" t="s">
        <v>18</v>
      </c>
      <c r="AD9" s="32">
        <v>12.0</v>
      </c>
      <c r="AE9" s="33">
        <f t="shared" ref="AE9:AE18" si="6">I9-J9</f>
        <v>5713498</v>
      </c>
      <c r="AF9" s="35">
        <f t="shared" ref="AF9:AF18" si="7">AE9/ABS(J9)</f>
        <v>0.1167294972</v>
      </c>
      <c r="AG9" s="12"/>
    </row>
    <row r="10">
      <c r="A10" s="10"/>
      <c r="B10" s="36" t="s">
        <v>19</v>
      </c>
      <c r="C10" s="37"/>
      <c r="D10" s="38">
        <v>150137.0</v>
      </c>
      <c r="E10" s="37">
        <v>0.0</v>
      </c>
      <c r="F10" s="30">
        <v>2.0</v>
      </c>
      <c r="G10" s="31" t="s">
        <v>20</v>
      </c>
      <c r="H10" s="32">
        <v>12.0</v>
      </c>
      <c r="I10" s="33">
        <v>1499305.0</v>
      </c>
      <c r="J10" s="33">
        <v>2061043.0</v>
      </c>
      <c r="K10" s="12"/>
      <c r="L10" s="10"/>
      <c r="M10" s="36" t="s">
        <v>19</v>
      </c>
      <c r="N10" s="37"/>
      <c r="O10" s="39">
        <f t="shared" ref="O10:P10" si="3">D10/D$31</f>
        <v>0.001835889231</v>
      </c>
      <c r="P10" s="39">
        <f t="shared" si="3"/>
        <v>0</v>
      </c>
      <c r="Q10" s="20"/>
      <c r="R10" s="31" t="s">
        <v>20</v>
      </c>
      <c r="S10" s="32">
        <v>12.0</v>
      </c>
      <c r="T10" s="35">
        <f t="shared" ref="T10:U10" si="4">I10/I$31</f>
        <v>0.0183336413</v>
      </c>
      <c r="U10" s="35">
        <f t="shared" si="4"/>
        <v>0.02748690705</v>
      </c>
      <c r="V10" s="12"/>
      <c r="W10" s="10"/>
      <c r="X10" s="36" t="s">
        <v>19</v>
      </c>
      <c r="Y10" s="37"/>
      <c r="Z10" s="38">
        <f t="shared" si="5"/>
        <v>150137</v>
      </c>
      <c r="AA10" s="39"/>
      <c r="AB10" s="20"/>
      <c r="AC10" s="31" t="s">
        <v>20</v>
      </c>
      <c r="AD10" s="32">
        <v>12.0</v>
      </c>
      <c r="AE10" s="33">
        <f t="shared" si="6"/>
        <v>-561738</v>
      </c>
      <c r="AF10" s="35">
        <f t="shared" si="7"/>
        <v>-0.2725503544</v>
      </c>
      <c r="AG10" s="12"/>
    </row>
    <row r="11">
      <c r="A11" s="10"/>
      <c r="B11" s="27" t="s">
        <v>21</v>
      </c>
      <c r="C11" s="28">
        <v>6.0</v>
      </c>
      <c r="D11" s="29">
        <v>2695454.0</v>
      </c>
      <c r="E11" s="29">
        <v>3001328.0</v>
      </c>
      <c r="F11" s="30">
        <v>3.0</v>
      </c>
      <c r="G11" s="31" t="s">
        <v>19</v>
      </c>
      <c r="H11" s="32"/>
      <c r="I11" s="33">
        <v>150016.0</v>
      </c>
      <c r="J11" s="33">
        <v>817265.0</v>
      </c>
      <c r="K11" s="12"/>
      <c r="L11" s="10"/>
      <c r="M11" s="27" t="s">
        <v>21</v>
      </c>
      <c r="N11" s="28">
        <v>6.0</v>
      </c>
      <c r="O11" s="34">
        <f t="shared" ref="O11:P11" si="8">D11/D$31</f>
        <v>0.03296026277</v>
      </c>
      <c r="P11" s="34">
        <f t="shared" si="8"/>
        <v>0.04002692994</v>
      </c>
      <c r="Q11" s="20"/>
      <c r="R11" s="31" t="s">
        <v>19</v>
      </c>
      <c r="S11" s="32"/>
      <c r="T11" s="35">
        <f t="shared" ref="T11:U11" si="9">I11/I$31</f>
        <v>0.001834409632</v>
      </c>
      <c r="U11" s="35">
        <f t="shared" si="9"/>
        <v>0.01089937817</v>
      </c>
      <c r="V11" s="12"/>
      <c r="W11" s="10"/>
      <c r="X11" s="27" t="s">
        <v>21</v>
      </c>
      <c r="Y11" s="28">
        <v>6.0</v>
      </c>
      <c r="Z11" s="29">
        <f t="shared" si="5"/>
        <v>-305874</v>
      </c>
      <c r="AA11" s="34">
        <f t="shared" ref="AA11:AA21" si="12">Z11/ABS(E11)</f>
        <v>-0.1019128866</v>
      </c>
      <c r="AB11" s="20"/>
      <c r="AC11" s="31" t="s">
        <v>19</v>
      </c>
      <c r="AD11" s="32"/>
      <c r="AE11" s="33">
        <f t="shared" si="6"/>
        <v>-667249</v>
      </c>
      <c r="AF11" s="35">
        <f t="shared" si="7"/>
        <v>-0.8164414235</v>
      </c>
      <c r="AG11" s="12"/>
    </row>
    <row r="12">
      <c r="A12" s="10"/>
      <c r="B12" s="36" t="s">
        <v>22</v>
      </c>
      <c r="C12" s="37">
        <v>6.0</v>
      </c>
      <c r="D12" s="38">
        <v>3944390.0</v>
      </c>
      <c r="E12" s="38">
        <v>3538746.0</v>
      </c>
      <c r="F12" s="30" t="s">
        <v>23</v>
      </c>
      <c r="G12" s="31" t="s">
        <v>24</v>
      </c>
      <c r="H12" s="32">
        <v>13.0</v>
      </c>
      <c r="I12" s="33">
        <v>1685883.0</v>
      </c>
      <c r="J12" s="33">
        <v>2625418.0</v>
      </c>
      <c r="K12" s="12"/>
      <c r="L12" s="10"/>
      <c r="M12" s="36" t="s">
        <v>22</v>
      </c>
      <c r="N12" s="37">
        <v>6.0</v>
      </c>
      <c r="O12" s="39">
        <f t="shared" ref="O12:P12" si="10">D12/D$31</f>
        <v>0.0482323686</v>
      </c>
      <c r="P12" s="39">
        <f t="shared" si="10"/>
        <v>0.04719415479</v>
      </c>
      <c r="Q12" s="20"/>
      <c r="R12" s="31" t="s">
        <v>24</v>
      </c>
      <c r="S12" s="32">
        <v>13.0</v>
      </c>
      <c r="T12" s="35">
        <f t="shared" ref="T12:U12" si="11">I12/I$31</f>
        <v>0.02061513447</v>
      </c>
      <c r="U12" s="35">
        <f t="shared" si="11"/>
        <v>0.03501364141</v>
      </c>
      <c r="V12" s="12"/>
      <c r="W12" s="10"/>
      <c r="X12" s="36" t="s">
        <v>22</v>
      </c>
      <c r="Y12" s="37">
        <v>6.0</v>
      </c>
      <c r="Z12" s="38">
        <f t="shared" si="5"/>
        <v>405644</v>
      </c>
      <c r="AA12" s="39">
        <f t="shared" si="12"/>
        <v>0.1146293065</v>
      </c>
      <c r="AB12" s="20"/>
      <c r="AC12" s="31" t="s">
        <v>24</v>
      </c>
      <c r="AD12" s="32">
        <v>13.0</v>
      </c>
      <c r="AE12" s="33">
        <f t="shared" si="6"/>
        <v>-939535</v>
      </c>
      <c r="AF12" s="35">
        <f t="shared" si="7"/>
        <v>-0.3578611101</v>
      </c>
      <c r="AG12" s="12"/>
    </row>
    <row r="13">
      <c r="A13" s="40" t="s">
        <v>25</v>
      </c>
      <c r="B13" s="36" t="s">
        <v>26</v>
      </c>
      <c r="C13" s="37">
        <v>7.0</v>
      </c>
      <c r="D13" s="38">
        <v>2.9139053E7</v>
      </c>
      <c r="E13" s="38">
        <v>2.6630117E7</v>
      </c>
      <c r="F13" s="30" t="s">
        <v>23</v>
      </c>
      <c r="G13" s="31" t="s">
        <v>27</v>
      </c>
      <c r="H13" s="32">
        <v>8.0</v>
      </c>
      <c r="I13" s="33">
        <v>490934.0</v>
      </c>
      <c r="J13" s="33">
        <v>348759.0</v>
      </c>
      <c r="K13" s="12"/>
      <c r="L13" s="10"/>
      <c r="M13" s="36" t="s">
        <v>26</v>
      </c>
      <c r="N13" s="37">
        <v>7.0</v>
      </c>
      <c r="O13" s="39">
        <f t="shared" ref="O13:P13" si="13">D13/D$31</f>
        <v>0.3563150563</v>
      </c>
      <c r="P13" s="39">
        <f t="shared" si="13"/>
        <v>0.3551500627</v>
      </c>
      <c r="Q13" s="20"/>
      <c r="R13" s="31" t="s">
        <v>27</v>
      </c>
      <c r="S13" s="32">
        <v>8.0</v>
      </c>
      <c r="T13" s="35">
        <f t="shared" ref="T13:U13" si="14">I13/I$31</f>
        <v>0.006003186714</v>
      </c>
      <c r="U13" s="35">
        <f t="shared" si="14"/>
        <v>0.004651191759</v>
      </c>
      <c r="V13" s="12"/>
      <c r="W13" s="10"/>
      <c r="X13" s="36" t="s">
        <v>26</v>
      </c>
      <c r="Y13" s="37">
        <v>7.0</v>
      </c>
      <c r="Z13" s="38">
        <f t="shared" si="5"/>
        <v>2508936</v>
      </c>
      <c r="AA13" s="39">
        <f t="shared" si="12"/>
        <v>0.0942142312</v>
      </c>
      <c r="AB13" s="20"/>
      <c r="AC13" s="31" t="s">
        <v>27</v>
      </c>
      <c r="AD13" s="32">
        <v>8.0</v>
      </c>
      <c r="AE13" s="33">
        <f t="shared" si="6"/>
        <v>142175</v>
      </c>
      <c r="AF13" s="35">
        <f t="shared" si="7"/>
        <v>0.4076597306</v>
      </c>
      <c r="AG13" s="12"/>
    </row>
    <row r="14">
      <c r="A14" s="40" t="s">
        <v>28</v>
      </c>
      <c r="B14" s="36" t="s">
        <v>27</v>
      </c>
      <c r="C14" s="37">
        <v>8.0</v>
      </c>
      <c r="D14" s="38">
        <v>567686.0</v>
      </c>
      <c r="E14" s="38">
        <v>457876.0</v>
      </c>
      <c r="F14" s="30" t="s">
        <v>23</v>
      </c>
      <c r="G14" s="31" t="s">
        <v>29</v>
      </c>
      <c r="H14" s="32">
        <v>8.0</v>
      </c>
      <c r="I14" s="33">
        <v>19777.0</v>
      </c>
      <c r="J14" s="33">
        <v>197492.0</v>
      </c>
      <c r="K14" s="12"/>
      <c r="L14" s="10"/>
      <c r="M14" s="36" t="s">
        <v>27</v>
      </c>
      <c r="N14" s="37">
        <v>8.0</v>
      </c>
      <c r="O14" s="39">
        <f t="shared" ref="O14:P14" si="15">D14/D$31</f>
        <v>0.006941717325</v>
      </c>
      <c r="P14" s="39">
        <f t="shared" si="15"/>
        <v>0.006106420415</v>
      </c>
      <c r="Q14" s="20"/>
      <c r="R14" s="31" t="s">
        <v>29</v>
      </c>
      <c r="S14" s="32">
        <v>8.0</v>
      </c>
      <c r="T14" s="35">
        <f t="shared" ref="T14:U14" si="16">I14/I$31</f>
        <v>0.0002418349995</v>
      </c>
      <c r="U14" s="35">
        <f t="shared" si="16"/>
        <v>0.002633833572</v>
      </c>
      <c r="V14" s="12"/>
      <c r="W14" s="10"/>
      <c r="X14" s="36" t="s">
        <v>27</v>
      </c>
      <c r="Y14" s="37">
        <v>8.0</v>
      </c>
      <c r="Z14" s="38">
        <f t="shared" si="5"/>
        <v>109810</v>
      </c>
      <c r="AA14" s="39">
        <f t="shared" si="12"/>
        <v>0.239824756</v>
      </c>
      <c r="AB14" s="20"/>
      <c r="AC14" s="31" t="s">
        <v>29</v>
      </c>
      <c r="AD14" s="32">
        <v>8.0</v>
      </c>
      <c r="AE14" s="33">
        <f t="shared" si="6"/>
        <v>-177715</v>
      </c>
      <c r="AF14" s="35">
        <f t="shared" si="7"/>
        <v>-0.8998592348</v>
      </c>
      <c r="AG14" s="12"/>
    </row>
    <row r="15">
      <c r="A15" s="40" t="s">
        <v>28</v>
      </c>
      <c r="B15" s="27" t="s">
        <v>29</v>
      </c>
      <c r="C15" s="28">
        <v>8.0</v>
      </c>
      <c r="D15" s="29">
        <v>4611.0</v>
      </c>
      <c r="E15" s="29">
        <v>1439.0</v>
      </c>
      <c r="F15" s="30" t="s">
        <v>23</v>
      </c>
      <c r="G15" s="31" t="s">
        <v>30</v>
      </c>
      <c r="H15" s="32">
        <v>14.0</v>
      </c>
      <c r="I15" s="33">
        <v>4213820.0</v>
      </c>
      <c r="J15" s="33">
        <v>2222627.0</v>
      </c>
      <c r="K15" s="12"/>
      <c r="L15" s="10"/>
      <c r="M15" s="27" t="s">
        <v>29</v>
      </c>
      <c r="N15" s="28">
        <v>8.0</v>
      </c>
      <c r="O15" s="34">
        <f t="shared" ref="O15:P15" si="17">D15/D$31</f>
        <v>0.00005638373781</v>
      </c>
      <c r="P15" s="34">
        <f t="shared" si="17"/>
        <v>0.00001919108881</v>
      </c>
      <c r="Q15" s="20"/>
      <c r="R15" s="31" t="s">
        <v>30</v>
      </c>
      <c r="S15" s="32">
        <v>14.0</v>
      </c>
      <c r="T15" s="35">
        <f t="shared" ref="T15:U15" si="18">I15/I$31</f>
        <v>0.05152698375</v>
      </c>
      <c r="U15" s="35">
        <f t="shared" si="18"/>
        <v>0.02964185694</v>
      </c>
      <c r="V15" s="12"/>
      <c r="W15" s="10"/>
      <c r="X15" s="27" t="s">
        <v>29</v>
      </c>
      <c r="Y15" s="28">
        <v>8.0</v>
      </c>
      <c r="Z15" s="29">
        <f t="shared" si="5"/>
        <v>3172</v>
      </c>
      <c r="AA15" s="34">
        <f t="shared" si="12"/>
        <v>2.204308548</v>
      </c>
      <c r="AB15" s="20"/>
      <c r="AC15" s="31" t="s">
        <v>30</v>
      </c>
      <c r="AD15" s="32">
        <v>14.0</v>
      </c>
      <c r="AE15" s="33">
        <f t="shared" si="6"/>
        <v>1991193</v>
      </c>
      <c r="AF15" s="35">
        <f t="shared" si="7"/>
        <v>0.8958736666</v>
      </c>
      <c r="AG15" s="12"/>
    </row>
    <row r="16">
      <c r="A16" s="40" t="s">
        <v>28</v>
      </c>
      <c r="B16" s="27" t="s">
        <v>31</v>
      </c>
      <c r="C16" s="28">
        <v>11.0</v>
      </c>
      <c r="D16" s="29">
        <v>41933.0</v>
      </c>
      <c r="E16" s="29">
        <v>39806.0</v>
      </c>
      <c r="F16" s="30" t="s">
        <v>23</v>
      </c>
      <c r="G16" s="31" t="s">
        <v>32</v>
      </c>
      <c r="H16" s="32">
        <v>14.0</v>
      </c>
      <c r="I16" s="33">
        <v>760625.0</v>
      </c>
      <c r="J16" s="33">
        <v>700985.0</v>
      </c>
      <c r="K16" s="12"/>
      <c r="L16" s="10"/>
      <c r="M16" s="27" t="s">
        <v>31</v>
      </c>
      <c r="N16" s="28">
        <v>11.0</v>
      </c>
      <c r="O16" s="34">
        <f t="shared" ref="O16:P16" si="19">D16/D$31</f>
        <v>0.0005127606328</v>
      </c>
      <c r="P16" s="34">
        <f t="shared" si="19"/>
        <v>0.000530868993</v>
      </c>
      <c r="Q16" s="20"/>
      <c r="R16" s="31" t="s">
        <v>32</v>
      </c>
      <c r="S16" s="32">
        <v>14.0</v>
      </c>
      <c r="T16" s="35">
        <f t="shared" ref="T16:U16" si="20">I16/I$31</f>
        <v>0.009300993402</v>
      </c>
      <c r="U16" s="35">
        <f t="shared" si="20"/>
        <v>0.009348620838</v>
      </c>
      <c r="V16" s="12"/>
      <c r="W16" s="10"/>
      <c r="X16" s="27" t="s">
        <v>31</v>
      </c>
      <c r="Y16" s="28">
        <v>11.0</v>
      </c>
      <c r="Z16" s="29">
        <f t="shared" si="5"/>
        <v>2127</v>
      </c>
      <c r="AA16" s="34">
        <f t="shared" si="12"/>
        <v>0.05343415565</v>
      </c>
      <c r="AB16" s="20"/>
      <c r="AC16" s="31" t="s">
        <v>32</v>
      </c>
      <c r="AD16" s="32">
        <v>14.0</v>
      </c>
      <c r="AE16" s="33">
        <f t="shared" si="6"/>
        <v>59640</v>
      </c>
      <c r="AF16" s="35">
        <f t="shared" si="7"/>
        <v>0.08508027989</v>
      </c>
      <c r="AG16" s="12"/>
    </row>
    <row r="17">
      <c r="A17" s="10"/>
      <c r="B17" s="27" t="s">
        <v>33</v>
      </c>
      <c r="C17" s="28">
        <v>11.0</v>
      </c>
      <c r="D17" s="29">
        <v>30699.0</v>
      </c>
      <c r="E17" s="29">
        <v>42240.0</v>
      </c>
      <c r="F17" s="20"/>
      <c r="G17" s="31" t="s">
        <v>33</v>
      </c>
      <c r="H17" s="32">
        <v>14.0</v>
      </c>
      <c r="I17" s="33">
        <v>3146.0</v>
      </c>
      <c r="J17" s="33">
        <v>2091.0</v>
      </c>
      <c r="K17" s="12"/>
      <c r="L17" s="10"/>
      <c r="M17" s="27" t="s">
        <v>33</v>
      </c>
      <c r="N17" s="28">
        <v>11.0</v>
      </c>
      <c r="O17" s="34">
        <f t="shared" ref="O17:P17" si="21">D17/D$31</f>
        <v>0.0003753902336</v>
      </c>
      <c r="P17" s="34">
        <f t="shared" si="21"/>
        <v>0.0005633298062</v>
      </c>
      <c r="Q17" s="20"/>
      <c r="R17" s="31" t="s">
        <v>33</v>
      </c>
      <c r="S17" s="32">
        <v>14.0</v>
      </c>
      <c r="T17" s="35">
        <f t="shared" ref="T17:U17" si="22">I17/I$31</f>
        <v>0.00003846958125</v>
      </c>
      <c r="U17" s="35">
        <f t="shared" si="22"/>
        <v>0.00002788642578</v>
      </c>
      <c r="V17" s="12"/>
      <c r="W17" s="10"/>
      <c r="X17" s="27" t="s">
        <v>33</v>
      </c>
      <c r="Y17" s="28">
        <v>11.0</v>
      </c>
      <c r="Z17" s="29">
        <f t="shared" si="5"/>
        <v>-11541</v>
      </c>
      <c r="AA17" s="34">
        <f t="shared" si="12"/>
        <v>-0.2732244318</v>
      </c>
      <c r="AB17" s="20"/>
      <c r="AC17" s="31" t="s">
        <v>33</v>
      </c>
      <c r="AD17" s="32">
        <v>14.0</v>
      </c>
      <c r="AE17" s="33">
        <f t="shared" si="6"/>
        <v>1055</v>
      </c>
      <c r="AF17" s="35">
        <f t="shared" si="7"/>
        <v>0.5045432807</v>
      </c>
      <c r="AG17" s="12"/>
    </row>
    <row r="18">
      <c r="A18" s="10"/>
      <c r="B18" s="41" t="s">
        <v>34</v>
      </c>
      <c r="C18" s="42">
        <v>11.0</v>
      </c>
      <c r="D18" s="42">
        <v>421.0</v>
      </c>
      <c r="E18" s="37">
        <v>407.0</v>
      </c>
      <c r="F18" s="20"/>
      <c r="G18" s="31" t="s">
        <v>35</v>
      </c>
      <c r="H18" s="32">
        <v>14.0</v>
      </c>
      <c r="I18" s="33">
        <v>1122036.0</v>
      </c>
      <c r="J18" s="33">
        <v>962802.0</v>
      </c>
      <c r="K18" s="12"/>
      <c r="L18" s="10"/>
      <c r="M18" s="36" t="s">
        <v>34</v>
      </c>
      <c r="N18" s="37">
        <v>11.0</v>
      </c>
      <c r="O18" s="39">
        <f t="shared" ref="O18:P18" si="23">D18/D$31</f>
        <v>0.000005148027244</v>
      </c>
      <c r="P18" s="39">
        <f t="shared" si="23"/>
        <v>0.000005427917404</v>
      </c>
      <c r="Q18" s="20"/>
      <c r="R18" s="31" t="s">
        <v>35</v>
      </c>
      <c r="S18" s="32">
        <v>14.0</v>
      </c>
      <c r="T18" s="35">
        <f t="shared" ref="T18:U18" si="24">I18/I$31</f>
        <v>0.0137203608</v>
      </c>
      <c r="U18" s="35">
        <f t="shared" si="24"/>
        <v>0.01284031875</v>
      </c>
      <c r="V18" s="12"/>
      <c r="W18" s="10"/>
      <c r="X18" s="36" t="s">
        <v>34</v>
      </c>
      <c r="Y18" s="37">
        <v>11.0</v>
      </c>
      <c r="Z18" s="37">
        <f t="shared" si="5"/>
        <v>14</v>
      </c>
      <c r="AA18" s="39">
        <f t="shared" si="12"/>
        <v>0.0343980344</v>
      </c>
      <c r="AB18" s="20"/>
      <c r="AC18" s="31" t="s">
        <v>35</v>
      </c>
      <c r="AD18" s="32">
        <v>14.0</v>
      </c>
      <c r="AE18" s="33">
        <f t="shared" si="6"/>
        <v>159234</v>
      </c>
      <c r="AF18" s="35">
        <f t="shared" si="7"/>
        <v>0.1653860295</v>
      </c>
      <c r="AG18" s="12"/>
    </row>
    <row r="19">
      <c r="A19" s="10"/>
      <c r="B19" s="36" t="s">
        <v>36</v>
      </c>
      <c r="C19" s="37">
        <v>11.0</v>
      </c>
      <c r="D19" s="29">
        <v>162033.0</v>
      </c>
      <c r="E19" s="29">
        <v>121792.0</v>
      </c>
      <c r="F19" s="20"/>
      <c r="G19" s="31"/>
      <c r="H19" s="32"/>
      <c r="I19" s="33"/>
      <c r="J19" s="33"/>
      <c r="K19" s="12"/>
      <c r="L19" s="10"/>
      <c r="M19" s="36" t="s">
        <v>36</v>
      </c>
      <c r="N19" s="37">
        <v>11.0</v>
      </c>
      <c r="O19" s="39">
        <f t="shared" ref="O19:P19" si="25">D19/D$31</f>
        <v>0.001981354628</v>
      </c>
      <c r="P19" s="39">
        <f t="shared" si="25"/>
        <v>0.001624267608</v>
      </c>
      <c r="Q19" s="20"/>
      <c r="R19" s="31"/>
      <c r="S19" s="32"/>
      <c r="T19" s="35"/>
      <c r="U19" s="35"/>
      <c r="V19" s="12"/>
      <c r="W19" s="10"/>
      <c r="X19" s="36" t="s">
        <v>36</v>
      </c>
      <c r="Y19" s="37">
        <v>11.0</v>
      </c>
      <c r="Z19" s="38">
        <f t="shared" si="5"/>
        <v>40241</v>
      </c>
      <c r="AA19" s="39">
        <f t="shared" si="12"/>
        <v>0.3304075801</v>
      </c>
      <c r="AB19" s="20"/>
      <c r="AC19" s="31"/>
      <c r="AD19" s="32"/>
      <c r="AE19" s="33"/>
      <c r="AF19" s="35"/>
      <c r="AG19" s="12"/>
    </row>
    <row r="20">
      <c r="A20" s="10"/>
      <c r="B20" s="27" t="s">
        <v>37</v>
      </c>
      <c r="C20" s="28">
        <v>11.0</v>
      </c>
      <c r="D20" s="29">
        <v>1047463.0</v>
      </c>
      <c r="E20" s="29">
        <v>965246.0</v>
      </c>
      <c r="F20" s="20"/>
      <c r="G20" s="43" t="s">
        <v>38</v>
      </c>
      <c r="H20" s="44"/>
      <c r="I20" s="45">
        <f t="shared" ref="I20:J20" si="26">SUM(I9:I18)</f>
        <v>64605520</v>
      </c>
      <c r="J20" s="45">
        <f t="shared" si="26"/>
        <v>58884962</v>
      </c>
      <c r="K20" s="12"/>
      <c r="L20" s="10"/>
      <c r="M20" s="27" t="s">
        <v>37</v>
      </c>
      <c r="N20" s="28">
        <v>11.0</v>
      </c>
      <c r="O20" s="34">
        <f t="shared" ref="O20:P20" si="27">D20/D$31</f>
        <v>0.0128084752</v>
      </c>
      <c r="P20" s="34">
        <f t="shared" si="27"/>
        <v>0.01287291293</v>
      </c>
      <c r="Q20" s="20"/>
      <c r="R20" s="43" t="s">
        <v>38</v>
      </c>
      <c r="S20" s="44"/>
      <c r="T20" s="46">
        <f t="shared" ref="T20:U20" si="28">I20/I$31</f>
        <v>0.7900023208</v>
      </c>
      <c r="U20" s="46">
        <f t="shared" si="28"/>
        <v>0.7853137839</v>
      </c>
      <c r="V20" s="12"/>
      <c r="W20" s="10"/>
      <c r="X20" s="27" t="s">
        <v>37</v>
      </c>
      <c r="Y20" s="28">
        <v>11.0</v>
      </c>
      <c r="Z20" s="29">
        <f t="shared" si="5"/>
        <v>82217</v>
      </c>
      <c r="AA20" s="34">
        <f t="shared" si="12"/>
        <v>0.08517725015</v>
      </c>
      <c r="AB20" s="20"/>
      <c r="AC20" s="43" t="s">
        <v>38</v>
      </c>
      <c r="AD20" s="44"/>
      <c r="AE20" s="45">
        <f>I20-J20</f>
        <v>5720558</v>
      </c>
      <c r="AF20" s="46">
        <f>AE20/ABS(J20)</f>
        <v>0.09714802907</v>
      </c>
      <c r="AG20" s="12"/>
    </row>
    <row r="21" ht="15.75" customHeight="1">
      <c r="A21" s="10"/>
      <c r="B21" s="43" t="s">
        <v>39</v>
      </c>
      <c r="C21" s="44"/>
      <c r="D21" s="45">
        <f t="shared" ref="D21:E21" si="29">SUM(D9:D13,D14:D20)</f>
        <v>52600589</v>
      </c>
      <c r="E21" s="45">
        <f t="shared" si="29"/>
        <v>47733938</v>
      </c>
      <c r="F21" s="20"/>
      <c r="G21" s="26" t="s">
        <v>40</v>
      </c>
      <c r="H21" s="47"/>
      <c r="I21" s="48"/>
      <c r="J21" s="48"/>
      <c r="K21" s="12"/>
      <c r="L21" s="10"/>
      <c r="M21" s="43" t="s">
        <v>39</v>
      </c>
      <c r="N21" s="44"/>
      <c r="O21" s="46">
        <f t="shared" ref="O21:P21" si="30">D21/D$31</f>
        <v>0.6432049055</v>
      </c>
      <c r="P21" s="46">
        <f t="shared" si="30"/>
        <v>0.6365991961</v>
      </c>
      <c r="Q21" s="20"/>
      <c r="R21" s="26" t="s">
        <v>40</v>
      </c>
      <c r="S21" s="47"/>
      <c r="T21" s="49"/>
      <c r="U21" s="49"/>
      <c r="V21" s="12"/>
      <c r="W21" s="10"/>
      <c r="X21" s="43" t="s">
        <v>39</v>
      </c>
      <c r="Y21" s="44"/>
      <c r="Z21" s="45">
        <f t="shared" si="5"/>
        <v>4866651</v>
      </c>
      <c r="AA21" s="46">
        <f t="shared" si="12"/>
        <v>0.1019536875</v>
      </c>
      <c r="AB21" s="20"/>
      <c r="AC21" s="26" t="s">
        <v>40</v>
      </c>
      <c r="AD21" s="47"/>
      <c r="AE21" s="48"/>
      <c r="AF21" s="49"/>
      <c r="AG21" s="12"/>
    </row>
    <row r="22" ht="15.75" customHeight="1">
      <c r="A22" s="10"/>
      <c r="B22" s="26" t="s">
        <v>41</v>
      </c>
      <c r="C22" s="47"/>
      <c r="D22" s="48"/>
      <c r="E22" s="48"/>
      <c r="F22" s="20"/>
      <c r="G22" s="31" t="s">
        <v>42</v>
      </c>
      <c r="H22" s="32">
        <v>13.0</v>
      </c>
      <c r="I22" s="33">
        <v>7992913.0</v>
      </c>
      <c r="J22" s="33">
        <v>7745543.0</v>
      </c>
      <c r="K22" s="12"/>
      <c r="L22" s="10"/>
      <c r="M22" s="26" t="s">
        <v>41</v>
      </c>
      <c r="N22" s="47"/>
      <c r="O22" s="49"/>
      <c r="P22" s="49"/>
      <c r="Q22" s="20"/>
      <c r="R22" s="31" t="s">
        <v>42</v>
      </c>
      <c r="S22" s="32">
        <v>13.0</v>
      </c>
      <c r="T22" s="35">
        <f t="shared" ref="T22:U22" si="31">I22/I$31</f>
        <v>0.09773808522</v>
      </c>
      <c r="U22" s="35">
        <f t="shared" si="31"/>
        <v>0.1032977092</v>
      </c>
      <c r="V22" s="12"/>
      <c r="W22" s="10"/>
      <c r="X22" s="26" t="s">
        <v>41</v>
      </c>
      <c r="Y22" s="47"/>
      <c r="Z22" s="48"/>
      <c r="AA22" s="49"/>
      <c r="AB22" s="20"/>
      <c r="AC22" s="31" t="s">
        <v>42</v>
      </c>
      <c r="AD22" s="32">
        <v>13.0</v>
      </c>
      <c r="AE22" s="33">
        <f t="shared" ref="AE22:AE24" si="35">I22-J22</f>
        <v>247370</v>
      </c>
      <c r="AF22" s="35">
        <f t="shared" ref="AF22:AF24" si="36">AE22/ABS(J22)</f>
        <v>0.03193707659</v>
      </c>
      <c r="AG22" s="12"/>
    </row>
    <row r="23" ht="15.75" customHeight="1">
      <c r="A23" s="10"/>
      <c r="B23" s="27" t="s">
        <v>26</v>
      </c>
      <c r="C23" s="28">
        <v>7.0</v>
      </c>
      <c r="D23" s="29">
        <v>2.7259226E7</v>
      </c>
      <c r="E23" s="29">
        <v>2.5385018E7</v>
      </c>
      <c r="F23" s="20"/>
      <c r="G23" s="50" t="s">
        <v>43</v>
      </c>
      <c r="H23" s="51"/>
      <c r="I23" s="52">
        <f t="shared" ref="I23:J23" si="32">I22</f>
        <v>7992913</v>
      </c>
      <c r="J23" s="52">
        <f t="shared" si="32"/>
        <v>7745543</v>
      </c>
      <c r="K23" s="12"/>
      <c r="L23" s="10"/>
      <c r="M23" s="27" t="s">
        <v>26</v>
      </c>
      <c r="N23" s="28">
        <v>7.0</v>
      </c>
      <c r="O23" s="34">
        <f t="shared" ref="O23:P23" si="33">D23/D$31</f>
        <v>0.3333283565</v>
      </c>
      <c r="P23" s="34">
        <f t="shared" si="33"/>
        <v>0.3385449164</v>
      </c>
      <c r="Q23" s="20"/>
      <c r="R23" s="50" t="s">
        <v>43</v>
      </c>
      <c r="S23" s="51"/>
      <c r="T23" s="53">
        <f t="shared" ref="T23:U23" si="34">I23/I$31</f>
        <v>0.09773808522</v>
      </c>
      <c r="U23" s="53">
        <f t="shared" si="34"/>
        <v>0.1032977092</v>
      </c>
      <c r="V23" s="12"/>
      <c r="W23" s="10"/>
      <c r="X23" s="27" t="s">
        <v>26</v>
      </c>
      <c r="Y23" s="28">
        <v>7.0</v>
      </c>
      <c r="Z23" s="29">
        <f t="shared" ref="Z23:Z31" si="40">D23-E23</f>
        <v>1874208</v>
      </c>
      <c r="AA23" s="34">
        <f t="shared" ref="AA23:AA31" si="41">Z23/ABS(E23)</f>
        <v>0.07383126536</v>
      </c>
      <c r="AB23" s="20"/>
      <c r="AC23" s="50" t="s">
        <v>43</v>
      </c>
      <c r="AD23" s="51"/>
      <c r="AE23" s="52">
        <f t="shared" si="35"/>
        <v>247370</v>
      </c>
      <c r="AF23" s="53">
        <f t="shared" si="36"/>
        <v>0.03193707659</v>
      </c>
      <c r="AG23" s="12"/>
    </row>
    <row r="24" ht="15.75" customHeight="1">
      <c r="A24" s="10"/>
      <c r="B24" s="36" t="s">
        <v>44</v>
      </c>
      <c r="C24" s="37"/>
      <c r="D24" s="38">
        <v>187561.0</v>
      </c>
      <c r="E24" s="38">
        <v>248430.0</v>
      </c>
      <c r="F24" s="20"/>
      <c r="G24" s="54" t="s">
        <v>45</v>
      </c>
      <c r="H24" s="55"/>
      <c r="I24" s="56">
        <f t="shared" ref="I24:J24" si="37">I20+I23</f>
        <v>72598433</v>
      </c>
      <c r="J24" s="56">
        <f t="shared" si="37"/>
        <v>66630505</v>
      </c>
      <c r="K24" s="12"/>
      <c r="L24" s="10"/>
      <c r="M24" s="36" t="s">
        <v>44</v>
      </c>
      <c r="N24" s="37"/>
      <c r="O24" s="39">
        <f t="shared" ref="O24:P24" si="38">D24/D$31</f>
        <v>0.002293513392</v>
      </c>
      <c r="P24" s="39">
        <f t="shared" si="38"/>
        <v>0.003313163441</v>
      </c>
      <c r="Q24" s="20"/>
      <c r="R24" s="54" t="s">
        <v>45</v>
      </c>
      <c r="S24" s="55"/>
      <c r="T24" s="57">
        <f t="shared" ref="T24:U24" si="39">I24/I$31</f>
        <v>0.887740406</v>
      </c>
      <c r="U24" s="57">
        <f t="shared" si="39"/>
        <v>0.8886114931</v>
      </c>
      <c r="V24" s="12"/>
      <c r="W24" s="10"/>
      <c r="X24" s="36" t="s">
        <v>44</v>
      </c>
      <c r="Y24" s="37"/>
      <c r="Z24" s="38">
        <f t="shared" si="40"/>
        <v>-60869</v>
      </c>
      <c r="AA24" s="39">
        <f t="shared" si="41"/>
        <v>-0.2450146923</v>
      </c>
      <c r="AB24" s="20"/>
      <c r="AC24" s="54" t="s">
        <v>45</v>
      </c>
      <c r="AD24" s="55"/>
      <c r="AE24" s="56">
        <f t="shared" si="35"/>
        <v>5967928</v>
      </c>
      <c r="AF24" s="57">
        <f t="shared" si="36"/>
        <v>0.08956750365</v>
      </c>
      <c r="AG24" s="12"/>
    </row>
    <row r="25" ht="15.75" customHeight="1">
      <c r="A25" s="10"/>
      <c r="B25" s="27" t="s">
        <v>46</v>
      </c>
      <c r="C25" s="28">
        <v>9.0</v>
      </c>
      <c r="D25" s="29">
        <v>15602.0</v>
      </c>
      <c r="E25" s="29">
        <v>13758.0</v>
      </c>
      <c r="F25" s="20"/>
      <c r="G25" s="58" t="s">
        <v>47</v>
      </c>
      <c r="H25" s="59"/>
      <c r="I25" s="59"/>
      <c r="J25" s="60"/>
      <c r="K25" s="12"/>
      <c r="L25" s="10"/>
      <c r="M25" s="27" t="s">
        <v>46</v>
      </c>
      <c r="N25" s="28">
        <v>9.0</v>
      </c>
      <c r="O25" s="34">
        <f t="shared" ref="O25:P25" si="42">D25/D$31</f>
        <v>0.0001907827103</v>
      </c>
      <c r="P25" s="34">
        <f t="shared" si="42"/>
        <v>0.0001834822792</v>
      </c>
      <c r="Q25" s="20"/>
      <c r="R25" s="61" t="s">
        <v>47</v>
      </c>
      <c r="S25" s="61"/>
      <c r="T25" s="62"/>
      <c r="U25" s="62"/>
      <c r="V25" s="12"/>
      <c r="W25" s="10"/>
      <c r="X25" s="27" t="s">
        <v>46</v>
      </c>
      <c r="Y25" s="28">
        <v>9.0</v>
      </c>
      <c r="Z25" s="29">
        <f t="shared" si="40"/>
        <v>1844</v>
      </c>
      <c r="AA25" s="34">
        <f t="shared" si="41"/>
        <v>0.1340311092</v>
      </c>
      <c r="AB25" s="20"/>
      <c r="AC25" s="61" t="s">
        <v>47</v>
      </c>
      <c r="AD25" s="61"/>
      <c r="AE25" s="61"/>
      <c r="AF25" s="62"/>
      <c r="AG25" s="12"/>
    </row>
    <row r="26" ht="15.75" customHeight="1">
      <c r="A26" s="10"/>
      <c r="B26" s="36" t="s">
        <v>48</v>
      </c>
      <c r="C26" s="37">
        <v>10.0</v>
      </c>
      <c r="D26" s="38">
        <v>988104.0</v>
      </c>
      <c r="E26" s="38">
        <v>940176.0</v>
      </c>
      <c r="F26" s="20"/>
      <c r="G26" s="31" t="s">
        <v>49</v>
      </c>
      <c r="H26" s="32"/>
      <c r="I26" s="33">
        <v>5885209.0</v>
      </c>
      <c r="J26" s="33">
        <v>5368602.0</v>
      </c>
      <c r="K26" s="12"/>
      <c r="L26" s="10"/>
      <c r="M26" s="36" t="s">
        <v>48</v>
      </c>
      <c r="N26" s="37">
        <v>10.0</v>
      </c>
      <c r="O26" s="39">
        <f t="shared" ref="O26:P26" si="43">D26/D$31</f>
        <v>0.01208262782</v>
      </c>
      <c r="P26" s="39">
        <f t="shared" si="43"/>
        <v>0.01253856922</v>
      </c>
      <c r="Q26" s="20"/>
      <c r="R26" s="31" t="s">
        <v>49</v>
      </c>
      <c r="S26" s="32"/>
      <c r="T26" s="35">
        <f t="shared" ref="T26:U26" si="44">I26/I$31</f>
        <v>0.07196488424</v>
      </c>
      <c r="U26" s="35">
        <f t="shared" si="44"/>
        <v>0.07159785806</v>
      </c>
      <c r="V26" s="12"/>
      <c r="W26" s="10"/>
      <c r="X26" s="36" t="s">
        <v>48</v>
      </c>
      <c r="Y26" s="37">
        <v>10.0</v>
      </c>
      <c r="Z26" s="38">
        <f t="shared" si="40"/>
        <v>47928</v>
      </c>
      <c r="AA26" s="39">
        <f t="shared" si="41"/>
        <v>0.05097768928</v>
      </c>
      <c r="AB26" s="20"/>
      <c r="AC26" s="31" t="s">
        <v>49</v>
      </c>
      <c r="AD26" s="32"/>
      <c r="AE26" s="33">
        <f t="shared" ref="AE26:AE31" si="47">I26-J26</f>
        <v>516607</v>
      </c>
      <c r="AF26" s="35">
        <f t="shared" ref="AF26:AF31" si="48">AE26/ABS(J26)</f>
        <v>0.09622747225</v>
      </c>
      <c r="AG26" s="12"/>
    </row>
    <row r="27" ht="15.75" customHeight="1">
      <c r="A27" s="10"/>
      <c r="B27" s="27" t="s">
        <v>50</v>
      </c>
      <c r="C27" s="28">
        <v>11.0</v>
      </c>
      <c r="D27" s="29">
        <v>287362.0</v>
      </c>
      <c r="E27" s="29">
        <v>290665.0</v>
      </c>
      <c r="F27" s="20"/>
      <c r="G27" s="31" t="s">
        <v>51</v>
      </c>
      <c r="H27" s="32"/>
      <c r="I27" s="33">
        <v>1669835.0</v>
      </c>
      <c r="J27" s="33">
        <v>1522035.0</v>
      </c>
      <c r="K27" s="12"/>
      <c r="L27" s="10"/>
      <c r="M27" s="27" t="s">
        <v>50</v>
      </c>
      <c r="N27" s="28">
        <v>11.0</v>
      </c>
      <c r="O27" s="34">
        <f t="shared" ref="O27:P27" si="45">D27/D$31</f>
        <v>0.003513889322</v>
      </c>
      <c r="P27" s="34">
        <f t="shared" si="45"/>
        <v>0.003876426565</v>
      </c>
      <c r="Q27" s="20"/>
      <c r="R27" s="31" t="s">
        <v>51</v>
      </c>
      <c r="S27" s="32"/>
      <c r="T27" s="35">
        <f t="shared" ref="T27:U27" si="46">I27/I$31</f>
        <v>0.02041889803</v>
      </c>
      <c r="U27" s="35">
        <f t="shared" si="46"/>
        <v>0.02029847731</v>
      </c>
      <c r="V27" s="12"/>
      <c r="W27" s="10"/>
      <c r="X27" s="27" t="s">
        <v>50</v>
      </c>
      <c r="Y27" s="28">
        <v>11.0</v>
      </c>
      <c r="Z27" s="29">
        <f t="shared" si="40"/>
        <v>-3303</v>
      </c>
      <c r="AA27" s="34">
        <f t="shared" si="41"/>
        <v>-0.01136359727</v>
      </c>
      <c r="AB27" s="20"/>
      <c r="AC27" s="31" t="s">
        <v>51</v>
      </c>
      <c r="AD27" s="32"/>
      <c r="AE27" s="33">
        <f t="shared" si="47"/>
        <v>147800</v>
      </c>
      <c r="AF27" s="35">
        <f t="shared" si="48"/>
        <v>0.09710683394</v>
      </c>
      <c r="AG27" s="12"/>
    </row>
    <row r="28" ht="15.75" customHeight="1">
      <c r="A28" s="10"/>
      <c r="B28" s="36" t="s">
        <v>52</v>
      </c>
      <c r="C28" s="37">
        <v>11.0</v>
      </c>
      <c r="D28" s="38">
        <v>1316.0</v>
      </c>
      <c r="E28" s="38">
        <v>5289.0</v>
      </c>
      <c r="F28" s="20"/>
      <c r="G28" s="31" t="s">
        <v>53</v>
      </c>
      <c r="H28" s="32"/>
      <c r="I28" s="33">
        <v>1602606.0</v>
      </c>
      <c r="J28" s="33">
        <v>1469572.0</v>
      </c>
      <c r="K28" s="12"/>
      <c r="L28" s="10"/>
      <c r="M28" s="36" t="s">
        <v>52</v>
      </c>
      <c r="N28" s="37">
        <v>11.0</v>
      </c>
      <c r="O28" s="39">
        <f t="shared" ref="O28:P28" si="49">D28/D$31</f>
        <v>0.00001609217067</v>
      </c>
      <c r="P28" s="39">
        <f t="shared" si="49"/>
        <v>0.00007053625343</v>
      </c>
      <c r="Q28" s="20"/>
      <c r="R28" s="31" t="s">
        <v>53</v>
      </c>
      <c r="S28" s="32"/>
      <c r="T28" s="35">
        <f t="shared" ref="T28:U28" si="50">I28/I$31</f>
        <v>0.01959681556</v>
      </c>
      <c r="U28" s="35">
        <f t="shared" si="50"/>
        <v>0.01959880942</v>
      </c>
      <c r="V28" s="12"/>
      <c r="W28" s="10"/>
      <c r="X28" s="36" t="s">
        <v>52</v>
      </c>
      <c r="Y28" s="37">
        <v>11.0</v>
      </c>
      <c r="Z28" s="38">
        <f t="shared" si="40"/>
        <v>-3973</v>
      </c>
      <c r="AA28" s="39">
        <f t="shared" si="41"/>
        <v>-0.7511816979</v>
      </c>
      <c r="AB28" s="20"/>
      <c r="AC28" s="31" t="s">
        <v>53</v>
      </c>
      <c r="AD28" s="32"/>
      <c r="AE28" s="33">
        <f t="shared" si="47"/>
        <v>133034</v>
      </c>
      <c r="AF28" s="35">
        <f t="shared" si="48"/>
        <v>0.09052567686</v>
      </c>
      <c r="AG28" s="12"/>
    </row>
    <row r="29" ht="15.75" customHeight="1">
      <c r="A29" s="10"/>
      <c r="B29" s="63" t="s">
        <v>54</v>
      </c>
      <c r="C29" s="64">
        <v>24.0</v>
      </c>
      <c r="D29" s="65">
        <v>439139.0</v>
      </c>
      <c r="E29" s="65">
        <v>365444.0</v>
      </c>
      <c r="F29" s="20"/>
      <c r="G29" s="31" t="s">
        <v>55</v>
      </c>
      <c r="H29" s="32"/>
      <c r="I29" s="33">
        <v>22816.0</v>
      </c>
      <c r="J29" s="33">
        <v>-7996.0</v>
      </c>
      <c r="K29" s="12"/>
      <c r="L29" s="10"/>
      <c r="M29" s="63" t="s">
        <v>54</v>
      </c>
      <c r="N29" s="64">
        <v>24.0</v>
      </c>
      <c r="O29" s="66">
        <f t="shared" ref="O29:P29" si="51">D29/D$31</f>
        <v>0.005369832626</v>
      </c>
      <c r="P29" s="66">
        <f t="shared" si="51"/>
        <v>0.004873709699</v>
      </c>
      <c r="Q29" s="20"/>
      <c r="R29" s="31" t="s">
        <v>55</v>
      </c>
      <c r="S29" s="32"/>
      <c r="T29" s="35">
        <f t="shared" ref="T29:U29" si="52">I29/I$31</f>
        <v>0.0002789961748</v>
      </c>
      <c r="U29" s="35">
        <f t="shared" si="52"/>
        <v>-0.0001066379056</v>
      </c>
      <c r="V29" s="12"/>
      <c r="W29" s="10"/>
      <c r="X29" s="63" t="s">
        <v>54</v>
      </c>
      <c r="Y29" s="64">
        <v>24.0</v>
      </c>
      <c r="Z29" s="65">
        <f t="shared" si="40"/>
        <v>73695</v>
      </c>
      <c r="AA29" s="66">
        <f t="shared" si="41"/>
        <v>0.2016588041</v>
      </c>
      <c r="AB29" s="20"/>
      <c r="AC29" s="31" t="s">
        <v>55</v>
      </c>
      <c r="AD29" s="32"/>
      <c r="AE29" s="33">
        <f t="shared" si="47"/>
        <v>30812</v>
      </c>
      <c r="AF29" s="35">
        <f t="shared" si="48"/>
        <v>3.853426713</v>
      </c>
      <c r="AG29" s="12"/>
    </row>
    <row r="30" ht="15.75" customHeight="1">
      <c r="A30" s="10"/>
      <c r="B30" s="67" t="s">
        <v>56</v>
      </c>
      <c r="C30" s="68"/>
      <c r="D30" s="69">
        <f t="shared" ref="D30:E30" si="53">SUM(D23:D29)</f>
        <v>29178310</v>
      </c>
      <c r="E30" s="69">
        <f t="shared" si="53"/>
        <v>27248780</v>
      </c>
      <c r="F30" s="20"/>
      <c r="G30" s="54" t="s">
        <v>57</v>
      </c>
      <c r="H30" s="55"/>
      <c r="I30" s="56">
        <f t="shared" ref="I30:J30" si="54">SUM(I26:I29)</f>
        <v>9180466</v>
      </c>
      <c r="J30" s="56">
        <f t="shared" si="54"/>
        <v>8352213</v>
      </c>
      <c r="K30" s="12"/>
      <c r="L30" s="10"/>
      <c r="M30" s="67" t="s">
        <v>56</v>
      </c>
      <c r="N30" s="68"/>
      <c r="O30" s="70">
        <f t="shared" ref="O30:P30" si="55">D30/D$31</f>
        <v>0.3567950945</v>
      </c>
      <c r="P30" s="70">
        <f t="shared" si="55"/>
        <v>0.3634008039</v>
      </c>
      <c r="Q30" s="20"/>
      <c r="R30" s="54" t="s">
        <v>57</v>
      </c>
      <c r="S30" s="55"/>
      <c r="T30" s="57">
        <f t="shared" ref="T30:U30" si="56">I30/I$31</f>
        <v>0.112259594</v>
      </c>
      <c r="U30" s="57">
        <f t="shared" si="56"/>
        <v>0.1113885069</v>
      </c>
      <c r="V30" s="12"/>
      <c r="W30" s="10"/>
      <c r="X30" s="67" t="s">
        <v>56</v>
      </c>
      <c r="Y30" s="68"/>
      <c r="Z30" s="69">
        <f t="shared" si="40"/>
        <v>1929530</v>
      </c>
      <c r="AA30" s="70">
        <f t="shared" si="41"/>
        <v>0.07081161065</v>
      </c>
      <c r="AB30" s="20"/>
      <c r="AC30" s="54" t="s">
        <v>57</v>
      </c>
      <c r="AD30" s="55"/>
      <c r="AE30" s="56">
        <f t="shared" si="47"/>
        <v>828253</v>
      </c>
      <c r="AF30" s="57">
        <f t="shared" si="48"/>
        <v>0.09916569417</v>
      </c>
      <c r="AG30" s="12"/>
    </row>
    <row r="31" ht="15.75" customHeight="1">
      <c r="A31" s="10"/>
      <c r="B31" s="54" t="s">
        <v>58</v>
      </c>
      <c r="C31" s="55"/>
      <c r="D31" s="56">
        <f t="shared" ref="D31:E31" si="57">D21+D30</f>
        <v>81778899</v>
      </c>
      <c r="E31" s="56">
        <f t="shared" si="57"/>
        <v>74982718</v>
      </c>
      <c r="F31" s="20"/>
      <c r="G31" s="54" t="s">
        <v>59</v>
      </c>
      <c r="H31" s="54"/>
      <c r="I31" s="56">
        <f t="shared" ref="I31:J31" si="58">I24+I30</f>
        <v>81778899</v>
      </c>
      <c r="J31" s="56">
        <f t="shared" si="58"/>
        <v>74982718</v>
      </c>
      <c r="K31" s="12"/>
      <c r="L31" s="10"/>
      <c r="M31" s="54" t="s">
        <v>58</v>
      </c>
      <c r="N31" s="55"/>
      <c r="O31" s="57">
        <f t="shared" ref="O31:P31" si="59">D31/D$31</f>
        <v>1</v>
      </c>
      <c r="P31" s="57">
        <f t="shared" si="59"/>
        <v>1</v>
      </c>
      <c r="Q31" s="20"/>
      <c r="R31" s="54" t="s">
        <v>59</v>
      </c>
      <c r="S31" s="54"/>
      <c r="T31" s="57">
        <f t="shared" ref="T31:U31" si="60">I31/I$31</f>
        <v>1</v>
      </c>
      <c r="U31" s="57">
        <f t="shared" si="60"/>
        <v>1</v>
      </c>
      <c r="V31" s="12"/>
      <c r="W31" s="10"/>
      <c r="X31" s="54" t="s">
        <v>58</v>
      </c>
      <c r="Y31" s="55"/>
      <c r="Z31" s="56">
        <f t="shared" si="40"/>
        <v>6796181</v>
      </c>
      <c r="AA31" s="57">
        <f t="shared" si="41"/>
        <v>0.09063663176</v>
      </c>
      <c r="AB31" s="20"/>
      <c r="AC31" s="54" t="s">
        <v>59</v>
      </c>
      <c r="AD31" s="54"/>
      <c r="AE31" s="56">
        <f t="shared" si="47"/>
        <v>6796181</v>
      </c>
      <c r="AF31" s="57">
        <f t="shared" si="48"/>
        <v>0.09063663176</v>
      </c>
      <c r="AG31" s="12"/>
    </row>
    <row r="32" ht="15.75" customHeight="1">
      <c r="A32" s="10"/>
      <c r="B32" s="1"/>
      <c r="C32" s="1"/>
      <c r="D32" s="1"/>
      <c r="E32" s="1"/>
      <c r="F32" s="1"/>
      <c r="G32" s="1"/>
      <c r="H32" s="1"/>
      <c r="I32" s="1"/>
      <c r="J32" s="1"/>
      <c r="K32" s="12"/>
      <c r="L32" s="10"/>
      <c r="M32" s="1"/>
      <c r="N32" s="1"/>
      <c r="O32" s="1"/>
      <c r="P32" s="1"/>
      <c r="Q32" s="1"/>
      <c r="R32" s="1"/>
      <c r="S32" s="1"/>
      <c r="T32" s="1"/>
      <c r="U32" s="1"/>
      <c r="V32" s="12"/>
      <c r="W32" s="10"/>
      <c r="X32" s="1"/>
      <c r="Y32" s="1"/>
      <c r="Z32" s="1"/>
      <c r="AA32" s="1"/>
      <c r="AB32" s="1"/>
      <c r="AC32" s="1"/>
      <c r="AD32" s="1"/>
      <c r="AE32" s="1"/>
      <c r="AF32" s="1"/>
      <c r="AG32" s="12"/>
    </row>
    <row r="33" ht="15.75" customHeight="1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3"/>
      <c r="L33" s="71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1"/>
      <c r="X33" s="72"/>
      <c r="Y33" s="72"/>
      <c r="Z33" s="72"/>
      <c r="AA33" s="72"/>
      <c r="AB33" s="72"/>
      <c r="AC33" s="72"/>
      <c r="AD33" s="72"/>
      <c r="AE33" s="72"/>
      <c r="AF33" s="72"/>
      <c r="AG33" s="73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2">
    <mergeCell ref="M7:P7"/>
    <mergeCell ref="R7:U7"/>
    <mergeCell ref="G25:J25"/>
    <mergeCell ref="X7:AA7"/>
    <mergeCell ref="AC7:AF7"/>
    <mergeCell ref="B2:J2"/>
    <mergeCell ref="M2:U2"/>
    <mergeCell ref="W2:AG2"/>
    <mergeCell ref="Z6:AA6"/>
    <mergeCell ref="AE6:AF6"/>
    <mergeCell ref="B7:E7"/>
    <mergeCell ref="G7:J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45.38"/>
    <col customWidth="1" min="3" max="3" width="8.75"/>
    <col customWidth="1" min="4" max="7" width="13.75"/>
    <col customWidth="1" min="8" max="8" width="40.0"/>
    <col customWidth="1" min="9" max="9" width="8.13"/>
    <col customWidth="1" min="10" max="13" width="13.75"/>
    <col customWidth="1" min="14" max="14" width="40.0"/>
    <col customWidth="1" min="15" max="15" width="7.75"/>
    <col customWidth="1" min="16" max="26" width="13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4"/>
      <c r="B2" s="75"/>
      <c r="C2" s="75"/>
      <c r="D2" s="75"/>
      <c r="E2" s="75"/>
      <c r="F2" s="76"/>
      <c r="G2" s="74"/>
      <c r="H2" s="75"/>
      <c r="I2" s="75"/>
      <c r="J2" s="75"/>
      <c r="K2" s="75"/>
      <c r="L2" s="76"/>
      <c r="M2" s="74"/>
      <c r="N2" s="75"/>
      <c r="O2" s="75"/>
      <c r="P2" s="75"/>
      <c r="Q2" s="75"/>
      <c r="R2" s="76"/>
      <c r="S2" s="1"/>
      <c r="T2" s="1"/>
      <c r="U2" s="1"/>
      <c r="V2" s="1"/>
      <c r="W2" s="1"/>
      <c r="X2" s="1"/>
      <c r="Y2" s="1"/>
      <c r="Z2" s="1"/>
    </row>
    <row r="3">
      <c r="A3" s="77"/>
      <c r="B3" s="78" t="s">
        <v>0</v>
      </c>
      <c r="C3" s="1"/>
      <c r="D3" s="1"/>
      <c r="E3" s="1"/>
      <c r="F3" s="79"/>
      <c r="G3" s="77"/>
      <c r="H3" s="78" t="s">
        <v>0</v>
      </c>
      <c r="I3" s="1"/>
      <c r="J3" s="1"/>
      <c r="K3" s="1"/>
      <c r="L3" s="79"/>
      <c r="M3" s="77"/>
      <c r="N3" s="78" t="s">
        <v>0</v>
      </c>
      <c r="O3" s="1"/>
      <c r="P3" s="1"/>
      <c r="Q3" s="1"/>
      <c r="R3" s="79"/>
      <c r="S3" s="1"/>
      <c r="T3" s="1"/>
      <c r="U3" s="1"/>
      <c r="V3" s="1"/>
      <c r="W3" s="1"/>
      <c r="X3" s="1"/>
      <c r="Y3" s="1"/>
      <c r="Z3" s="1"/>
    </row>
    <row r="4">
      <c r="A4" s="77"/>
      <c r="B4" s="78" t="s">
        <v>60</v>
      </c>
      <c r="C4" s="1"/>
      <c r="D4" s="1"/>
      <c r="E4" s="1"/>
      <c r="F4" s="79"/>
      <c r="G4" s="77"/>
      <c r="H4" s="78" t="s">
        <v>61</v>
      </c>
      <c r="I4" s="1"/>
      <c r="J4" s="1"/>
      <c r="K4" s="1"/>
      <c r="L4" s="79"/>
      <c r="M4" s="77"/>
      <c r="N4" s="78" t="s">
        <v>62</v>
      </c>
      <c r="O4" s="1"/>
      <c r="P4" s="1"/>
      <c r="Q4" s="1"/>
      <c r="R4" s="79"/>
      <c r="S4" s="1"/>
      <c r="T4" s="1"/>
      <c r="U4" s="1"/>
      <c r="V4" s="1"/>
      <c r="W4" s="1"/>
      <c r="X4" s="1"/>
      <c r="Y4" s="1"/>
      <c r="Z4" s="1"/>
    </row>
    <row r="5">
      <c r="A5" s="77"/>
      <c r="B5" s="78" t="s">
        <v>63</v>
      </c>
      <c r="C5" s="1"/>
      <c r="D5" s="1"/>
      <c r="E5" s="1"/>
      <c r="F5" s="79"/>
      <c r="G5" s="77"/>
      <c r="H5" s="78" t="s">
        <v>63</v>
      </c>
      <c r="I5" s="1"/>
      <c r="J5" s="1"/>
      <c r="K5" s="1"/>
      <c r="L5" s="79"/>
      <c r="M5" s="77"/>
      <c r="N5" s="78" t="s">
        <v>63</v>
      </c>
      <c r="O5" s="1"/>
      <c r="P5" s="1"/>
      <c r="Q5" s="1"/>
      <c r="R5" s="79"/>
      <c r="S5" s="1"/>
      <c r="T5" s="1"/>
      <c r="U5" s="1"/>
      <c r="V5" s="1"/>
      <c r="W5" s="1"/>
      <c r="X5" s="1"/>
      <c r="Y5" s="1"/>
      <c r="Z5" s="1"/>
    </row>
    <row r="6">
      <c r="A6" s="77"/>
      <c r="B6" s="16" t="s">
        <v>5</v>
      </c>
      <c r="C6" s="1"/>
      <c r="D6" s="1"/>
      <c r="E6" s="1"/>
      <c r="F6" s="79"/>
      <c r="G6" s="77"/>
      <c r="H6" s="16" t="s">
        <v>64</v>
      </c>
      <c r="I6" s="1"/>
      <c r="J6" s="1"/>
      <c r="K6" s="1"/>
      <c r="L6" s="79"/>
      <c r="M6" s="77"/>
      <c r="N6" s="16"/>
      <c r="O6" s="1"/>
      <c r="P6" s="17" t="s">
        <v>8</v>
      </c>
      <c r="Q6" s="17" t="s">
        <v>9</v>
      </c>
      <c r="R6" s="79"/>
      <c r="S6" s="1"/>
      <c r="T6" s="1"/>
      <c r="U6" s="1"/>
      <c r="V6" s="1"/>
      <c r="W6" s="1"/>
      <c r="X6" s="1"/>
      <c r="Y6" s="1"/>
      <c r="Z6" s="1"/>
    </row>
    <row r="7">
      <c r="A7" s="77"/>
      <c r="B7" s="80" t="s">
        <v>10</v>
      </c>
      <c r="C7" s="19" t="s">
        <v>11</v>
      </c>
      <c r="D7" s="19">
        <v>2019.0</v>
      </c>
      <c r="E7" s="19">
        <v>2018.0</v>
      </c>
      <c r="F7" s="79"/>
      <c r="G7" s="77"/>
      <c r="H7" s="80" t="s">
        <v>10</v>
      </c>
      <c r="I7" s="19" t="s">
        <v>11</v>
      </c>
      <c r="J7" s="19">
        <v>2019.0</v>
      </c>
      <c r="K7" s="19">
        <v>2018.0</v>
      </c>
      <c r="L7" s="79"/>
      <c r="M7" s="77"/>
      <c r="N7" s="80" t="s">
        <v>10</v>
      </c>
      <c r="O7" s="19" t="s">
        <v>11</v>
      </c>
      <c r="P7" s="21" t="s">
        <v>65</v>
      </c>
      <c r="Q7" s="22"/>
      <c r="R7" s="79"/>
      <c r="S7" s="1"/>
      <c r="T7" s="1"/>
      <c r="U7" s="1"/>
      <c r="V7" s="1"/>
      <c r="W7" s="1"/>
      <c r="X7" s="1"/>
      <c r="Y7" s="1"/>
      <c r="Z7" s="1"/>
    </row>
    <row r="8">
      <c r="A8" s="77"/>
      <c r="B8" s="81" t="s">
        <v>66</v>
      </c>
      <c r="C8" s="82">
        <v>17.0</v>
      </c>
      <c r="D8" s="83">
        <v>4796546.0</v>
      </c>
      <c r="E8" s="83">
        <v>4483439.0</v>
      </c>
      <c r="F8" s="79"/>
      <c r="G8" s="77"/>
      <c r="H8" s="81" t="s">
        <v>66</v>
      </c>
      <c r="I8" s="82">
        <v>17.0</v>
      </c>
      <c r="J8" s="84">
        <f t="shared" ref="J8:K8" si="1">D8/D$8</f>
        <v>1</v>
      </c>
      <c r="K8" s="84">
        <f t="shared" si="1"/>
        <v>1</v>
      </c>
      <c r="L8" s="79"/>
      <c r="M8" s="77"/>
      <c r="N8" s="81" t="s">
        <v>66</v>
      </c>
      <c r="O8" s="82">
        <v>17.0</v>
      </c>
      <c r="P8" s="83">
        <f>ABS(D8)-ABS(E8)</f>
        <v>313107</v>
      </c>
      <c r="Q8" s="84">
        <f>P8/ABS(E8)</f>
        <v>0.06983634661</v>
      </c>
      <c r="R8" s="79"/>
      <c r="S8" s="1"/>
      <c r="T8" s="1"/>
      <c r="U8" s="1"/>
      <c r="V8" s="1"/>
      <c r="W8" s="1"/>
      <c r="X8" s="1"/>
      <c r="Y8" s="1"/>
      <c r="Z8" s="1"/>
    </row>
    <row r="9">
      <c r="A9" s="77"/>
      <c r="B9" s="81"/>
      <c r="C9" s="82"/>
      <c r="D9" s="83"/>
      <c r="E9" s="83"/>
      <c r="F9" s="79"/>
      <c r="G9" s="77"/>
      <c r="H9" s="81"/>
      <c r="I9" s="82"/>
      <c r="J9" s="84"/>
      <c r="K9" s="84"/>
      <c r="L9" s="79"/>
      <c r="M9" s="77"/>
      <c r="N9" s="81"/>
      <c r="O9" s="82"/>
      <c r="P9" s="83"/>
      <c r="Q9" s="84"/>
      <c r="R9" s="79"/>
      <c r="S9" s="1"/>
      <c r="T9" s="1"/>
      <c r="U9" s="1"/>
      <c r="V9" s="1"/>
      <c r="W9" s="1"/>
      <c r="X9" s="1"/>
      <c r="Y9" s="1"/>
      <c r="Z9" s="1"/>
    </row>
    <row r="10">
      <c r="A10" s="77"/>
      <c r="B10" s="81" t="s">
        <v>67</v>
      </c>
      <c r="C10" s="82">
        <v>18.0</v>
      </c>
      <c r="D10" s="85">
        <v>-1374912.0</v>
      </c>
      <c r="E10" s="85">
        <v>-1319288.0</v>
      </c>
      <c r="F10" s="79"/>
      <c r="G10" s="77"/>
      <c r="H10" s="81" t="s">
        <v>67</v>
      </c>
      <c r="I10" s="82">
        <v>18.0</v>
      </c>
      <c r="J10" s="86">
        <f t="shared" ref="J10:K10" si="2">D10/D$8</f>
        <v>-0.2866462659</v>
      </c>
      <c r="K10" s="86">
        <f t="shared" si="2"/>
        <v>-0.2942580461</v>
      </c>
      <c r="L10" s="79"/>
      <c r="M10" s="77"/>
      <c r="N10" s="81" t="s">
        <v>67</v>
      </c>
      <c r="O10" s="82">
        <v>18.0</v>
      </c>
      <c r="P10" s="85">
        <f t="shared" ref="P10:P19" si="4">ABS(D10)-ABS(E10)</f>
        <v>55624</v>
      </c>
      <c r="Q10" s="86">
        <f t="shared" ref="Q10:Q19" si="5">P10/ABS(E10)</f>
        <v>0.04216213594</v>
      </c>
      <c r="R10" s="79"/>
      <c r="S10" s="1"/>
      <c r="T10" s="1"/>
      <c r="U10" s="1"/>
      <c r="V10" s="1"/>
      <c r="W10" s="1"/>
      <c r="X10" s="1"/>
      <c r="Y10" s="1"/>
      <c r="Z10" s="1"/>
    </row>
    <row r="11">
      <c r="A11" s="77"/>
      <c r="B11" s="81" t="s">
        <v>30</v>
      </c>
      <c r="C11" s="82"/>
      <c r="D11" s="85">
        <v>-69122.0</v>
      </c>
      <c r="E11" s="85">
        <v>-133149.0</v>
      </c>
      <c r="F11" s="79"/>
      <c r="G11" s="77"/>
      <c r="H11" s="81" t="s">
        <v>30</v>
      </c>
      <c r="I11" s="82"/>
      <c r="J11" s="86">
        <f t="shared" ref="J11:K11" si="3">D11/D$8</f>
        <v>-0.01441078643</v>
      </c>
      <c r="K11" s="86">
        <f t="shared" si="3"/>
        <v>-0.02969796177</v>
      </c>
      <c r="L11" s="79"/>
      <c r="M11" s="77"/>
      <c r="N11" s="81" t="s">
        <v>30</v>
      </c>
      <c r="O11" s="82"/>
      <c r="P11" s="85">
        <f t="shared" si="4"/>
        <v>-64027</v>
      </c>
      <c r="Q11" s="86">
        <f t="shared" si="5"/>
        <v>-0.480867299</v>
      </c>
      <c r="R11" s="79"/>
      <c r="S11" s="1"/>
      <c r="T11" s="1"/>
      <c r="U11" s="1"/>
      <c r="V11" s="1"/>
      <c r="W11" s="1"/>
      <c r="X11" s="1"/>
      <c r="Y11" s="1"/>
      <c r="Z11" s="1"/>
    </row>
    <row r="12">
      <c r="A12" s="77"/>
      <c r="B12" s="87" t="s">
        <v>68</v>
      </c>
      <c r="C12" s="88"/>
      <c r="D12" s="89">
        <v>3421634.0</v>
      </c>
      <c r="E12" s="89">
        <v>3164151.0</v>
      </c>
      <c r="F12" s="79"/>
      <c r="G12" s="77"/>
      <c r="H12" s="90" t="s">
        <v>68</v>
      </c>
      <c r="I12" s="88"/>
      <c r="J12" s="91">
        <f t="shared" ref="J12:K12" si="6">D12/D$8</f>
        <v>0.7133537341</v>
      </c>
      <c r="K12" s="91">
        <f t="shared" si="6"/>
        <v>0.7057419539</v>
      </c>
      <c r="L12" s="79"/>
      <c r="M12" s="77"/>
      <c r="N12" s="87" t="s">
        <v>68</v>
      </c>
      <c r="O12" s="88"/>
      <c r="P12" s="89">
        <f t="shared" si="4"/>
        <v>257483</v>
      </c>
      <c r="Q12" s="91">
        <f t="shared" si="5"/>
        <v>0.08137506712</v>
      </c>
      <c r="R12" s="79"/>
      <c r="S12" s="1"/>
      <c r="T12" s="1"/>
      <c r="U12" s="1"/>
      <c r="V12" s="1"/>
      <c r="W12" s="1"/>
      <c r="X12" s="1"/>
      <c r="Y12" s="1"/>
      <c r="Z12" s="1"/>
    </row>
    <row r="13">
      <c r="A13" s="77"/>
      <c r="B13" s="81" t="s">
        <v>69</v>
      </c>
      <c r="C13" s="82">
        <v>7.0</v>
      </c>
      <c r="D13" s="85">
        <v>-757874.0</v>
      </c>
      <c r="E13" s="85">
        <v>-744119.0</v>
      </c>
      <c r="F13" s="79"/>
      <c r="G13" s="77"/>
      <c r="H13" s="81" t="s">
        <v>69</v>
      </c>
      <c r="I13" s="82">
        <v>7.0</v>
      </c>
      <c r="J13" s="86">
        <f t="shared" ref="J13:K13" si="7">D13/D$8</f>
        <v>-0.1580041138</v>
      </c>
      <c r="K13" s="86">
        <f t="shared" si="7"/>
        <v>-0.1659705864</v>
      </c>
      <c r="L13" s="79"/>
      <c r="M13" s="77"/>
      <c r="N13" s="81" t="s">
        <v>69</v>
      </c>
      <c r="O13" s="82">
        <v>7.0</v>
      </c>
      <c r="P13" s="85">
        <f t="shared" si="4"/>
        <v>13755</v>
      </c>
      <c r="Q13" s="86">
        <f t="shared" si="5"/>
        <v>0.01848494663</v>
      </c>
      <c r="R13" s="79"/>
      <c r="S13" s="1"/>
      <c r="T13" s="1"/>
      <c r="U13" s="1"/>
      <c r="V13" s="1"/>
      <c r="W13" s="1"/>
      <c r="X13" s="1"/>
      <c r="Y13" s="1"/>
      <c r="Z13" s="1"/>
    </row>
    <row r="14">
      <c r="A14" s="77"/>
      <c r="B14" s="87" t="s">
        <v>70</v>
      </c>
      <c r="C14" s="88"/>
      <c r="D14" s="89">
        <v>2663760.0</v>
      </c>
      <c r="E14" s="89">
        <v>2420032.0</v>
      </c>
      <c r="F14" s="79"/>
      <c r="G14" s="77"/>
      <c r="H14" s="87" t="s">
        <v>70</v>
      </c>
      <c r="I14" s="88"/>
      <c r="J14" s="91">
        <f t="shared" ref="J14:K14" si="8">D14/D$8</f>
        <v>0.5553496203</v>
      </c>
      <c r="K14" s="91">
        <f t="shared" si="8"/>
        <v>0.5397713675</v>
      </c>
      <c r="L14" s="79"/>
      <c r="M14" s="77"/>
      <c r="N14" s="87" t="s">
        <v>70</v>
      </c>
      <c r="O14" s="88"/>
      <c r="P14" s="89">
        <f t="shared" si="4"/>
        <v>243728</v>
      </c>
      <c r="Q14" s="91">
        <f t="shared" si="5"/>
        <v>0.1007127178</v>
      </c>
      <c r="R14" s="79"/>
      <c r="S14" s="1"/>
      <c r="T14" s="1"/>
      <c r="U14" s="1"/>
      <c r="V14" s="1"/>
      <c r="W14" s="1"/>
      <c r="X14" s="1"/>
      <c r="Y14" s="1"/>
      <c r="Z14" s="1"/>
    </row>
    <row r="15">
      <c r="A15" s="77"/>
      <c r="B15" s="81" t="s">
        <v>71</v>
      </c>
      <c r="C15" s="82">
        <v>19.0</v>
      </c>
      <c r="D15" s="83">
        <v>812837.0</v>
      </c>
      <c r="E15" s="83">
        <v>813435.0</v>
      </c>
      <c r="F15" s="79"/>
      <c r="G15" s="77"/>
      <c r="H15" s="81" t="s">
        <v>71</v>
      </c>
      <c r="I15" s="82">
        <v>19.0</v>
      </c>
      <c r="J15" s="84">
        <f t="shared" ref="J15:K15" si="9">D15/D$8</f>
        <v>0.1694629844</v>
      </c>
      <c r="K15" s="84">
        <f t="shared" si="9"/>
        <v>0.1814310399</v>
      </c>
      <c r="L15" s="79"/>
      <c r="M15" s="77"/>
      <c r="N15" s="81" t="s">
        <v>71</v>
      </c>
      <c r="O15" s="82">
        <v>19.0</v>
      </c>
      <c r="P15" s="83">
        <f t="shared" si="4"/>
        <v>-598</v>
      </c>
      <c r="Q15" s="84">
        <f t="shared" si="5"/>
        <v>-0.0007351540074</v>
      </c>
      <c r="R15" s="79"/>
      <c r="S15" s="1"/>
      <c r="T15" s="1"/>
      <c r="U15" s="1"/>
      <c r="V15" s="1"/>
      <c r="W15" s="1"/>
      <c r="X15" s="1"/>
      <c r="Y15" s="1"/>
      <c r="Z15" s="1"/>
    </row>
    <row r="16">
      <c r="A16" s="77"/>
      <c r="B16" s="87" t="s">
        <v>72</v>
      </c>
      <c r="C16" s="92"/>
      <c r="D16" s="89">
        <f t="shared" ref="D16:E16" si="10">D14+D15</f>
        <v>3476597</v>
      </c>
      <c r="E16" s="89">
        <f t="shared" si="10"/>
        <v>3233467</v>
      </c>
      <c r="F16" s="79"/>
      <c r="G16" s="77"/>
      <c r="H16" s="87" t="s">
        <v>72</v>
      </c>
      <c r="I16" s="92"/>
      <c r="J16" s="91">
        <f t="shared" ref="J16:K16" si="11">D16/D$8</f>
        <v>0.7248126047</v>
      </c>
      <c r="K16" s="91">
        <f t="shared" si="11"/>
        <v>0.7212024073</v>
      </c>
      <c r="L16" s="79"/>
      <c r="M16" s="77"/>
      <c r="N16" s="87" t="s">
        <v>72</v>
      </c>
      <c r="O16" s="92"/>
      <c r="P16" s="89">
        <f t="shared" si="4"/>
        <v>243130</v>
      </c>
      <c r="Q16" s="91">
        <f t="shared" si="5"/>
        <v>0.07519173692</v>
      </c>
      <c r="R16" s="79"/>
      <c r="S16" s="1"/>
      <c r="T16" s="1"/>
      <c r="U16" s="1"/>
      <c r="V16" s="1"/>
      <c r="W16" s="1"/>
      <c r="X16" s="1"/>
      <c r="Y16" s="1"/>
      <c r="Z16" s="1"/>
    </row>
    <row r="17">
      <c r="A17" s="77"/>
      <c r="B17" s="81" t="s">
        <v>73</v>
      </c>
      <c r="C17" s="82">
        <v>20.0</v>
      </c>
      <c r="D17" s="83">
        <v>692868.0</v>
      </c>
      <c r="E17" s="83">
        <v>581371.0</v>
      </c>
      <c r="F17" s="79"/>
      <c r="G17" s="77"/>
      <c r="H17" s="81" t="s">
        <v>73</v>
      </c>
      <c r="I17" s="82">
        <v>20.0</v>
      </c>
      <c r="J17" s="84">
        <f t="shared" ref="J17:K17" si="12">D17/D$8</f>
        <v>0.1444514449</v>
      </c>
      <c r="K17" s="84">
        <f t="shared" si="12"/>
        <v>0.1296707728</v>
      </c>
      <c r="L17" s="79"/>
      <c r="M17" s="77"/>
      <c r="N17" s="81" t="s">
        <v>73</v>
      </c>
      <c r="O17" s="82">
        <v>20.0</v>
      </c>
      <c r="P17" s="83">
        <f t="shared" si="4"/>
        <v>111497</v>
      </c>
      <c r="Q17" s="84">
        <f t="shared" si="5"/>
        <v>0.1917828719</v>
      </c>
      <c r="R17" s="79"/>
      <c r="S17" s="1"/>
      <c r="T17" s="1"/>
      <c r="U17" s="1"/>
      <c r="V17" s="1"/>
      <c r="W17" s="1"/>
      <c r="X17" s="1"/>
      <c r="Y17" s="1"/>
      <c r="Z17" s="1"/>
    </row>
    <row r="18">
      <c r="A18" s="77"/>
      <c r="B18" s="87" t="s">
        <v>74</v>
      </c>
      <c r="C18" s="92"/>
      <c r="D18" s="89">
        <f t="shared" ref="D18:E18" si="13">D16+D17</f>
        <v>4169465</v>
      </c>
      <c r="E18" s="89">
        <f t="shared" si="13"/>
        <v>3814838</v>
      </c>
      <c r="F18" s="79"/>
      <c r="G18" s="77"/>
      <c r="H18" s="87" t="s">
        <v>74</v>
      </c>
      <c r="I18" s="92"/>
      <c r="J18" s="91">
        <f t="shared" ref="J18:K18" si="14">D18/D$8</f>
        <v>0.8692640496</v>
      </c>
      <c r="K18" s="91">
        <f t="shared" si="14"/>
        <v>0.8508731802</v>
      </c>
      <c r="L18" s="79"/>
      <c r="M18" s="77"/>
      <c r="N18" s="87" t="s">
        <v>74</v>
      </c>
      <c r="O18" s="92"/>
      <c r="P18" s="89">
        <f t="shared" si="4"/>
        <v>354627</v>
      </c>
      <c r="Q18" s="91">
        <f t="shared" si="5"/>
        <v>0.09295991075</v>
      </c>
      <c r="R18" s="79"/>
      <c r="S18" s="1"/>
      <c r="T18" s="1"/>
      <c r="U18" s="1"/>
      <c r="V18" s="1"/>
      <c r="W18" s="1"/>
      <c r="X18" s="1"/>
      <c r="Y18" s="1"/>
      <c r="Z18" s="1"/>
    </row>
    <row r="19">
      <c r="A19" s="77"/>
      <c r="B19" s="81" t="s">
        <v>75</v>
      </c>
      <c r="C19" s="82">
        <v>21.0</v>
      </c>
      <c r="D19" s="85">
        <v>-1680871.0</v>
      </c>
      <c r="E19" s="85">
        <v>-1553155.0</v>
      </c>
      <c r="F19" s="79"/>
      <c r="G19" s="77"/>
      <c r="H19" s="81" t="s">
        <v>75</v>
      </c>
      <c r="I19" s="82">
        <v>21.0</v>
      </c>
      <c r="J19" s="86">
        <f t="shared" ref="J19:K19" si="15">D19/D$8</f>
        <v>-0.3504336245</v>
      </c>
      <c r="K19" s="86">
        <f t="shared" si="15"/>
        <v>-0.3464204598</v>
      </c>
      <c r="L19" s="79"/>
      <c r="M19" s="77"/>
      <c r="N19" s="81" t="s">
        <v>75</v>
      </c>
      <c r="O19" s="82">
        <v>21.0</v>
      </c>
      <c r="P19" s="85">
        <f t="shared" si="4"/>
        <v>127716</v>
      </c>
      <c r="Q19" s="86">
        <f t="shared" si="5"/>
        <v>0.08223004143</v>
      </c>
      <c r="R19" s="79"/>
      <c r="S19" s="1"/>
      <c r="T19" s="1"/>
      <c r="U19" s="1"/>
      <c r="V19" s="1"/>
      <c r="W19" s="1"/>
      <c r="X19" s="1"/>
      <c r="Y19" s="1"/>
      <c r="Z19" s="1"/>
    </row>
    <row r="20">
      <c r="A20" s="77"/>
      <c r="B20" s="81" t="s">
        <v>76</v>
      </c>
      <c r="C20" s="82"/>
      <c r="D20" s="93">
        <v>0.0</v>
      </c>
      <c r="E20" s="93">
        <v>0.0</v>
      </c>
      <c r="F20" s="79"/>
      <c r="G20" s="77"/>
      <c r="H20" s="81" t="s">
        <v>76</v>
      </c>
      <c r="I20" s="82"/>
      <c r="J20" s="86">
        <f t="shared" ref="J20:K20" si="16">D20/D$8</f>
        <v>0</v>
      </c>
      <c r="K20" s="86">
        <f t="shared" si="16"/>
        <v>0</v>
      </c>
      <c r="L20" s="79"/>
      <c r="M20" s="77"/>
      <c r="N20" s="81" t="s">
        <v>76</v>
      </c>
      <c r="O20" s="82"/>
      <c r="P20" s="93"/>
      <c r="Q20" s="86"/>
      <c r="R20" s="79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77"/>
      <c r="B21" s="81" t="s">
        <v>77</v>
      </c>
      <c r="C21" s="82"/>
      <c r="D21" s="85">
        <v>-167825.0</v>
      </c>
      <c r="E21" s="85">
        <v>-150019.0</v>
      </c>
      <c r="F21" s="79"/>
      <c r="G21" s="77"/>
      <c r="H21" s="81" t="s">
        <v>77</v>
      </c>
      <c r="I21" s="82"/>
      <c r="J21" s="86">
        <f t="shared" ref="J21:K21" si="17">D21/D$8</f>
        <v>-0.03498871897</v>
      </c>
      <c r="K21" s="86">
        <f t="shared" si="17"/>
        <v>-0.03346069836</v>
      </c>
      <c r="L21" s="79"/>
      <c r="M21" s="77"/>
      <c r="N21" s="81" t="s">
        <v>77</v>
      </c>
      <c r="O21" s="82"/>
      <c r="P21" s="85">
        <f t="shared" ref="P21:P28" si="20">ABS(D21)-ABS(E21)</f>
        <v>17806</v>
      </c>
      <c r="Q21" s="86">
        <f t="shared" ref="Q21:Q28" si="21">P21/ABS(E21)</f>
        <v>0.1186916324</v>
      </c>
      <c r="R21" s="79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77"/>
      <c r="B22" s="87" t="s">
        <v>78</v>
      </c>
      <c r="C22" s="92"/>
      <c r="D22" s="94">
        <f t="shared" ref="D22:E22" si="18">SUM(D18:D21)</f>
        <v>2320769</v>
      </c>
      <c r="E22" s="94">
        <f t="shared" si="18"/>
        <v>2111664</v>
      </c>
      <c r="F22" s="79"/>
      <c r="G22" s="77"/>
      <c r="H22" s="90" t="s">
        <v>78</v>
      </c>
      <c r="I22" s="92"/>
      <c r="J22" s="95">
        <f t="shared" ref="J22:K22" si="19">D22/D$8</f>
        <v>0.4838417061</v>
      </c>
      <c r="K22" s="95">
        <f t="shared" si="19"/>
        <v>0.470992022</v>
      </c>
      <c r="L22" s="79"/>
      <c r="M22" s="77"/>
      <c r="N22" s="87" t="s">
        <v>78</v>
      </c>
      <c r="O22" s="92"/>
      <c r="P22" s="94">
        <f t="shared" si="20"/>
        <v>209105</v>
      </c>
      <c r="Q22" s="95">
        <f t="shared" si="21"/>
        <v>0.09902380303</v>
      </c>
      <c r="R22" s="79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77"/>
      <c r="B23" s="81" t="s">
        <v>79</v>
      </c>
      <c r="C23" s="82"/>
      <c r="D23" s="85">
        <v>-103548.0</v>
      </c>
      <c r="E23" s="85">
        <v>-64420.0</v>
      </c>
      <c r="F23" s="79"/>
      <c r="G23" s="77"/>
      <c r="H23" s="81" t="s">
        <v>79</v>
      </c>
      <c r="I23" s="82"/>
      <c r="J23" s="86">
        <f t="shared" ref="J23:K23" si="22">D23/D$8</f>
        <v>-0.02158803439</v>
      </c>
      <c r="K23" s="86">
        <f t="shared" si="22"/>
        <v>-0.01436843459</v>
      </c>
      <c r="L23" s="79"/>
      <c r="M23" s="77"/>
      <c r="N23" s="81" t="s">
        <v>79</v>
      </c>
      <c r="O23" s="82"/>
      <c r="P23" s="85">
        <f t="shared" si="20"/>
        <v>39128</v>
      </c>
      <c r="Q23" s="86">
        <f t="shared" si="21"/>
        <v>0.6073890096</v>
      </c>
      <c r="R23" s="79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77"/>
      <c r="B24" s="87" t="s">
        <v>80</v>
      </c>
      <c r="C24" s="88"/>
      <c r="D24" s="89">
        <v>2217221.0</v>
      </c>
      <c r="E24" s="89">
        <v>2047244.0</v>
      </c>
      <c r="F24" s="79"/>
      <c r="G24" s="77"/>
      <c r="H24" s="87" t="s">
        <v>80</v>
      </c>
      <c r="I24" s="88"/>
      <c r="J24" s="91">
        <f t="shared" ref="J24:K24" si="23">D24/D$8</f>
        <v>0.4622536717</v>
      </c>
      <c r="K24" s="91">
        <f t="shared" si="23"/>
        <v>0.4566235874</v>
      </c>
      <c r="L24" s="79"/>
      <c r="M24" s="77"/>
      <c r="N24" s="87" t="s">
        <v>80</v>
      </c>
      <c r="O24" s="88"/>
      <c r="P24" s="89">
        <f t="shared" si="20"/>
        <v>169977</v>
      </c>
      <c r="Q24" s="91">
        <f t="shared" si="21"/>
        <v>0.08302723076</v>
      </c>
      <c r="R24" s="79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77"/>
      <c r="B25" s="81" t="s">
        <v>81</v>
      </c>
      <c r="C25" s="82">
        <v>22.0</v>
      </c>
      <c r="D25" s="83">
        <v>22042.0</v>
      </c>
      <c r="E25" s="83">
        <v>-10540.0</v>
      </c>
      <c r="F25" s="79"/>
      <c r="G25" s="77"/>
      <c r="H25" s="81" t="s">
        <v>81</v>
      </c>
      <c r="I25" s="82">
        <v>22.0</v>
      </c>
      <c r="J25" s="84">
        <f t="shared" ref="J25:K25" si="24">D25/D$8</f>
        <v>0.004595390099</v>
      </c>
      <c r="K25" s="84">
        <f t="shared" si="24"/>
        <v>-0.002350873961</v>
      </c>
      <c r="L25" s="79"/>
      <c r="M25" s="77"/>
      <c r="N25" s="81" t="s">
        <v>81</v>
      </c>
      <c r="O25" s="82">
        <v>22.0</v>
      </c>
      <c r="P25" s="83">
        <f t="shared" si="20"/>
        <v>11502</v>
      </c>
      <c r="Q25" s="84">
        <f t="shared" si="21"/>
        <v>1.091271347</v>
      </c>
      <c r="R25" s="79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77"/>
      <c r="B26" s="87" t="s">
        <v>82</v>
      </c>
      <c r="C26" s="88"/>
      <c r="D26" s="89">
        <v>2239263.0</v>
      </c>
      <c r="E26" s="89">
        <v>2036704.0</v>
      </c>
      <c r="F26" s="79"/>
      <c r="G26" s="77"/>
      <c r="H26" s="87" t="s">
        <v>82</v>
      </c>
      <c r="I26" s="88"/>
      <c r="J26" s="91">
        <f t="shared" ref="J26:K26" si="25">D26/D$8</f>
        <v>0.4668490618</v>
      </c>
      <c r="K26" s="91">
        <f t="shared" si="25"/>
        <v>0.4542727134</v>
      </c>
      <c r="L26" s="79"/>
      <c r="M26" s="77"/>
      <c r="N26" s="87" t="s">
        <v>82</v>
      </c>
      <c r="O26" s="88"/>
      <c r="P26" s="89">
        <f t="shared" si="20"/>
        <v>202559</v>
      </c>
      <c r="Q26" s="91">
        <f t="shared" si="21"/>
        <v>0.09945431442</v>
      </c>
      <c r="R26" s="79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77"/>
      <c r="B27" s="81" t="s">
        <v>83</v>
      </c>
      <c r="C27" s="82">
        <v>23.0</v>
      </c>
      <c r="D27" s="83">
        <v>-630207.0</v>
      </c>
      <c r="E27" s="83">
        <v>-567778.0</v>
      </c>
      <c r="F27" s="79"/>
      <c r="G27" s="77"/>
      <c r="H27" s="81" t="s">
        <v>83</v>
      </c>
      <c r="I27" s="82">
        <v>23.0</v>
      </c>
      <c r="J27" s="84">
        <f t="shared" ref="J27:K27" si="26">D27/D$8</f>
        <v>-0.1313876694</v>
      </c>
      <c r="K27" s="84">
        <f t="shared" si="26"/>
        <v>-0.1266389484</v>
      </c>
      <c r="L27" s="79"/>
      <c r="M27" s="77"/>
      <c r="N27" s="81" t="s">
        <v>83</v>
      </c>
      <c r="O27" s="82">
        <v>23.0</v>
      </c>
      <c r="P27" s="83">
        <f t="shared" si="20"/>
        <v>62429</v>
      </c>
      <c r="Q27" s="84">
        <f t="shared" si="21"/>
        <v>0.1099531859</v>
      </c>
      <c r="R27" s="79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77"/>
      <c r="B28" s="96" t="s">
        <v>84</v>
      </c>
      <c r="C28" s="97"/>
      <c r="D28" s="98">
        <v>1609056.0</v>
      </c>
      <c r="E28" s="98">
        <v>1468926.0</v>
      </c>
      <c r="F28" s="79"/>
      <c r="G28" s="77"/>
      <c r="H28" s="99" t="s">
        <v>84</v>
      </c>
      <c r="I28" s="97"/>
      <c r="J28" s="100">
        <f t="shared" ref="J28:K28" si="27">D28/D$8</f>
        <v>0.3354613924</v>
      </c>
      <c r="K28" s="100">
        <f t="shared" si="27"/>
        <v>0.3276337651</v>
      </c>
      <c r="L28" s="79"/>
      <c r="M28" s="77"/>
      <c r="N28" s="96" t="s">
        <v>84</v>
      </c>
      <c r="O28" s="97"/>
      <c r="P28" s="98">
        <f t="shared" si="20"/>
        <v>140130</v>
      </c>
      <c r="Q28" s="100">
        <f t="shared" si="21"/>
        <v>0.09539622826</v>
      </c>
      <c r="R28" s="79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77"/>
      <c r="B29" s="81" t="s">
        <v>85</v>
      </c>
      <c r="C29" s="82">
        <v>25.0</v>
      </c>
      <c r="D29" s="101">
        <f t="shared" ref="D29:E29" si="28">D28/D30</f>
        <v>0.2734067728</v>
      </c>
      <c r="E29" s="101">
        <f t="shared" si="28"/>
        <v>0.2495962335</v>
      </c>
      <c r="F29" s="79"/>
      <c r="G29" s="77"/>
      <c r="H29" s="81"/>
      <c r="I29" s="82"/>
      <c r="J29" s="101"/>
      <c r="K29" s="101"/>
      <c r="L29" s="79"/>
      <c r="M29" s="77"/>
      <c r="N29" s="81"/>
      <c r="O29" s="82"/>
      <c r="P29" s="101"/>
      <c r="Q29" s="101"/>
      <c r="R29" s="79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77"/>
      <c r="B30" s="81" t="s">
        <v>86</v>
      </c>
      <c r="C30" s="82">
        <v>25.0</v>
      </c>
      <c r="D30" s="83">
        <v>5885209.0</v>
      </c>
      <c r="E30" s="83">
        <v>5885209.0</v>
      </c>
      <c r="F30" s="79"/>
      <c r="G30" s="77"/>
      <c r="H30" s="81"/>
      <c r="I30" s="82"/>
      <c r="J30" s="83"/>
      <c r="K30" s="83"/>
      <c r="L30" s="79"/>
      <c r="M30" s="77"/>
      <c r="N30" s="81"/>
      <c r="O30" s="82"/>
      <c r="P30" s="83"/>
      <c r="Q30" s="83"/>
      <c r="R30" s="79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77"/>
      <c r="B31" s="1"/>
      <c r="C31" s="1"/>
      <c r="D31" s="1"/>
      <c r="E31" s="1"/>
      <c r="F31" s="79"/>
      <c r="G31" s="77"/>
      <c r="H31" s="1"/>
      <c r="I31" s="1"/>
      <c r="J31" s="1"/>
      <c r="K31" s="1"/>
      <c r="L31" s="79"/>
      <c r="M31" s="77"/>
      <c r="N31" s="1"/>
      <c r="O31" s="1"/>
      <c r="P31" s="1"/>
      <c r="Q31" s="1"/>
      <c r="R31" s="79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2"/>
      <c r="B32" s="103"/>
      <c r="C32" s="103"/>
      <c r="D32" s="103"/>
      <c r="E32" s="103"/>
      <c r="F32" s="104"/>
      <c r="G32" s="102"/>
      <c r="H32" s="103"/>
      <c r="I32" s="103"/>
      <c r="J32" s="103"/>
      <c r="K32" s="103"/>
      <c r="L32" s="104"/>
      <c r="M32" s="102"/>
      <c r="N32" s="103"/>
      <c r="O32" s="103"/>
      <c r="P32" s="103"/>
      <c r="Q32" s="103"/>
      <c r="R32" s="104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P7:Q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40.0"/>
    <col customWidth="1" min="3" max="11" width="10.0"/>
    <col customWidth="1" min="12" max="26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05" t="s">
        <v>87</v>
      </c>
      <c r="C2" s="106" t="s">
        <v>88</v>
      </c>
      <c r="D2" s="10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8"/>
      <c r="C3" s="109">
        <v>2019.0</v>
      </c>
      <c r="D3" s="109">
        <v>2018.0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0" t="s">
        <v>89</v>
      </c>
      <c r="C4" s="111">
        <f>'Estado de situación financiera'!D21/'Estado de situación financiera'!I20</f>
        <v>0.8141810328</v>
      </c>
      <c r="D4" s="111">
        <f>'Estado de situación financiera'!E21/'Estado de situación financiera'!J20</f>
        <v>0.8106303609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0" t="s">
        <v>90</v>
      </c>
      <c r="C5" s="112">
        <f>('Estado de situación financiera'!D21-'Estado de situación financiera'!D19)/'Estado de situación financiera'!I20</f>
        <v>0.8116729964</v>
      </c>
      <c r="D5" s="112">
        <f>('Estado de situación financiera'!E21-'Estado de situación financiera'!E19)/'Estado de situación financiera'!J20</f>
        <v>0.808562057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0" t="s">
        <v>91</v>
      </c>
      <c r="C6" s="113">
        <f>('Estado de situación financiera'!D9+'Estado de situación financiera'!D10+'Estado de situación financiera'!D11+'Estado de situación financiera'!D12)/'Estado de situación financiera'!I20</f>
        <v>0.3344403079</v>
      </c>
      <c r="D6" s="113">
        <f>('Estado de situación financiera'!E9+'Estado de situación financiera'!E10+'Estado de situación financiera'!E11+'Estado de situación financiera'!E12)/'Estado de situación financiera'!J20</f>
        <v>0.330729856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0" t="s">
        <v>92</v>
      </c>
      <c r="C7" s="114">
        <f>'Estado de situación financiera'!D21-'Estado de situación financiera'!I20</f>
        <v>-12004931</v>
      </c>
      <c r="D7" s="114">
        <f>'Estado de situación financiera'!E21-'Estado de situación financiera'!J20</f>
        <v>-11151024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5" t="s">
        <v>93</v>
      </c>
      <c r="C9" s="106" t="s">
        <v>88</v>
      </c>
      <c r="D9" s="10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8"/>
      <c r="C10" s="109">
        <v>2019.0</v>
      </c>
      <c r="D10" s="109">
        <v>2018.0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0" t="s">
        <v>94</v>
      </c>
      <c r="C11" s="115">
        <f>'Estado de situación financiera'!I24/'Estado de situación financiera'!I30</f>
        <v>7.907924609</v>
      </c>
      <c r="D11" s="115">
        <f>'Estado de situación financiera'!J24/'Estado de situación financiera'!J30</f>
        <v>7.977586898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0" t="s">
        <v>95</v>
      </c>
      <c r="C12" s="115">
        <f>'Estado de situación financiera'!I24/'Estado de situación financiera'!D31</f>
        <v>0.887740406</v>
      </c>
      <c r="D12" s="115">
        <f>'Estado de situación financiera'!J24/'Estado de situación financiera'!E31</f>
        <v>0.8886114931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0" t="s">
        <v>96</v>
      </c>
      <c r="C13" s="115">
        <f>'Estado de situación financiera'!I23/'Estado de situación financiera'!D30</f>
        <v>0.2739333772</v>
      </c>
      <c r="D13" s="115">
        <f>'Estado de situación financiera'!J23/'Estado de situación financiera'!E30</f>
        <v>0.2842528363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0" t="s">
        <v>97</v>
      </c>
      <c r="C14" s="115">
        <f>ACTIVOT19/'Estado de situación financiera'!I30</f>
        <v>8.907924609</v>
      </c>
      <c r="D14" s="115">
        <f>ACTIVOT18/'Estado de situación financiera'!J30</f>
        <v>8.977586898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5" t="s">
        <v>98</v>
      </c>
      <c r="C16" s="106" t="s">
        <v>88</v>
      </c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8"/>
      <c r="C17" s="109">
        <v>2019.0</v>
      </c>
      <c r="D17" s="109">
        <v>2018.0</v>
      </c>
      <c r="E17" s="1"/>
      <c r="F17" s="116" t="s">
        <v>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0" t="s">
        <v>100</v>
      </c>
      <c r="C18" s="117">
        <f>'Estado de resultados'!D8/'Estado de situación financiera'!D13</f>
        <v>0.1646088498</v>
      </c>
      <c r="D18" s="117">
        <f>'Estado de resultados'!E8/'Estado de situación financiera'!E13</f>
        <v>0.1683597184</v>
      </c>
      <c r="E18" s="1">
        <f>'Estado de resultados'!D8/('Estado de situación financiera'!D13+'Estado de situación financiera'!D23)</f>
        <v>0.08504773701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0" t="s">
        <v>101</v>
      </c>
      <c r="C19" s="117">
        <f t="shared" ref="C19:D19" si="1">360/C18</f>
        <v>2187.002706</v>
      </c>
      <c r="D19" s="117">
        <f t="shared" si="1"/>
        <v>2138.278701</v>
      </c>
      <c r="E19" s="1"/>
      <c r="F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0" t="s">
        <v>102</v>
      </c>
      <c r="C20" s="117">
        <f>(-'Estado de resultados'!D10)/SUM('Estado de situación financiera'!I9:I11)</f>
        <v>0.02441713934</v>
      </c>
      <c r="D20" s="117">
        <f>(-'Estado de resultados'!E10)/SUM('Estado de situación financiera'!J9:J11)</f>
        <v>0.02545669844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0" t="s">
        <v>103</v>
      </c>
      <c r="C21" s="117">
        <f t="shared" ref="C21:D21" si="2">360/C20</f>
        <v>14743.74188</v>
      </c>
      <c r="D21" s="117">
        <f t="shared" si="2"/>
        <v>14141.66102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10" t="s">
        <v>104</v>
      </c>
      <c r="C22" s="111">
        <f>INGRESOS19/ACTIVONOCORR19</f>
        <v>0.1643873823</v>
      </c>
      <c r="D22" s="111">
        <f>INGRESOS18/ACTIVONOCORR18</f>
        <v>0.164537238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10" t="s">
        <v>105</v>
      </c>
      <c r="C23" s="111">
        <f>INGRESOS19/ACTIVOT19</f>
        <v>0.0586526116</v>
      </c>
      <c r="D23" s="111">
        <f>INGRESOS18/ACTIVOT18</f>
        <v>0.05979296456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05" t="s">
        <v>106</v>
      </c>
      <c r="C25" s="106" t="s">
        <v>88</v>
      </c>
      <c r="D25" s="107"/>
      <c r="E25" s="1"/>
      <c r="F25" s="1"/>
      <c r="G25" s="118" t="s">
        <v>107</v>
      </c>
      <c r="H25" s="119"/>
      <c r="I25" s="120"/>
      <c r="J25" s="106" t="s">
        <v>88</v>
      </c>
      <c r="K25" s="10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08"/>
      <c r="C26" s="109">
        <v>2019.0</v>
      </c>
      <c r="D26" s="109">
        <v>2018.0</v>
      </c>
      <c r="E26" s="1"/>
      <c r="F26" s="1"/>
      <c r="G26" s="121"/>
      <c r="H26" s="122"/>
      <c r="I26" s="123"/>
      <c r="J26" s="109">
        <v>2019.0</v>
      </c>
      <c r="K26" s="109">
        <v>2018.0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0" t="s">
        <v>108</v>
      </c>
      <c r="C27" s="124">
        <f>'Estado de resultados'!D12/INGRESOS19</f>
        <v>0.7133537341</v>
      </c>
      <c r="D27" s="124">
        <f>'Estado de resultados'!E12/INGRESOS18</f>
        <v>0.7057419539</v>
      </c>
      <c r="E27" s="1"/>
      <c r="F27" s="1"/>
      <c r="G27" s="125" t="s">
        <v>109</v>
      </c>
      <c r="H27" s="126"/>
      <c r="I27" s="127"/>
      <c r="J27" s="128">
        <f t="shared" ref="J27:K27" si="3">J28*J29*J30</f>
        <v>0.1752695342</v>
      </c>
      <c r="K27" s="128">
        <f t="shared" si="3"/>
        <v>0.1758726699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10" t="s">
        <v>110</v>
      </c>
      <c r="C28" s="115">
        <f>'Estado de resultados'!D28/INGRESOS19</f>
        <v>0.3354613924</v>
      </c>
      <c r="D28" s="115">
        <f>'Estado de resultados'!E28/INGRESOS18</f>
        <v>0.3276337651</v>
      </c>
      <c r="E28" s="1"/>
      <c r="F28" s="1"/>
      <c r="G28" s="129" t="str">
        <f>B28</f>
        <v>Rentabilidad neta sobre ventas</v>
      </c>
      <c r="H28" s="130"/>
      <c r="I28" s="131"/>
      <c r="J28" s="115">
        <f t="shared" ref="J28:K28" si="4">C28</f>
        <v>0.3354613924</v>
      </c>
      <c r="K28" s="115">
        <f t="shared" si="4"/>
        <v>0.3276337651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10" t="s">
        <v>111</v>
      </c>
      <c r="C29" s="115">
        <f>'Estado de resultados'!D28/'Estado de situación financiera'!I30</f>
        <v>0.1752695342</v>
      </c>
      <c r="D29" s="115">
        <f>'Estado de resultados'!E28/'Estado de situación financiera'!J30</f>
        <v>0.1758726699</v>
      </c>
      <c r="E29" s="1"/>
      <c r="F29" s="1"/>
      <c r="G29" s="132" t="str">
        <f>B23</f>
        <v>Rotación del activo total</v>
      </c>
      <c r="H29" s="130"/>
      <c r="I29" s="131"/>
      <c r="J29" s="111">
        <f t="shared" ref="J29:K29" si="5">C23</f>
        <v>0.0586526116</v>
      </c>
      <c r="K29" s="111">
        <f t="shared" si="5"/>
        <v>0.05979296456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10" t="s">
        <v>112</v>
      </c>
      <c r="C30" s="115">
        <f>'Estado de resultados'!D28/ACTIVOT19</f>
        <v>0.01967568676</v>
      </c>
      <c r="D30" s="115">
        <f>'Estado de resultados'!E28/ACTIVOT18</f>
        <v>0.0195901941</v>
      </c>
      <c r="E30" s="1"/>
      <c r="F30" s="1"/>
      <c r="G30" s="129" t="str">
        <f>B14</f>
        <v>Razón activo sobre patrimonio</v>
      </c>
      <c r="H30" s="130"/>
      <c r="I30" s="131"/>
      <c r="J30" s="115">
        <f t="shared" ref="J30:K30" si="6">C14</f>
        <v>8.907924609</v>
      </c>
      <c r="K30" s="115">
        <f t="shared" si="6"/>
        <v>8.977586898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10" t="s">
        <v>113</v>
      </c>
      <c r="C31" s="115">
        <f>'Estado de resultados'!D22*(1-29.5%)/ACTIVOT19</f>
        <v>0.02000689866</v>
      </c>
      <c r="D31" s="115">
        <f>'Estado de resultados'!E22*(1-29.5%)/ACTIVOT18</f>
        <v>0.01985421654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78"/>
      <c r="C33" s="106" t="s">
        <v>88</v>
      </c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09">
        <v>2019.0</v>
      </c>
      <c r="D34" s="109">
        <v>2018.0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33" t="s">
        <v>114</v>
      </c>
      <c r="C35" s="134">
        <f>'Estado de resultados'!D26</f>
        <v>2239263</v>
      </c>
      <c r="D35" s="134">
        <f>'Estado de resultados'!E26</f>
        <v>2036704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35" t="s">
        <v>115</v>
      </c>
      <c r="C36" s="136">
        <f>-'Estado de resultados'!D21</f>
        <v>167825</v>
      </c>
      <c r="D36" s="136">
        <f>-'Estado de resultados'!E21</f>
        <v>150019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37" t="s">
        <v>116</v>
      </c>
      <c r="C37" s="138">
        <f t="shared" ref="C37:D37" si="7">SUM(C35:C36)</f>
        <v>2407088</v>
      </c>
      <c r="D37" s="138">
        <f t="shared" si="7"/>
        <v>2186723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78"/>
      <c r="C39" s="106" t="s">
        <v>88</v>
      </c>
      <c r="D39" s="10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09">
        <v>2019.0</v>
      </c>
      <c r="D40" s="109">
        <v>2018.0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33" t="s">
        <v>114</v>
      </c>
      <c r="C41" s="134">
        <f t="shared" ref="C41:D41" si="8">C35</f>
        <v>2239263</v>
      </c>
      <c r="D41" s="134">
        <f t="shared" si="8"/>
        <v>2036704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35" t="s">
        <v>117</v>
      </c>
      <c r="C42" s="136">
        <f>'Estado de resultados'!D27</f>
        <v>-630207</v>
      </c>
      <c r="D42" s="136">
        <f>'Estado de resultados'!E27</f>
        <v>-567778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37" t="s">
        <v>118</v>
      </c>
      <c r="C43" s="138">
        <f t="shared" ref="C43:D43" si="9">SUM(C41:C42)</f>
        <v>1609056</v>
      </c>
      <c r="D43" s="138">
        <f t="shared" si="9"/>
        <v>1468926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C25:D25"/>
    <mergeCell ref="G25:I26"/>
    <mergeCell ref="J25:K25"/>
    <mergeCell ref="C33:D33"/>
    <mergeCell ref="C39:D39"/>
    <mergeCell ref="B2:B3"/>
    <mergeCell ref="C2:D2"/>
    <mergeCell ref="B9:B10"/>
    <mergeCell ref="C9:D9"/>
    <mergeCell ref="B16:B17"/>
    <mergeCell ref="C16:D16"/>
    <mergeCell ref="B25:B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2021-02-05T17:19:49Z</dcterms:created>
  <dc:creator>Orlando Barriga</dc:creator>
</cp:coreProperties>
</file>