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Total imports" sheetId="4" r:id="rId1"/>
    <sheet name="Sheet1" sheetId="7" r:id="rId2"/>
    <sheet name="Sheet3" sheetId="8" r:id="rId3"/>
    <sheet name="Sheet4" sheetId="9" r:id="rId4"/>
  </sheets>
  <definedNames>
    <definedName name="_xlnm.Print_Area" localSheetId="3">Sheet4!$B$2:$O$14</definedName>
    <definedName name="_xlnm.Print_Area" localSheetId="0">'Total imports'!$A$1:$N$25</definedName>
  </definedNames>
  <calcPr calcId="124519"/>
</workbook>
</file>

<file path=xl/calcChain.xml><?xml version="1.0" encoding="utf-8"?>
<calcChain xmlns="http://schemas.openxmlformats.org/spreadsheetml/2006/main">
  <c r="A28" i="4"/>
  <c r="F71"/>
  <c r="M70"/>
  <c r="M65"/>
  <c r="M55"/>
  <c r="M54"/>
  <c r="M53"/>
  <c r="M71" s="1"/>
  <c r="L71"/>
  <c r="L51"/>
  <c r="L70"/>
  <c r="L69"/>
  <c r="L68"/>
  <c r="L65"/>
  <c r="L58"/>
  <c r="L56"/>
  <c r="L55"/>
  <c r="L54"/>
  <c r="L53"/>
  <c r="L52"/>
  <c r="K71"/>
  <c r="J71"/>
  <c r="J54"/>
  <c r="I71"/>
  <c r="I54"/>
  <c r="I51"/>
  <c r="H71"/>
  <c r="H54"/>
  <c r="H53"/>
  <c r="G71"/>
  <c r="G70"/>
  <c r="G69"/>
  <c r="G51"/>
  <c r="K42"/>
  <c r="M42"/>
  <c r="N32"/>
  <c r="N33"/>
  <c r="N34"/>
  <c r="N35"/>
  <c r="N36"/>
  <c r="N37"/>
  <c r="N38"/>
  <c r="N39"/>
  <c r="N40"/>
  <c r="N41"/>
  <c r="N31"/>
  <c r="C42"/>
  <c r="D42"/>
  <c r="E42"/>
  <c r="F42"/>
  <c r="G42"/>
  <c r="H42"/>
  <c r="I42"/>
  <c r="J42"/>
  <c r="L42"/>
  <c r="B42"/>
  <c r="L32"/>
  <c r="J34"/>
  <c r="I31"/>
  <c r="I34"/>
  <c r="M24"/>
  <c r="M19"/>
  <c r="M8"/>
  <c r="M9"/>
  <c r="M25"/>
  <c r="M7"/>
  <c r="L5"/>
  <c r="L23"/>
  <c r="L24"/>
  <c r="L25"/>
  <c r="L22"/>
  <c r="L12"/>
  <c r="L19"/>
  <c r="L10"/>
  <c r="L7"/>
  <c r="L6"/>
  <c r="L9"/>
  <c r="L8"/>
  <c r="K25"/>
  <c r="J25"/>
  <c r="J8"/>
  <c r="I25"/>
  <c r="H25"/>
  <c r="H24"/>
  <c r="H7"/>
  <c r="G25"/>
  <c r="G24"/>
  <c r="G23"/>
  <c r="G5"/>
  <c r="F51"/>
  <c r="E71"/>
  <c r="E70"/>
  <c r="E69"/>
  <c r="E58"/>
  <c r="D69"/>
  <c r="D65"/>
  <c r="D59"/>
  <c r="D58"/>
  <c r="D55"/>
  <c r="D71" s="1"/>
  <c r="D53"/>
  <c r="D52"/>
  <c r="D51"/>
  <c r="C71"/>
  <c r="C70"/>
  <c r="C52"/>
  <c r="C51"/>
  <c r="F25"/>
  <c r="F5"/>
  <c r="N42" l="1"/>
  <c r="E25"/>
  <c r="E14"/>
  <c r="E24"/>
  <c r="E23"/>
  <c r="E12"/>
  <c r="D25"/>
  <c r="D23"/>
  <c r="D5"/>
  <c r="D7"/>
  <c r="D19"/>
  <c r="D6"/>
  <c r="D13"/>
  <c r="D9"/>
  <c r="D12"/>
  <c r="D8"/>
  <c r="N8" s="1"/>
  <c r="C25"/>
  <c r="C24"/>
  <c r="C6"/>
  <c r="C5"/>
  <c r="N5" s="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B69"/>
  <c r="B71"/>
  <c r="N51"/>
  <c r="N6"/>
  <c r="N7"/>
  <c r="N9"/>
  <c r="N10"/>
  <c r="N11"/>
  <c r="N12"/>
  <c r="N13"/>
  <c r="N14"/>
  <c r="N15"/>
  <c r="N16"/>
  <c r="N17"/>
  <c r="N18"/>
  <c r="N19"/>
  <c r="N20"/>
  <c r="N21"/>
  <c r="N22"/>
  <c r="N23"/>
  <c r="N24"/>
  <c r="B25"/>
  <c r="B23"/>
  <c r="N25" l="1"/>
  <c r="E14" i="9"/>
  <c r="C13"/>
  <c r="O13" s="1"/>
  <c r="O12"/>
  <c r="O11"/>
  <c r="O10"/>
  <c r="O9"/>
  <c r="O8"/>
  <c r="O7"/>
  <c r="D6"/>
  <c r="D14" s="1"/>
  <c r="C6"/>
  <c r="E26" i="8"/>
  <c r="E27" s="1"/>
  <c r="C26"/>
  <c r="O26" s="1"/>
  <c r="E25"/>
  <c r="C25"/>
  <c r="O25" s="1"/>
  <c r="O24"/>
  <c r="O23"/>
  <c r="O22"/>
  <c r="O21"/>
  <c r="O20"/>
  <c r="O19"/>
  <c r="O18"/>
  <c r="O17"/>
  <c r="O16"/>
  <c r="O15"/>
  <c r="O14"/>
  <c r="O13"/>
  <c r="O12"/>
  <c r="O11"/>
  <c r="O10"/>
  <c r="O9"/>
  <c r="C9"/>
  <c r="O8"/>
  <c r="D7"/>
  <c r="D27" s="1"/>
  <c r="C7"/>
  <c r="O7" s="1"/>
  <c r="O6" i="9" l="1"/>
  <c r="O14" s="1"/>
  <c r="C14"/>
  <c r="C27" i="8"/>
  <c r="O27" s="1"/>
</calcChain>
</file>

<file path=xl/sharedStrings.xml><?xml version="1.0" encoding="utf-8"?>
<sst xmlns="http://schemas.openxmlformats.org/spreadsheetml/2006/main" count="164" uniqueCount="49">
  <si>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</si>
  <si>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</si>
  <si>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</si>
  <si>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</si>
  <si>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</si>
  <si>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</si>
  <si>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</si>
  <si>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</si>
  <si>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</si>
  <si>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</si>
  <si>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</si>
  <si>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</si>
  <si>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</si>
  <si>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Urea</t>
  </si>
  <si>
    <t>MOP</t>
  </si>
  <si>
    <t>TSP</t>
  </si>
  <si>
    <t>SSP</t>
  </si>
  <si>
    <t>SA</t>
  </si>
  <si>
    <t>Kieserite</t>
  </si>
  <si>
    <t>ZnSO4</t>
  </si>
  <si>
    <t>DAP</t>
  </si>
  <si>
    <t>CAN</t>
  </si>
  <si>
    <t>CES</t>
  </si>
  <si>
    <t>sop</t>
  </si>
  <si>
    <t>Liquid Mixtures (Ltr)</t>
  </si>
  <si>
    <t>Granular Mixtures (Mts)</t>
  </si>
  <si>
    <t xml:space="preserve">Zinc Sulphate </t>
  </si>
  <si>
    <t>National Fertilizer Secretariat</t>
  </si>
  <si>
    <t>Technology Unit</t>
  </si>
  <si>
    <t>Seaweed - (Mts)</t>
  </si>
  <si>
    <t>Seaweed - (Ltr)</t>
  </si>
  <si>
    <t>Calcium Nitrate</t>
  </si>
  <si>
    <t>Anhydrous MgSO4</t>
  </si>
  <si>
    <t>Borate</t>
  </si>
  <si>
    <t>Sulphur Bentonite</t>
  </si>
  <si>
    <t>Magnicium Nitrate</t>
  </si>
  <si>
    <t>Mono Potassium Phosphate</t>
  </si>
  <si>
    <t>SOP</t>
  </si>
  <si>
    <t>Ferrous Sulphate</t>
  </si>
  <si>
    <t xml:space="preserve">December Total </t>
  </si>
  <si>
    <t xml:space="preserve">Total </t>
  </si>
  <si>
    <t>Fertilizer Imports( Pvt   &amp; Gov )Company 2015 (Mts/Ltrs) (Order approval 2015)</t>
  </si>
  <si>
    <t>CES(MgS)</t>
  </si>
  <si>
    <t>MnSo4H2O</t>
  </si>
  <si>
    <t>Magnesium Sulphate/CES</t>
  </si>
  <si>
    <t>Fertilizer Imports( Pvt   &amp; Gov )Company 2016 (Mts/Ltrs)</t>
  </si>
  <si>
    <t>Fertilizer Imports( Pvt   &amp; Gov )Company 2017 (Mts/Ltrs)</t>
  </si>
  <si>
    <t>Fertilizer Imports of State Sector Fertilizer Company - 2017(Mts/Ltrs)</t>
  </si>
  <si>
    <t>Fertilizer Imports of Private Fertilizer Company - 2017(Mts/Ltrs)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</si>
</sst>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43" fontId="0" fillId="0" borderId="1" xfId="1" applyFont="1" applyBorder="1"/>
    <xf numFmtId="43" fontId="0" fillId="0" borderId="1" xfId="1" applyFont="1" applyFill="1" applyBorder="1"/>
    <xf numFmtId="43" fontId="1" fillId="0" borderId="1" xfId="0" applyNumberFormat="1" applyFont="1" applyBorder="1"/>
    <xf numFmtId="0" fontId="0" fillId="0" borderId="0" xfId="0" applyBorder="1"/>
    <xf numFmtId="43" fontId="0" fillId="0" borderId="0" xfId="1" applyFont="1" applyBorder="1"/>
    <xf numFmtId="43" fontId="1" fillId="0" borderId="0" xfId="0" applyNumberFormat="1" applyFont="1" applyBorder="1"/>
    <xf numFmtId="43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Border="1"/>
    <xf numFmtId="43" fontId="1" fillId="0" borderId="0" xfId="1" applyFont="1" applyBorder="1"/>
    <xf numFmtId="0" fontId="3" fillId="0" borderId="1" xfId="0" applyFont="1" applyBorder="1"/>
    <xf numFmtId="43" fontId="3" fillId="0" borderId="1" xfId="1" applyFont="1" applyBorder="1"/>
    <xf numFmtId="43" fontId="4" fillId="0" borderId="1" xfId="0" applyNumberFormat="1" applyFont="1" applyBorder="1"/>
    <xf numFmtId="43" fontId="3" fillId="0" borderId="5" xfId="1" applyFont="1" applyFill="1" applyBorder="1"/>
    <xf numFmtId="43" fontId="3" fillId="0" borderId="1" xfId="1" applyFont="1" applyBorder="1" applyAlignment="1">
      <alignment horizontal="right"/>
    </xf>
    <xf numFmtId="43" fontId="4" fillId="0" borderId="0" xfId="0" applyNumberFormat="1" applyFont="1" applyBorder="1"/>
    <xf numFmtId="43" fontId="4" fillId="0" borderId="1" xfId="1" applyFont="1" applyFill="1" applyBorder="1"/>
    <xf numFmtId="0" fontId="1" fillId="0" borderId="3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43" fontId="4" fillId="0" borderId="0" xfId="1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43" fontId="3" fillId="0" borderId="0" xfId="1" applyFont="1" applyBorder="1"/>
    <xf numFmtId="43" fontId="3" fillId="0" borderId="0" xfId="1" applyFont="1" applyFill="1" applyBorder="1"/>
    <xf numFmtId="0" fontId="3" fillId="2" borderId="1" xfId="0" applyFont="1" applyFill="1" applyBorder="1"/>
    <xf numFmtId="43" fontId="3" fillId="2" borderId="1" xfId="1" applyFont="1" applyFill="1" applyBorder="1"/>
    <xf numFmtId="43" fontId="4" fillId="2" borderId="1" xfId="0" applyNumberFormat="1" applyFont="1" applyFill="1" applyBorder="1"/>
    <xf numFmtId="0" fontId="0" fillId="2" borderId="0" xfId="0" applyFill="1"/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43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topLeftCell="A73" workbookViewId="0">
      <selection sqref="A1:N25"/>
    </sheetView>
  </sheetViews>
  <sheetFormatPr defaultRowHeight="14.4"/>
  <cols>
    <col min="1" max="1" width="13.44140625" customWidth="1"/>
    <col min="2" max="2" width="10.44140625" customWidth="1"/>
    <col min="3" max="3" width="10.5546875" customWidth="1"/>
    <col min="4" max="4" width="10.44140625" customWidth="1"/>
    <col min="5" max="5" width="9.5546875" customWidth="1"/>
    <col min="6" max="6" width="8.88671875" customWidth="1"/>
    <col min="7" max="7" width="10.109375" customWidth="1"/>
    <col min="8" max="8" width="9.6640625" customWidth="1"/>
    <col min="9" max="9" width="10.88671875" customWidth="1"/>
    <col min="10" max="10" width="10.5546875" customWidth="1"/>
    <col min="11" max="11" width="10" customWidth="1"/>
    <col min="12" max="12" width="10.6640625" customWidth="1"/>
    <col min="13" max="13" width="10.5546875" customWidth="1"/>
    <col min="14" max="14" width="14.6640625" customWidth="1"/>
    <col min="16" max="16" width="10.5546875" bestFit="1" customWidth="1"/>
  </cols>
  <sheetData>
    <row r="1" spans="1:18">
      <c r="A1" s="15"/>
      <c r="B1" s="56" t="s">
        <v>27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  <c r="N1" s="44"/>
    </row>
    <row r="2" spans="1:18">
      <c r="A2" s="15"/>
      <c r="B2" s="56" t="s">
        <v>28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44"/>
    </row>
    <row r="3" spans="1:18">
      <c r="A3" s="15"/>
      <c r="B3" s="56" t="s">
        <v>46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8"/>
      <c r="N3" s="44"/>
    </row>
    <row r="4" spans="1:18">
      <c r="A4" s="15"/>
      <c r="B4" s="44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44" t="s">
        <v>6</v>
      </c>
      <c r="I4" s="44" t="s">
        <v>7</v>
      </c>
      <c r="J4" s="44" t="s">
        <v>8</v>
      </c>
      <c r="K4" s="44" t="s">
        <v>9</v>
      </c>
      <c r="L4" s="44" t="s">
        <v>10</v>
      </c>
      <c r="M4" s="44" t="s">
        <v>11</v>
      </c>
      <c r="N4" s="44" t="s">
        <v>12</v>
      </c>
    </row>
    <row r="5" spans="1:18">
      <c r="A5" s="15" t="s">
        <v>13</v>
      </c>
      <c r="B5" s="16">
        <v>660</v>
      </c>
      <c r="C5" s="16">
        <f>20977.416</f>
        <v>20977.416000000001</v>
      </c>
      <c r="D5" s="16">
        <f>13820</f>
        <v>13820</v>
      </c>
      <c r="E5" s="16">
        <v>5040</v>
      </c>
      <c r="F5" s="16">
        <f>8850</f>
        <v>8850</v>
      </c>
      <c r="G5" s="16">
        <f>26070</f>
        <v>26070</v>
      </c>
      <c r="H5" s="16">
        <v>20025</v>
      </c>
      <c r="I5" s="16">
        <v>38718</v>
      </c>
      <c r="J5" s="16">
        <v>10723</v>
      </c>
      <c r="K5" s="50">
        <v>22367</v>
      </c>
      <c r="L5" s="16">
        <f>1752</f>
        <v>1752</v>
      </c>
      <c r="M5" s="4">
        <v>28483.5</v>
      </c>
      <c r="N5" s="17">
        <f>SUM(B5:M5)</f>
        <v>197485.916</v>
      </c>
    </row>
    <row r="6" spans="1:18" ht="15.6">
      <c r="A6" s="15" t="s">
        <v>14</v>
      </c>
      <c r="B6" s="16">
        <v>4984.125</v>
      </c>
      <c r="C6" s="16">
        <f>6916.5+1563.5</f>
        <v>8480</v>
      </c>
      <c r="D6" s="16">
        <f>1760.5</f>
        <v>1760.5</v>
      </c>
      <c r="E6" s="16">
        <v>2517.5</v>
      </c>
      <c r="F6" s="16">
        <v>6459.27</v>
      </c>
      <c r="G6" s="16">
        <v>5378.53</v>
      </c>
      <c r="H6" s="18">
        <v>9577.98</v>
      </c>
      <c r="I6" s="16">
        <v>14185.7</v>
      </c>
      <c r="J6" s="16">
        <v>7558.94</v>
      </c>
      <c r="K6" s="50">
        <v>5986</v>
      </c>
      <c r="L6" s="16">
        <f>6386.5</f>
        <v>6386.5</v>
      </c>
      <c r="M6" s="1">
        <v>11921.59</v>
      </c>
      <c r="N6" s="17">
        <f t="shared" ref="N6:N25" si="0">SUM(B6:M6)</f>
        <v>85196.634999999995</v>
      </c>
      <c r="R6" s="54" t="s">
        <v>44</v>
      </c>
    </row>
    <row r="7" spans="1:18">
      <c r="A7" s="15" t="s">
        <v>15</v>
      </c>
      <c r="B7" s="16">
        <v>4320</v>
      </c>
      <c r="C7" s="16">
        <v>1058.5</v>
      </c>
      <c r="D7" s="16">
        <f>1998</f>
        <v>1998</v>
      </c>
      <c r="E7" s="16">
        <v>0</v>
      </c>
      <c r="F7" s="16">
        <v>0</v>
      </c>
      <c r="G7" s="16">
        <v>3548.75</v>
      </c>
      <c r="H7" s="16">
        <f>2484+990</f>
        <v>3474</v>
      </c>
      <c r="I7" s="16">
        <v>520</v>
      </c>
      <c r="J7" s="16">
        <v>520</v>
      </c>
      <c r="K7" s="50">
        <v>0</v>
      </c>
      <c r="L7" s="16">
        <f>1989</f>
        <v>1989</v>
      </c>
      <c r="M7" s="1">
        <f>9714.2+972</f>
        <v>10686.2</v>
      </c>
      <c r="N7" s="17">
        <f t="shared" si="0"/>
        <v>28114.45</v>
      </c>
    </row>
    <row r="8" spans="1:18">
      <c r="A8" s="15" t="s">
        <v>17</v>
      </c>
      <c r="B8" s="16">
        <v>5527.42</v>
      </c>
      <c r="C8" s="16">
        <v>1230</v>
      </c>
      <c r="D8" s="16">
        <f>513+4752</f>
        <v>5265</v>
      </c>
      <c r="E8" s="16">
        <v>1489.5</v>
      </c>
      <c r="F8" s="16">
        <v>1934</v>
      </c>
      <c r="G8" s="16">
        <v>9383.82</v>
      </c>
      <c r="H8" s="16">
        <v>3807.5</v>
      </c>
      <c r="I8" s="16">
        <v>4386</v>
      </c>
      <c r="J8" s="16">
        <f>3997+1775</f>
        <v>5772</v>
      </c>
      <c r="K8" s="50">
        <v>8147.42</v>
      </c>
      <c r="L8" s="16">
        <f>2104.18+3750.96</f>
        <v>5855.1399999999994</v>
      </c>
      <c r="M8" s="1">
        <f>12128.13+996.59</f>
        <v>13124.72</v>
      </c>
      <c r="N8" s="17">
        <f t="shared" si="0"/>
        <v>65922.51999999999</v>
      </c>
      <c r="P8" s="10"/>
    </row>
    <row r="9" spans="1:18">
      <c r="A9" s="15" t="s">
        <v>18</v>
      </c>
      <c r="B9" s="16">
        <v>555.79999999999995</v>
      </c>
      <c r="C9" s="16">
        <v>838.17399999999998</v>
      </c>
      <c r="D9" s="16">
        <f>1925.36</f>
        <v>1925.36</v>
      </c>
      <c r="E9" s="16">
        <v>0</v>
      </c>
      <c r="F9" s="16">
        <v>1538.22</v>
      </c>
      <c r="G9" s="16">
        <v>654.20000000000005</v>
      </c>
      <c r="H9" s="16">
        <v>0</v>
      </c>
      <c r="I9" s="16">
        <v>1354</v>
      </c>
      <c r="J9" s="16">
        <v>2476.96</v>
      </c>
      <c r="K9" s="50">
        <v>664.59</v>
      </c>
      <c r="L9" s="16">
        <f>100+708.08</f>
        <v>808.08</v>
      </c>
      <c r="M9" s="4">
        <f>2623.59+260</f>
        <v>2883.59</v>
      </c>
      <c r="N9" s="17">
        <f t="shared" si="0"/>
        <v>13698.974</v>
      </c>
    </row>
    <row r="10" spans="1:18">
      <c r="A10" s="15" t="s">
        <v>19</v>
      </c>
      <c r="B10" s="16">
        <v>0</v>
      </c>
      <c r="C10" s="16">
        <v>0</v>
      </c>
      <c r="D10" s="16">
        <v>0</v>
      </c>
      <c r="E10" s="16">
        <v>0</v>
      </c>
      <c r="F10" s="16">
        <v>52.25</v>
      </c>
      <c r="G10" s="16">
        <v>0</v>
      </c>
      <c r="H10" s="16">
        <v>71</v>
      </c>
      <c r="I10" s="16">
        <v>0</v>
      </c>
      <c r="J10" s="16">
        <v>52</v>
      </c>
      <c r="K10" s="50">
        <v>100</v>
      </c>
      <c r="L10" s="16">
        <f>25</f>
        <v>25</v>
      </c>
      <c r="M10" s="1">
        <v>0</v>
      </c>
      <c r="N10" s="17">
        <f t="shared" si="0"/>
        <v>300.25</v>
      </c>
      <c r="P10" s="10"/>
    </row>
    <row r="11" spans="1:18">
      <c r="A11" s="15" t="s">
        <v>20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790</v>
      </c>
      <c r="H11" s="16">
        <v>400</v>
      </c>
      <c r="I11" s="16">
        <v>0</v>
      </c>
      <c r="J11" s="16">
        <v>0</v>
      </c>
      <c r="K11" s="50">
        <v>486</v>
      </c>
      <c r="L11" s="16">
        <v>0</v>
      </c>
      <c r="M11" s="1">
        <v>1030.56</v>
      </c>
      <c r="N11" s="17">
        <f t="shared" si="0"/>
        <v>2706.56</v>
      </c>
    </row>
    <row r="12" spans="1:18">
      <c r="A12" s="15" t="s">
        <v>21</v>
      </c>
      <c r="B12" s="16">
        <v>50</v>
      </c>
      <c r="C12" s="16">
        <v>0</v>
      </c>
      <c r="D12" s="16">
        <f>50</f>
        <v>50</v>
      </c>
      <c r="E12" s="16">
        <f>54</f>
        <v>54</v>
      </c>
      <c r="F12" s="16">
        <v>0</v>
      </c>
      <c r="G12" s="16">
        <v>0</v>
      </c>
      <c r="H12" s="16">
        <v>27</v>
      </c>
      <c r="I12" s="16">
        <v>104</v>
      </c>
      <c r="J12" s="16">
        <v>77</v>
      </c>
      <c r="K12" s="50">
        <v>27</v>
      </c>
      <c r="L12" s="16">
        <f>77</f>
        <v>77</v>
      </c>
      <c r="M12" s="1">
        <v>20</v>
      </c>
      <c r="N12" s="17">
        <f t="shared" si="0"/>
        <v>486</v>
      </c>
    </row>
    <row r="13" spans="1:18" s="52" customFormat="1">
      <c r="A13" s="49" t="s">
        <v>42</v>
      </c>
      <c r="B13" s="50">
        <v>0</v>
      </c>
      <c r="C13" s="50">
        <v>0</v>
      </c>
      <c r="D13" s="50">
        <f>52.4</f>
        <v>52.4</v>
      </c>
      <c r="E13" s="50"/>
      <c r="F13" s="50">
        <v>28</v>
      </c>
      <c r="G13" s="50">
        <v>0</v>
      </c>
      <c r="H13" s="50">
        <v>56</v>
      </c>
      <c r="I13" s="50">
        <v>112</v>
      </c>
      <c r="J13" s="50">
        <v>78.75</v>
      </c>
      <c r="K13" s="50">
        <v>56</v>
      </c>
      <c r="L13" s="50">
        <v>0</v>
      </c>
      <c r="M13" s="1">
        <v>28</v>
      </c>
      <c r="N13" s="17">
        <f t="shared" si="0"/>
        <v>411.15</v>
      </c>
    </row>
    <row r="14" spans="1:18">
      <c r="A14" s="15" t="s">
        <v>37</v>
      </c>
      <c r="B14" s="16">
        <v>0</v>
      </c>
      <c r="C14" s="16">
        <v>0</v>
      </c>
      <c r="D14" s="16">
        <v>0</v>
      </c>
      <c r="E14" s="16">
        <f>164.51</f>
        <v>164.51</v>
      </c>
      <c r="F14" s="16">
        <v>0</v>
      </c>
      <c r="G14" s="16">
        <v>52.49</v>
      </c>
      <c r="H14" s="16">
        <v>80.989999999999995</v>
      </c>
      <c r="I14" s="16">
        <v>52.49</v>
      </c>
      <c r="J14" s="16">
        <v>0</v>
      </c>
      <c r="K14" s="50">
        <v>0</v>
      </c>
      <c r="L14" s="16">
        <v>0</v>
      </c>
      <c r="M14" s="1"/>
      <c r="N14" s="17">
        <f t="shared" si="0"/>
        <v>350.48</v>
      </c>
    </row>
    <row r="15" spans="1:18">
      <c r="A15" s="15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50">
        <v>0</v>
      </c>
      <c r="L15" s="16">
        <v>0</v>
      </c>
      <c r="M15" s="1"/>
      <c r="N15" s="17">
        <f t="shared" si="0"/>
        <v>0</v>
      </c>
    </row>
    <row r="16" spans="1:18">
      <c r="A16" s="15" t="s">
        <v>32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50">
        <v>0</v>
      </c>
      <c r="L16" s="16">
        <v>0</v>
      </c>
      <c r="M16" s="1"/>
      <c r="N16" s="17">
        <f t="shared" si="0"/>
        <v>0</v>
      </c>
    </row>
    <row r="17" spans="1:29">
      <c r="A17" s="15" t="s">
        <v>33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50">
        <v>0</v>
      </c>
      <c r="L17" s="16">
        <v>0</v>
      </c>
      <c r="M17" s="1"/>
      <c r="N17" s="17">
        <f t="shared" si="0"/>
        <v>0</v>
      </c>
    </row>
    <row r="18" spans="1:29">
      <c r="A18" s="15" t="s">
        <v>38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"/>
      <c r="N18" s="17">
        <f t="shared" si="0"/>
        <v>0</v>
      </c>
    </row>
    <row r="19" spans="1:29">
      <c r="A19" s="15" t="s">
        <v>16</v>
      </c>
      <c r="B19" s="16">
        <v>302.5</v>
      </c>
      <c r="C19" s="16">
        <v>192.3</v>
      </c>
      <c r="D19" s="16">
        <f>200</f>
        <v>200</v>
      </c>
      <c r="E19" s="16">
        <v>0</v>
      </c>
      <c r="F19" s="16">
        <v>102.95</v>
      </c>
      <c r="G19" s="16">
        <v>0</v>
      </c>
      <c r="H19" s="16">
        <v>504</v>
      </c>
      <c r="I19" s="16">
        <v>357.5</v>
      </c>
      <c r="J19" s="16">
        <v>210</v>
      </c>
      <c r="K19" s="16">
        <v>0</v>
      </c>
      <c r="L19" s="16">
        <f>1736</f>
        <v>1736</v>
      </c>
      <c r="M19" s="1">
        <f>1316+522.5</f>
        <v>1838.5</v>
      </c>
      <c r="N19" s="17">
        <f t="shared" si="0"/>
        <v>5443.75</v>
      </c>
    </row>
    <row r="20" spans="1:29">
      <c r="A20" s="15" t="s">
        <v>43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"/>
      <c r="N20" s="17">
        <f t="shared" si="0"/>
        <v>0</v>
      </c>
    </row>
    <row r="21" spans="1:29">
      <c r="A21" s="15" t="s">
        <v>30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"/>
      <c r="N21" s="17">
        <f t="shared" si="0"/>
        <v>0</v>
      </c>
    </row>
    <row r="22" spans="1:29">
      <c r="A22" s="15" t="s">
        <v>29</v>
      </c>
      <c r="B22" s="16">
        <v>0</v>
      </c>
      <c r="C22" s="16">
        <v>4</v>
      </c>
      <c r="D22" s="16">
        <v>0</v>
      </c>
      <c r="E22" s="19">
        <v>0</v>
      </c>
      <c r="F22" s="16">
        <v>0</v>
      </c>
      <c r="G22" s="16">
        <v>0</v>
      </c>
      <c r="H22" s="16">
        <v>0</v>
      </c>
      <c r="I22" s="16">
        <v>0</v>
      </c>
      <c r="J22" s="16">
        <v>1.04</v>
      </c>
      <c r="K22" s="16">
        <v>0</v>
      </c>
      <c r="L22" s="16">
        <f>2</f>
        <v>2</v>
      </c>
      <c r="M22" s="1"/>
      <c r="N22" s="17">
        <f t="shared" si="0"/>
        <v>7.04</v>
      </c>
    </row>
    <row r="23" spans="1:29">
      <c r="A23" s="15" t="s">
        <v>24</v>
      </c>
      <c r="B23" s="50">
        <f>16000+6000+6000</f>
        <v>28000</v>
      </c>
      <c r="C23" s="50">
        <v>10000</v>
      </c>
      <c r="D23" s="50">
        <f>30550</f>
        <v>30550</v>
      </c>
      <c r="E23" s="50">
        <f>7888</f>
        <v>7888</v>
      </c>
      <c r="F23" s="50">
        <v>17776</v>
      </c>
      <c r="G23" s="50">
        <f>1600+11200</f>
        <v>12800</v>
      </c>
      <c r="H23" s="50">
        <v>42000</v>
      </c>
      <c r="I23" s="50">
        <v>11450</v>
      </c>
      <c r="J23" s="50">
        <v>23918</v>
      </c>
      <c r="K23" s="16">
        <v>21565.200000000001</v>
      </c>
      <c r="L23" s="16">
        <f>36886</f>
        <v>36886</v>
      </c>
      <c r="M23" s="1">
        <v>16000</v>
      </c>
      <c r="N23" s="17">
        <f t="shared" si="0"/>
        <v>258833.2</v>
      </c>
    </row>
    <row r="24" spans="1:29">
      <c r="A24" s="15" t="s">
        <v>25</v>
      </c>
      <c r="B24" s="16">
        <v>216.4</v>
      </c>
      <c r="C24" s="16">
        <f>1292</f>
        <v>1292</v>
      </c>
      <c r="D24" s="16">
        <v>1453.84</v>
      </c>
      <c r="E24" s="16">
        <f>1080.48</f>
        <v>1080.48</v>
      </c>
      <c r="F24" s="16">
        <v>1231.71</v>
      </c>
      <c r="G24" s="16">
        <f>58+468.81+353+12</f>
        <v>891.81</v>
      </c>
      <c r="H24" s="16">
        <f>703.54</f>
        <v>703.54</v>
      </c>
      <c r="I24" s="16">
        <v>1341.84</v>
      </c>
      <c r="J24" s="16">
        <v>258.17399999999998</v>
      </c>
      <c r="K24" s="16">
        <v>1476.77</v>
      </c>
      <c r="L24" s="16">
        <f>1416.928</f>
        <v>1416.9280000000001</v>
      </c>
      <c r="M24" s="1">
        <f>674.14</f>
        <v>674.14</v>
      </c>
      <c r="N24" s="17">
        <f t="shared" si="0"/>
        <v>12037.631999999998</v>
      </c>
    </row>
    <row r="25" spans="1:29">
      <c r="A25" s="15" t="s">
        <v>12</v>
      </c>
      <c r="B25" s="16">
        <f t="shared" ref="B25:M25" si="1">SUM(B5:B24)</f>
        <v>44616.245000000003</v>
      </c>
      <c r="C25" s="16">
        <f t="shared" si="1"/>
        <v>44072.39</v>
      </c>
      <c r="D25" s="16">
        <f t="shared" si="1"/>
        <v>57075.1</v>
      </c>
      <c r="E25" s="16">
        <f t="shared" si="1"/>
        <v>18233.990000000002</v>
      </c>
      <c r="F25" s="16">
        <f t="shared" si="1"/>
        <v>37972.400000000001</v>
      </c>
      <c r="G25" s="16">
        <f t="shared" si="1"/>
        <v>59569.599999999991</v>
      </c>
      <c r="H25" s="16">
        <f t="shared" si="1"/>
        <v>80727.009999999995</v>
      </c>
      <c r="I25" s="16">
        <f t="shared" si="1"/>
        <v>72581.53</v>
      </c>
      <c r="J25" s="16">
        <f t="shared" si="1"/>
        <v>51645.864000000001</v>
      </c>
      <c r="K25" s="16">
        <f t="shared" si="1"/>
        <v>60875.979999999989</v>
      </c>
      <c r="L25" s="16">
        <f t="shared" si="1"/>
        <v>56933.648000000001</v>
      </c>
      <c r="M25" s="16">
        <f t="shared" si="1"/>
        <v>86690.799999999988</v>
      </c>
      <c r="N25" s="17">
        <f t="shared" si="0"/>
        <v>670994.55700000003</v>
      </c>
    </row>
    <row r="28" spans="1:29">
      <c r="A28" s="1">
        <f>-+-  P18</f>
        <v>0</v>
      </c>
      <c r="B28" s="56" t="s">
        <v>27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8"/>
      <c r="P28" s="7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 spans="1:29" ht="14.25" customHeight="1">
      <c r="A29" s="1"/>
      <c r="B29" s="56" t="s">
        <v>47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  <c r="O29" s="7"/>
      <c r="P29" s="7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 spans="1:29">
      <c r="A30" s="1"/>
      <c r="B30" s="44" t="s">
        <v>0</v>
      </c>
      <c r="C30" s="44" t="s">
        <v>1</v>
      </c>
      <c r="D30" s="44" t="s">
        <v>2</v>
      </c>
      <c r="E30" s="44" t="s">
        <v>3</v>
      </c>
      <c r="F30" s="44" t="s">
        <v>4</v>
      </c>
      <c r="G30" s="44" t="s">
        <v>5</v>
      </c>
      <c r="H30" s="44" t="s">
        <v>6</v>
      </c>
      <c r="I30" s="44" t="s">
        <v>7</v>
      </c>
      <c r="J30" s="44" t="s">
        <v>8</v>
      </c>
      <c r="K30" s="44" t="s">
        <v>9</v>
      </c>
      <c r="L30" s="44" t="s">
        <v>10</v>
      </c>
      <c r="M30" s="44" t="s">
        <v>39</v>
      </c>
      <c r="N30" s="44" t="s">
        <v>12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>
      <c r="A31" s="1" t="s">
        <v>13</v>
      </c>
      <c r="B31" s="21">
        <v>0</v>
      </c>
      <c r="C31" s="5">
        <v>0</v>
      </c>
      <c r="D31" s="5">
        <v>0</v>
      </c>
      <c r="E31" s="2">
        <v>0</v>
      </c>
      <c r="F31" s="2">
        <v>0</v>
      </c>
      <c r="G31" s="2">
        <v>0</v>
      </c>
      <c r="H31" s="2">
        <v>0</v>
      </c>
      <c r="I31" s="2">
        <f>6300+12600</f>
        <v>18900</v>
      </c>
      <c r="J31" s="4">
        <v>0</v>
      </c>
      <c r="K31" s="2">
        <v>0</v>
      </c>
      <c r="L31" s="2">
        <v>0</v>
      </c>
      <c r="M31" s="2">
        <v>0</v>
      </c>
      <c r="N31" s="53">
        <f>SUM(B31:M31)</f>
        <v>18900</v>
      </c>
      <c r="O31" s="7"/>
      <c r="P31" s="7"/>
      <c r="Q31" s="27"/>
      <c r="R31" s="25"/>
      <c r="S31" s="26"/>
      <c r="T31" s="23"/>
      <c r="U31" s="23"/>
      <c r="V31" s="23"/>
      <c r="W31" s="23"/>
      <c r="X31" s="23"/>
      <c r="Y31" s="8"/>
      <c r="Z31" s="23"/>
      <c r="AA31" s="23"/>
      <c r="AB31" s="23"/>
      <c r="AC31" s="23"/>
    </row>
    <row r="32" spans="1:29">
      <c r="A32" s="1" t="s">
        <v>14</v>
      </c>
      <c r="B32" s="21">
        <v>0</v>
      </c>
      <c r="C32" s="5">
        <v>0</v>
      </c>
      <c r="D32" s="5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4">
        <v>0</v>
      </c>
      <c r="K32" s="2">
        <v>0</v>
      </c>
      <c r="L32" s="2">
        <f>105</f>
        <v>105</v>
      </c>
      <c r="M32" s="2">
        <v>0</v>
      </c>
      <c r="N32" s="53">
        <f t="shared" ref="N32:N42" si="2">SUM(B32:M32)</f>
        <v>105</v>
      </c>
      <c r="O32" s="7"/>
      <c r="P32" s="7"/>
      <c r="Q32" s="27"/>
      <c r="R32" s="25"/>
      <c r="S32" s="26"/>
      <c r="T32" s="23"/>
      <c r="U32" s="23"/>
      <c r="V32" s="23"/>
      <c r="W32" s="23"/>
      <c r="X32" s="23"/>
      <c r="Y32" s="8"/>
      <c r="Z32" s="23"/>
      <c r="AA32" s="23"/>
      <c r="AB32" s="23"/>
      <c r="AC32" s="23"/>
    </row>
    <row r="33" spans="1:29">
      <c r="A33" s="1" t="s">
        <v>15</v>
      </c>
      <c r="B33" s="21">
        <v>0</v>
      </c>
      <c r="C33" s="5">
        <v>0</v>
      </c>
      <c r="D33" s="5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4">
        <v>0</v>
      </c>
      <c r="K33" s="2">
        <v>0</v>
      </c>
      <c r="L33" s="2">
        <v>0</v>
      </c>
      <c r="M33" s="2">
        <v>0</v>
      </c>
      <c r="N33" s="53">
        <f t="shared" si="2"/>
        <v>0</v>
      </c>
      <c r="O33" s="13"/>
      <c r="P33" s="7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1" t="s">
        <v>17</v>
      </c>
      <c r="B34" s="21">
        <v>0</v>
      </c>
      <c r="C34" s="5">
        <v>0</v>
      </c>
      <c r="D34" s="4">
        <v>1026</v>
      </c>
      <c r="E34" s="2">
        <v>0</v>
      </c>
      <c r="F34" s="2">
        <v>0</v>
      </c>
      <c r="G34" s="2">
        <v>0</v>
      </c>
      <c r="H34" s="4">
        <v>500</v>
      </c>
      <c r="I34" s="4">
        <f>375+700</f>
        <v>1075</v>
      </c>
      <c r="J34" s="4">
        <f>500</f>
        <v>500</v>
      </c>
      <c r="K34" s="2">
        <v>0</v>
      </c>
      <c r="L34" s="2">
        <v>0</v>
      </c>
      <c r="M34" s="2">
        <v>0</v>
      </c>
      <c r="N34" s="53">
        <f t="shared" si="2"/>
        <v>3101</v>
      </c>
      <c r="O34" s="14"/>
      <c r="P34" s="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1" t="s">
        <v>18</v>
      </c>
      <c r="B35" s="21">
        <v>0</v>
      </c>
      <c r="C35" s="5">
        <v>0</v>
      </c>
      <c r="D35" s="4">
        <v>0</v>
      </c>
      <c r="E35" s="2">
        <v>0</v>
      </c>
      <c r="F35" s="2">
        <v>0</v>
      </c>
      <c r="G35" s="2">
        <v>0</v>
      </c>
      <c r="H35" s="4">
        <v>0</v>
      </c>
      <c r="I35" s="4">
        <v>0</v>
      </c>
      <c r="J35" s="4">
        <v>0</v>
      </c>
      <c r="K35" s="2">
        <v>0</v>
      </c>
      <c r="L35" s="2">
        <v>0</v>
      </c>
      <c r="M35" s="2">
        <v>0</v>
      </c>
      <c r="N35" s="53">
        <f t="shared" si="2"/>
        <v>0</v>
      </c>
      <c r="O35" s="14"/>
      <c r="P35" s="7"/>
      <c r="Q35" s="8"/>
      <c r="R35" s="8"/>
      <c r="S35" s="8"/>
      <c r="T35" s="8"/>
      <c r="U35" s="8"/>
      <c r="V35" s="8"/>
      <c r="W35" s="8"/>
      <c r="X35" s="8"/>
      <c r="Y35" s="8"/>
      <c r="Z35" s="28"/>
      <c r="AA35" s="23"/>
      <c r="AB35" s="23"/>
      <c r="AC35" s="23"/>
    </row>
    <row r="36" spans="1:29">
      <c r="A36" s="3" t="s">
        <v>26</v>
      </c>
      <c r="B36" s="21">
        <v>0</v>
      </c>
      <c r="C36" s="5">
        <v>0</v>
      </c>
      <c r="D36" s="4">
        <v>0</v>
      </c>
      <c r="E36" s="2">
        <v>0</v>
      </c>
      <c r="F36" s="2">
        <v>0</v>
      </c>
      <c r="G36" s="2">
        <v>0</v>
      </c>
      <c r="H36" s="4">
        <v>0</v>
      </c>
      <c r="I36" s="4">
        <v>0</v>
      </c>
      <c r="J36" s="4">
        <v>0</v>
      </c>
      <c r="K36" s="2">
        <v>0</v>
      </c>
      <c r="L36" s="2">
        <v>0</v>
      </c>
      <c r="M36" s="2">
        <v>0</v>
      </c>
      <c r="N36" s="53">
        <f t="shared" si="2"/>
        <v>0</v>
      </c>
      <c r="O36" s="14"/>
      <c r="P36" s="24"/>
      <c r="Q36" s="8"/>
      <c r="R36" s="8"/>
      <c r="S36" s="8"/>
      <c r="T36" s="8"/>
      <c r="U36" s="8"/>
      <c r="V36" s="25"/>
      <c r="W36" s="8"/>
      <c r="X36" s="8"/>
      <c r="Y36" s="8"/>
      <c r="Z36" s="29"/>
      <c r="AA36" s="26"/>
      <c r="AB36" s="26"/>
      <c r="AC36" s="26"/>
    </row>
    <row r="37" spans="1:29">
      <c r="A37" s="3" t="s">
        <v>33</v>
      </c>
      <c r="B37" s="21">
        <v>0</v>
      </c>
      <c r="C37" s="5">
        <v>0</v>
      </c>
      <c r="D37" s="4">
        <v>0</v>
      </c>
      <c r="E37" s="2">
        <v>0</v>
      </c>
      <c r="F37" s="2">
        <v>0</v>
      </c>
      <c r="G37" s="2">
        <v>0</v>
      </c>
      <c r="H37" s="4">
        <v>0</v>
      </c>
      <c r="I37" s="4">
        <v>0</v>
      </c>
      <c r="J37" s="4">
        <v>0</v>
      </c>
      <c r="K37" s="2">
        <v>0</v>
      </c>
      <c r="L37" s="2">
        <v>0</v>
      </c>
      <c r="M37" s="2">
        <v>0</v>
      </c>
      <c r="N37" s="53">
        <f t="shared" si="2"/>
        <v>0</v>
      </c>
      <c r="O37" s="14"/>
      <c r="P37" s="24"/>
      <c r="Q37" s="8"/>
      <c r="R37" s="8"/>
      <c r="S37" s="8"/>
      <c r="T37" s="8"/>
      <c r="U37" s="8"/>
      <c r="V37" s="25"/>
      <c r="W37" s="8"/>
      <c r="X37" s="8"/>
      <c r="Y37" s="8"/>
      <c r="Z37" s="29"/>
      <c r="AA37" s="26"/>
      <c r="AB37" s="26"/>
      <c r="AC37" s="26"/>
    </row>
    <row r="38" spans="1:29">
      <c r="A38" s="1" t="s">
        <v>20</v>
      </c>
      <c r="B38" s="21">
        <v>0</v>
      </c>
      <c r="C38" s="5">
        <v>0</v>
      </c>
      <c r="D38" s="4">
        <v>0</v>
      </c>
      <c r="E38" s="2">
        <v>0</v>
      </c>
      <c r="F38" s="2">
        <v>0</v>
      </c>
      <c r="G38" s="2">
        <v>0</v>
      </c>
      <c r="H38" s="4">
        <v>104</v>
      </c>
      <c r="I38" s="4">
        <v>0</v>
      </c>
      <c r="J38" s="4">
        <v>0</v>
      </c>
      <c r="K38" s="2">
        <v>0</v>
      </c>
      <c r="L38" s="2">
        <v>0</v>
      </c>
      <c r="M38" s="2">
        <v>0</v>
      </c>
      <c r="N38" s="53">
        <f t="shared" si="2"/>
        <v>104</v>
      </c>
      <c r="O38" s="14"/>
      <c r="P38" s="7"/>
      <c r="Q38" s="8"/>
      <c r="R38" s="8"/>
      <c r="S38" s="8"/>
      <c r="T38" s="8"/>
      <c r="U38" s="8"/>
      <c r="V38" s="8"/>
      <c r="W38" s="8"/>
      <c r="X38" s="8"/>
      <c r="Y38" s="8"/>
      <c r="Z38" s="28"/>
      <c r="AA38" s="23"/>
      <c r="AB38" s="23"/>
      <c r="AC38" s="23"/>
    </row>
    <row r="39" spans="1:29">
      <c r="A39" s="1" t="s">
        <v>21</v>
      </c>
      <c r="B39" s="21">
        <v>0</v>
      </c>
      <c r="C39" s="5">
        <v>0</v>
      </c>
      <c r="D39" s="4">
        <v>0</v>
      </c>
      <c r="E39" s="2">
        <v>0</v>
      </c>
      <c r="F39" s="2">
        <v>0</v>
      </c>
      <c r="G39" s="2">
        <v>0</v>
      </c>
      <c r="H39" s="4">
        <v>0</v>
      </c>
      <c r="I39" s="4">
        <v>0</v>
      </c>
      <c r="J39" s="4">
        <v>0</v>
      </c>
      <c r="K39" s="2">
        <v>0</v>
      </c>
      <c r="L39" s="2">
        <v>0</v>
      </c>
      <c r="M39" s="2">
        <v>0</v>
      </c>
      <c r="N39" s="53">
        <f t="shared" si="2"/>
        <v>0</v>
      </c>
      <c r="O39" s="7"/>
      <c r="P39" s="7"/>
      <c r="Q39" s="8"/>
      <c r="R39" s="8"/>
      <c r="S39" s="8"/>
      <c r="T39" s="8"/>
      <c r="U39" s="8"/>
      <c r="V39" s="7"/>
      <c r="W39" s="8"/>
      <c r="X39" s="8"/>
      <c r="Y39" s="8"/>
      <c r="Z39" s="30"/>
      <c r="AA39" s="7"/>
      <c r="AB39" s="7"/>
      <c r="AC39" s="7"/>
    </row>
    <row r="40" spans="1:29">
      <c r="A40" s="1" t="s">
        <v>22</v>
      </c>
      <c r="B40" s="21">
        <v>0</v>
      </c>
      <c r="C40" s="5">
        <v>0</v>
      </c>
      <c r="D40" s="4">
        <v>0</v>
      </c>
      <c r="E40" s="2">
        <v>0</v>
      </c>
      <c r="F40" s="2">
        <v>0</v>
      </c>
      <c r="G40" s="2">
        <v>0</v>
      </c>
      <c r="H40" s="4">
        <v>0</v>
      </c>
      <c r="I40" s="4">
        <v>0</v>
      </c>
      <c r="J40" s="4">
        <v>0</v>
      </c>
      <c r="K40" s="2">
        <v>0</v>
      </c>
      <c r="L40" s="2">
        <v>0</v>
      </c>
      <c r="M40" s="2">
        <v>0</v>
      </c>
      <c r="N40" s="53">
        <f t="shared" si="2"/>
        <v>0</v>
      </c>
      <c r="O40" s="7"/>
      <c r="P40" s="7"/>
      <c r="Q40" s="8"/>
      <c r="R40" s="8"/>
      <c r="S40" s="8"/>
      <c r="T40" s="8"/>
      <c r="U40" s="8"/>
      <c r="V40" s="7"/>
      <c r="W40" s="8"/>
      <c r="X40" s="8"/>
      <c r="Y40" s="8"/>
      <c r="Z40" s="30"/>
      <c r="AA40" s="7"/>
      <c r="AB40" s="7"/>
      <c r="AC40" s="7"/>
    </row>
    <row r="41" spans="1:29">
      <c r="A41" s="1" t="s">
        <v>37</v>
      </c>
      <c r="B41" s="21">
        <v>0</v>
      </c>
      <c r="C41" s="5">
        <v>0</v>
      </c>
      <c r="D41" s="4">
        <v>0</v>
      </c>
      <c r="E41" s="4">
        <v>52.5</v>
      </c>
      <c r="F41" s="2">
        <v>0</v>
      </c>
      <c r="G41" s="2">
        <v>0</v>
      </c>
      <c r="H41" s="4">
        <v>0</v>
      </c>
      <c r="I41" s="4">
        <v>0</v>
      </c>
      <c r="J41" s="4">
        <v>0</v>
      </c>
      <c r="K41" s="2">
        <v>0</v>
      </c>
      <c r="L41" s="2">
        <v>0</v>
      </c>
      <c r="M41" s="2">
        <v>0</v>
      </c>
      <c r="N41" s="53">
        <f t="shared" si="2"/>
        <v>52.5</v>
      </c>
      <c r="O41" s="7"/>
      <c r="P41" s="7"/>
      <c r="Q41" s="8"/>
      <c r="R41" s="8"/>
      <c r="S41" s="8"/>
      <c r="T41" s="8"/>
      <c r="U41" s="8"/>
      <c r="V41" s="7"/>
      <c r="W41" s="8"/>
      <c r="X41" s="8"/>
      <c r="Y41" s="8"/>
      <c r="Z41" s="30"/>
      <c r="AA41" s="7"/>
      <c r="AB41" s="7"/>
      <c r="AC41" s="7"/>
    </row>
    <row r="42" spans="1:29">
      <c r="A42" s="1" t="s">
        <v>40</v>
      </c>
      <c r="B42" s="21">
        <f>SUM(B31:B41)</f>
        <v>0</v>
      </c>
      <c r="C42" s="21">
        <f t="shared" ref="C42:M42" si="3">SUM(C31:C41)</f>
        <v>0</v>
      </c>
      <c r="D42" s="21">
        <f t="shared" si="3"/>
        <v>1026</v>
      </c>
      <c r="E42" s="21">
        <f t="shared" si="3"/>
        <v>52.5</v>
      </c>
      <c r="F42" s="21">
        <f t="shared" si="3"/>
        <v>0</v>
      </c>
      <c r="G42" s="21">
        <f t="shared" si="3"/>
        <v>0</v>
      </c>
      <c r="H42" s="21">
        <f t="shared" si="3"/>
        <v>604</v>
      </c>
      <c r="I42" s="21">
        <f t="shared" si="3"/>
        <v>19975</v>
      </c>
      <c r="J42" s="21">
        <f t="shared" si="3"/>
        <v>500</v>
      </c>
      <c r="K42" s="21">
        <f t="shared" si="3"/>
        <v>0</v>
      </c>
      <c r="L42" s="21">
        <f t="shared" si="3"/>
        <v>105</v>
      </c>
      <c r="M42" s="21">
        <f t="shared" si="3"/>
        <v>0</v>
      </c>
      <c r="N42" s="53">
        <f t="shared" si="2"/>
        <v>22262.5</v>
      </c>
      <c r="O42" s="7"/>
      <c r="P42" s="7"/>
      <c r="Q42" s="8"/>
      <c r="R42" s="8"/>
      <c r="S42" s="8"/>
      <c r="T42" s="8"/>
      <c r="U42" s="8"/>
      <c r="V42" s="7"/>
      <c r="W42" s="8"/>
      <c r="X42" s="8"/>
      <c r="Y42" s="8"/>
      <c r="Z42" s="30"/>
      <c r="AA42" s="7"/>
      <c r="AB42" s="7"/>
      <c r="AC42" s="7"/>
    </row>
    <row r="43" spans="1:29">
      <c r="A43" s="7"/>
      <c r="B43" s="5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6" spans="1:29">
      <c r="C46" s="7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7"/>
    </row>
    <row r="47" spans="1:29">
      <c r="A47" s="31"/>
      <c r="B47" s="32"/>
      <c r="C47" s="33"/>
      <c r="D47" s="33"/>
      <c r="E47" s="22" t="s">
        <v>27</v>
      </c>
      <c r="F47" s="22"/>
      <c r="G47" s="11"/>
      <c r="H47" s="11"/>
      <c r="I47" s="11"/>
      <c r="J47" s="11"/>
      <c r="K47" s="11"/>
      <c r="L47" s="11"/>
      <c r="M47" s="12"/>
      <c r="N47" s="1"/>
      <c r="O47" s="7"/>
    </row>
    <row r="48" spans="1:29">
      <c r="A48" s="38"/>
      <c r="B48" s="41"/>
      <c r="C48" s="42"/>
      <c r="D48" s="40"/>
      <c r="E48" s="34" t="s">
        <v>28</v>
      </c>
      <c r="F48" s="35"/>
      <c r="G48" s="35"/>
      <c r="H48" s="35"/>
      <c r="I48" s="35"/>
      <c r="J48" s="35"/>
      <c r="K48" s="35"/>
      <c r="L48" s="35"/>
      <c r="M48" s="36"/>
      <c r="N48" s="1"/>
      <c r="O48" s="7"/>
    </row>
    <row r="49" spans="1:29">
      <c r="A49" s="39"/>
      <c r="B49" s="43"/>
      <c r="C49" s="43" t="s">
        <v>48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  <c r="O49" s="7"/>
    </row>
    <row r="50" spans="1:29">
      <c r="A50" s="1"/>
      <c r="B50" s="44" t="s">
        <v>0</v>
      </c>
      <c r="C50" s="44" t="s">
        <v>1</v>
      </c>
      <c r="D50" s="44" t="s">
        <v>2</v>
      </c>
      <c r="E50" s="44" t="s">
        <v>3</v>
      </c>
      <c r="F50" s="44" t="s">
        <v>4</v>
      </c>
      <c r="G50" s="44" t="s">
        <v>5</v>
      </c>
      <c r="H50" s="44" t="s">
        <v>6</v>
      </c>
      <c r="I50" s="44" t="s">
        <v>7</v>
      </c>
      <c r="J50" s="44" t="s">
        <v>8</v>
      </c>
      <c r="K50" s="44" t="s">
        <v>9</v>
      </c>
      <c r="L50" s="44" t="s">
        <v>10</v>
      </c>
      <c r="M50" s="44" t="s">
        <v>11</v>
      </c>
      <c r="N50" s="44" t="s">
        <v>12</v>
      </c>
      <c r="O50" s="9"/>
      <c r="Q50" s="7"/>
      <c r="S50" s="7"/>
      <c r="T50" s="37"/>
      <c r="U50" s="37"/>
      <c r="V50" s="37"/>
      <c r="W50" s="37"/>
      <c r="X50" s="37"/>
      <c r="Y50" s="37"/>
      <c r="Z50" s="37"/>
      <c r="AA50" s="37"/>
      <c r="AB50" s="37"/>
      <c r="AC50" s="7"/>
    </row>
    <row r="51" spans="1:29">
      <c r="A51" s="1" t="s">
        <v>13</v>
      </c>
      <c r="B51" s="16">
        <v>660</v>
      </c>
      <c r="C51" s="16">
        <f>20977.416</f>
        <v>20977.416000000001</v>
      </c>
      <c r="D51" s="16">
        <f>13820</f>
        <v>13820</v>
      </c>
      <c r="E51" s="16">
        <v>5040</v>
      </c>
      <c r="F51" s="16">
        <f>8850</f>
        <v>8850</v>
      </c>
      <c r="G51" s="16">
        <f>26070</f>
        <v>26070</v>
      </c>
      <c r="H51" s="16">
        <v>20025</v>
      </c>
      <c r="I51" s="16">
        <f>I5-I31</f>
        <v>19818</v>
      </c>
      <c r="J51" s="16">
        <v>10723</v>
      </c>
      <c r="K51" s="50">
        <v>22367</v>
      </c>
      <c r="L51" s="16">
        <f>1752</f>
        <v>1752</v>
      </c>
      <c r="M51" s="4">
        <v>28483.5</v>
      </c>
      <c r="N51" s="6">
        <f>SUM(B51:M51)</f>
        <v>178585.916</v>
      </c>
      <c r="O51" s="9"/>
      <c r="S51" s="7"/>
      <c r="U51" s="7"/>
      <c r="W51" s="7"/>
      <c r="X51" s="7"/>
      <c r="Y51" s="7"/>
      <c r="Z51" s="7"/>
      <c r="AA51" s="7"/>
    </row>
    <row r="52" spans="1:29">
      <c r="A52" s="1" t="s">
        <v>14</v>
      </c>
      <c r="B52" s="16">
        <v>4984.125</v>
      </c>
      <c r="C52" s="16">
        <f>6916.5+1563.5</f>
        <v>8480</v>
      </c>
      <c r="D52" s="16">
        <f>1760.5</f>
        <v>1760.5</v>
      </c>
      <c r="E52" s="16">
        <v>2517.5</v>
      </c>
      <c r="F52" s="16">
        <v>6459.27</v>
      </c>
      <c r="G52" s="16">
        <v>5378.53</v>
      </c>
      <c r="H52" s="18">
        <v>9577.98</v>
      </c>
      <c r="I52" s="16">
        <v>14185.7</v>
      </c>
      <c r="J52" s="16">
        <v>7558.94</v>
      </c>
      <c r="K52" s="50">
        <v>5986</v>
      </c>
      <c r="L52" s="16">
        <f>L6-L32</f>
        <v>6281.5</v>
      </c>
      <c r="M52" s="1">
        <v>11921.59</v>
      </c>
      <c r="N52" s="6">
        <f t="shared" ref="N52:N71" si="4">SUM(B52:M52)</f>
        <v>85091.634999999995</v>
      </c>
      <c r="O52" s="9"/>
    </row>
    <row r="53" spans="1:29">
      <c r="A53" s="1" t="s">
        <v>15</v>
      </c>
      <c r="B53" s="16">
        <v>4320</v>
      </c>
      <c r="C53" s="16">
        <v>1058.5</v>
      </c>
      <c r="D53" s="16">
        <f>1998</f>
        <v>1998</v>
      </c>
      <c r="E53" s="16">
        <v>0</v>
      </c>
      <c r="F53" s="16">
        <v>0</v>
      </c>
      <c r="G53" s="16">
        <v>3548.75</v>
      </c>
      <c r="H53" s="16">
        <f>2484+990</f>
        <v>3474</v>
      </c>
      <c r="I53" s="16">
        <v>520</v>
      </c>
      <c r="J53" s="16">
        <v>520</v>
      </c>
      <c r="K53" s="50">
        <v>0</v>
      </c>
      <c r="L53" s="16">
        <f>1989</f>
        <v>1989</v>
      </c>
      <c r="M53" s="1">
        <f>9714.2+972</f>
        <v>10686.2</v>
      </c>
      <c r="N53" s="6">
        <f t="shared" si="4"/>
        <v>28114.45</v>
      </c>
      <c r="O53" s="9"/>
    </row>
    <row r="54" spans="1:29">
      <c r="A54" s="1" t="s">
        <v>17</v>
      </c>
      <c r="B54" s="16">
        <v>5527.42</v>
      </c>
      <c r="C54" s="16">
        <v>1230</v>
      </c>
      <c r="D54" s="16">
        <v>4239</v>
      </c>
      <c r="E54" s="16">
        <v>1489.5</v>
      </c>
      <c r="F54" s="16">
        <v>1934</v>
      </c>
      <c r="G54" s="16">
        <v>9383.82</v>
      </c>
      <c r="H54" s="4">
        <f>H8-H34</f>
        <v>3307.5</v>
      </c>
      <c r="I54" s="16">
        <f>I8-I34</f>
        <v>3311</v>
      </c>
      <c r="J54" s="16">
        <f>J8-J34</f>
        <v>5272</v>
      </c>
      <c r="K54" s="50">
        <v>8147.42</v>
      </c>
      <c r="L54" s="16">
        <f>2104.18+3750.96</f>
        <v>5855.1399999999994</v>
      </c>
      <c r="M54" s="1">
        <f>12128.13+996.59</f>
        <v>13124.72</v>
      </c>
      <c r="N54" s="6">
        <f t="shared" si="4"/>
        <v>62821.52</v>
      </c>
      <c r="O54" s="9"/>
    </row>
    <row r="55" spans="1:29">
      <c r="A55" s="1" t="s">
        <v>18</v>
      </c>
      <c r="B55" s="16">
        <v>555.79999999999995</v>
      </c>
      <c r="C55" s="16">
        <v>838.17399999999998</v>
      </c>
      <c r="D55" s="16">
        <f>1925.36</f>
        <v>1925.36</v>
      </c>
      <c r="E55" s="16">
        <v>0</v>
      </c>
      <c r="F55" s="16">
        <v>1538.22</v>
      </c>
      <c r="G55" s="16">
        <v>654.20000000000005</v>
      </c>
      <c r="H55" s="16">
        <v>0</v>
      </c>
      <c r="I55" s="16">
        <v>1354</v>
      </c>
      <c r="J55" s="16">
        <v>2476.96</v>
      </c>
      <c r="K55" s="50">
        <v>664.59</v>
      </c>
      <c r="L55" s="16">
        <f>100+708.08</f>
        <v>808.08</v>
      </c>
      <c r="M55" s="4">
        <f>2623.59+260</f>
        <v>2883.59</v>
      </c>
      <c r="N55" s="6">
        <f t="shared" si="4"/>
        <v>13698.974</v>
      </c>
      <c r="O55" s="9"/>
    </row>
    <row r="56" spans="1:29">
      <c r="A56" s="1" t="s">
        <v>19</v>
      </c>
      <c r="B56" s="16">
        <v>0</v>
      </c>
      <c r="C56" s="16">
        <v>0</v>
      </c>
      <c r="D56" s="16">
        <v>0</v>
      </c>
      <c r="E56" s="16">
        <v>0</v>
      </c>
      <c r="F56" s="16">
        <v>52.25</v>
      </c>
      <c r="G56" s="16">
        <v>0</v>
      </c>
      <c r="H56" s="16">
        <v>71</v>
      </c>
      <c r="I56" s="16">
        <v>0</v>
      </c>
      <c r="J56" s="16">
        <v>52</v>
      </c>
      <c r="K56" s="50">
        <v>100</v>
      </c>
      <c r="L56" s="16">
        <f>25</f>
        <v>25</v>
      </c>
      <c r="M56" s="1">
        <v>0</v>
      </c>
      <c r="N56" s="6">
        <f t="shared" si="4"/>
        <v>300.25</v>
      </c>
      <c r="O56" s="9"/>
    </row>
    <row r="57" spans="1:29">
      <c r="A57" s="1" t="s">
        <v>20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790</v>
      </c>
      <c r="H57" s="16">
        <v>386</v>
      </c>
      <c r="I57" s="16">
        <v>0</v>
      </c>
      <c r="J57" s="16">
        <v>0</v>
      </c>
      <c r="K57" s="50">
        <v>486</v>
      </c>
      <c r="L57" s="16">
        <v>0</v>
      </c>
      <c r="M57" s="1">
        <v>1030.56</v>
      </c>
      <c r="N57" s="6">
        <f t="shared" si="4"/>
        <v>2692.56</v>
      </c>
      <c r="O57" s="9"/>
    </row>
    <row r="58" spans="1:29">
      <c r="A58" s="1" t="s">
        <v>21</v>
      </c>
      <c r="B58" s="16">
        <v>50</v>
      </c>
      <c r="C58" s="16">
        <v>0</v>
      </c>
      <c r="D58" s="16">
        <f>50</f>
        <v>50</v>
      </c>
      <c r="E58" s="16">
        <f>54</f>
        <v>54</v>
      </c>
      <c r="F58" s="16">
        <v>0</v>
      </c>
      <c r="G58" s="16">
        <v>0</v>
      </c>
      <c r="H58" s="16">
        <v>400</v>
      </c>
      <c r="I58" s="16">
        <v>104</v>
      </c>
      <c r="J58" s="16">
        <v>77</v>
      </c>
      <c r="K58" s="50">
        <v>27</v>
      </c>
      <c r="L58" s="16">
        <f>77</f>
        <v>77</v>
      </c>
      <c r="M58" s="1">
        <v>20</v>
      </c>
      <c r="N58" s="6">
        <f t="shared" si="4"/>
        <v>859</v>
      </c>
      <c r="O58" s="9"/>
    </row>
    <row r="59" spans="1:29">
      <c r="A59" s="1" t="s">
        <v>22</v>
      </c>
      <c r="B59" s="50">
        <v>0</v>
      </c>
      <c r="C59" s="50">
        <v>0</v>
      </c>
      <c r="D59" s="50">
        <f>52.4</f>
        <v>52.4</v>
      </c>
      <c r="E59" s="50"/>
      <c r="F59" s="50">
        <v>28</v>
      </c>
      <c r="G59" s="50">
        <v>0</v>
      </c>
      <c r="H59" s="16">
        <v>27</v>
      </c>
      <c r="I59" s="50">
        <v>112</v>
      </c>
      <c r="J59" s="50">
        <v>78.75</v>
      </c>
      <c r="K59" s="50">
        <v>56</v>
      </c>
      <c r="L59" s="50">
        <v>0</v>
      </c>
      <c r="M59" s="1">
        <v>28</v>
      </c>
      <c r="N59" s="6">
        <f t="shared" si="4"/>
        <v>382.15</v>
      </c>
      <c r="O59" s="9"/>
    </row>
    <row r="60" spans="1:29">
      <c r="A60" s="1" t="s">
        <v>23</v>
      </c>
      <c r="B60" s="16">
        <v>0</v>
      </c>
      <c r="C60" s="16">
        <v>0</v>
      </c>
      <c r="D60" s="16">
        <v>0</v>
      </c>
      <c r="E60" s="16">
        <v>112.01</v>
      </c>
      <c r="F60" s="16">
        <v>0</v>
      </c>
      <c r="G60" s="16">
        <v>52.49</v>
      </c>
      <c r="H60" s="50">
        <v>56</v>
      </c>
      <c r="I60" s="16">
        <v>52.49</v>
      </c>
      <c r="J60" s="16">
        <v>0</v>
      </c>
      <c r="K60" s="50">
        <v>0</v>
      </c>
      <c r="L60" s="16">
        <v>0</v>
      </c>
      <c r="M60" s="1"/>
      <c r="N60" s="6">
        <f t="shared" si="4"/>
        <v>272.99</v>
      </c>
      <c r="O60" s="9"/>
    </row>
    <row r="61" spans="1:29">
      <c r="A61" s="1" t="s">
        <v>31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80.989999999999995</v>
      </c>
      <c r="I61" s="16">
        <v>0</v>
      </c>
      <c r="J61" s="16">
        <v>0</v>
      </c>
      <c r="K61" s="50">
        <v>0</v>
      </c>
      <c r="L61" s="16">
        <v>0</v>
      </c>
      <c r="M61" s="1"/>
      <c r="N61" s="6">
        <f t="shared" si="4"/>
        <v>80.989999999999995</v>
      </c>
      <c r="O61" s="9"/>
    </row>
    <row r="62" spans="1:29">
      <c r="A62" s="1" t="s">
        <v>32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50">
        <v>0</v>
      </c>
      <c r="L62" s="16">
        <v>0</v>
      </c>
      <c r="M62" s="1"/>
      <c r="N62" s="6">
        <f t="shared" si="4"/>
        <v>0</v>
      </c>
      <c r="O62" s="9"/>
    </row>
    <row r="63" spans="1:29">
      <c r="A63" s="1" t="s">
        <v>33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50">
        <v>0</v>
      </c>
      <c r="L63" s="16">
        <v>0</v>
      </c>
      <c r="M63" s="1"/>
      <c r="N63" s="6">
        <f t="shared" si="4"/>
        <v>0</v>
      </c>
      <c r="O63" s="9"/>
    </row>
    <row r="64" spans="1:29">
      <c r="A64" s="1" t="s">
        <v>38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"/>
      <c r="N64" s="6">
        <f t="shared" si="4"/>
        <v>0</v>
      </c>
      <c r="O64" s="9"/>
    </row>
    <row r="65" spans="1:15">
      <c r="A65" s="1" t="s">
        <v>16</v>
      </c>
      <c r="B65" s="16">
        <v>302.5</v>
      </c>
      <c r="C65" s="16">
        <v>192.3</v>
      </c>
      <c r="D65" s="16">
        <f>200</f>
        <v>200</v>
      </c>
      <c r="E65" s="16">
        <v>0</v>
      </c>
      <c r="F65" s="16">
        <v>102.95</v>
      </c>
      <c r="G65" s="16">
        <v>0</v>
      </c>
      <c r="H65" s="16">
        <v>0</v>
      </c>
      <c r="I65" s="16">
        <v>357.5</v>
      </c>
      <c r="J65" s="16">
        <v>210</v>
      </c>
      <c r="K65" s="16">
        <v>0</v>
      </c>
      <c r="L65" s="16">
        <f>1736</f>
        <v>1736</v>
      </c>
      <c r="M65" s="1">
        <f>1316+522.5</f>
        <v>1838.5</v>
      </c>
      <c r="N65" s="6">
        <f t="shared" si="4"/>
        <v>4939.75</v>
      </c>
      <c r="O65" s="9"/>
    </row>
    <row r="66" spans="1:15">
      <c r="A66" s="1" t="s">
        <v>43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504</v>
      </c>
      <c r="I66" s="16">
        <v>0</v>
      </c>
      <c r="J66" s="16">
        <v>0</v>
      </c>
      <c r="K66" s="16">
        <v>0</v>
      </c>
      <c r="L66" s="16">
        <v>0</v>
      </c>
      <c r="M66" s="1"/>
      <c r="N66" s="6">
        <f t="shared" si="4"/>
        <v>504</v>
      </c>
      <c r="O66" s="9"/>
    </row>
    <row r="67" spans="1:15">
      <c r="A67" s="1" t="s">
        <v>30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"/>
      <c r="N67" s="6">
        <f t="shared" si="4"/>
        <v>0</v>
      </c>
      <c r="O67" s="9"/>
    </row>
    <row r="68" spans="1:15">
      <c r="A68" s="1" t="s">
        <v>29</v>
      </c>
      <c r="B68" s="16">
        <v>0</v>
      </c>
      <c r="C68" s="16">
        <v>4</v>
      </c>
      <c r="D68" s="16">
        <v>0</v>
      </c>
      <c r="E68" s="19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1.04</v>
      </c>
      <c r="K68" s="16">
        <v>0</v>
      </c>
      <c r="L68" s="16">
        <f>2</f>
        <v>2</v>
      </c>
      <c r="M68" s="1"/>
      <c r="N68" s="6">
        <f t="shared" si="4"/>
        <v>7.04</v>
      </c>
      <c r="O68" s="9"/>
    </row>
    <row r="69" spans="1:15">
      <c r="A69" s="1" t="s">
        <v>24</v>
      </c>
      <c r="B69" s="50">
        <f>16000+6000+6000</f>
        <v>28000</v>
      </c>
      <c r="C69" s="50">
        <v>10000</v>
      </c>
      <c r="D69" s="50">
        <f>30550</f>
        <v>30550</v>
      </c>
      <c r="E69" s="50">
        <f>7888</f>
        <v>7888</v>
      </c>
      <c r="F69" s="50">
        <v>17776</v>
      </c>
      <c r="G69" s="50">
        <f>1600+11200</f>
        <v>12800</v>
      </c>
      <c r="H69" s="16">
        <v>0</v>
      </c>
      <c r="I69" s="50">
        <v>11450</v>
      </c>
      <c r="J69" s="50">
        <v>23918</v>
      </c>
      <c r="K69" s="16">
        <v>21565.200000000001</v>
      </c>
      <c r="L69" s="16">
        <f>36886</f>
        <v>36886</v>
      </c>
      <c r="M69" s="1">
        <v>16000</v>
      </c>
      <c r="N69" s="6">
        <f t="shared" si="4"/>
        <v>216833.2</v>
      </c>
      <c r="O69" s="9"/>
    </row>
    <row r="70" spans="1:15">
      <c r="A70" s="1" t="s">
        <v>25</v>
      </c>
      <c r="B70" s="16">
        <v>216.4</v>
      </c>
      <c r="C70" s="16">
        <f>1292</f>
        <v>1292</v>
      </c>
      <c r="D70" s="16">
        <v>1453.84</v>
      </c>
      <c r="E70" s="16">
        <f>1080.48</f>
        <v>1080.48</v>
      </c>
      <c r="F70" s="16">
        <v>1231.71</v>
      </c>
      <c r="G70" s="16">
        <f>58+468.81+353+12</f>
        <v>891.81</v>
      </c>
      <c r="H70" s="50">
        <v>42000</v>
      </c>
      <c r="I70" s="16">
        <v>1341.84</v>
      </c>
      <c r="J70" s="16">
        <v>258.17399999999998</v>
      </c>
      <c r="K70" s="16">
        <v>1476.77</v>
      </c>
      <c r="L70" s="16">
        <f>1416.928</f>
        <v>1416.9280000000001</v>
      </c>
      <c r="M70" s="1">
        <f>674.14</f>
        <v>674.14</v>
      </c>
      <c r="N70" s="6">
        <f t="shared" si="4"/>
        <v>53334.09199999999</v>
      </c>
      <c r="O70" s="9"/>
    </row>
    <row r="71" spans="1:15">
      <c r="A71" s="1" t="s">
        <v>12</v>
      </c>
      <c r="B71" s="16">
        <f>SUM(B51:B70)</f>
        <v>44616.245000000003</v>
      </c>
      <c r="C71" s="16">
        <f>SUM(C51:C70)</f>
        <v>44072.39</v>
      </c>
      <c r="D71" s="16">
        <f>SUM(D51:D70)</f>
        <v>56049.1</v>
      </c>
      <c r="E71" s="16">
        <f>SUM(E51:E70)</f>
        <v>18181.490000000002</v>
      </c>
      <c r="F71" s="16">
        <f>SUM(F51:F70)</f>
        <v>37972.400000000001</v>
      </c>
      <c r="G71" s="16">
        <f t="shared" ref="G71:M71" si="5">SUM(G51:G70)</f>
        <v>59569.599999999991</v>
      </c>
      <c r="H71" s="16">
        <f t="shared" si="5"/>
        <v>79909.47</v>
      </c>
      <c r="I71" s="16">
        <f t="shared" si="5"/>
        <v>52606.529999999992</v>
      </c>
      <c r="J71" s="16">
        <f t="shared" si="5"/>
        <v>51145.864000000001</v>
      </c>
      <c r="K71" s="16">
        <f t="shared" si="5"/>
        <v>60875.979999999989</v>
      </c>
      <c r="L71" s="16">
        <f t="shared" si="5"/>
        <v>56828.648000000001</v>
      </c>
      <c r="M71" s="16">
        <f t="shared" si="5"/>
        <v>86690.799999999988</v>
      </c>
      <c r="N71" s="6">
        <f t="shared" si="4"/>
        <v>648518.51699999999</v>
      </c>
      <c r="O71" s="9"/>
    </row>
    <row r="73" spans="1:15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5"/>
    </row>
    <row r="74" spans="1:15">
      <c r="A74" s="45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5"/>
    </row>
    <row r="75" spans="1:1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5"/>
    </row>
    <row r="76" spans="1: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</row>
    <row r="77" spans="1:15">
      <c r="A77" s="45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20"/>
    </row>
    <row r="78" spans="1:15">
      <c r="A78" s="45"/>
      <c r="B78" s="47"/>
      <c r="C78" s="47"/>
      <c r="D78" s="47"/>
      <c r="E78" s="47"/>
      <c r="F78" s="47"/>
      <c r="G78" s="47"/>
      <c r="H78" s="48"/>
      <c r="I78" s="47"/>
      <c r="J78" s="47"/>
      <c r="K78" s="47"/>
      <c r="L78" s="47"/>
      <c r="M78" s="47"/>
      <c r="N78" s="20"/>
    </row>
    <row r="79" spans="1:15">
      <c r="A79" s="45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20"/>
    </row>
    <row r="80" spans="1:15">
      <c r="A80" s="45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20"/>
    </row>
    <row r="81" spans="1:14">
      <c r="A81" s="45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20"/>
    </row>
    <row r="82" spans="1:14">
      <c r="A82" s="45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20"/>
    </row>
    <row r="83" spans="1:14">
      <c r="A83" s="45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20"/>
    </row>
    <row r="84" spans="1:14">
      <c r="A84" s="4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20"/>
    </row>
    <row r="85" spans="1:14">
      <c r="A85" s="45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20"/>
    </row>
    <row r="86" spans="1:14">
      <c r="A86" s="45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20"/>
    </row>
    <row r="87" spans="1:14">
      <c r="A87" s="45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20"/>
    </row>
    <row r="88" spans="1:14">
      <c r="A88" s="45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20"/>
    </row>
    <row r="89" spans="1:14">
      <c r="A89" s="45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20"/>
    </row>
    <row r="90" spans="1:14">
      <c r="A90" s="45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20"/>
    </row>
    <row r="91" spans="1:14">
      <c r="A91" s="45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20"/>
    </row>
    <row r="92" spans="1:14">
      <c r="A92" s="45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20"/>
    </row>
    <row r="93" spans="1:14">
      <c r="A93" s="45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20"/>
    </row>
    <row r="94" spans="1:14">
      <c r="A94" s="45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20"/>
    </row>
    <row r="95" spans="1:14">
      <c r="A95" s="45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20"/>
    </row>
    <row r="96" spans="1:14">
      <c r="A96" s="45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20"/>
    </row>
    <row r="97" spans="1:14">
      <c r="A97" s="45"/>
      <c r="B97" s="47"/>
      <c r="C97" s="47"/>
      <c r="D97" s="47"/>
      <c r="E97" s="47"/>
      <c r="F97" s="45"/>
      <c r="G97" s="45"/>
      <c r="H97" s="45"/>
      <c r="I97" s="45"/>
      <c r="J97" s="47"/>
      <c r="K97" s="47"/>
      <c r="L97" s="47"/>
      <c r="M97" s="47"/>
      <c r="N97" s="20"/>
    </row>
    <row r="98" spans="1: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</sheetData>
  <mergeCells count="8">
    <mergeCell ref="D46:N46"/>
    <mergeCell ref="B1:M1"/>
    <mergeCell ref="B2:M2"/>
    <mergeCell ref="B3:M3"/>
    <mergeCell ref="Q28:AC28"/>
    <mergeCell ref="Q29:AC29"/>
    <mergeCell ref="B28:N28"/>
    <mergeCell ref="B29:N29"/>
  </mergeCells>
  <pageMargins left="0.19" right="0.16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27"/>
  <sheetViews>
    <sheetView topLeftCell="A3" workbookViewId="0">
      <selection activeCell="S19" sqref="S19"/>
    </sheetView>
  </sheetViews>
  <sheetFormatPr defaultRowHeight="14.4"/>
  <cols>
    <col min="3" max="3" width="14.5546875" customWidth="1"/>
    <col min="4" max="4" width="10.109375" customWidth="1"/>
    <col min="5" max="5" width="11.33203125" customWidth="1"/>
    <col min="6" max="6" width="14.109375" customWidth="1"/>
    <col min="15" max="15" width="14.44140625" customWidth="1"/>
  </cols>
  <sheetData>
    <row r="3" spans="2:15">
      <c r="B3" s="15"/>
      <c r="C3" s="56" t="s">
        <v>27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  <c r="O3" s="44"/>
    </row>
    <row r="4" spans="2:15">
      <c r="B4" s="15"/>
      <c r="C4" s="56" t="s">
        <v>28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  <c r="O4" s="44"/>
    </row>
    <row r="5" spans="2:15">
      <c r="B5" s="15"/>
      <c r="C5" s="56" t="s">
        <v>41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  <c r="O5" s="44"/>
    </row>
    <row r="6" spans="2:15">
      <c r="B6" s="15"/>
      <c r="C6" s="44" t="s">
        <v>0</v>
      </c>
      <c r="D6" s="44" t="s">
        <v>1</v>
      </c>
      <c r="E6" s="44" t="s">
        <v>2</v>
      </c>
      <c r="F6" s="44" t="s">
        <v>3</v>
      </c>
      <c r="G6" s="44" t="s">
        <v>4</v>
      </c>
      <c r="H6" s="44" t="s">
        <v>5</v>
      </c>
      <c r="I6" s="44" t="s">
        <v>6</v>
      </c>
      <c r="J6" s="44" t="s">
        <v>7</v>
      </c>
      <c r="K6" s="44" t="s">
        <v>8</v>
      </c>
      <c r="L6" s="44" t="s">
        <v>9</v>
      </c>
      <c r="M6" s="44" t="s">
        <v>10</v>
      </c>
      <c r="N6" s="44" t="s">
        <v>11</v>
      </c>
      <c r="O6" s="44" t="s">
        <v>12</v>
      </c>
    </row>
    <row r="7" spans="2:15">
      <c r="B7" s="15" t="s">
        <v>13</v>
      </c>
      <c r="C7" s="16">
        <f>8010</f>
        <v>8010</v>
      </c>
      <c r="D7" s="16">
        <f>35478.55</f>
        <v>35478.550000000003</v>
      </c>
      <c r="E7" s="16">
        <v>23124.2</v>
      </c>
      <c r="F7" s="16"/>
      <c r="G7" s="16"/>
      <c r="H7" s="16"/>
      <c r="I7" s="16"/>
      <c r="J7" s="16"/>
      <c r="K7" s="16"/>
      <c r="L7" s="16"/>
      <c r="M7" s="16"/>
      <c r="N7" s="16"/>
      <c r="O7" s="17">
        <f t="shared" ref="O7:O27" si="0">C7+D7+E7+F7+G7+H7+I7+J7+K7+L7+M7+N7</f>
        <v>66612.75</v>
      </c>
    </row>
    <row r="8" spans="2:15">
      <c r="B8" s="15" t="s">
        <v>14</v>
      </c>
      <c r="C8" s="16">
        <v>11908</v>
      </c>
      <c r="D8" s="16">
        <v>22008</v>
      </c>
      <c r="E8" s="16">
        <v>1560</v>
      </c>
      <c r="F8" s="16"/>
      <c r="G8" s="16"/>
      <c r="H8" s="16"/>
      <c r="I8" s="18"/>
      <c r="J8" s="16"/>
      <c r="K8" s="16"/>
      <c r="L8" s="16"/>
      <c r="M8" s="16"/>
      <c r="N8" s="16"/>
      <c r="O8" s="17">
        <f t="shared" si="0"/>
        <v>35476</v>
      </c>
    </row>
    <row r="9" spans="2:15">
      <c r="B9" s="15" t="s">
        <v>15</v>
      </c>
      <c r="C9" s="16">
        <f>3236.45</f>
        <v>3236.45</v>
      </c>
      <c r="D9" s="16">
        <v>1946</v>
      </c>
      <c r="E9" s="16">
        <v>19663.009999999998</v>
      </c>
      <c r="F9" s="16"/>
      <c r="G9" s="16"/>
      <c r="H9" s="16"/>
      <c r="I9" s="16"/>
      <c r="J9" s="16"/>
      <c r="K9" s="16"/>
      <c r="L9" s="16"/>
      <c r="M9" s="16"/>
      <c r="N9" s="16"/>
      <c r="O9" s="17">
        <f t="shared" si="0"/>
        <v>24845.46</v>
      </c>
    </row>
    <row r="10" spans="2:15">
      <c r="B10" s="15" t="s">
        <v>17</v>
      </c>
      <c r="C10" s="16">
        <v>11415</v>
      </c>
      <c r="D10" s="16">
        <v>3507</v>
      </c>
      <c r="E10" s="16">
        <v>6190</v>
      </c>
      <c r="F10" s="16"/>
      <c r="G10" s="16"/>
      <c r="H10" s="16"/>
      <c r="I10" s="16"/>
      <c r="J10" s="16"/>
      <c r="K10" s="16"/>
      <c r="L10" s="16"/>
      <c r="M10" s="16"/>
      <c r="N10" s="16"/>
      <c r="O10" s="17">
        <f t="shared" si="0"/>
        <v>21112</v>
      </c>
    </row>
    <row r="11" spans="2:15">
      <c r="B11" s="15" t="s">
        <v>18</v>
      </c>
      <c r="C11" s="16">
        <v>1904.175</v>
      </c>
      <c r="D11" s="16">
        <v>1400.32</v>
      </c>
      <c r="E11" s="16">
        <v>504.01</v>
      </c>
      <c r="F11" s="16"/>
      <c r="G11" s="16"/>
      <c r="H11" s="16"/>
      <c r="I11" s="16"/>
      <c r="J11" s="16"/>
      <c r="K11" s="16"/>
      <c r="L11" s="16"/>
      <c r="M11" s="16"/>
      <c r="N11" s="16"/>
      <c r="O11" s="17">
        <f t="shared" si="0"/>
        <v>3808.5050000000001</v>
      </c>
    </row>
    <row r="12" spans="2:15">
      <c r="B12" s="15" t="s">
        <v>19</v>
      </c>
      <c r="C12" s="16">
        <v>157.5</v>
      </c>
      <c r="D12" s="16">
        <v>417</v>
      </c>
      <c r="E12" s="16">
        <v>0</v>
      </c>
      <c r="F12" s="16"/>
      <c r="G12" s="16"/>
      <c r="H12" s="16"/>
      <c r="I12" s="16"/>
      <c r="J12" s="16"/>
      <c r="K12" s="16"/>
      <c r="L12" s="16"/>
      <c r="M12" s="16"/>
      <c r="N12" s="16"/>
      <c r="O12" s="17">
        <f t="shared" si="0"/>
        <v>574.5</v>
      </c>
    </row>
    <row r="13" spans="2:15">
      <c r="B13" s="15" t="s">
        <v>20</v>
      </c>
      <c r="C13" s="16">
        <v>250</v>
      </c>
      <c r="D13" s="16">
        <v>1054</v>
      </c>
      <c r="E13" s="16">
        <v>100.8</v>
      </c>
      <c r="F13" s="16"/>
      <c r="G13" s="16"/>
      <c r="H13" s="16"/>
      <c r="I13" s="16"/>
      <c r="J13" s="16"/>
      <c r="K13" s="16"/>
      <c r="L13" s="16"/>
      <c r="M13" s="16"/>
      <c r="N13" s="16"/>
      <c r="O13" s="17">
        <f t="shared" si="0"/>
        <v>1404.8</v>
      </c>
    </row>
    <row r="14" spans="2:15">
      <c r="B14" s="15" t="s">
        <v>21</v>
      </c>
      <c r="C14" s="16">
        <v>26</v>
      </c>
      <c r="D14" s="16">
        <v>0</v>
      </c>
      <c r="E14" s="16"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7">
        <f t="shared" si="0"/>
        <v>26</v>
      </c>
    </row>
    <row r="15" spans="2:15">
      <c r="B15" s="49" t="s">
        <v>42</v>
      </c>
      <c r="C15" s="50">
        <v>0</v>
      </c>
      <c r="D15" s="50">
        <v>0</v>
      </c>
      <c r="E15" s="50">
        <v>107.5</v>
      </c>
      <c r="F15" s="50"/>
      <c r="G15" s="50"/>
      <c r="H15" s="50"/>
      <c r="I15" s="50"/>
      <c r="J15" s="50"/>
      <c r="K15" s="50"/>
      <c r="L15" s="50"/>
      <c r="M15" s="50"/>
      <c r="N15" s="50"/>
      <c r="O15" s="51">
        <f t="shared" si="0"/>
        <v>107.5</v>
      </c>
    </row>
    <row r="16" spans="2:15">
      <c r="B16" s="15" t="s">
        <v>37</v>
      </c>
      <c r="C16" s="16">
        <v>177</v>
      </c>
      <c r="D16" s="16">
        <v>55.996000000000002</v>
      </c>
      <c r="E16" s="16">
        <v>0</v>
      </c>
      <c r="F16" s="16"/>
      <c r="G16" s="16"/>
      <c r="H16" s="16"/>
      <c r="I16" s="16"/>
      <c r="J16" s="16"/>
      <c r="K16" s="16"/>
      <c r="L16" s="16"/>
      <c r="M16" s="16"/>
      <c r="N16" s="16"/>
      <c r="O16" s="17">
        <f t="shared" si="0"/>
        <v>232.99600000000001</v>
      </c>
    </row>
    <row r="17" spans="2:15">
      <c r="B17" s="15" t="s">
        <v>31</v>
      </c>
      <c r="C17" s="16">
        <v>0</v>
      </c>
      <c r="D17" s="16">
        <v>0</v>
      </c>
      <c r="E17" s="16">
        <v>25</v>
      </c>
      <c r="F17" s="16"/>
      <c r="G17" s="16"/>
      <c r="H17" s="16"/>
      <c r="I17" s="16"/>
      <c r="J17" s="16"/>
      <c r="K17" s="16"/>
      <c r="L17" s="16"/>
      <c r="M17" s="16"/>
      <c r="N17" s="16"/>
      <c r="O17" s="17">
        <f t="shared" si="0"/>
        <v>25</v>
      </c>
    </row>
    <row r="18" spans="2:15">
      <c r="B18" s="15" t="s">
        <v>32</v>
      </c>
      <c r="C18" s="16">
        <v>0</v>
      </c>
      <c r="D18" s="16">
        <v>0</v>
      </c>
      <c r="E18" s="16"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7">
        <f t="shared" si="0"/>
        <v>0</v>
      </c>
    </row>
    <row r="19" spans="2:15">
      <c r="B19" s="15" t="s">
        <v>33</v>
      </c>
      <c r="C19" s="16">
        <v>21</v>
      </c>
      <c r="D19" s="16">
        <v>42</v>
      </c>
      <c r="E19" s="16">
        <v>0</v>
      </c>
      <c r="F19" s="16"/>
      <c r="G19" s="16"/>
      <c r="H19" s="16"/>
      <c r="I19" s="16"/>
      <c r="J19" s="16"/>
      <c r="K19" s="16"/>
      <c r="L19" s="16"/>
      <c r="M19" s="16"/>
      <c r="N19" s="16"/>
      <c r="O19" s="17">
        <f t="shared" si="0"/>
        <v>63</v>
      </c>
    </row>
    <row r="20" spans="2:15">
      <c r="B20" s="15" t="s">
        <v>34</v>
      </c>
      <c r="C20" s="16">
        <v>0</v>
      </c>
      <c r="D20" s="16">
        <v>0</v>
      </c>
      <c r="E20" s="16"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7">
        <f t="shared" si="0"/>
        <v>0</v>
      </c>
    </row>
    <row r="21" spans="2:15">
      <c r="B21" s="15" t="s">
        <v>35</v>
      </c>
      <c r="C21" s="16">
        <v>0</v>
      </c>
      <c r="D21" s="16">
        <v>0</v>
      </c>
      <c r="E21" s="16">
        <v>0</v>
      </c>
      <c r="F21" s="16"/>
      <c r="G21" s="16"/>
      <c r="H21" s="16"/>
      <c r="I21" s="16"/>
      <c r="J21" s="16"/>
      <c r="K21" s="16"/>
      <c r="L21" s="16"/>
      <c r="M21" s="16"/>
      <c r="N21" s="16"/>
      <c r="O21" s="17">
        <f t="shared" si="0"/>
        <v>0</v>
      </c>
    </row>
    <row r="22" spans="2:15">
      <c r="B22" s="15" t="s">
        <v>36</v>
      </c>
      <c r="C22" s="16">
        <v>0</v>
      </c>
      <c r="D22" s="16">
        <v>0</v>
      </c>
      <c r="E22" s="16">
        <v>0</v>
      </c>
      <c r="F22" s="16"/>
      <c r="G22" s="16"/>
      <c r="H22" s="16"/>
      <c r="I22" s="16"/>
      <c r="J22" s="16"/>
      <c r="K22" s="16"/>
      <c r="L22" s="16"/>
      <c r="M22" s="16"/>
      <c r="N22" s="16"/>
      <c r="O22" s="17">
        <f t="shared" si="0"/>
        <v>0</v>
      </c>
    </row>
    <row r="23" spans="2:15">
      <c r="B23" s="15" t="s">
        <v>30</v>
      </c>
      <c r="C23" s="16">
        <v>0</v>
      </c>
      <c r="D23" s="16">
        <v>0</v>
      </c>
      <c r="E23" s="16"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7">
        <f t="shared" si="0"/>
        <v>0</v>
      </c>
    </row>
    <row r="24" spans="2:15">
      <c r="B24" s="15" t="s">
        <v>29</v>
      </c>
      <c r="C24" s="16">
        <v>2</v>
      </c>
      <c r="D24" s="16">
        <v>0</v>
      </c>
      <c r="E24" s="16">
        <v>0</v>
      </c>
      <c r="F24" s="19"/>
      <c r="G24" s="16"/>
      <c r="H24" s="16"/>
      <c r="I24" s="16"/>
      <c r="J24" s="16"/>
      <c r="K24" s="16"/>
      <c r="L24" s="16"/>
      <c r="M24" s="16"/>
      <c r="N24" s="16"/>
      <c r="O24" s="17">
        <f t="shared" si="0"/>
        <v>2</v>
      </c>
    </row>
    <row r="25" spans="2:15">
      <c r="B25" s="15" t="s">
        <v>24</v>
      </c>
      <c r="C25" s="16">
        <f>42105</f>
        <v>42105</v>
      </c>
      <c r="D25" s="16">
        <v>18000</v>
      </c>
      <c r="E25" s="16">
        <f>7831</f>
        <v>7831</v>
      </c>
      <c r="F25" s="16"/>
      <c r="G25" s="16"/>
      <c r="H25" s="16"/>
      <c r="I25" s="16"/>
      <c r="J25" s="16"/>
      <c r="K25" s="16"/>
      <c r="L25" s="16"/>
      <c r="M25" s="16"/>
      <c r="N25" s="16"/>
      <c r="O25" s="17">
        <f t="shared" si="0"/>
        <v>67936</v>
      </c>
    </row>
    <row r="26" spans="2:15">
      <c r="B26" s="15" t="s">
        <v>25</v>
      </c>
      <c r="C26" s="16">
        <f>1622.14</f>
        <v>1622.14</v>
      </c>
      <c r="D26" s="16">
        <v>570.25</v>
      </c>
      <c r="E26" s="16">
        <f>451.895</f>
        <v>451.89499999999998</v>
      </c>
      <c r="F26" s="16"/>
      <c r="G26" s="16"/>
      <c r="H26" s="16"/>
      <c r="I26" s="16"/>
      <c r="J26" s="16"/>
      <c r="K26" s="16"/>
      <c r="L26" s="16"/>
      <c r="M26" s="16"/>
      <c r="N26" s="16"/>
      <c r="O26" s="17">
        <f t="shared" si="0"/>
        <v>2644.2850000000003</v>
      </c>
    </row>
    <row r="27" spans="2:15">
      <c r="B27" s="15" t="s">
        <v>12</v>
      </c>
      <c r="C27" s="16">
        <f>C7+C8+C9+C10+C11+C12+C13+C14+C15+C16+C17+C18+C19+C20+C21+C22+C23+C24+C25+C26</f>
        <v>80834.264999999999</v>
      </c>
      <c r="D27" s="16">
        <f>D7+D8+D9+D10+D11+D12+D13+D14+D15+D16+D17+D18+D19+D20+D21+D22+D23+D24+D25+D26</f>
        <v>84479.115999999995</v>
      </c>
      <c r="E27" s="16">
        <f>E7+E8+E9+E10+E11+E12+E13+E14+E15+E16+E17+E18+E19+E20+E21+E22+E23+E24+E25+E26</f>
        <v>59557.415000000001</v>
      </c>
      <c r="F27" s="16"/>
      <c r="G27" s="15"/>
      <c r="H27" s="15"/>
      <c r="I27" s="15"/>
      <c r="J27" s="15"/>
      <c r="K27" s="16"/>
      <c r="L27" s="16"/>
      <c r="M27" s="16"/>
      <c r="N27" s="16"/>
      <c r="O27" s="17">
        <f t="shared" si="0"/>
        <v>224870.796</v>
      </c>
    </row>
  </sheetData>
  <mergeCells count="3">
    <mergeCell ref="C3:N3"/>
    <mergeCell ref="C4:N4"/>
    <mergeCell ref="C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4"/>
  <sheetViews>
    <sheetView workbookViewId="0">
      <selection activeCell="Q19" sqref="Q19"/>
    </sheetView>
  </sheetViews>
  <sheetFormatPr defaultRowHeight="14.4"/>
  <cols>
    <col min="6" max="7" width="7.44140625" customWidth="1"/>
    <col min="8" max="8" width="7.5546875" customWidth="1"/>
    <col min="9" max="9" width="5.88671875" customWidth="1"/>
    <col min="11" max="11" width="7" customWidth="1"/>
    <col min="12" max="12" width="6.33203125" customWidth="1"/>
    <col min="13" max="13" width="7.44140625" customWidth="1"/>
    <col min="14" max="14" width="5.88671875" customWidth="1"/>
    <col min="15" max="15" width="11.44140625" customWidth="1"/>
  </cols>
  <sheetData>
    <row r="2" spans="2:15">
      <c r="B2" s="15"/>
      <c r="C2" s="56" t="s">
        <v>27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44"/>
    </row>
    <row r="3" spans="2:15">
      <c r="B3" s="15"/>
      <c r="C3" s="56" t="s">
        <v>28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  <c r="O3" s="44"/>
    </row>
    <row r="4" spans="2:15">
      <c r="B4" s="15"/>
      <c r="C4" s="56" t="s">
        <v>45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  <c r="O4" s="44"/>
    </row>
    <row r="5" spans="2:15">
      <c r="B5" s="15"/>
      <c r="C5" s="44" t="s">
        <v>0</v>
      </c>
      <c r="D5" s="44" t="s">
        <v>1</v>
      </c>
      <c r="E5" s="44" t="s">
        <v>2</v>
      </c>
      <c r="F5" s="44" t="s">
        <v>3</v>
      </c>
      <c r="G5" s="44" t="s">
        <v>4</v>
      </c>
      <c r="H5" s="44" t="s">
        <v>5</v>
      </c>
      <c r="I5" s="44" t="s">
        <v>6</v>
      </c>
      <c r="J5" s="44" t="s">
        <v>7</v>
      </c>
      <c r="K5" s="44" t="s">
        <v>8</v>
      </c>
      <c r="L5" s="44" t="s">
        <v>9</v>
      </c>
      <c r="M5" s="44" t="s">
        <v>10</v>
      </c>
      <c r="N5" s="44" t="s">
        <v>11</v>
      </c>
      <c r="O5" s="44" t="s">
        <v>12</v>
      </c>
    </row>
    <row r="6" spans="2:15">
      <c r="B6" s="15" t="s">
        <v>13</v>
      </c>
      <c r="C6" s="16">
        <f>6806</f>
        <v>6806</v>
      </c>
      <c r="D6" s="16">
        <f>37127.15</f>
        <v>37127.15</v>
      </c>
      <c r="E6" s="16">
        <v>300</v>
      </c>
      <c r="F6" s="16"/>
      <c r="G6" s="16"/>
      <c r="H6" s="16"/>
      <c r="I6" s="16"/>
      <c r="J6" s="16"/>
      <c r="K6" s="16"/>
      <c r="L6" s="50"/>
      <c r="M6" s="16"/>
      <c r="N6" s="16"/>
      <c r="O6" s="17">
        <f>C6+D6+E6+F6+G6+H6+I6+J6+K6+L6+M6+N6</f>
        <v>44233.15</v>
      </c>
    </row>
    <row r="7" spans="2:15">
      <c r="B7" s="15" t="s">
        <v>14</v>
      </c>
      <c r="C7" s="16">
        <v>6267.39</v>
      </c>
      <c r="D7" s="16">
        <v>9938.07</v>
      </c>
      <c r="E7" s="16">
        <v>23201</v>
      </c>
      <c r="F7" s="16"/>
      <c r="G7" s="16"/>
      <c r="H7" s="16"/>
      <c r="I7" s="18"/>
      <c r="J7" s="16"/>
      <c r="K7" s="16"/>
      <c r="L7" s="50"/>
      <c r="M7" s="16"/>
      <c r="N7" s="16"/>
      <c r="O7" s="17">
        <f t="shared" ref="O7:O13" si="0">C7+D7+E7+F7+G7+H7+I7+J7+K7+L7+M7+N7</f>
        <v>39406.46</v>
      </c>
    </row>
    <row r="8" spans="2:15">
      <c r="B8" s="15" t="s">
        <v>15</v>
      </c>
      <c r="C8" s="16">
        <v>0</v>
      </c>
      <c r="D8" s="16">
        <v>3080.46</v>
      </c>
      <c r="E8" s="16">
        <v>6817</v>
      </c>
      <c r="F8" s="16"/>
      <c r="G8" s="16"/>
      <c r="H8" s="16"/>
      <c r="I8" s="16"/>
      <c r="J8" s="16"/>
      <c r="K8" s="16"/>
      <c r="L8" s="50"/>
      <c r="M8" s="16"/>
      <c r="N8" s="16"/>
      <c r="O8" s="17">
        <f t="shared" si="0"/>
        <v>9897.4599999999991</v>
      </c>
    </row>
    <row r="9" spans="2:15">
      <c r="B9" s="15" t="s">
        <v>17</v>
      </c>
      <c r="C9" s="16">
        <v>1040</v>
      </c>
      <c r="D9" s="16">
        <v>11765</v>
      </c>
      <c r="E9" s="16">
        <v>5814</v>
      </c>
      <c r="F9" s="16"/>
      <c r="G9" s="16"/>
      <c r="H9" s="16"/>
      <c r="I9" s="16"/>
      <c r="J9" s="16"/>
      <c r="K9" s="16"/>
      <c r="L9" s="50"/>
      <c r="M9" s="16"/>
      <c r="N9" s="16"/>
      <c r="O9" s="17">
        <f t="shared" si="0"/>
        <v>18619</v>
      </c>
    </row>
    <row r="10" spans="2:15">
      <c r="B10" s="15" t="s">
        <v>18</v>
      </c>
      <c r="C10" s="16">
        <v>112.01</v>
      </c>
      <c r="D10" s="16">
        <v>2520.3000000000002</v>
      </c>
      <c r="E10" s="16">
        <v>504.28</v>
      </c>
      <c r="F10" s="16"/>
      <c r="G10" s="16"/>
      <c r="H10" s="16"/>
      <c r="I10" s="16"/>
      <c r="J10" s="16"/>
      <c r="K10" s="16"/>
      <c r="L10" s="50"/>
      <c r="M10" s="16"/>
      <c r="N10" s="16"/>
      <c r="O10" s="17">
        <f t="shared" si="0"/>
        <v>3136.59</v>
      </c>
    </row>
    <row r="11" spans="2:15">
      <c r="B11" s="15" t="s">
        <v>19</v>
      </c>
      <c r="C11" s="16">
        <v>0</v>
      </c>
      <c r="D11" s="16">
        <v>103.85</v>
      </c>
      <c r="E11" s="16">
        <v>52.5</v>
      </c>
      <c r="F11" s="16"/>
      <c r="G11" s="16"/>
      <c r="H11" s="16"/>
      <c r="I11" s="16"/>
      <c r="J11" s="16"/>
      <c r="K11" s="16"/>
      <c r="L11" s="50"/>
      <c r="M11" s="16"/>
      <c r="N11" s="16"/>
      <c r="O11" s="17">
        <f t="shared" si="0"/>
        <v>156.35</v>
      </c>
    </row>
    <row r="12" spans="2:15">
      <c r="B12" s="15" t="s">
        <v>33</v>
      </c>
      <c r="C12" s="16">
        <v>0</v>
      </c>
      <c r="D12" s="16">
        <v>0</v>
      </c>
      <c r="E12" s="16">
        <v>21</v>
      </c>
      <c r="F12" s="16"/>
      <c r="G12" s="16"/>
      <c r="H12" s="16"/>
      <c r="I12" s="16"/>
      <c r="J12" s="16"/>
      <c r="K12" s="16"/>
      <c r="L12" s="50"/>
      <c r="M12" s="16"/>
      <c r="N12" s="16"/>
      <c r="O12" s="17">
        <f t="shared" si="0"/>
        <v>21</v>
      </c>
    </row>
    <row r="13" spans="2:15">
      <c r="B13" s="15" t="s">
        <v>16</v>
      </c>
      <c r="C13" s="16">
        <f>357.5</f>
        <v>357.5</v>
      </c>
      <c r="D13" s="16">
        <v>0</v>
      </c>
      <c r="E13" s="16">
        <v>0</v>
      </c>
      <c r="F13" s="16"/>
      <c r="G13" s="16"/>
      <c r="H13" s="16"/>
      <c r="I13" s="16"/>
      <c r="J13" s="16"/>
      <c r="K13" s="16"/>
      <c r="L13" s="16"/>
      <c r="M13" s="16"/>
      <c r="N13" s="16"/>
      <c r="O13" s="17">
        <f t="shared" si="0"/>
        <v>357.5</v>
      </c>
    </row>
    <row r="14" spans="2:15">
      <c r="B14" s="15" t="s">
        <v>12</v>
      </c>
      <c r="C14" s="16">
        <f>SUM(C6:C13)</f>
        <v>14582.9</v>
      </c>
      <c r="D14" s="16">
        <f>SUM(D6:D13)</f>
        <v>64534.83</v>
      </c>
      <c r="E14" s="16">
        <f>SUM(E6:E13)</f>
        <v>36709.78</v>
      </c>
      <c r="F14" s="16"/>
      <c r="G14" s="16"/>
      <c r="H14" s="16"/>
      <c r="I14" s="16"/>
      <c r="J14" s="16"/>
      <c r="K14" s="16"/>
      <c r="L14" s="16"/>
      <c r="M14" s="16"/>
      <c r="N14" s="16"/>
      <c r="O14" s="17">
        <f>SUM(O6:O13)</f>
        <v>115827.51000000001</v>
      </c>
    </row>
  </sheetData>
  <mergeCells count="3">
    <mergeCell ref="C2:N2"/>
    <mergeCell ref="C3:N3"/>
    <mergeCell ref="C4:N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 imports</vt:lpstr>
      <vt:lpstr>Sheet1</vt:lpstr>
      <vt:lpstr>Sheet3</vt:lpstr>
      <vt:lpstr>Sheet4</vt:lpstr>
      <vt:lpstr>Sheet4!Print_Area</vt:lpstr>
      <vt:lpstr>'Total imports'!Print_Area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2018-05-02T08:13:31Z</dcterms:modified>
</cp:coreProperties>
</file>