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faiqvr/Desktop/PF website/P.03/"/>
    </mc:Choice>
  </mc:AlternateContent>
  <bookViews>
    <workbookView xWindow="640" yWindow="1180" windowWidth="24960" windowHeight="13540" tabRatio="500"/>
  </bookViews>
  <sheets>
    <sheet name="P.03" sheetId="1" r:id="rId1"/>
  </sheets>
  <externalReferences>
    <externalReference r:id="rId2"/>
    <externalReference r:id="rId3"/>
    <externalReference r:id="rId4"/>
  </externalReferences>
  <definedNames>
    <definedName name="__BAS1">[1]A!#REF!</definedName>
    <definedName name="__TAB1">[1]A!#REF!</definedName>
    <definedName name="__TAB2">[1]A!$B$6:$H$113</definedName>
    <definedName name="_1__123Graph_ACHART_11" hidden="1">[1]A!$D$60:$D$119</definedName>
    <definedName name="_10__123Graph_DCHART_13" hidden="1">[1]A!#REF!</definedName>
    <definedName name="_11__123Graph_XCHART_11" hidden="1">[1]A!$B$60:$B$119</definedName>
    <definedName name="_12__123Graph_XCHART_12" hidden="1">[1]A!$B$60:$B$119</definedName>
    <definedName name="_13__123Graph_XCHART_13" hidden="1">[1]A!#REF!</definedName>
    <definedName name="_14__123Graph_XCHART_14" hidden="1">[1]A!#REF!</definedName>
    <definedName name="_15__123Graph_XCHART_4" hidden="1">[1]A!#REF!</definedName>
    <definedName name="_2__123Graph_ACHART_12" hidden="1">[1]A!$E$60:$E$119</definedName>
    <definedName name="_3__123Graph_ACHART_14" hidden="1">[1]A!#REF!</definedName>
    <definedName name="_4__123Graph_ACHART_4" hidden="1">[1]A!#REF!</definedName>
    <definedName name="_5__123Graph_BCHART_11" hidden="1">[1]A!$C$60:$C$119</definedName>
    <definedName name="_6__123Graph_BCHART_12" hidden="1">[1]A!$F$60:$F$119</definedName>
    <definedName name="_7__123Graph_BCHART_13" hidden="1">[1]A!#REF!</definedName>
    <definedName name="_8__123Graph_BCHART_4" hidden="1">[1]A!#REF!</definedName>
    <definedName name="_9__123Graph_CCHART_14" hidden="1">[1]A!#REF!</definedName>
    <definedName name="_BAS1">[1]A!#REF!</definedName>
    <definedName name="_TAB1">[1]A!#REF!</definedName>
    <definedName name="_TAB2">[1]A!$B$6:$H$113</definedName>
    <definedName name="aa">#REF!</definedName>
    <definedName name="aaaaaa">#REF!</definedName>
    <definedName name="ad">#REF!</definedName>
    <definedName name="asd">#REF!</definedName>
    <definedName name="ass">#REF!</definedName>
    <definedName name="Bass">#REF!</definedName>
    <definedName name="bb">#REF!</definedName>
    <definedName name="Date">#REF!</definedName>
    <definedName name="eeee" hidden="1">[1]A!#REF!</definedName>
    <definedName name="Excel_BuiltIn_Print_Area_1_1">#REF!</definedName>
    <definedName name="fffffffffffffffffffffff">#REF!</definedName>
    <definedName name="ffgfgg">[1]A!#REF!</definedName>
    <definedName name="G1_">#N/A</definedName>
    <definedName name="ggggg">#REF!</definedName>
    <definedName name="ghgj">#REF!</definedName>
    <definedName name="hahahahahahahahaha">#REF!</definedName>
    <definedName name="hhhhh">#REF!</definedName>
    <definedName name="iiii" hidden="1">[1]A!#REF!</definedName>
    <definedName name="Link">'[2]Index (2)'!#REF!</definedName>
    <definedName name="lllll" hidden="1">[1]A!#REF!</definedName>
    <definedName name="mmmm">#REF!</definedName>
    <definedName name="Notes">#REF!</definedName>
    <definedName name="Notes2">#REF!</definedName>
    <definedName name="_xlnm.Print_Area">#REF!</definedName>
    <definedName name="Range_Columns">#REF!</definedName>
    <definedName name="Range_Country">#REF!</definedName>
    <definedName name="Range_DownloadAnnual">#REF!</definedName>
    <definedName name="Range_DownloadDateTime">#REF!</definedName>
    <definedName name="Range_DownloadMonth">#REF!</definedName>
    <definedName name="Range_DownloadQuarter">#REF!</definedName>
    <definedName name="Range_ReportFormName">#REF!</definedName>
    <definedName name="Range_Rows">#REF!</definedName>
    <definedName name="Range_SheetName">#REF!</definedName>
    <definedName name="Range_TotalDownloadPeriod">#REF!</definedName>
    <definedName name="Range_VersionControl">#REF!</definedName>
    <definedName name="Reporting_CountryCode">[3]Control!$B$28</definedName>
    <definedName name="rewr">#REF!</definedName>
    <definedName name="rrrr">#REF!</definedName>
    <definedName name="rrrrr">#REF!</definedName>
    <definedName name="S">[1]A!#REF!</definedName>
    <definedName name="saccc">#REF!</definedName>
    <definedName name="sdcs" hidden="1">[1]A!#REF!</definedName>
    <definedName name="ss" hidden="1">[1]A!#REF!</definedName>
    <definedName name="sss">#REF!</definedName>
    <definedName name="ssss">#REF!</definedName>
    <definedName name="sssss" hidden="1">[1]A!#REF!</definedName>
    <definedName name="Tourism_Arrivals">#REF!</definedName>
    <definedName name="vb">#REF!</definedName>
    <definedName name="vsvsv">#REF!</definedName>
    <definedName name="vv" hidden="1">[1]A!#REF!</definedName>
    <definedName name="vvfvvvv">#REF!</definedName>
    <definedName name="wwfwfwf">#REF!</definedName>
    <definedName name="www">#REF!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6" i="1" l="1"/>
  <c r="U26" i="1"/>
  <c r="R26" i="1"/>
  <c r="S26" i="1"/>
  <c r="P20" i="1"/>
  <c r="P24" i="1"/>
  <c r="P25" i="1"/>
  <c r="P26" i="1"/>
  <c r="P27" i="1"/>
  <c r="P31" i="1"/>
  <c r="P32" i="1"/>
  <c r="P35" i="1"/>
  <c r="P36" i="1"/>
  <c r="P37" i="1"/>
  <c r="P38" i="1"/>
  <c r="P39" i="1"/>
  <c r="P40" i="1"/>
  <c r="P43" i="1"/>
  <c r="P45" i="1"/>
  <c r="Q20" i="1"/>
  <c r="Q24" i="1"/>
  <c r="Q25" i="1"/>
  <c r="Q26" i="1"/>
  <c r="Q27" i="1"/>
  <c r="Q31" i="1"/>
  <c r="Q32" i="1"/>
  <c r="Q35" i="1"/>
  <c r="Q36" i="1"/>
  <c r="Q37" i="1"/>
  <c r="Q38" i="1"/>
  <c r="Q39" i="1"/>
  <c r="Q40" i="1"/>
  <c r="Q45" i="1"/>
  <c r="N24" i="1"/>
  <c r="O24" i="1"/>
  <c r="J20" i="1"/>
  <c r="J21" i="1"/>
  <c r="J25" i="1"/>
  <c r="J26" i="1"/>
  <c r="J28" i="1"/>
  <c r="J29" i="1"/>
  <c r="J30" i="1"/>
  <c r="J32" i="1"/>
  <c r="J33" i="1"/>
  <c r="J34" i="1"/>
  <c r="J35" i="1"/>
  <c r="J36" i="1"/>
  <c r="J37" i="1"/>
  <c r="J38" i="1"/>
  <c r="J39" i="1"/>
  <c r="J40" i="1"/>
  <c r="J43" i="1"/>
  <c r="J45" i="1"/>
  <c r="K20" i="1"/>
  <c r="K25" i="1"/>
  <c r="K26" i="1"/>
  <c r="K29" i="1"/>
  <c r="K30" i="1"/>
  <c r="K32" i="1"/>
  <c r="K33" i="1"/>
  <c r="K35" i="1"/>
  <c r="K37" i="1"/>
  <c r="H20" i="1"/>
  <c r="H21" i="1"/>
  <c r="H23" i="1"/>
  <c r="H25" i="1"/>
  <c r="H26" i="1"/>
  <c r="H28" i="1"/>
  <c r="H29" i="1"/>
  <c r="H30" i="1"/>
  <c r="H32" i="1"/>
  <c r="H33" i="1"/>
  <c r="H35" i="1"/>
  <c r="H36" i="1"/>
  <c r="H37" i="1"/>
  <c r="H38" i="1"/>
  <c r="H39" i="1"/>
  <c r="H40" i="1"/>
  <c r="H43" i="1"/>
  <c r="H44" i="1"/>
  <c r="H45" i="1"/>
  <c r="I20" i="1"/>
  <c r="I23" i="1"/>
  <c r="I25" i="1"/>
  <c r="I26" i="1"/>
  <c r="I28" i="1"/>
  <c r="I29" i="1"/>
  <c r="I30" i="1"/>
  <c r="I32" i="1"/>
  <c r="I35" i="1"/>
  <c r="I36" i="1"/>
  <c r="I37" i="1"/>
  <c r="I40" i="1"/>
  <c r="I45" i="1"/>
  <c r="F23" i="1"/>
  <c r="F25" i="1"/>
  <c r="F26" i="1"/>
  <c r="F28" i="1"/>
  <c r="F29" i="1"/>
  <c r="F30" i="1"/>
  <c r="F32" i="1"/>
  <c r="F33" i="1"/>
  <c r="F34" i="1"/>
  <c r="F35" i="1"/>
  <c r="F36" i="1"/>
  <c r="F37" i="1"/>
  <c r="F38" i="1"/>
  <c r="F39" i="1"/>
  <c r="F40" i="1"/>
  <c r="F43" i="1"/>
  <c r="F45" i="1"/>
  <c r="G23" i="1"/>
  <c r="G25" i="1"/>
  <c r="G26" i="1"/>
  <c r="G28" i="1"/>
  <c r="G30" i="1"/>
  <c r="G32" i="1"/>
  <c r="G33" i="1"/>
  <c r="G35" i="1"/>
  <c r="G36" i="1"/>
  <c r="G38" i="1"/>
  <c r="G39" i="1"/>
  <c r="G40" i="1"/>
</calcChain>
</file>

<file path=xl/sharedStrings.xml><?xml version="1.0" encoding="utf-8"?>
<sst xmlns="http://schemas.openxmlformats.org/spreadsheetml/2006/main" count="91" uniqueCount="55">
  <si>
    <t>Estimated receipts and expenditure for the Western Provincial Council</t>
  </si>
  <si>
    <t>Source: Provincial Council budgets</t>
  </si>
  <si>
    <t xml:space="preserve">Figures in LKR </t>
  </si>
  <si>
    <t>Provincial Disaggregation of Estimated Total Receipts</t>
  </si>
  <si>
    <t>Item</t>
  </si>
  <si>
    <t xml:space="preserve">Total Revenue </t>
  </si>
  <si>
    <t>N/A</t>
  </si>
  <si>
    <t>Total Grants</t>
  </si>
  <si>
    <t>Recurrent Grant</t>
  </si>
  <si>
    <t>Provincial Specific Development Grant</t>
  </si>
  <si>
    <t>Grants under the Special Project</t>
  </si>
  <si>
    <t>World Bank Aid</t>
  </si>
  <si>
    <t>Expected Government Grant</t>
  </si>
  <si>
    <t>Criteria Based Grant</t>
  </si>
  <si>
    <t>Grants under the Nearest School is the Best school Project</t>
  </si>
  <si>
    <t>Grand Total</t>
  </si>
  <si>
    <t>Provincial Disaggregation of Estimated Total Expenditure</t>
  </si>
  <si>
    <t xml:space="preserve">Item </t>
  </si>
  <si>
    <t>Type</t>
  </si>
  <si>
    <t>Recurrent</t>
  </si>
  <si>
    <t>Capital</t>
  </si>
  <si>
    <t xml:space="preserve">Recurrent </t>
  </si>
  <si>
    <t>Governor</t>
  </si>
  <si>
    <t>Western Province Provincial Council</t>
  </si>
  <si>
    <t>Provincial Public Service Commission</t>
  </si>
  <si>
    <t>-</t>
  </si>
  <si>
    <t>Co-operative Employees Commission</t>
  </si>
  <si>
    <t xml:space="preserve">Office of the Chief Minister of Finance and Plan Implementation, Law and Order, Land, Education,Local Government and Provincial Administration, Power and Energy, Manpower and Employment </t>
  </si>
  <si>
    <t>Ministry of Local Government, Economic Promotion, Electricity and Power, Environment Affairs, Water Supply and Drainage and Tourism</t>
  </si>
  <si>
    <t>Ministry of Health, Indigenous Medicine, Social Welfare, Probation and Child Care Services, Women's Affairs and Council Affairs</t>
  </si>
  <si>
    <t>Ministry of Agriculture, Land, Irrigation, Animal Production and Health and Agrarian Development</t>
  </si>
  <si>
    <t>Ministry of Fisheries, Roads, Transport, Co-operative Development and Trade, Housing and Construction, Estate Infrastructure Facilities, Industry and Rural Development</t>
  </si>
  <si>
    <t>Ministry of Road Development , Animal Production and Development , Housing and Construction, Fisheries and Tourism</t>
  </si>
  <si>
    <t>Ministry of Transport, Sports, Youth Affairs, Culutural and Art, Co-operative Development, Food Supplies and Distributions and Rural Development</t>
  </si>
  <si>
    <t>General Administration and Establishment Services-Ministry Office</t>
  </si>
  <si>
    <t>Ministry of Education, Cultural and Arts Affairs, Sports and Youth Affairs and Information Technology</t>
  </si>
  <si>
    <t>Chief Secretary's Office</t>
  </si>
  <si>
    <t>Engineering Organization</t>
  </si>
  <si>
    <t>Department of Revenue</t>
  </si>
  <si>
    <t>Department of Local Government</t>
  </si>
  <si>
    <t>Department of Health Services</t>
  </si>
  <si>
    <t>Department of Ayurveda</t>
  </si>
  <si>
    <t>Department of Social Services</t>
  </si>
  <si>
    <t>Department of Probation and Child Care Services</t>
  </si>
  <si>
    <t>Department of Agriculture</t>
  </si>
  <si>
    <t>Department of Land Commissioner</t>
  </si>
  <si>
    <t>Department of Irrigation</t>
  </si>
  <si>
    <t>Department of Animal Production and Health</t>
  </si>
  <si>
    <t>Department of Motor Traffic</t>
  </si>
  <si>
    <t>Department of Co-operative Development</t>
  </si>
  <si>
    <t>Department of Registrar of Business Names</t>
  </si>
  <si>
    <t>Department of Housing Commissioner</t>
  </si>
  <si>
    <t>Department of Industries</t>
  </si>
  <si>
    <t>Department of Education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</si>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</sst>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_-* #,##0.00_-;\-* #,##0.00_-;_-* &quot;-&quot;??_-;_-@_-"/>
    <numFmt numFmtId="166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mbria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0"/>
      <name val="Cambri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0">
    <xf numFmtId="0" fontId="0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8" fillId="0" borderId="0"/>
    <xf numFmtId="0" fontId="1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</cellStyleXfs>
  <cellXfs count="34">
    <xf numFmtId="0" fontId="0" fillId="0" borderId="0" xfId="0"/>
    <xf numFmtId="164" fontId="0" fillId="0" borderId="0" xfId="0" applyNumberFormat="1"/>
    <xf numFmtId="0" fontId="4" fillId="0" borderId="0" xfId="0" applyFont="1" applyAlignment="1">
      <alignment vertical="top"/>
    </xf>
    <xf numFmtId="164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1" applyNumberFormat="1" applyFont="1"/>
    <xf numFmtId="164" fontId="3" fillId="0" borderId="0" xfId="0" applyNumberFormat="1" applyFont="1"/>
    <xf numFmtId="164" fontId="3" fillId="0" borderId="0" xfId="1" applyNumberFormat="1" applyFont="1"/>
    <xf numFmtId="164" fontId="0" fillId="0" borderId="0" xfId="1" applyNumberFormat="1" applyFont="1" applyAlignment="1">
      <alignment horizontal="center"/>
    </xf>
    <xf numFmtId="164" fontId="0" fillId="0" borderId="2" xfId="1" applyNumberFormat="1" applyFont="1" applyBorder="1"/>
    <xf numFmtId="164" fontId="3" fillId="0" borderId="2" xfId="1" applyNumberFormat="1" applyFont="1" applyBorder="1"/>
    <xf numFmtId="164" fontId="0" fillId="0" borderId="2" xfId="0" applyNumberFormat="1" applyBorder="1"/>
    <xf numFmtId="164" fontId="0" fillId="0" borderId="0" xfId="0" applyNumberFormat="1" applyFont="1" applyFill="1"/>
    <xf numFmtId="164" fontId="10" fillId="0" borderId="0" xfId="0" applyNumberFormat="1" applyFont="1" applyFill="1"/>
    <xf numFmtId="166" fontId="2" fillId="0" borderId="0" xfId="1" applyNumberFormat="1" applyFont="1" applyFill="1"/>
    <xf numFmtId="164" fontId="0" fillId="0" borderId="1" xfId="0" applyNumberFormat="1" applyFont="1" applyFill="1" applyBorder="1"/>
    <xf numFmtId="166" fontId="2" fillId="0" borderId="1" xfId="1" applyNumberFormat="1" applyFont="1" applyFill="1" applyBorder="1"/>
    <xf numFmtId="164" fontId="0" fillId="0" borderId="1" xfId="0" applyNumberFormat="1" applyFont="1" applyFill="1" applyBorder="1" applyAlignment="1">
      <alignment horizontal="left" indent="1"/>
    </xf>
    <xf numFmtId="166" fontId="2" fillId="0" borderId="2" xfId="1" applyNumberFormat="1" applyFont="1" applyFill="1" applyBorder="1"/>
    <xf numFmtId="166" fontId="2" fillId="0" borderId="3" xfId="1" applyNumberFormat="1" applyFont="1" applyFill="1" applyBorder="1"/>
    <xf numFmtId="164" fontId="0" fillId="0" borderId="3" xfId="0" applyNumberFormat="1" applyBorder="1"/>
    <xf numFmtId="166" fontId="10" fillId="0" borderId="0" xfId="1" applyNumberFormat="1" applyFont="1" applyFill="1" applyAlignment="1">
      <alignment horizontal="left" wrapText="1"/>
    </xf>
    <xf numFmtId="166" fontId="3" fillId="0" borderId="1" xfId="1" applyNumberFormat="1" applyFont="1" applyFill="1" applyBorder="1"/>
    <xf numFmtId="0" fontId="3" fillId="0" borderId="1" xfId="1" applyNumberFormat="1" applyFont="1" applyFill="1" applyBorder="1" applyAlignment="1">
      <alignment horizontal="center"/>
    </xf>
    <xf numFmtId="166" fontId="7" fillId="0" borderId="1" xfId="1" applyNumberFormat="1" applyFont="1" applyFill="1" applyBorder="1"/>
    <xf numFmtId="166" fontId="2" fillId="0" borderId="1" xfId="1" applyNumberFormat="1" applyFont="1" applyFill="1" applyBorder="1" applyAlignment="1">
      <alignment horizontal="center"/>
    </xf>
    <xf numFmtId="164" fontId="0" fillId="0" borderId="1" xfId="0" applyNumberFormat="1" applyBorder="1"/>
    <xf numFmtId="164" fontId="3" fillId="0" borderId="0" xfId="0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166" fontId="2" fillId="0" borderId="1" xfId="1" applyNumberFormat="1" applyFont="1" applyFill="1" applyBorder="1" applyAlignment="1">
      <alignment horizontal="center"/>
    </xf>
    <xf numFmtId="164" fontId="3" fillId="0" borderId="0" xfId="1" applyNumberFormat="1" applyFont="1" applyAlignment="1">
      <alignment horizontal="center"/>
    </xf>
    <xf numFmtId="0" fontId="3" fillId="0" borderId="1" xfId="1" applyNumberFormat="1" applyFont="1" applyFill="1" applyBorder="1" applyAlignment="1">
      <alignment horizontal="center"/>
    </xf>
    <xf numFmtId="0" fontId="2" fillId="0" borderId="0" xfId="1" applyNumberFormat="1" applyFont="1" applyFill="1" applyAlignment="1">
      <alignment horizontal="center"/>
    </xf>
    <xf numFmtId="0" fontId="4" fillId="0" borderId="0" xfId="0" applyFont="1" applyAlignment="1">
      <alignment horizontal="left"/>
    </xf>
  </cellXfs>
  <cellStyles count="10">
    <cellStyle name="Comma" xfId="1" builtinId="3"/>
    <cellStyle name="Comma 2 3" xfId="2"/>
    <cellStyle name="Normal" xfId="0" builtinId="0"/>
    <cellStyle name="Normal 2" xfId="3"/>
    <cellStyle name="Normal 3" xfId="4"/>
    <cellStyle name="Normal 3 3" xfId="5"/>
    <cellStyle name="Normal 4" xfId="6"/>
    <cellStyle name="Normal 5" xfId="7"/>
    <cellStyle name="Normal 5 2" xfId="8"/>
    <cellStyle name="Normal 6" xfId="9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6" Type="http://schemas.openxmlformats.org/officeDocument/2006/relationships/styles" Target="styles.xml"/><Relationship Id="rId1" Type="http://schemas.openxmlformats.org/officeDocument/2006/relationships/worksheet" Target="worksheets/sheet1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eriteresearch.sharepoint.com/Erd-sum/ar2004/desktop/My%202003/2003/Ar2002/2000IF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eriteresearch.sharepoint.com/Users/anush/Dropbox/New%20Macro%20database/Macro%20Database%202018/Data/2.%20External%20sector_Data%20(Anushan%20Kapilan's%20conflicted%20copy%202018-05-25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eriteresearch.sharepoint.com/Users/Admin/AppData/Local/Microsoft/Windows/Temporary%20Internet%20Files/Content.Outlook/JAM8CDN8/7177eb2b89124_5241DI_20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</sheetNames>
    <sheetDataSet>
      <sheetData sheetId="0">
        <row r="8">
          <cell r="C8" t="str">
            <v xml:space="preserve">                                 CBSL Weights</v>
          </cell>
          <cell r="E8" t="str">
            <v xml:space="preserve">                                 CBSL Weights</v>
          </cell>
        </row>
        <row r="9">
          <cell r="B9" t="str">
            <v xml:space="preserve"> Period</v>
          </cell>
          <cell r="C9" t="str">
            <v>NEERTP</v>
          </cell>
          <cell r="D9" t="str">
            <v>NEERCOMP.</v>
          </cell>
          <cell r="E9" t="str">
            <v>REERTP</v>
          </cell>
          <cell r="F9" t="str">
            <v xml:space="preserve"> REERCOM.</v>
          </cell>
        </row>
        <row r="11">
          <cell r="B11" t="str">
            <v>DEC 1988</v>
          </cell>
          <cell r="C11">
            <v>148.04400724001763</v>
          </cell>
          <cell r="D11">
            <v>128.5405637594871</v>
          </cell>
          <cell r="E11">
            <v>98.479881882128467</v>
          </cell>
          <cell r="F11">
            <v>98.377953018831462</v>
          </cell>
        </row>
        <row r="12">
          <cell r="B12" t="str">
            <v>JAN 1989</v>
          </cell>
          <cell r="C12">
            <v>149.46890559531408</v>
          </cell>
          <cell r="D12">
            <v>128.0592929898813</v>
          </cell>
          <cell r="E12">
            <v>97.920339324506472</v>
          </cell>
          <cell r="F12">
            <v>96.480115499973962</v>
          </cell>
        </row>
        <row r="13">
          <cell r="B13" t="str">
            <v>FEB 1989</v>
          </cell>
          <cell r="C13">
            <v>150.12514367653412</v>
          </cell>
          <cell r="D13">
            <v>128.09869538230274</v>
          </cell>
          <cell r="E13">
            <v>97.206908145403872</v>
          </cell>
          <cell r="F13">
            <v>95.309194690802897</v>
          </cell>
        </row>
        <row r="14">
          <cell r="B14" t="str">
            <v>MAR 1989</v>
          </cell>
          <cell r="C14">
            <v>149.73245451055308</v>
          </cell>
          <cell r="D14">
            <v>127.3119361097873</v>
          </cell>
          <cell r="E14">
            <v>97.391938870391769</v>
          </cell>
          <cell r="F14">
            <v>95.094220984241929</v>
          </cell>
        </row>
        <row r="15">
          <cell r="B15" t="str">
            <v>APR 1989</v>
          </cell>
          <cell r="C15">
            <v>147.43210485164562</v>
          </cell>
          <cell r="D15">
            <v>124.99934062016017</v>
          </cell>
          <cell r="E15">
            <v>96.143835462370802</v>
          </cell>
          <cell r="F15">
            <v>93.756987280824461</v>
          </cell>
        </row>
        <row r="16">
          <cell r="B16" t="str">
            <v>MAY 1989</v>
          </cell>
          <cell r="C16">
            <v>149.28319316522214</v>
          </cell>
          <cell r="D16">
            <v>124.49524296424815</v>
          </cell>
          <cell r="E16">
            <v>97.779305639300361</v>
          </cell>
          <cell r="F16">
            <v>93.490709143786617</v>
          </cell>
        </row>
        <row r="17">
          <cell r="B17" t="str">
            <v>JUN 1989</v>
          </cell>
          <cell r="C17">
            <v>150.69245175576174</v>
          </cell>
          <cell r="D17">
            <v>124.73536706150109</v>
          </cell>
          <cell r="E17">
            <v>100.46710161885659</v>
          </cell>
          <cell r="F17">
            <v>95.155853176279081</v>
          </cell>
        </row>
        <row r="18">
          <cell r="B18" t="str">
            <v>JUL 1989</v>
          </cell>
          <cell r="C18">
            <v>146.45912155803134</v>
          </cell>
          <cell r="D18">
            <v>122.89372893303489</v>
          </cell>
          <cell r="E18">
            <v>97.450264091222223</v>
          </cell>
          <cell r="F18">
            <v>93.339575069744185</v>
          </cell>
        </row>
        <row r="19">
          <cell r="B19" t="str">
            <v>AUG 1989</v>
          </cell>
          <cell r="C19">
            <v>140.97767361993323</v>
          </cell>
          <cell r="D19">
            <v>117.96491287598106</v>
          </cell>
          <cell r="E19">
            <v>95.758467129650256</v>
          </cell>
          <cell r="F19">
            <v>91.214262635466739</v>
          </cell>
        </row>
        <row r="20">
          <cell r="B20" t="str">
            <v>SEP 1989</v>
          </cell>
          <cell r="C20">
            <v>130.7236680723955</v>
          </cell>
          <cell r="D20">
            <v>108.874908408089</v>
          </cell>
          <cell r="E20">
            <v>89.062788279954972</v>
          </cell>
          <cell r="F20">
            <v>84.410126714524367</v>
          </cell>
        </row>
        <row r="21">
          <cell r="B21" t="str">
            <v>OCT 1989</v>
          </cell>
          <cell r="C21">
            <v>127.55223098358512</v>
          </cell>
          <cell r="D21">
            <v>107.36084531021253</v>
          </cell>
          <cell r="E21">
            <v>87.445972632419242</v>
          </cell>
          <cell r="F21">
            <v>83.739823657070602</v>
          </cell>
        </row>
        <row r="22">
          <cell r="B22" t="str">
            <v>NOV 1989</v>
          </cell>
          <cell r="C22">
            <v>127.56816069186161</v>
          </cell>
          <cell r="D22">
            <v>107.74551689126466</v>
          </cell>
          <cell r="E22">
            <v>89.281555749395167</v>
          </cell>
          <cell r="F22">
            <v>85.630410583416818</v>
          </cell>
        </row>
        <row r="23">
          <cell r="B23" t="str">
            <v>DEC 1989</v>
          </cell>
          <cell r="C23">
            <v>126.19295395601041</v>
          </cell>
          <cell r="D23">
            <v>107.47790736450287</v>
          </cell>
          <cell r="E23">
            <v>91.547100782263968</v>
          </cell>
          <cell r="F23">
            <v>88.615642959459151</v>
          </cell>
        </row>
        <row r="24">
          <cell r="B24" t="str">
            <v>JAN 1990</v>
          </cell>
          <cell r="C24">
            <v>126.1586793824255</v>
          </cell>
          <cell r="D24">
            <v>109.29136865783538</v>
          </cell>
          <cell r="E24">
            <v>93.162759184828715</v>
          </cell>
          <cell r="F24">
            <v>91.826865802535835</v>
          </cell>
        </row>
        <row r="25">
          <cell r="B25" t="str">
            <v>FEB 1990</v>
          </cell>
          <cell r="C25">
            <v>125.56402124183427</v>
          </cell>
          <cell r="D25">
            <v>109.38664457517466</v>
          </cell>
          <cell r="E25">
            <v>93.761478192303088</v>
          </cell>
          <cell r="F25">
            <v>92.903977465023686</v>
          </cell>
        </row>
        <row r="26">
          <cell r="B26" t="str">
            <v>MAR 1990</v>
          </cell>
          <cell r="C26">
            <v>127.28042815666674</v>
          </cell>
          <cell r="D26">
            <v>110.05926662992871</v>
          </cell>
          <cell r="E26">
            <v>95.618067958756626</v>
          </cell>
          <cell r="F26">
            <v>93.974625474078024</v>
          </cell>
        </row>
        <row r="27">
          <cell r="B27" t="str">
            <v>APR 1990</v>
          </cell>
          <cell r="C27">
            <v>127.57734972938783</v>
          </cell>
          <cell r="D27">
            <v>110.57647005544773</v>
          </cell>
          <cell r="E27">
            <v>96.309025070312728</v>
          </cell>
          <cell r="F27">
            <v>94.681534906289798</v>
          </cell>
        </row>
        <row r="28">
          <cell r="B28" t="str">
            <v>MAY 1990</v>
          </cell>
          <cell r="C28">
            <v>126.66307974639147</v>
          </cell>
          <cell r="D28">
            <v>110.78504955712263</v>
          </cell>
          <cell r="E28">
            <v>96.888380547505193</v>
          </cell>
          <cell r="F28">
            <v>96.148597942304079</v>
          </cell>
        </row>
        <row r="29">
          <cell r="B29" t="str">
            <v>JUN 1990</v>
          </cell>
          <cell r="C29">
            <v>126.91747256727517</v>
          </cell>
          <cell r="D29">
            <v>111.2381684272991</v>
          </cell>
          <cell r="E29">
            <v>97.979698986521555</v>
          </cell>
          <cell r="F29">
            <v>97.057588987367083</v>
          </cell>
        </row>
        <row r="30">
          <cell r="B30" t="str">
            <v>JUL 1990</v>
          </cell>
          <cell r="C30">
            <v>125.08772674003028</v>
          </cell>
          <cell r="D30">
            <v>110.86803473262088</v>
          </cell>
          <cell r="E30">
            <v>97.585113623000623</v>
          </cell>
          <cell r="F30">
            <v>97.574536630473119</v>
          </cell>
        </row>
        <row r="31">
          <cell r="B31" t="str">
            <v>AUG 1990</v>
          </cell>
          <cell r="C31">
            <v>123.299670444909</v>
          </cell>
          <cell r="D31">
            <v>110.73093941836449</v>
          </cell>
          <cell r="E31">
            <v>95.433708388860467</v>
          </cell>
          <cell r="F31">
            <v>96.863519756810391</v>
          </cell>
        </row>
        <row r="32">
          <cell r="B32" t="str">
            <v>SEP 1990</v>
          </cell>
          <cell r="C32">
            <v>123.03862673944532</v>
          </cell>
          <cell r="D32">
            <v>111.23215139325248</v>
          </cell>
          <cell r="E32">
            <v>95.06332778853988</v>
          </cell>
          <cell r="F32">
            <v>97.273938156207009</v>
          </cell>
        </row>
        <row r="33">
          <cell r="B33" t="str">
            <v>OCT 1990</v>
          </cell>
          <cell r="C33">
            <v>120.12855431218804</v>
          </cell>
          <cell r="D33">
            <v>110.20970556830787</v>
          </cell>
          <cell r="E33">
            <v>92.346504502424111</v>
          </cell>
          <cell r="F33">
            <v>95.90177460662575</v>
          </cell>
        </row>
        <row r="34">
          <cell r="B34" t="str">
            <v>NOV 1990</v>
          </cell>
          <cell r="C34">
            <v>119.48530923880872</v>
          </cell>
          <cell r="D34">
            <v>110.3589462619797</v>
          </cell>
          <cell r="E34">
            <v>95.704797983352051</v>
          </cell>
          <cell r="F34">
            <v>99.697692242633025</v>
          </cell>
        </row>
        <row r="35">
          <cell r="B35" t="str">
            <v>DEC 1990</v>
          </cell>
          <cell r="C35">
            <v>120.82657901574839</v>
          </cell>
          <cell r="D35">
            <v>111.2582748694104</v>
          </cell>
          <cell r="E35">
            <v>98.474255710772113</v>
          </cell>
          <cell r="F35">
            <v>101.96308098431167</v>
          </cell>
        </row>
        <row r="36">
          <cell r="B36" t="str">
            <v>Jan91</v>
          </cell>
          <cell r="C36">
            <v>121.17098526897986</v>
          </cell>
          <cell r="D36">
            <v>111.67764637108912</v>
          </cell>
          <cell r="E36">
            <v>96.900052231345228</v>
          </cell>
          <cell r="F36">
            <v>100.32217315342744</v>
          </cell>
        </row>
        <row r="37">
          <cell r="B37" t="str">
            <v>FEB 1991</v>
          </cell>
          <cell r="C37">
            <v>119.40023554035176</v>
          </cell>
          <cell r="D37">
            <v>111.25299500385442</v>
          </cell>
          <cell r="E37">
            <v>95.119206637910935</v>
          </cell>
          <cell r="F37">
            <v>99.229808536133604</v>
          </cell>
        </row>
        <row r="38">
          <cell r="B38" t="str">
            <v>MAR 1991</v>
          </cell>
          <cell r="C38">
            <v>122.67870775467499</v>
          </cell>
          <cell r="D38">
            <v>112.07272890292064</v>
          </cell>
          <cell r="E38">
            <v>99.182211172862893</v>
          </cell>
          <cell r="F38">
            <v>101.29925501961921</v>
          </cell>
        </row>
        <row r="39">
          <cell r="B39" t="str">
            <v>APR 1991</v>
          </cell>
          <cell r="C39">
            <v>124.82502878315937</v>
          </cell>
          <cell r="D39">
            <v>112.88715530437609</v>
          </cell>
          <cell r="E39">
            <v>101.46649768390775</v>
          </cell>
          <cell r="F39">
            <v>102.49096596894687</v>
          </cell>
        </row>
        <row r="40">
          <cell r="B40" t="str">
            <v>MAY 1991</v>
          </cell>
          <cell r="C40">
            <v>125.08870573558005</v>
          </cell>
          <cell r="D40">
            <v>113.13200656855614</v>
          </cell>
          <cell r="E40">
            <v>102.65617924220003</v>
          </cell>
          <cell r="F40">
            <v>103.61489326655371</v>
          </cell>
        </row>
        <row r="41">
          <cell r="B41" t="str">
            <v>JUN 1991</v>
          </cell>
          <cell r="C41">
            <v>126.14512067502039</v>
          </cell>
          <cell r="D41">
            <v>113.10151177314469</v>
          </cell>
          <cell r="E41">
            <v>104.53774605693073</v>
          </cell>
          <cell r="F41">
            <v>104.15686740234599</v>
          </cell>
        </row>
        <row r="42">
          <cell r="B42" t="str">
            <v>JUL 1991</v>
          </cell>
          <cell r="C42">
            <v>128.01340147918052</v>
          </cell>
          <cell r="D42">
            <v>117.40544146657423</v>
          </cell>
          <cell r="E42">
            <v>105.35124764917981</v>
          </cell>
          <cell r="F42">
            <v>107.194829887794</v>
          </cell>
        </row>
        <row r="43">
          <cell r="B43" t="str">
            <v>AUG 1991</v>
          </cell>
          <cell r="C43">
            <v>125.49441633731296</v>
          </cell>
          <cell r="D43">
            <v>116.12436484870419</v>
          </cell>
          <cell r="E43">
            <v>102.74320431410881</v>
          </cell>
          <cell r="F43">
            <v>104.81063756793591</v>
          </cell>
        </row>
        <row r="44">
          <cell r="B44" t="str">
            <v>SEP 1991</v>
          </cell>
          <cell r="C44">
            <v>123.81525417083057</v>
          </cell>
          <cell r="D44">
            <v>115.5407571624682</v>
          </cell>
          <cell r="E44">
            <v>99.744684820251337</v>
          </cell>
          <cell r="F44">
            <v>102.44562414196857</v>
          </cell>
        </row>
        <row r="45">
          <cell r="B45" t="str">
            <v>OCT 1991</v>
          </cell>
          <cell r="C45">
            <v>122.71273804670466</v>
          </cell>
          <cell r="D45">
            <v>114.86952184266342</v>
          </cell>
          <cell r="E45">
            <v>99.173105971497009</v>
          </cell>
          <cell r="F45">
            <v>102.1552086187759</v>
          </cell>
        </row>
        <row r="46">
          <cell r="B46" t="str">
            <v>NOV 1991</v>
          </cell>
          <cell r="C46">
            <v>120.73885626945734</v>
          </cell>
          <cell r="D46">
            <v>114.07012459646327</v>
          </cell>
          <cell r="E46">
            <v>100.14570942909889</v>
          </cell>
          <cell r="F46">
            <v>104.11484282201292</v>
          </cell>
        </row>
        <row r="47">
          <cell r="B47" t="str">
            <v>DEC 1991</v>
          </cell>
          <cell r="C47">
            <v>118.99894563758417</v>
          </cell>
          <cell r="D47">
            <v>113.43073086865807</v>
          </cell>
          <cell r="E47">
            <v>100.31343254829149</v>
          </cell>
          <cell r="F47">
            <v>104.96127771450074</v>
          </cell>
        </row>
        <row r="48">
          <cell r="B48" t="str">
            <v>Jan1992</v>
          </cell>
          <cell r="C48">
            <v>118.24059794994247</v>
          </cell>
          <cell r="D48">
            <v>112.6802487381333</v>
          </cell>
          <cell r="E48">
            <v>101.02297783364239</v>
          </cell>
          <cell r="F48">
            <v>105.30115264380815</v>
          </cell>
        </row>
        <row r="49">
          <cell r="B49" t="str">
            <v>FEB 1992</v>
          </cell>
          <cell r="C49">
            <v>118.84261238460175</v>
          </cell>
          <cell r="D49">
            <v>112.1310948677218</v>
          </cell>
          <cell r="E49">
            <v>99.926757156475574</v>
          </cell>
          <cell r="F49">
            <v>102.99109525414214</v>
          </cell>
        </row>
        <row r="50">
          <cell r="B50" t="str">
            <v>MAR 1992</v>
          </cell>
          <cell r="C50">
            <v>120.7979561270736</v>
          </cell>
          <cell r="D50">
            <v>114.65183917986916</v>
          </cell>
          <cell r="E50">
            <v>101.75455809969964</v>
          </cell>
          <cell r="F50">
            <v>105.42080525401956</v>
          </cell>
        </row>
        <row r="51">
          <cell r="B51" t="str">
            <v>APR 1992</v>
          </cell>
          <cell r="C51">
            <v>120.05923447936782</v>
          </cell>
          <cell r="D51">
            <v>114.83988364196361</v>
          </cell>
          <cell r="E51">
            <v>102.05339372862279</v>
          </cell>
          <cell r="F51">
            <v>106.57699315880272</v>
          </cell>
        </row>
        <row r="52">
          <cell r="B52" t="str">
            <v>MAY 1992</v>
          </cell>
          <cell r="C52">
            <v>118.37722067592941</v>
          </cell>
          <cell r="D52">
            <v>113.90927838541168</v>
          </cell>
          <cell r="E52">
            <v>101.94067291093354</v>
          </cell>
          <cell r="F52">
            <v>106.86614652487764</v>
          </cell>
        </row>
        <row r="53">
          <cell r="B53" t="str">
            <v>JUN 1992</v>
          </cell>
          <cell r="C53">
            <v>116.21364343064094</v>
          </cell>
          <cell r="D53">
            <v>112.79699100887379</v>
          </cell>
          <cell r="E53">
            <v>103.29610922103826</v>
          </cell>
          <cell r="F53">
            <v>109.00854051400934</v>
          </cell>
        </row>
        <row r="54">
          <cell r="B54" t="str">
            <v>JUL 1992</v>
          </cell>
          <cell r="C54">
            <v>114.13869989116817</v>
          </cell>
          <cell r="D54">
            <v>112.26088513690087</v>
          </cell>
          <cell r="E54">
            <v>99.351499505636951</v>
          </cell>
          <cell r="F54">
            <v>105.84601444691391</v>
          </cell>
        </row>
        <row r="55">
          <cell r="B55" t="str">
            <v>AUG 1992</v>
          </cell>
          <cell r="C55">
            <v>113.20537363755027</v>
          </cell>
          <cell r="D55">
            <v>111.99393987402104</v>
          </cell>
          <cell r="E55">
            <v>97.424673936730287</v>
          </cell>
          <cell r="F55">
            <v>104.21927142889719</v>
          </cell>
        </row>
        <row r="56">
          <cell r="B56" t="str">
            <v>SEP 1992</v>
          </cell>
          <cell r="C56">
            <v>113.51157179515012</v>
          </cell>
          <cell r="D56">
            <v>111.55922835849175</v>
          </cell>
          <cell r="E56">
            <v>98.712247278083737</v>
          </cell>
          <cell r="F56">
            <v>104.87651212840538</v>
          </cell>
        </row>
        <row r="57">
          <cell r="B57" t="str">
            <v>OCT 1992</v>
          </cell>
          <cell r="C57">
            <v>114.60249359035228</v>
          </cell>
          <cell r="D57">
            <v>111.08926996126544</v>
          </cell>
          <cell r="E57">
            <v>99.863642248138135</v>
          </cell>
          <cell r="F57">
            <v>104.38341847836041</v>
          </cell>
        </row>
        <row r="58">
          <cell r="B58" t="str">
            <v>NOV 1992</v>
          </cell>
          <cell r="C58">
            <v>117.06405613824523</v>
          </cell>
          <cell r="D58">
            <v>111.13982273213675</v>
          </cell>
          <cell r="E58">
            <v>104.46390055601269</v>
          </cell>
          <cell r="F58">
            <v>107.02584360046646</v>
          </cell>
        </row>
        <row r="59">
          <cell r="B59" t="str">
            <v>DEC 1992</v>
          </cell>
          <cell r="C59">
            <v>116.29202114694445</v>
          </cell>
          <cell r="D59">
            <v>110.85827577526371</v>
          </cell>
          <cell r="E59">
            <v>107.35026015742343</v>
          </cell>
          <cell r="F59">
            <v>110.2142705195682</v>
          </cell>
        </row>
        <row r="60">
          <cell r="B60" t="str">
            <v>Jan93</v>
          </cell>
          <cell r="C60">
            <v>113.91879004614738</v>
          </cell>
          <cell r="D60">
            <v>108.07112239357325</v>
          </cell>
          <cell r="E60">
            <v>107.54796720462362</v>
          </cell>
          <cell r="F60">
            <v>109.69757495533749</v>
          </cell>
        </row>
        <row r="61">
          <cell r="B61" t="str">
            <v>FEB 1993</v>
          </cell>
          <cell r="C61">
            <v>114.9218123167016</v>
          </cell>
          <cell r="D61">
            <v>109.18531789347502</v>
          </cell>
          <cell r="E61">
            <v>107.50065789757366</v>
          </cell>
          <cell r="F61">
            <v>109.70113188782589</v>
          </cell>
        </row>
        <row r="62">
          <cell r="B62" t="str">
            <v>MAR 1993</v>
          </cell>
          <cell r="C62">
            <v>113.21256093723538</v>
          </cell>
          <cell r="D62">
            <v>107.55371248898541</v>
          </cell>
          <cell r="E62">
            <v>103.62084521065415</v>
          </cell>
          <cell r="F62">
            <v>105.56263302134406</v>
          </cell>
        </row>
        <row r="63">
          <cell r="B63" t="str">
            <v>APR 1993</v>
          </cell>
          <cell r="C63">
            <v>109.415270252319</v>
          </cell>
          <cell r="D63">
            <v>105.34024439139829</v>
          </cell>
          <cell r="E63">
            <v>98.326833428769106</v>
          </cell>
          <cell r="F63">
            <v>101.4599305679173</v>
          </cell>
        </row>
        <row r="64">
          <cell r="B64" t="str">
            <v>MAY 1993</v>
          </cell>
          <cell r="C64">
            <v>108.73989259230787</v>
          </cell>
          <cell r="D64">
            <v>104.90203187729098</v>
          </cell>
          <cell r="E64">
            <v>99.663554515917511</v>
          </cell>
          <cell r="F64">
            <v>102.83428133031296</v>
          </cell>
        </row>
        <row r="65">
          <cell r="B65" t="str">
            <v>JUN 1993</v>
          </cell>
          <cell r="C65">
            <v>108.88465614816585</v>
          </cell>
          <cell r="D65">
            <v>104.61381206783125</v>
          </cell>
          <cell r="E65">
            <v>101.83948264348888</v>
          </cell>
          <cell r="F65">
            <v>104.31022269819734</v>
          </cell>
        </row>
        <row r="66">
          <cell r="B66" t="str">
            <v>JUL 1993</v>
          </cell>
          <cell r="C66">
            <v>108.79958361323173</v>
          </cell>
          <cell r="D66">
            <v>103.92361270082228</v>
          </cell>
          <cell r="E66">
            <v>102.40888702049391</v>
          </cell>
          <cell r="F66">
            <v>104.05712766017173</v>
          </cell>
        </row>
        <row r="67">
          <cell r="B67" t="str">
            <v>AUG 1993</v>
          </cell>
          <cell r="C67">
            <v>108.17766912469878</v>
          </cell>
          <cell r="D67">
            <v>103.60678834413181</v>
          </cell>
          <cell r="E67">
            <v>101.65640613465024</v>
          </cell>
          <cell r="F67">
            <v>103.36895639968652</v>
          </cell>
        </row>
        <row r="68">
          <cell r="B68" t="str">
            <v>SEP 1993</v>
          </cell>
          <cell r="C68">
            <v>107.24525877600468</v>
          </cell>
          <cell r="D68">
            <v>103.37431060465066</v>
          </cell>
          <cell r="E68">
            <v>99.188145376255989</v>
          </cell>
          <cell r="F68">
            <v>101.12739714425871</v>
          </cell>
        </row>
        <row r="69">
          <cell r="B69" t="str">
            <v>OCT 1993</v>
          </cell>
          <cell r="C69">
            <v>107.54990955427193</v>
          </cell>
          <cell r="D69">
            <v>103.04201109276616</v>
          </cell>
          <cell r="E69">
            <v>97.209598671732763</v>
          </cell>
          <cell r="F69">
            <v>100.5137531363756</v>
          </cell>
        </row>
        <row r="70">
          <cell r="B70" t="str">
            <v>NOV 1993</v>
          </cell>
          <cell r="C70">
            <v>108.12545512411671</v>
          </cell>
          <cell r="D70">
            <v>102.89887328186957</v>
          </cell>
          <cell r="E70">
            <v>103.35721513600943</v>
          </cell>
          <cell r="F70">
            <v>103.63903139297777</v>
          </cell>
        </row>
        <row r="71">
          <cell r="B71" t="str">
            <v>DEC 1993</v>
          </cell>
          <cell r="C71">
            <v>107.87672337735674</v>
          </cell>
          <cell r="D71">
            <v>102.58956115489508</v>
          </cell>
          <cell r="E71">
            <v>105.53501105187573</v>
          </cell>
          <cell r="F71">
            <v>105.51883243935029</v>
          </cell>
        </row>
        <row r="72">
          <cell r="B72" t="str">
            <v>Jan94</v>
          </cell>
          <cell r="C72">
            <v>108.04068802609576</v>
          </cell>
          <cell r="D72">
            <v>102.54198396935845</v>
          </cell>
          <cell r="E72">
            <v>107.9685061805927</v>
          </cell>
          <cell r="F72">
            <v>107.45466014858668</v>
          </cell>
        </row>
        <row r="73">
          <cell r="B73" t="str">
            <v>FEB 1994</v>
          </cell>
          <cell r="C73">
            <v>109.28712921208967</v>
          </cell>
          <cell r="D73">
            <v>105.8350446628373</v>
          </cell>
          <cell r="E73">
            <v>109.47276034405647</v>
          </cell>
          <cell r="F73">
            <v>110.05264630643329</v>
          </cell>
        </row>
        <row r="74">
          <cell r="B74" t="str">
            <v>Mar 1994</v>
          </cell>
          <cell r="C74">
            <v>109.03773365392949</v>
          </cell>
          <cell r="D74">
            <v>106.32163413473192</v>
          </cell>
          <cell r="E74">
            <v>109.32850022471813</v>
          </cell>
          <cell r="F74">
            <v>110.65037101245971</v>
          </cell>
        </row>
        <row r="75">
          <cell r="B75" t="str">
            <v>APR 1994</v>
          </cell>
          <cell r="C75">
            <v>109.00908342649664</v>
          </cell>
          <cell r="D75">
            <v>106.09265052734013</v>
          </cell>
          <cell r="E75">
            <v>109.6940908486708</v>
          </cell>
          <cell r="F75">
            <v>110.59702062196376</v>
          </cell>
        </row>
        <row r="76">
          <cell r="B76" t="str">
            <v>MAY 1994</v>
          </cell>
          <cell r="C76">
            <v>108.190332339487</v>
          </cell>
          <cell r="D76">
            <v>105.64640372042211</v>
          </cell>
          <cell r="E76">
            <v>106.31616379303375</v>
          </cell>
          <cell r="F76">
            <v>107.22318702762917</v>
          </cell>
        </row>
        <row r="77">
          <cell r="B77" t="str">
            <v>JUN 1994</v>
          </cell>
          <cell r="C77">
            <v>107.06216542216892</v>
          </cell>
          <cell r="D77">
            <v>104.98701348826359</v>
          </cell>
          <cell r="E77">
            <v>105.02751044846988</v>
          </cell>
          <cell r="F77">
            <v>105.90945734726823</v>
          </cell>
        </row>
        <row r="78">
          <cell r="B78" t="str">
            <v>JUL 1994</v>
          </cell>
          <cell r="C78">
            <v>106.27352693574619</v>
          </cell>
          <cell r="D78">
            <v>105.35042631830613</v>
          </cell>
          <cell r="E78">
            <v>100.85397192039929</v>
          </cell>
          <cell r="F78">
            <v>102.26889597021358</v>
          </cell>
        </row>
        <row r="79">
          <cell r="B79" t="str">
            <v>AUG 1994</v>
          </cell>
          <cell r="C79">
            <v>105.79252756703264</v>
          </cell>
          <cell r="D79">
            <v>104.35222088308483</v>
          </cell>
          <cell r="E79">
            <v>101.20945755625353</v>
          </cell>
          <cell r="F79">
            <v>101.98582708278525</v>
          </cell>
        </row>
        <row r="80">
          <cell r="B80" t="str">
            <v>SEP 1994</v>
          </cell>
          <cell r="C80">
            <v>105.11087534933121</v>
          </cell>
          <cell r="D80">
            <v>103.95228595513321</v>
          </cell>
          <cell r="E80">
            <v>96.623878493596649</v>
          </cell>
          <cell r="F80">
            <v>97.389626611480679</v>
          </cell>
        </row>
        <row r="81">
          <cell r="B81" t="str">
            <v>OCT 1994</v>
          </cell>
          <cell r="C81">
            <v>104.65265195383952</v>
          </cell>
          <cell r="D81">
            <v>104.02047263334755</v>
          </cell>
          <cell r="E81">
            <v>95.211941485391861</v>
          </cell>
          <cell r="F81">
            <v>96.199690325281367</v>
          </cell>
        </row>
        <row r="82">
          <cell r="B82" t="str">
            <v>NOV 1994</v>
          </cell>
          <cell r="C82">
            <v>104.98610862727708</v>
          </cell>
          <cell r="D82">
            <v>104.0291717274893</v>
          </cell>
          <cell r="E82">
            <v>98.290597915548517</v>
          </cell>
          <cell r="F82">
            <v>98.769591482256587</v>
          </cell>
        </row>
        <row r="83">
          <cell r="B83" t="str">
            <v>DEC 1994</v>
          </cell>
          <cell r="C83">
            <v>105.00570872624937</v>
          </cell>
          <cell r="D83">
            <v>103.21491301757817</v>
          </cell>
          <cell r="E83">
            <v>102.10714918399256</v>
          </cell>
          <cell r="F83">
            <v>101.72976310463447</v>
          </cell>
        </row>
        <row r="84">
          <cell r="B84" t="str">
            <v>Jan  95</v>
          </cell>
          <cell r="C84">
            <v>103.56497618250127</v>
          </cell>
          <cell r="D84">
            <v>102.25829752718492</v>
          </cell>
          <cell r="E84">
            <v>101.03022870149749</v>
          </cell>
          <cell r="F84">
            <v>100.86344281421695</v>
          </cell>
        </row>
        <row r="85">
          <cell r="B85" t="str">
            <v>FEB 1995</v>
          </cell>
          <cell r="C85">
            <v>103.05203518417407</v>
          </cell>
          <cell r="D85">
            <v>102.04858804569439</v>
          </cell>
          <cell r="E85">
            <v>100.08537566866107</v>
          </cell>
          <cell r="F85">
            <v>100.18561148935822</v>
          </cell>
        </row>
        <row r="86">
          <cell r="B86" t="str">
            <v>MAR 1995</v>
          </cell>
          <cell r="C86">
            <v>101.54464305731736</v>
          </cell>
          <cell r="D86">
            <v>102.08906462721073</v>
          </cell>
          <cell r="E86">
            <v>96.766179328716021</v>
          </cell>
          <cell r="F86">
            <v>98.141832954998506</v>
          </cell>
        </row>
        <row r="87">
          <cell r="B87" t="str">
            <v>APR 1995</v>
          </cell>
          <cell r="C87">
            <v>100.47736299748274</v>
          </cell>
          <cell r="D87">
            <v>101.70024142629299</v>
          </cell>
          <cell r="E87">
            <v>97.515209904586484</v>
          </cell>
          <cell r="F87">
            <v>99.375792208535017</v>
          </cell>
        </row>
        <row r="88">
          <cell r="B88" t="str">
            <v>MAY 1995</v>
          </cell>
          <cell r="C88">
            <v>100.38699939467196</v>
          </cell>
          <cell r="D88">
            <v>100.83910070433674</v>
          </cell>
          <cell r="E88">
            <v>102.11420391897181</v>
          </cell>
          <cell r="F88">
            <v>103.01841891618768</v>
          </cell>
        </row>
        <row r="89">
          <cell r="B89" t="str">
            <v>JUN 1995</v>
          </cell>
          <cell r="C89">
            <v>99.62141290555239</v>
          </cell>
          <cell r="D89">
            <v>100.25286284263741</v>
          </cell>
          <cell r="E89">
            <v>102.99611378144522</v>
          </cell>
          <cell r="F89">
            <v>103.66907244393735</v>
          </cell>
        </row>
        <row r="90">
          <cell r="B90" t="str">
            <v>JUL 1995</v>
          </cell>
          <cell r="C90">
            <v>102.38046174519995</v>
          </cell>
          <cell r="D90">
            <v>99.412477414667052</v>
          </cell>
          <cell r="E90">
            <v>105.36240070707257</v>
          </cell>
          <cell r="F90">
            <v>101.89311760680376</v>
          </cell>
        </row>
        <row r="91">
          <cell r="B91" t="str">
            <v>AUG 1995</v>
          </cell>
          <cell r="C91">
            <v>99.371485464993427</v>
          </cell>
          <cell r="D91">
            <v>99.245952364985087</v>
          </cell>
          <cell r="E91">
            <v>99.242678023025491</v>
          </cell>
          <cell r="F91">
            <v>98.582512583219639</v>
          </cell>
        </row>
        <row r="92">
          <cell r="B92" t="str">
            <v>SEP 1995</v>
          </cell>
          <cell r="C92">
            <v>99.044359709944132</v>
          </cell>
          <cell r="D92">
            <v>99.02966768685431</v>
          </cell>
          <cell r="E92">
            <v>96.928765020507711</v>
          </cell>
          <cell r="F92">
            <v>96.27237944002546</v>
          </cell>
        </row>
        <row r="93">
          <cell r="B93" t="str">
            <v>OCT 1995</v>
          </cell>
          <cell r="C93">
            <v>97.83955989675556</v>
          </cell>
          <cell r="D93">
            <v>98.750079640000791</v>
          </cell>
          <cell r="E93">
            <v>97.387756386771443</v>
          </cell>
          <cell r="F93">
            <v>97.454223007582385</v>
          </cell>
        </row>
        <row r="94">
          <cell r="B94" t="str">
            <v>NOV 1995</v>
          </cell>
          <cell r="C94">
            <v>96.815001584751812</v>
          </cell>
          <cell r="D94">
            <v>97.74093644272395</v>
          </cell>
          <cell r="E94">
            <v>100.09338390372979</v>
          </cell>
          <cell r="F94">
            <v>99.969276934367684</v>
          </cell>
        </row>
        <row r="95">
          <cell r="B95" t="str">
            <v>DEC 1995</v>
          </cell>
          <cell r="C95">
            <v>96.197721223330916</v>
          </cell>
          <cell r="D95">
            <v>96.813186306593039</v>
          </cell>
          <cell r="E95">
            <v>100.85187870826685</v>
          </cell>
          <cell r="F95">
            <v>100.84360059111006</v>
          </cell>
        </row>
        <row r="96">
          <cell r="B96" t="str">
            <v>Jan96</v>
          </cell>
          <cell r="C96">
            <v>96.654955443165292</v>
          </cell>
          <cell r="D96">
            <v>96.868342425296063</v>
          </cell>
          <cell r="E96">
            <v>101.43844219779217</v>
          </cell>
          <cell r="F96">
            <v>100.8507763544972</v>
          </cell>
        </row>
        <row r="97">
          <cell r="B97" t="str">
            <v>FEB 1996</v>
          </cell>
          <cell r="C97">
            <v>97.067162001117197</v>
          </cell>
          <cell r="D97">
            <v>97.881577171750422</v>
          </cell>
          <cell r="E97">
            <v>101.95500589093595</v>
          </cell>
          <cell r="F97">
            <v>101.82874077859449</v>
          </cell>
        </row>
        <row r="98">
          <cell r="B98" t="str">
            <v>MAR 1996</v>
          </cell>
          <cell r="C98">
            <v>96.811571361179219</v>
          </cell>
          <cell r="D98">
            <v>96.697261822413012</v>
          </cell>
          <cell r="E98">
            <v>101.35879073233075</v>
          </cell>
          <cell r="F98">
            <v>100.25572117949997</v>
          </cell>
        </row>
        <row r="99">
          <cell r="B99" t="str">
            <v>APR 1996</v>
          </cell>
          <cell r="C99">
            <v>97.166544096698885</v>
          </cell>
          <cell r="D99">
            <v>96.336381282409135</v>
          </cell>
          <cell r="E99">
            <v>104.18936818706764</v>
          </cell>
          <cell r="F99">
            <v>101.99651561685474</v>
          </cell>
        </row>
        <row r="100">
          <cell r="B100" t="str">
            <v>May 1996</v>
          </cell>
          <cell r="C100">
            <v>96.672285058481364</v>
          </cell>
          <cell r="D100">
            <v>95.085121881455422</v>
          </cell>
          <cell r="E100">
            <v>108.34202118272465</v>
          </cell>
          <cell r="F100">
            <v>105.27103854038413</v>
          </cell>
        </row>
        <row r="101">
          <cell r="B101" t="str">
            <v>June 1996</v>
          </cell>
          <cell r="C101">
            <v>95.88531886116445</v>
          </cell>
          <cell r="D101">
            <v>94.781709339099137</v>
          </cell>
          <cell r="E101">
            <v>111.79829253983542</v>
          </cell>
          <cell r="F101">
            <v>108.69755271641884</v>
          </cell>
        </row>
        <row r="102">
          <cell r="B102" t="str">
            <v>July 1996</v>
          </cell>
          <cell r="C102">
            <v>95.367858599259776</v>
          </cell>
          <cell r="D102">
            <v>95.573638345726081</v>
          </cell>
          <cell r="E102">
            <v>109.90861224040228</v>
          </cell>
          <cell r="F102">
            <v>108.18300851583211</v>
          </cell>
        </row>
        <row r="103">
          <cell r="B103" t="str">
            <v>Aug 1996</v>
          </cell>
          <cell r="C103">
            <v>94.638370341984327</v>
          </cell>
          <cell r="D103">
            <v>95.192791320947975</v>
          </cell>
          <cell r="E103">
            <v>109.00405948940364</v>
          </cell>
          <cell r="F103">
            <v>107.21045047851568</v>
          </cell>
        </row>
        <row r="104">
          <cell r="B104" t="str">
            <v>Sep 1996</v>
          </cell>
          <cell r="C104">
            <v>94.314389329077642</v>
          </cell>
          <cell r="D104">
            <v>94.608541665889376</v>
          </cell>
          <cell r="E104">
            <v>108.67013620040638</v>
          </cell>
          <cell r="F104">
            <v>106.6119039903918</v>
          </cell>
        </row>
        <row r="105">
          <cell r="B105" t="str">
            <v>Oct 1996</v>
          </cell>
          <cell r="C105">
            <v>94.065596474698594</v>
          </cell>
          <cell r="D105">
            <v>94.186726850804348</v>
          </cell>
          <cell r="E105">
            <v>108.61969825589043</v>
          </cell>
          <cell r="F105">
            <v>106.41459664019477</v>
          </cell>
        </row>
        <row r="106">
          <cell r="B106" t="str">
            <v>Nov 1996</v>
          </cell>
          <cell r="C106">
            <v>93.508709934700818</v>
          </cell>
          <cell r="D106">
            <v>94.244223254409164</v>
          </cell>
          <cell r="E106">
            <v>109.00017369926663</v>
          </cell>
          <cell r="F106">
            <v>107.29757362772527</v>
          </cell>
        </row>
        <row r="107">
          <cell r="B107" t="str">
            <v>Dec 1996</v>
          </cell>
          <cell r="C107">
            <v>93.953562032884932</v>
          </cell>
          <cell r="D107">
            <v>94.342806468539649</v>
          </cell>
          <cell r="E107">
            <v>110.95208232472547</v>
          </cell>
          <cell r="F107">
            <v>108.75347941130534</v>
          </cell>
        </row>
        <row r="108">
          <cell r="B108" t="str">
            <v>Jan  1997</v>
          </cell>
          <cell r="C108">
            <v>94.914502223828009</v>
          </cell>
          <cell r="D108">
            <v>94.541662332438648</v>
          </cell>
          <cell r="E108">
            <v>112.28124534889068</v>
          </cell>
          <cell r="F108">
            <v>109.17088872419332</v>
          </cell>
        </row>
        <row r="109">
          <cell r="B109" t="str">
            <v>Feb1997</v>
          </cell>
          <cell r="C109">
            <v>94.94976729553494</v>
          </cell>
          <cell r="D109">
            <v>93.23192148407702</v>
          </cell>
          <cell r="E109">
            <v>111.37580932161649</v>
          </cell>
          <cell r="F109">
            <v>106.58503722754737</v>
          </cell>
        </row>
        <row r="110">
          <cell r="B110" t="str">
            <v>Mar1997</v>
          </cell>
          <cell r="C110">
            <v>94.93483783320525</v>
          </cell>
          <cell r="D110">
            <v>93.320932070602154</v>
          </cell>
          <cell r="E110">
            <v>110.06239675724649</v>
          </cell>
          <cell r="F110">
            <v>105.55556768531152</v>
          </cell>
        </row>
        <row r="111">
          <cell r="B111" t="str">
            <v>Apr1997</v>
          </cell>
          <cell r="C111">
            <v>94.140317195567889</v>
          </cell>
          <cell r="D111">
            <v>92.419333564059315</v>
          </cell>
          <cell r="E111">
            <v>109.00577928667666</v>
          </cell>
          <cell r="F111">
            <v>104.43185824371722</v>
          </cell>
        </row>
        <row r="112">
          <cell r="B112" t="str">
            <v>May1997</v>
          </cell>
          <cell r="C112">
            <v>92.945489610877644</v>
          </cell>
          <cell r="D112">
            <v>91.752100894518009</v>
          </cell>
          <cell r="E112">
            <v>109.17080224012004</v>
          </cell>
          <cell r="F112">
            <v>105.22709170979643</v>
          </cell>
        </row>
        <row r="113">
          <cell r="B113" t="str">
            <v>Jun1997</v>
          </cell>
          <cell r="C113">
            <v>92.455792214147152</v>
          </cell>
          <cell r="D113">
            <v>91.395066853124391</v>
          </cell>
          <cell r="E113">
            <v>108.91010701475314</v>
          </cell>
          <cell r="F113">
            <v>104.97184315036966</v>
          </cell>
        </row>
        <row r="114">
          <cell r="B114" t="str">
            <v>July 1997</v>
          </cell>
          <cell r="C114">
            <v>93.320554380943122</v>
          </cell>
          <cell r="D114">
            <v>92.901285846382848</v>
          </cell>
          <cell r="E114">
            <v>111.99352695337838</v>
          </cell>
          <cell r="F114">
            <v>108.42410844042411</v>
          </cell>
        </row>
        <row r="115">
          <cell r="B115" t="str">
            <v>Aug 1997</v>
          </cell>
          <cell r="C115">
            <v>94.646004574975464</v>
          </cell>
          <cell r="D115">
            <v>94.279055426301156</v>
          </cell>
          <cell r="E115">
            <v>113.43335309888833</v>
          </cell>
          <cell r="F115">
            <v>109.76260689810286</v>
          </cell>
        </row>
        <row r="116">
          <cell r="B116" t="str">
            <v>Sep 1997</v>
          </cell>
          <cell r="C116">
            <v>95.104415430153438</v>
          </cell>
          <cell r="D116">
            <v>96.766527562515932</v>
          </cell>
          <cell r="E116">
            <v>113.77290802370172</v>
          </cell>
          <cell r="F116">
            <v>112.39582999687052</v>
          </cell>
        </row>
        <row r="117">
          <cell r="B117" t="str">
            <v>Oct 1997</v>
          </cell>
          <cell r="C117">
            <v>94.974820438434961</v>
          </cell>
          <cell r="D117">
            <v>98.276332656121568</v>
          </cell>
          <cell r="E117">
            <v>113.43573026931267</v>
          </cell>
          <cell r="F117">
            <v>113.68633964446944</v>
          </cell>
        </row>
        <row r="118">
          <cell r="B118" t="str">
            <v>Nov 1997</v>
          </cell>
          <cell r="C118">
            <v>95.664870130176354</v>
          </cell>
          <cell r="D118">
            <v>101.77802110119754</v>
          </cell>
          <cell r="E118">
            <v>117.94288714985211</v>
          </cell>
          <cell r="F118">
            <v>121.28711873977348</v>
          </cell>
        </row>
        <row r="119">
          <cell r="B119" t="str">
            <v>Dec 1997</v>
          </cell>
          <cell r="C119">
            <v>99.657291072826283</v>
          </cell>
          <cell r="D119">
            <v>112.44367141527258</v>
          </cell>
          <cell r="E119">
            <v>126.44729405820907</v>
          </cell>
          <cell r="F119">
            <v>137.13977950776629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(2)"/>
      <sheetName val="Index"/>
      <sheetName val="Exchange rate, NEER, REER"/>
      <sheetName val="Exchange rate (monthly)"/>
      <sheetName val="Exchange rate (yearly)"/>
      <sheetName val="Exchange rate calculation"/>
      <sheetName val="2.1"/>
      <sheetName val="2.2"/>
      <sheetName val="2.3"/>
      <sheetName val="2.4"/>
      <sheetName val="2.5"/>
      <sheetName val="Export by major markets"/>
      <sheetName val="Import by major markets"/>
      <sheetName val="Fuel imports; type and share"/>
      <sheetName val="FDI inflows"/>
      <sheetName val="FDI sectors"/>
      <sheetName val="FDI countries"/>
      <sheetName val="External debt; annual"/>
      <sheetName val="External debt; composition"/>
      <sheetName val="External debt; ownership"/>
      <sheetName val="Debt sustainability indicators"/>
      <sheetName val="Official reserves"/>
      <sheetName val="Tourist arrivals"/>
      <sheetName val="Foreign employment"/>
      <sheetName val="Residence visas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overpage"/>
      <sheetName val="Coverpage_TS"/>
      <sheetName val="BUControlSheet"/>
      <sheetName val="Control"/>
      <sheetName val="Control_TS"/>
      <sheetName val="Inward"/>
      <sheetName val="Outward"/>
      <sheetName val="Inward_TS"/>
      <sheetName val="Outward_TS"/>
      <sheetName val="ValidationSheet"/>
      <sheetName val="Report Form"/>
      <sheetName val="Inward-DL"/>
      <sheetName val="Outward-DL"/>
      <sheetName val="Coverpage-DL"/>
    </sheetNames>
    <sheetDataSet>
      <sheetData sheetId="0"/>
      <sheetData sheetId="1"/>
      <sheetData sheetId="2"/>
      <sheetData sheetId="3"/>
      <sheetData sheetId="4">
        <row r="28">
          <cell r="B28">
            <v>524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5"/>
  <sheetViews>
    <sheetView tabSelected="1" workbookViewId="0">
      <selection sqref="A1:XFD1"/>
    </sheetView>
  </sheetViews>
  <sheetFormatPr baseColWidth="10" defaultColWidth="9.1640625" defaultRowHeight="15" x14ac:dyDescent="0.2"/>
  <cols>
    <col min="1" max="1" width="50.5" style="1" customWidth="1"/>
    <col min="2" max="2" width="22.83203125" style="1" customWidth="1"/>
    <col min="3" max="3" width="20.6640625" style="1" customWidth="1"/>
    <col min="4" max="4" width="22.83203125" style="1" customWidth="1"/>
    <col min="5" max="5" width="18.5" style="1" customWidth="1"/>
    <col min="6" max="6" width="24.33203125" style="1" customWidth="1"/>
    <col min="7" max="7" width="22.1640625" style="1" customWidth="1"/>
    <col min="8" max="8" width="19.5" style="1" customWidth="1"/>
    <col min="9" max="9" width="20.5" style="1" customWidth="1"/>
    <col min="10" max="10" width="18.33203125" style="1" customWidth="1"/>
    <col min="11" max="11" width="19.83203125" style="1" customWidth="1"/>
    <col min="12" max="12" width="17.83203125" style="1" bestFit="1" customWidth="1"/>
    <col min="13" max="13" width="18.83203125" style="1" customWidth="1"/>
    <col min="14" max="14" width="18.5" style="1" customWidth="1"/>
    <col min="15" max="15" width="24.83203125" style="1" customWidth="1"/>
    <col min="16" max="16" width="18.5" style="1" customWidth="1"/>
    <col min="17" max="17" width="18.33203125" style="1" customWidth="1"/>
    <col min="18" max="18" width="19" style="1" customWidth="1"/>
    <col min="19" max="19" width="18.5" style="1" customWidth="1"/>
    <col min="20" max="20" width="20.5" style="1" customWidth="1"/>
    <col min="21" max="21" width="18.5" style="1" customWidth="1"/>
    <col min="22" max="16384" width="9.1640625" style="1"/>
  </cols>
  <sheetData>
    <row r="1" spans="1:30" s="4" customFormat="1" x14ac:dyDescent="0.2">
      <c r="A1" s="13" t="s">
        <v>3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30" x14ac:dyDescent="0.2">
      <c r="A2" s="22" t="s">
        <v>4</v>
      </c>
      <c r="B2" s="23">
        <v>2009</v>
      </c>
      <c r="C2" s="23">
        <v>2010</v>
      </c>
      <c r="D2" s="23">
        <v>2011</v>
      </c>
      <c r="E2" s="23">
        <v>2012</v>
      </c>
      <c r="F2" s="23">
        <v>2013</v>
      </c>
      <c r="G2" s="23">
        <v>2014</v>
      </c>
      <c r="H2" s="23">
        <v>2015</v>
      </c>
      <c r="I2" s="23">
        <v>2016</v>
      </c>
      <c r="J2" s="23">
        <v>2017</v>
      </c>
      <c r="K2" s="23">
        <v>2018</v>
      </c>
      <c r="L2" s="32"/>
      <c r="M2" s="32"/>
      <c r="N2" s="32"/>
      <c r="O2" s="32"/>
      <c r="P2" s="32"/>
      <c r="Q2" s="32"/>
      <c r="R2" s="32"/>
      <c r="S2" s="32"/>
      <c r="T2" s="32"/>
      <c r="U2" s="32"/>
      <c r="V2" s="27"/>
      <c r="W2" s="27"/>
      <c r="Y2" s="30"/>
      <c r="Z2" s="30"/>
      <c r="AB2" s="27"/>
      <c r="AC2" s="27"/>
    </row>
    <row r="3" spans="1:30" x14ac:dyDescent="0.2">
      <c r="A3" s="15" t="s">
        <v>5</v>
      </c>
      <c r="B3" s="16" t="s">
        <v>6</v>
      </c>
      <c r="C3" s="16">
        <v>22715126000</v>
      </c>
      <c r="D3" s="16">
        <v>21532048000</v>
      </c>
      <c r="E3" s="16">
        <v>25378902000</v>
      </c>
      <c r="F3" s="16">
        <v>29617255000</v>
      </c>
      <c r="G3" s="16">
        <v>30952264000</v>
      </c>
      <c r="H3" s="16">
        <v>35390174000</v>
      </c>
      <c r="I3" s="16">
        <v>37859683000</v>
      </c>
      <c r="J3" s="16">
        <v>42260265000</v>
      </c>
      <c r="K3" s="16">
        <v>51416153000</v>
      </c>
      <c r="L3" s="12"/>
      <c r="M3" s="12"/>
      <c r="N3" s="12"/>
      <c r="O3" s="12"/>
      <c r="P3" s="12"/>
      <c r="Q3" s="12"/>
      <c r="R3" s="12"/>
      <c r="S3" s="12"/>
      <c r="T3" s="12"/>
      <c r="U3" s="12"/>
    </row>
    <row r="4" spans="1:30" x14ac:dyDescent="0.2">
      <c r="A4" s="15" t="s">
        <v>7</v>
      </c>
      <c r="B4" s="16" t="s">
        <v>6</v>
      </c>
      <c r="C4" s="15">
        <v>8669638000</v>
      </c>
      <c r="D4" s="15">
        <v>10159702000</v>
      </c>
      <c r="E4" s="15">
        <v>11550771000</v>
      </c>
      <c r="F4" s="15">
        <v>10572755000</v>
      </c>
      <c r="G4" s="15">
        <v>12755000000</v>
      </c>
      <c r="H4" s="15">
        <v>13122910000</v>
      </c>
      <c r="I4" s="15">
        <v>25843956000</v>
      </c>
      <c r="J4" s="15">
        <v>16516113000</v>
      </c>
      <c r="K4" s="15">
        <v>20229486000</v>
      </c>
      <c r="L4" s="12"/>
      <c r="M4" s="12"/>
      <c r="N4" s="12"/>
      <c r="O4" s="12"/>
      <c r="P4" s="12"/>
      <c r="Q4" s="12"/>
      <c r="R4" s="12"/>
      <c r="S4" s="12"/>
      <c r="T4" s="12"/>
      <c r="U4" s="12"/>
    </row>
    <row r="5" spans="1:30" x14ac:dyDescent="0.2">
      <c r="A5" s="17" t="s">
        <v>8</v>
      </c>
      <c r="B5" s="16" t="s">
        <v>6</v>
      </c>
      <c r="C5" s="16">
        <v>6304007000</v>
      </c>
      <c r="D5" s="16">
        <v>8409702000</v>
      </c>
      <c r="E5" s="16">
        <v>9133771000</v>
      </c>
      <c r="F5" s="16">
        <v>8501755000</v>
      </c>
      <c r="G5" s="16">
        <v>9000000000</v>
      </c>
      <c r="H5" s="16">
        <v>10000000000</v>
      </c>
      <c r="I5" s="16">
        <v>21743756000</v>
      </c>
      <c r="J5" s="16">
        <v>14866857000</v>
      </c>
      <c r="K5" s="16">
        <v>14261191000</v>
      </c>
      <c r="L5" s="12"/>
      <c r="M5" s="12"/>
      <c r="N5" s="12"/>
      <c r="O5" s="12"/>
      <c r="P5" s="12"/>
      <c r="Q5" s="12"/>
      <c r="R5" s="12"/>
      <c r="S5" s="12"/>
      <c r="T5" s="12"/>
      <c r="U5" s="12"/>
    </row>
    <row r="6" spans="1:30" x14ac:dyDescent="0.2">
      <c r="A6" s="17" t="s">
        <v>9</v>
      </c>
      <c r="B6" s="16" t="s">
        <v>6</v>
      </c>
      <c r="C6" s="16">
        <v>1448544000</v>
      </c>
      <c r="D6" s="16">
        <v>1300000000</v>
      </c>
      <c r="E6" s="16">
        <v>1840000000</v>
      </c>
      <c r="F6" s="16">
        <v>1266000000</v>
      </c>
      <c r="G6" s="16">
        <v>1270000000</v>
      </c>
      <c r="H6" s="16">
        <v>1452000000</v>
      </c>
      <c r="I6" s="16">
        <v>2894100000</v>
      </c>
      <c r="J6" s="16">
        <v>764856000</v>
      </c>
      <c r="K6" s="16">
        <v>1306095000</v>
      </c>
      <c r="L6" s="12"/>
      <c r="M6" s="12"/>
      <c r="N6" s="12"/>
      <c r="O6" s="12"/>
      <c r="P6" s="12"/>
      <c r="Q6" s="12"/>
      <c r="R6" s="12"/>
      <c r="S6" s="12"/>
      <c r="T6" s="12"/>
      <c r="U6" s="12"/>
    </row>
    <row r="7" spans="1:30" x14ac:dyDescent="0.2">
      <c r="A7" s="17" t="s">
        <v>10</v>
      </c>
      <c r="B7" s="16" t="s">
        <v>6</v>
      </c>
      <c r="C7" s="16">
        <v>455600000</v>
      </c>
      <c r="D7" s="16">
        <v>0</v>
      </c>
      <c r="E7" s="16">
        <v>0</v>
      </c>
      <c r="F7" s="16">
        <v>435000000</v>
      </c>
      <c r="G7" s="16">
        <v>1510000000</v>
      </c>
      <c r="H7" s="16">
        <v>1145910000</v>
      </c>
      <c r="I7" s="16">
        <v>746100000</v>
      </c>
      <c r="J7" s="16">
        <v>630000000</v>
      </c>
      <c r="K7" s="16">
        <v>407800000</v>
      </c>
      <c r="L7" s="12"/>
      <c r="M7" s="12"/>
      <c r="N7" s="12"/>
      <c r="O7" s="12"/>
      <c r="P7" s="12"/>
      <c r="Q7" s="12"/>
      <c r="R7" s="12"/>
      <c r="S7" s="12"/>
      <c r="T7" s="12"/>
      <c r="U7" s="12"/>
    </row>
    <row r="8" spans="1:30" x14ac:dyDescent="0.2">
      <c r="A8" s="17" t="s">
        <v>11</v>
      </c>
      <c r="B8" s="16" t="s">
        <v>6</v>
      </c>
      <c r="C8" s="16">
        <v>0</v>
      </c>
      <c r="D8" s="16">
        <v>0</v>
      </c>
      <c r="E8" s="16">
        <v>150000000</v>
      </c>
      <c r="F8" s="16">
        <v>0</v>
      </c>
      <c r="G8" s="16">
        <v>0</v>
      </c>
      <c r="H8" s="16"/>
      <c r="I8" s="16"/>
      <c r="J8" s="16"/>
      <c r="K8" s="16"/>
      <c r="L8" s="12"/>
      <c r="M8" s="12"/>
      <c r="N8" s="12"/>
      <c r="O8" s="12"/>
      <c r="P8" s="12"/>
      <c r="Q8" s="12"/>
      <c r="R8" s="12"/>
      <c r="S8" s="12"/>
      <c r="T8" s="12"/>
      <c r="U8" s="12"/>
    </row>
    <row r="9" spans="1:30" x14ac:dyDescent="0.2">
      <c r="A9" s="17" t="s">
        <v>12</v>
      </c>
      <c r="B9" s="16" t="s">
        <v>6</v>
      </c>
      <c r="C9" s="16">
        <v>0</v>
      </c>
      <c r="D9" s="16">
        <v>0</v>
      </c>
      <c r="E9" s="16">
        <v>0</v>
      </c>
      <c r="F9" s="16">
        <v>0</v>
      </c>
      <c r="G9" s="16">
        <v>500000000</v>
      </c>
      <c r="H9" s="16"/>
      <c r="I9" s="16"/>
      <c r="J9" s="16"/>
      <c r="K9" s="16"/>
      <c r="L9" s="12"/>
      <c r="M9" s="12"/>
      <c r="N9" s="12"/>
      <c r="O9" s="12"/>
      <c r="P9" s="12"/>
      <c r="Q9" s="12"/>
      <c r="R9" s="12"/>
      <c r="S9" s="12"/>
      <c r="T9" s="12"/>
      <c r="U9" s="12"/>
    </row>
    <row r="10" spans="1:30" x14ac:dyDescent="0.2">
      <c r="A10" s="17" t="s">
        <v>13</v>
      </c>
      <c r="B10" s="16" t="s">
        <v>6</v>
      </c>
      <c r="C10" s="16">
        <v>461487000</v>
      </c>
      <c r="D10" s="16">
        <v>450000000</v>
      </c>
      <c r="E10" s="16">
        <v>427000000</v>
      </c>
      <c r="F10" s="16">
        <v>370000000</v>
      </c>
      <c r="G10" s="16">
        <v>475000000</v>
      </c>
      <c r="H10" s="16">
        <v>525000000</v>
      </c>
      <c r="I10" s="16">
        <v>460000000</v>
      </c>
      <c r="J10" s="16">
        <v>254400000</v>
      </c>
      <c r="K10" s="16">
        <v>254400000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</row>
    <row r="11" spans="1:30" x14ac:dyDescent="0.2">
      <c r="A11" s="17" t="s">
        <v>14</v>
      </c>
      <c r="B11" s="16" t="s">
        <v>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4000000000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</row>
    <row r="12" spans="1:30" x14ac:dyDescent="0.2">
      <c r="A12" s="15" t="s">
        <v>15</v>
      </c>
      <c r="B12" s="16" t="s">
        <v>6</v>
      </c>
      <c r="C12" s="15">
        <v>31384764000</v>
      </c>
      <c r="D12" s="15">
        <v>31691750000</v>
      </c>
      <c r="E12" s="15">
        <v>36929673000</v>
      </c>
      <c r="F12" s="15">
        <v>40190010000</v>
      </c>
      <c r="G12" s="15">
        <v>43707264000</v>
      </c>
      <c r="H12" s="15">
        <v>48513084000</v>
      </c>
      <c r="I12" s="15">
        <v>63703639000</v>
      </c>
      <c r="J12" s="15">
        <v>58776378000</v>
      </c>
      <c r="K12" s="15">
        <v>71645639000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</row>
    <row r="13" spans="1:30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</row>
    <row r="14" spans="1:30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 spans="1:30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</row>
    <row r="16" spans="1:30" x14ac:dyDescent="0.2">
      <c r="A16" s="21" t="s">
        <v>16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Z16" s="5"/>
      <c r="AA16" s="5"/>
      <c r="AC16" s="5"/>
      <c r="AD16" s="5"/>
    </row>
    <row r="17" spans="1:29" x14ac:dyDescent="0.2">
      <c r="A17" s="22" t="s">
        <v>17</v>
      </c>
      <c r="B17" s="31">
        <v>2009</v>
      </c>
      <c r="C17" s="31"/>
      <c r="D17" s="31">
        <v>2010</v>
      </c>
      <c r="E17" s="31"/>
      <c r="F17" s="31">
        <v>2011</v>
      </c>
      <c r="G17" s="31"/>
      <c r="H17" s="31">
        <v>2012</v>
      </c>
      <c r="I17" s="31"/>
      <c r="J17" s="31">
        <v>2013</v>
      </c>
      <c r="K17" s="31"/>
      <c r="L17" s="31">
        <v>2014</v>
      </c>
      <c r="M17" s="31"/>
      <c r="N17" s="31">
        <v>2015</v>
      </c>
      <c r="O17" s="31"/>
      <c r="P17" s="31">
        <v>2016</v>
      </c>
      <c r="Q17" s="31"/>
      <c r="R17" s="31">
        <v>2017</v>
      </c>
      <c r="S17" s="31"/>
      <c r="T17" s="31">
        <v>2018</v>
      </c>
      <c r="U17" s="31"/>
      <c r="V17" s="27"/>
      <c r="W17" s="27"/>
      <c r="Y17" s="30"/>
      <c r="Z17" s="30"/>
      <c r="AB17" s="27"/>
      <c r="AC17" s="27"/>
    </row>
    <row r="18" spans="1:29" x14ac:dyDescent="0.2">
      <c r="A18" s="16" t="s">
        <v>18</v>
      </c>
      <c r="B18" s="16" t="s">
        <v>19</v>
      </c>
      <c r="C18" s="16" t="s">
        <v>20</v>
      </c>
      <c r="D18" s="16" t="s">
        <v>19</v>
      </c>
      <c r="E18" s="16" t="s">
        <v>20</v>
      </c>
      <c r="F18" s="16" t="s">
        <v>19</v>
      </c>
      <c r="G18" s="16" t="s">
        <v>20</v>
      </c>
      <c r="H18" s="16" t="s">
        <v>19</v>
      </c>
      <c r="I18" s="16" t="s">
        <v>20</v>
      </c>
      <c r="J18" s="16" t="s">
        <v>19</v>
      </c>
      <c r="K18" s="16" t="s">
        <v>20</v>
      </c>
      <c r="L18" s="16" t="s">
        <v>21</v>
      </c>
      <c r="M18" s="16" t="s">
        <v>20</v>
      </c>
      <c r="N18" s="16" t="s">
        <v>19</v>
      </c>
      <c r="O18" s="16" t="s">
        <v>20</v>
      </c>
      <c r="P18" s="16" t="s">
        <v>19</v>
      </c>
      <c r="Q18" s="16" t="s">
        <v>20</v>
      </c>
      <c r="R18" s="16" t="s">
        <v>19</v>
      </c>
      <c r="S18" s="16" t="s">
        <v>20</v>
      </c>
      <c r="T18" s="16" t="s">
        <v>19</v>
      </c>
      <c r="U18" s="16" t="s">
        <v>20</v>
      </c>
      <c r="V18" s="6"/>
      <c r="W18" s="6"/>
      <c r="Y18" s="7"/>
      <c r="Z18" s="7"/>
      <c r="AB18" s="7"/>
      <c r="AC18" s="7"/>
    </row>
    <row r="19" spans="1:29" x14ac:dyDescent="0.2">
      <c r="A19" s="16" t="s">
        <v>22</v>
      </c>
      <c r="B19" s="16">
        <v>26014000</v>
      </c>
      <c r="C19" s="24">
        <v>400000</v>
      </c>
      <c r="D19" s="16">
        <v>30413000</v>
      </c>
      <c r="E19" s="16">
        <v>800000</v>
      </c>
      <c r="F19" s="16">
        <v>31658000</v>
      </c>
      <c r="G19" s="16">
        <v>1000000</v>
      </c>
      <c r="H19" s="16">
        <v>35080000</v>
      </c>
      <c r="I19" s="16">
        <v>850000</v>
      </c>
      <c r="J19" s="16">
        <v>61867000</v>
      </c>
      <c r="K19" s="16">
        <v>1035000</v>
      </c>
      <c r="L19" s="16">
        <v>54672000</v>
      </c>
      <c r="M19" s="16">
        <v>800000</v>
      </c>
      <c r="N19" s="16">
        <v>55979000</v>
      </c>
      <c r="O19" s="16">
        <v>56679000</v>
      </c>
      <c r="P19" s="16">
        <v>65046000</v>
      </c>
      <c r="Q19" s="16">
        <v>600000</v>
      </c>
      <c r="R19" s="16">
        <v>64112000</v>
      </c>
      <c r="S19" s="16">
        <v>64812000</v>
      </c>
      <c r="T19" s="16">
        <v>71937000</v>
      </c>
      <c r="U19" s="16">
        <v>148937000</v>
      </c>
      <c r="V19" s="5"/>
      <c r="W19" s="5"/>
      <c r="X19" s="5"/>
      <c r="Y19" s="5"/>
      <c r="Z19" s="5"/>
      <c r="AA19" s="5"/>
      <c r="AB19" s="5"/>
      <c r="AC19" s="5"/>
    </row>
    <row r="20" spans="1:29" x14ac:dyDescent="0.2">
      <c r="A20" s="16" t="s">
        <v>23</v>
      </c>
      <c r="B20" s="16">
        <v>23694000</v>
      </c>
      <c r="C20" s="16">
        <v>750000</v>
      </c>
      <c r="D20" s="16">
        <v>212349000</v>
      </c>
      <c r="E20" s="16">
        <v>7100000</v>
      </c>
      <c r="F20" s="16">
        <v>222920000</v>
      </c>
      <c r="G20" s="16">
        <v>1425000</v>
      </c>
      <c r="H20" s="16">
        <f>217149000+34785000</f>
        <v>251934000</v>
      </c>
      <c r="I20" s="16">
        <f>5400000+325000</f>
        <v>5725000</v>
      </c>
      <c r="J20" s="16">
        <f>250131000+40727000</f>
        <v>290858000</v>
      </c>
      <c r="K20" s="16">
        <f>2355000+1350000</f>
        <v>3705000</v>
      </c>
      <c r="L20" s="16">
        <v>336300000</v>
      </c>
      <c r="M20" s="16">
        <v>13800000</v>
      </c>
      <c r="N20" s="16">
        <v>342934000</v>
      </c>
      <c r="O20" s="16">
        <v>345534000</v>
      </c>
      <c r="P20" s="16">
        <f>332443000+69970000</f>
        <v>402413000</v>
      </c>
      <c r="Q20" s="16">
        <f>2300000+300000</f>
        <v>2600000</v>
      </c>
      <c r="R20" s="16">
        <v>412226000</v>
      </c>
      <c r="S20" s="16">
        <v>421526000</v>
      </c>
      <c r="T20" s="16">
        <v>517600000</v>
      </c>
      <c r="U20" s="16">
        <v>525190000</v>
      </c>
      <c r="V20" s="5"/>
      <c r="W20" s="5"/>
      <c r="X20" s="5"/>
      <c r="Y20" s="5"/>
      <c r="Z20" s="5"/>
      <c r="AA20" s="5"/>
      <c r="AB20" s="5"/>
      <c r="AC20" s="5"/>
    </row>
    <row r="21" spans="1:29" x14ac:dyDescent="0.2">
      <c r="A21" s="16" t="s">
        <v>24</v>
      </c>
      <c r="B21" s="16" t="s">
        <v>25</v>
      </c>
      <c r="C21" s="16" t="s">
        <v>25</v>
      </c>
      <c r="D21" s="16">
        <v>22475000</v>
      </c>
      <c r="E21" s="16">
        <v>300000</v>
      </c>
      <c r="F21" s="16">
        <v>23574000</v>
      </c>
      <c r="G21" s="16">
        <v>160000</v>
      </c>
      <c r="H21" s="16">
        <f>22633000</f>
        <v>22633000</v>
      </c>
      <c r="I21" s="16">
        <v>200000</v>
      </c>
      <c r="J21" s="16">
        <f>28548000</f>
        <v>28548000</v>
      </c>
      <c r="K21" s="16">
        <v>500000</v>
      </c>
      <c r="L21" s="16">
        <v>30278000</v>
      </c>
      <c r="M21" s="16">
        <v>800000</v>
      </c>
      <c r="N21" s="16">
        <v>31834000</v>
      </c>
      <c r="O21" s="16">
        <v>32584000</v>
      </c>
      <c r="P21" s="16">
        <v>36302000</v>
      </c>
      <c r="Q21" s="16">
        <v>750000</v>
      </c>
      <c r="R21" s="16">
        <v>36303000</v>
      </c>
      <c r="S21" s="16">
        <v>36968000</v>
      </c>
      <c r="T21" s="16">
        <v>37129000</v>
      </c>
      <c r="U21" s="16">
        <v>37709000</v>
      </c>
      <c r="V21" s="5"/>
      <c r="W21" s="5"/>
      <c r="X21" s="5"/>
      <c r="Y21" s="5"/>
      <c r="Z21" s="5"/>
      <c r="AA21" s="5"/>
      <c r="AB21" s="5"/>
      <c r="AC21" s="5"/>
    </row>
    <row r="22" spans="1:29" x14ac:dyDescent="0.2">
      <c r="A22" s="16" t="s">
        <v>26</v>
      </c>
      <c r="B22" s="16">
        <v>5662000</v>
      </c>
      <c r="C22" s="16">
        <v>75000</v>
      </c>
      <c r="D22" s="16">
        <v>5056000</v>
      </c>
      <c r="E22" s="16">
        <v>50000</v>
      </c>
      <c r="F22" s="16">
        <v>4859000</v>
      </c>
      <c r="G22" s="16">
        <v>130000</v>
      </c>
      <c r="H22" s="16">
        <v>5853000</v>
      </c>
      <c r="I22" s="16">
        <v>90000</v>
      </c>
      <c r="J22" s="16">
        <v>6685000</v>
      </c>
      <c r="K22" s="16">
        <v>250000</v>
      </c>
      <c r="L22" s="16">
        <v>6958000</v>
      </c>
      <c r="M22" s="16">
        <v>220000</v>
      </c>
      <c r="N22" s="16">
        <v>8370000</v>
      </c>
      <c r="O22" s="16">
        <v>8820000</v>
      </c>
      <c r="P22" s="16">
        <v>13071000</v>
      </c>
      <c r="Q22" s="16">
        <v>1050000</v>
      </c>
      <c r="R22" s="16">
        <v>15087000</v>
      </c>
      <c r="S22" s="16">
        <v>15634000</v>
      </c>
      <c r="T22" s="16">
        <v>15944000</v>
      </c>
      <c r="U22" s="16">
        <v>16194000</v>
      </c>
      <c r="V22" s="5"/>
      <c r="W22" s="5"/>
      <c r="X22" s="5"/>
      <c r="Y22" s="5"/>
      <c r="Z22" s="5"/>
      <c r="AA22" s="5"/>
      <c r="AB22" s="5"/>
      <c r="AC22" s="5"/>
    </row>
    <row r="23" spans="1:29" x14ac:dyDescent="0.2">
      <c r="A23" s="16" t="s">
        <v>27</v>
      </c>
      <c r="B23" s="16">
        <v>84583000</v>
      </c>
      <c r="C23" s="16">
        <v>1408692000</v>
      </c>
      <c r="D23" s="16">
        <v>96736000</v>
      </c>
      <c r="E23" s="16">
        <v>573620000</v>
      </c>
      <c r="F23" s="16">
        <f>71670000+7400000</f>
        <v>79070000</v>
      </c>
      <c r="G23" s="16">
        <f>275941000+1795000</f>
        <v>277736000</v>
      </c>
      <c r="H23" s="16">
        <f>79140000+8366000</f>
        <v>87506000</v>
      </c>
      <c r="I23" s="16">
        <f>1131550000+100000</f>
        <v>1131650000</v>
      </c>
      <c r="J23" s="16">
        <v>81175000</v>
      </c>
      <c r="K23" s="16">
        <v>1133550000</v>
      </c>
      <c r="L23" s="16">
        <v>127503000</v>
      </c>
      <c r="M23" s="16">
        <v>1147400000</v>
      </c>
      <c r="N23" s="16"/>
      <c r="O23" s="16"/>
      <c r="P23" s="16"/>
      <c r="Q23" s="16"/>
      <c r="R23" s="16"/>
      <c r="S23" s="16"/>
      <c r="T23" s="16"/>
      <c r="U23" s="16"/>
      <c r="V23" s="5"/>
      <c r="W23" s="5"/>
      <c r="X23" s="5"/>
      <c r="Y23" s="5"/>
      <c r="Z23" s="5"/>
      <c r="AA23" s="5"/>
      <c r="AB23" s="5"/>
      <c r="AC23" s="5"/>
    </row>
    <row r="24" spans="1:29" x14ac:dyDescent="0.2">
      <c r="A24" s="16" t="s">
        <v>28</v>
      </c>
      <c r="B24" s="16"/>
      <c r="C24" s="16"/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25">
        <f>508728000+272026000+145731000+60000000+106174000</f>
        <v>1092659000</v>
      </c>
      <c r="O24" s="25">
        <f>1308141000+968800000+375274000+1152978000+653626000</f>
        <v>4458819000</v>
      </c>
      <c r="P24" s="16">
        <f>40064000+94735000</f>
        <v>134799000</v>
      </c>
      <c r="Q24" s="16">
        <f>2500000+494000000</f>
        <v>496500000</v>
      </c>
      <c r="R24" s="16">
        <v>142537000</v>
      </c>
      <c r="S24" s="16">
        <v>575762000</v>
      </c>
      <c r="T24" s="16">
        <v>174816000</v>
      </c>
      <c r="U24" s="16">
        <v>801856000</v>
      </c>
      <c r="V24" s="5"/>
      <c r="W24" s="5"/>
      <c r="X24" s="5"/>
      <c r="Y24" s="5"/>
      <c r="Z24" s="5"/>
      <c r="AA24" s="5"/>
      <c r="AB24" s="5"/>
      <c r="AC24" s="5"/>
    </row>
    <row r="25" spans="1:29" x14ac:dyDescent="0.2">
      <c r="A25" s="16" t="s">
        <v>29</v>
      </c>
      <c r="B25" s="16">
        <v>35321000</v>
      </c>
      <c r="C25" s="16">
        <v>858338000</v>
      </c>
      <c r="D25" s="16">
        <v>38028000</v>
      </c>
      <c r="E25" s="16">
        <v>348050000</v>
      </c>
      <c r="F25" s="16">
        <f>12902000+24685000</f>
        <v>37587000</v>
      </c>
      <c r="G25" s="16">
        <f>150000+186946000</f>
        <v>187096000</v>
      </c>
      <c r="H25" s="16">
        <f>15804000+24448000</f>
        <v>40252000</v>
      </c>
      <c r="I25" s="16">
        <f>450000+689745000</f>
        <v>690195000</v>
      </c>
      <c r="J25" s="16">
        <f>17563000+38798000</f>
        <v>56361000</v>
      </c>
      <c r="K25" s="16">
        <f>400000+735100000</f>
        <v>735500000</v>
      </c>
      <c r="L25" s="16">
        <v>57450000</v>
      </c>
      <c r="M25" s="16">
        <v>689525000</v>
      </c>
      <c r="N25" s="25"/>
      <c r="O25" s="25"/>
      <c r="P25" s="16">
        <f>17093000+46511000</f>
        <v>63604000</v>
      </c>
      <c r="Q25" s="16">
        <f>500000+1400900000</f>
        <v>1401400000</v>
      </c>
      <c r="R25" s="16">
        <v>66992000</v>
      </c>
      <c r="S25" s="16">
        <v>848542000</v>
      </c>
      <c r="T25" s="16">
        <v>63874000</v>
      </c>
      <c r="U25" s="16">
        <v>1063824000</v>
      </c>
      <c r="V25" s="5"/>
      <c r="W25" s="5"/>
      <c r="X25" s="5"/>
      <c r="Y25" s="5"/>
      <c r="Z25" s="5"/>
      <c r="AA25" s="5"/>
      <c r="AB25" s="5"/>
      <c r="AC25" s="5"/>
    </row>
    <row r="26" spans="1:29" x14ac:dyDescent="0.2">
      <c r="A26" s="16" t="s">
        <v>30</v>
      </c>
      <c r="B26" s="16">
        <v>54717000</v>
      </c>
      <c r="C26" s="16">
        <v>143160000</v>
      </c>
      <c r="D26" s="16">
        <v>49866000</v>
      </c>
      <c r="E26" s="16">
        <v>45000000</v>
      </c>
      <c r="F26" s="16">
        <f>13168000+35166000</f>
        <v>48334000</v>
      </c>
      <c r="G26" s="16">
        <f>1610000+47750000</f>
        <v>49360000</v>
      </c>
      <c r="H26" s="16">
        <f>15968000+32740000</f>
        <v>48708000</v>
      </c>
      <c r="I26" s="16">
        <f>1000000+337700000</f>
        <v>338700000</v>
      </c>
      <c r="J26" s="16">
        <f>19262000+44690000</f>
        <v>63952000</v>
      </c>
      <c r="K26" s="16">
        <f>950000+296000000</f>
        <v>296950000</v>
      </c>
      <c r="L26" s="16">
        <v>67933000</v>
      </c>
      <c r="M26" s="16">
        <v>217450000</v>
      </c>
      <c r="N26" s="25"/>
      <c r="O26" s="25"/>
      <c r="P26" s="16">
        <f>16350000+48033000</f>
        <v>64383000</v>
      </c>
      <c r="Q26" s="16">
        <f>1000000+355400000</f>
        <v>356400000</v>
      </c>
      <c r="R26" s="29">
        <f>69860000+921466000</f>
        <v>991326000</v>
      </c>
      <c r="S26" s="29">
        <f>321610000+1424396000</f>
        <v>1746006000</v>
      </c>
      <c r="T26" s="29">
        <f>67327000+1036394000</f>
        <v>1103721000</v>
      </c>
      <c r="U26" s="29">
        <f>550577000+1707586000</f>
        <v>2258163000</v>
      </c>
      <c r="V26" s="5"/>
      <c r="W26" s="5"/>
      <c r="X26" s="5"/>
      <c r="Y26" s="28"/>
      <c r="Z26" s="28"/>
      <c r="AA26" s="5"/>
      <c r="AB26" s="28"/>
      <c r="AC26" s="28"/>
    </row>
    <row r="27" spans="1:29" x14ac:dyDescent="0.2">
      <c r="A27" s="16" t="s">
        <v>31</v>
      </c>
      <c r="B27" s="16" t="s">
        <v>25</v>
      </c>
      <c r="C27" s="16" t="s">
        <v>25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25"/>
      <c r="O27" s="25"/>
      <c r="P27" s="16">
        <f>15148000+832111000+31346000</f>
        <v>878605000</v>
      </c>
      <c r="Q27" s="16">
        <f>700000+514600000+23800000</f>
        <v>539100000</v>
      </c>
      <c r="R27" s="29"/>
      <c r="S27" s="29"/>
      <c r="T27" s="29"/>
      <c r="U27" s="29"/>
      <c r="V27" s="5"/>
      <c r="W27" s="5"/>
      <c r="X27" s="5"/>
      <c r="Y27" s="28"/>
      <c r="Z27" s="28"/>
      <c r="AA27" s="5"/>
      <c r="AB27" s="28"/>
      <c r="AC27" s="28"/>
    </row>
    <row r="28" spans="1:29" x14ac:dyDescent="0.2">
      <c r="A28" s="16" t="s">
        <v>32</v>
      </c>
      <c r="B28" s="16">
        <v>744030000</v>
      </c>
      <c r="C28" s="16">
        <v>735860000</v>
      </c>
      <c r="D28" s="16">
        <v>644265000</v>
      </c>
      <c r="E28" s="16">
        <v>738175000</v>
      </c>
      <c r="F28" s="16">
        <f>13617000+628099000</f>
        <v>641716000</v>
      </c>
      <c r="G28" s="16">
        <f>115000+655934000</f>
        <v>656049000</v>
      </c>
      <c r="H28" s="16">
        <f>16684000+511076000</f>
        <v>527760000</v>
      </c>
      <c r="I28" s="16">
        <f>150000+604200000</f>
        <v>604350000</v>
      </c>
      <c r="J28" s="16">
        <f>18413000+716921000</f>
        <v>735334000</v>
      </c>
      <c r="K28" s="16">
        <v>659750000</v>
      </c>
      <c r="L28" s="16">
        <v>575002000</v>
      </c>
      <c r="M28" s="16">
        <v>652050000</v>
      </c>
      <c r="N28" s="25"/>
      <c r="O28" s="25"/>
      <c r="P28" s="16"/>
      <c r="Q28" s="16"/>
      <c r="R28" s="25"/>
      <c r="S28" s="25"/>
      <c r="T28" s="25"/>
      <c r="U28" s="25"/>
      <c r="V28" s="5"/>
      <c r="W28" s="5"/>
      <c r="X28" s="5"/>
      <c r="Y28" s="8"/>
      <c r="Z28" s="8"/>
      <c r="AA28" s="5"/>
      <c r="AB28" s="8"/>
      <c r="AC28" s="8"/>
    </row>
    <row r="29" spans="1:29" x14ac:dyDescent="0.2">
      <c r="A29" s="16" t="s">
        <v>33</v>
      </c>
      <c r="B29" s="16">
        <v>202319000</v>
      </c>
      <c r="C29" s="16">
        <v>368135000</v>
      </c>
      <c r="D29" s="16">
        <v>217953000</v>
      </c>
      <c r="E29" s="16">
        <v>33500000</v>
      </c>
      <c r="F29" s="16">
        <f>11447000+136245000</f>
        <v>147692000</v>
      </c>
      <c r="G29" s="16">
        <v>35300000</v>
      </c>
      <c r="H29" s="16">
        <f>14858000+149615000</f>
        <v>164473000</v>
      </c>
      <c r="I29" s="16">
        <f>300000+284500000</f>
        <v>284800000</v>
      </c>
      <c r="J29" s="16">
        <f>18014000+156247000</f>
        <v>174261000</v>
      </c>
      <c r="K29" s="16">
        <f>500000+398500000</f>
        <v>399000000</v>
      </c>
      <c r="L29" s="16">
        <v>291130000</v>
      </c>
      <c r="M29" s="16">
        <v>227600000</v>
      </c>
      <c r="N29" s="25"/>
      <c r="O29" s="25"/>
      <c r="P29" s="16"/>
      <c r="Q29" s="16"/>
      <c r="R29" s="25"/>
      <c r="S29" s="25"/>
      <c r="T29" s="25"/>
      <c r="U29" s="25"/>
      <c r="V29" s="5"/>
      <c r="W29" s="5"/>
      <c r="X29" s="5"/>
      <c r="Y29" s="8"/>
      <c r="Z29" s="8"/>
      <c r="AA29" s="5"/>
      <c r="AB29" s="8"/>
      <c r="AC29" s="8"/>
    </row>
    <row r="30" spans="1:29" x14ac:dyDescent="0.2">
      <c r="A30" s="16" t="s">
        <v>34</v>
      </c>
      <c r="B30" s="16" t="s">
        <v>25</v>
      </c>
      <c r="C30" s="16" t="s">
        <v>25</v>
      </c>
      <c r="D30" s="16">
        <v>70117000</v>
      </c>
      <c r="E30" s="16">
        <v>31261000</v>
      </c>
      <c r="F30" s="16">
        <f>17047000+30288000+16914000</f>
        <v>64249000</v>
      </c>
      <c r="G30" s="16">
        <f>20150000+11350000+2250000</f>
        <v>33750000</v>
      </c>
      <c r="H30" s="16">
        <f>25712000+46912000+33935000</f>
        <v>106559000</v>
      </c>
      <c r="I30" s="16">
        <f>25641000+43200000+5500000</f>
        <v>74341000</v>
      </c>
      <c r="J30" s="16">
        <f>26853000+47194000+35415000</f>
        <v>109462000</v>
      </c>
      <c r="K30" s="16">
        <f>14700000+14200000+3650000</f>
        <v>32550000</v>
      </c>
      <c r="L30" s="16">
        <v>0</v>
      </c>
      <c r="M30" s="16">
        <v>0</v>
      </c>
      <c r="N30" s="25"/>
      <c r="O30" s="25"/>
      <c r="P30" s="16"/>
      <c r="Q30" s="16"/>
      <c r="R30" s="25"/>
      <c r="S30" s="25"/>
      <c r="T30" s="25"/>
      <c r="U30" s="25"/>
      <c r="V30" s="5"/>
      <c r="W30" s="5"/>
      <c r="X30" s="5"/>
      <c r="Y30" s="8"/>
      <c r="Z30" s="8"/>
      <c r="AA30" s="5"/>
      <c r="AB30" s="8"/>
      <c r="AC30" s="8"/>
    </row>
    <row r="31" spans="1:29" x14ac:dyDescent="0.2">
      <c r="A31" s="16" t="s">
        <v>35</v>
      </c>
      <c r="B31" s="16" t="s">
        <v>25</v>
      </c>
      <c r="C31" s="16" t="s">
        <v>25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/>
      <c r="J31" s="16">
        <v>0</v>
      </c>
      <c r="K31" s="16">
        <v>0</v>
      </c>
      <c r="L31" s="16">
        <v>0</v>
      </c>
      <c r="M31" s="16">
        <v>0</v>
      </c>
      <c r="N31" s="25"/>
      <c r="O31" s="25"/>
      <c r="P31" s="16">
        <f>19060000+85333000+66974000+40067000</f>
        <v>211434000</v>
      </c>
      <c r="Q31" s="16">
        <f>130000+1811922000+20680000+9700000</f>
        <v>1842432000</v>
      </c>
      <c r="R31" s="16">
        <v>220404000</v>
      </c>
      <c r="S31" s="16">
        <v>934002000</v>
      </c>
      <c r="T31" s="16">
        <v>246154000</v>
      </c>
      <c r="U31" s="16">
        <v>982054000</v>
      </c>
      <c r="V31" s="5"/>
      <c r="W31" s="5"/>
      <c r="X31" s="5"/>
      <c r="Y31" s="5"/>
      <c r="Z31" s="5"/>
      <c r="AA31" s="5"/>
      <c r="AB31" s="5"/>
      <c r="AC31" s="5"/>
    </row>
    <row r="32" spans="1:29" x14ac:dyDescent="0.2">
      <c r="A32" s="16" t="s">
        <v>36</v>
      </c>
      <c r="B32" s="16">
        <v>603566000</v>
      </c>
      <c r="C32" s="16">
        <v>2497301000</v>
      </c>
      <c r="D32" s="16">
        <v>3838853000</v>
      </c>
      <c r="E32" s="16">
        <v>3838853000</v>
      </c>
      <c r="F32" s="16">
        <f>22227000+3737607000+7500000+65000000+2842000</f>
        <v>3835176000</v>
      </c>
      <c r="G32" s="16">
        <f>1300000+642464000+15000000+275000</f>
        <v>659039000</v>
      </c>
      <c r="H32" s="16">
        <f>27199000+3576290000+9450000+100000000+3015000</f>
        <v>3715954000</v>
      </c>
      <c r="I32" s="16">
        <f>400000+1854100000+100000000+636000</f>
        <v>1955136000</v>
      </c>
      <c r="J32" s="16">
        <f>36383000+4174522000+8450000+125000000+3898000</f>
        <v>4348253000</v>
      </c>
      <c r="K32" s="16">
        <f>1900000+1635700000+150000000+1050000</f>
        <v>1788650000</v>
      </c>
      <c r="L32" s="16">
        <v>4639834000</v>
      </c>
      <c r="M32" s="16">
        <v>1529500000</v>
      </c>
      <c r="N32" s="16">
        <v>5827676000</v>
      </c>
      <c r="O32" s="16">
        <v>7244176000</v>
      </c>
      <c r="P32" s="16">
        <f>11342626000+21000000+150000000</f>
        <v>11513626000</v>
      </c>
      <c r="Q32" s="16">
        <f>986500000+1000000+125000000</f>
        <v>1112500000</v>
      </c>
      <c r="R32" s="16">
        <v>8306413000</v>
      </c>
      <c r="S32" s="16">
        <v>9971169000</v>
      </c>
      <c r="T32" s="16">
        <v>10997599000</v>
      </c>
      <c r="U32" s="16">
        <v>12901094000</v>
      </c>
      <c r="V32" s="5"/>
      <c r="W32" s="5"/>
      <c r="X32" s="5"/>
      <c r="Y32" s="5"/>
      <c r="Z32" s="5"/>
      <c r="AA32" s="5"/>
      <c r="AB32" s="5"/>
      <c r="AC32" s="5"/>
    </row>
    <row r="33" spans="1:29" x14ac:dyDescent="0.2">
      <c r="A33" s="16" t="s">
        <v>37</v>
      </c>
      <c r="B33" s="16">
        <v>177770000</v>
      </c>
      <c r="C33" s="16">
        <v>17938000</v>
      </c>
      <c r="D33" s="16">
        <v>172323000</v>
      </c>
      <c r="E33" s="16">
        <v>1910000</v>
      </c>
      <c r="F33" s="16">
        <f>23879000+118894000+25858000</f>
        <v>168631000</v>
      </c>
      <c r="G33" s="16">
        <f>7500000+3500000+11500000</f>
        <v>22500000</v>
      </c>
      <c r="H33" s="16">
        <f>28828000+133323000+28646000</f>
        <v>190797000</v>
      </c>
      <c r="I33" s="16">
        <v>1400000</v>
      </c>
      <c r="J33" s="16">
        <f>38889000+151264000</f>
        <v>190153000</v>
      </c>
      <c r="K33" s="16">
        <f>4450000+400000</f>
        <v>4850000</v>
      </c>
      <c r="L33" s="16">
        <v>205466000</v>
      </c>
      <c r="M33" s="16">
        <v>1008800000</v>
      </c>
      <c r="N33" s="16">
        <v>203420000</v>
      </c>
      <c r="O33" s="16">
        <v>1709420000</v>
      </c>
      <c r="P33" s="16">
        <v>270976000</v>
      </c>
      <c r="Q33" s="16">
        <v>1305000000</v>
      </c>
      <c r="R33" s="16">
        <v>270858000</v>
      </c>
      <c r="S33" s="16">
        <v>2809858000</v>
      </c>
      <c r="T33" s="16">
        <v>276395000</v>
      </c>
      <c r="U33" s="16">
        <v>6279395000</v>
      </c>
      <c r="V33" s="5"/>
      <c r="W33" s="5"/>
      <c r="X33" s="5"/>
      <c r="Y33" s="5"/>
      <c r="Z33" s="5"/>
      <c r="AA33" s="5"/>
      <c r="AB33" s="5"/>
      <c r="AC33" s="5"/>
    </row>
    <row r="34" spans="1:29" x14ac:dyDescent="0.2">
      <c r="A34" s="16" t="s">
        <v>38</v>
      </c>
      <c r="B34" s="16">
        <v>149899000</v>
      </c>
      <c r="C34" s="16">
        <v>2591000</v>
      </c>
      <c r="D34" s="16">
        <v>148048000</v>
      </c>
      <c r="E34" s="16">
        <v>50000</v>
      </c>
      <c r="F34" s="16">
        <f>179151000</f>
        <v>179151000</v>
      </c>
      <c r="G34" s="16">
        <v>3500000</v>
      </c>
      <c r="H34" s="16">
        <v>150908000</v>
      </c>
      <c r="I34" s="16">
        <v>400000</v>
      </c>
      <c r="J34" s="16">
        <f>165669000</f>
        <v>165669000</v>
      </c>
      <c r="K34" s="16">
        <v>1709000</v>
      </c>
      <c r="L34" s="16">
        <v>171342000</v>
      </c>
      <c r="M34" s="16">
        <v>3400000</v>
      </c>
      <c r="N34" s="16">
        <v>126572000</v>
      </c>
      <c r="O34" s="16">
        <v>128322000</v>
      </c>
      <c r="P34" s="16">
        <v>211038000</v>
      </c>
      <c r="Q34" s="16">
        <v>3000000</v>
      </c>
      <c r="R34" s="16">
        <v>214328000</v>
      </c>
      <c r="S34" s="16">
        <v>217328000</v>
      </c>
      <c r="T34" s="16">
        <v>221491000</v>
      </c>
      <c r="U34" s="16">
        <v>225591000</v>
      </c>
      <c r="V34" s="5"/>
      <c r="W34" s="5"/>
      <c r="X34" s="5"/>
      <c r="Y34" s="5"/>
      <c r="Z34" s="5"/>
      <c r="AA34" s="5"/>
      <c r="AB34" s="5"/>
      <c r="AC34" s="5"/>
    </row>
    <row r="35" spans="1:29" x14ac:dyDescent="0.2">
      <c r="A35" s="16" t="s">
        <v>39</v>
      </c>
      <c r="B35" s="16">
        <v>6761101000</v>
      </c>
      <c r="C35" s="16">
        <v>1375000</v>
      </c>
      <c r="D35" s="16">
        <v>4915555000</v>
      </c>
      <c r="E35" s="16">
        <v>350000</v>
      </c>
      <c r="F35" s="16">
        <f>31221000+33019000+4146075000</f>
        <v>4210315000</v>
      </c>
      <c r="G35" s="16">
        <f>900000+375000</f>
        <v>1275000</v>
      </c>
      <c r="H35" s="16">
        <f>32441000+4563420000</f>
        <v>4595861000</v>
      </c>
      <c r="I35" s="16">
        <f>1200000+2031000</f>
        <v>3231000</v>
      </c>
      <c r="J35" s="16">
        <f>39293000+4819496000</f>
        <v>4858789000</v>
      </c>
      <c r="K35" s="16">
        <f>2250000+1293000</f>
        <v>3543000</v>
      </c>
      <c r="L35" s="16">
        <v>5193554000</v>
      </c>
      <c r="M35" s="16">
        <v>4004000</v>
      </c>
      <c r="N35" s="16">
        <v>5806891000</v>
      </c>
      <c r="O35" s="16">
        <v>5809991000</v>
      </c>
      <c r="P35" s="16">
        <f>50892000+8164017000</f>
        <v>8214909000</v>
      </c>
      <c r="Q35" s="16">
        <f>1900000+700000</f>
        <v>2600000</v>
      </c>
      <c r="R35" s="16">
        <v>8476321000</v>
      </c>
      <c r="S35" s="16">
        <v>8520939000</v>
      </c>
      <c r="T35" s="16">
        <v>8613323000</v>
      </c>
      <c r="U35" s="16">
        <v>8617763000</v>
      </c>
      <c r="V35" s="5"/>
      <c r="W35" s="5"/>
      <c r="X35" s="5"/>
      <c r="Y35" s="5"/>
      <c r="Z35" s="5"/>
      <c r="AA35" s="5"/>
      <c r="AB35" s="5"/>
      <c r="AC35" s="5"/>
    </row>
    <row r="36" spans="1:29" x14ac:dyDescent="0.2">
      <c r="A36" s="16" t="s">
        <v>40</v>
      </c>
      <c r="B36" s="16">
        <v>4460904000</v>
      </c>
      <c r="C36" s="16">
        <v>14850000</v>
      </c>
      <c r="D36" s="16">
        <v>4645734000</v>
      </c>
      <c r="E36" s="16">
        <v>28200000</v>
      </c>
      <c r="F36" s="16">
        <f>177370000+4146695000+858110000</f>
        <v>5182175000</v>
      </c>
      <c r="G36" s="16">
        <f>5800000+43800000+9000000</f>
        <v>58600000</v>
      </c>
      <c r="H36" s="16">
        <f>183713000+4450275000+931954000</f>
        <v>5565942000</v>
      </c>
      <c r="I36" s="16">
        <f>3530000+20000000+6000000</f>
        <v>29530000</v>
      </c>
      <c r="J36" s="16">
        <f>211916000+5069560000+1085598000</f>
        <v>6367074000</v>
      </c>
      <c r="K36" s="16">
        <v>16000000</v>
      </c>
      <c r="L36" s="16">
        <v>7415355000</v>
      </c>
      <c r="M36" s="16">
        <v>58000000</v>
      </c>
      <c r="N36" s="16">
        <v>8953638000</v>
      </c>
      <c r="O36" s="16">
        <v>8978638000</v>
      </c>
      <c r="P36" s="16">
        <f>308495000+8540096000+1812118000</f>
        <v>10660709000</v>
      </c>
      <c r="Q36" s="16">
        <f>4500000+16000000+4000000</f>
        <v>24500000</v>
      </c>
      <c r="R36" s="16">
        <v>10759946000</v>
      </c>
      <c r="S36" s="16">
        <v>10788446000</v>
      </c>
      <c r="T36" s="16">
        <v>11803515000</v>
      </c>
      <c r="U36" s="16">
        <v>11834515000</v>
      </c>
      <c r="V36" s="5"/>
      <c r="W36" s="5"/>
      <c r="X36" s="5"/>
      <c r="Y36" s="5"/>
      <c r="Z36" s="5"/>
      <c r="AA36" s="5"/>
      <c r="AB36" s="5"/>
      <c r="AC36" s="5"/>
    </row>
    <row r="37" spans="1:29" x14ac:dyDescent="0.2">
      <c r="A37" s="16" t="s">
        <v>41</v>
      </c>
      <c r="B37" s="16">
        <v>178993000</v>
      </c>
      <c r="C37" s="16">
        <v>1080000</v>
      </c>
      <c r="D37" s="16">
        <v>196419000</v>
      </c>
      <c r="E37" s="16">
        <v>14000000</v>
      </c>
      <c r="F37" s="16">
        <f>14959000+175905000+21657000</f>
        <v>212521000</v>
      </c>
      <c r="G37" s="16">
        <v>1000000</v>
      </c>
      <c r="H37" s="16">
        <f>16205000+195916000+36671000</f>
        <v>248792000</v>
      </c>
      <c r="I37" s="16">
        <f>300000+1000000+400000</f>
        <v>1700000</v>
      </c>
      <c r="J37" s="16">
        <f>17579000+234083000+39028000</f>
        <v>290690000</v>
      </c>
      <c r="K37" s="16">
        <f>1050000+575000</f>
        <v>1625000</v>
      </c>
      <c r="L37" s="16">
        <v>299442000</v>
      </c>
      <c r="M37" s="16">
        <v>3675000</v>
      </c>
      <c r="N37" s="16">
        <v>349645000</v>
      </c>
      <c r="O37" s="16">
        <v>353295000</v>
      </c>
      <c r="P37" s="16">
        <f>62049000+361714000+44829000</f>
        <v>468592000</v>
      </c>
      <c r="Q37" s="16">
        <f>450000+1950000+850000</f>
        <v>3250000</v>
      </c>
      <c r="R37" s="16">
        <v>484497000</v>
      </c>
      <c r="S37" s="16">
        <v>492997000</v>
      </c>
      <c r="T37" s="16">
        <v>523417000</v>
      </c>
      <c r="U37" s="16">
        <v>528617000</v>
      </c>
      <c r="V37" s="5"/>
      <c r="W37" s="5"/>
      <c r="X37" s="5"/>
      <c r="Y37" s="5"/>
      <c r="Z37" s="5"/>
      <c r="AA37" s="5"/>
      <c r="AB37" s="5"/>
      <c r="AC37" s="5"/>
    </row>
    <row r="38" spans="1:29" x14ac:dyDescent="0.2">
      <c r="A38" s="16" t="s">
        <v>42</v>
      </c>
      <c r="B38" s="16">
        <v>993357000</v>
      </c>
      <c r="C38" s="16">
        <v>1000000</v>
      </c>
      <c r="D38" s="16">
        <v>570508000</v>
      </c>
      <c r="E38" s="16">
        <v>700000</v>
      </c>
      <c r="F38" s="16">
        <f>12577000+563166000</f>
        <v>575743000</v>
      </c>
      <c r="G38" s="16">
        <f>50000+785000</f>
        <v>835000</v>
      </c>
      <c r="H38" s="16">
        <f>15383000+357508000</f>
        <v>372891000</v>
      </c>
      <c r="I38" s="16">
        <v>400000</v>
      </c>
      <c r="J38" s="16">
        <f>17069000+366803000</f>
        <v>383872000</v>
      </c>
      <c r="K38" s="16">
        <v>4400000</v>
      </c>
      <c r="L38" s="16">
        <v>401246000</v>
      </c>
      <c r="M38" s="16">
        <v>5700000</v>
      </c>
      <c r="N38" s="16">
        <v>437900000</v>
      </c>
      <c r="O38" s="16">
        <v>441000000</v>
      </c>
      <c r="P38" s="16">
        <f>26879000+435210000</f>
        <v>462089000</v>
      </c>
      <c r="Q38" s="16">
        <f>1550000+2900000</f>
        <v>4450000</v>
      </c>
      <c r="R38" s="16">
        <v>469958000</v>
      </c>
      <c r="S38" s="16">
        <v>476217000</v>
      </c>
      <c r="T38" s="16">
        <v>483369000</v>
      </c>
      <c r="U38" s="16">
        <v>488349000</v>
      </c>
      <c r="V38" s="5"/>
      <c r="W38" s="5"/>
      <c r="X38" s="5"/>
      <c r="Y38" s="5"/>
      <c r="Z38" s="5"/>
      <c r="AA38" s="5"/>
      <c r="AB38" s="5"/>
      <c r="AC38" s="5"/>
    </row>
    <row r="39" spans="1:29" x14ac:dyDescent="0.2">
      <c r="A39" s="16" t="s">
        <v>43</v>
      </c>
      <c r="B39" s="16">
        <v>140337000</v>
      </c>
      <c r="C39" s="16">
        <v>550000</v>
      </c>
      <c r="D39" s="16">
        <v>124660000</v>
      </c>
      <c r="E39" s="16">
        <v>0</v>
      </c>
      <c r="F39" s="16">
        <f>12218000+118091000</f>
        <v>130309000</v>
      </c>
      <c r="G39" s="16">
        <f>160000+960000</f>
        <v>1120000</v>
      </c>
      <c r="H39" s="16">
        <f>12220000+115741000</f>
        <v>127961000</v>
      </c>
      <c r="I39" s="16">
        <v>850000</v>
      </c>
      <c r="J39" s="16">
        <f>1452500+131297000</f>
        <v>132749500</v>
      </c>
      <c r="K39" s="16">
        <v>1400000</v>
      </c>
      <c r="L39" s="16">
        <v>164764000</v>
      </c>
      <c r="M39" s="16">
        <v>1690000</v>
      </c>
      <c r="N39" s="16">
        <v>174465000</v>
      </c>
      <c r="O39" s="16">
        <v>177515000</v>
      </c>
      <c r="P39" s="16">
        <f>18301000+185489000</f>
        <v>203790000</v>
      </c>
      <c r="Q39" s="16">
        <f>500000+770000</f>
        <v>1270000</v>
      </c>
      <c r="R39" s="16">
        <v>210344000</v>
      </c>
      <c r="S39" s="16">
        <v>212344000</v>
      </c>
      <c r="T39" s="16">
        <v>225303000</v>
      </c>
      <c r="U39" s="16">
        <v>226803000</v>
      </c>
      <c r="V39" s="5"/>
      <c r="W39" s="5"/>
      <c r="X39" s="5"/>
      <c r="Y39" s="5"/>
      <c r="Z39" s="5"/>
      <c r="AA39" s="5"/>
      <c r="AB39" s="5"/>
      <c r="AC39" s="5"/>
    </row>
    <row r="40" spans="1:29" x14ac:dyDescent="0.2">
      <c r="A40" s="16" t="s">
        <v>44</v>
      </c>
      <c r="B40" s="16">
        <v>127258000</v>
      </c>
      <c r="C40" s="16">
        <v>1250000</v>
      </c>
      <c r="D40" s="16">
        <v>115046000</v>
      </c>
      <c r="E40" s="16">
        <v>2500000</v>
      </c>
      <c r="F40" s="16">
        <f>14880000+55426000+52132000</f>
        <v>122438000</v>
      </c>
      <c r="G40" s="16">
        <f>140000+280000+592000</f>
        <v>1012000</v>
      </c>
      <c r="H40" s="16">
        <f>15575000+62300000+54558000</f>
        <v>132433000</v>
      </c>
      <c r="I40" s="16">
        <f>575000+3800000+2700000</f>
        <v>7075000</v>
      </c>
      <c r="J40" s="16">
        <f>24284000+67754000+50649000</f>
        <v>142687000</v>
      </c>
      <c r="K40" s="16">
        <v>3600000</v>
      </c>
      <c r="L40" s="16">
        <v>216388000</v>
      </c>
      <c r="M40" s="16">
        <v>29400000</v>
      </c>
      <c r="N40" s="16">
        <v>226027000</v>
      </c>
      <c r="O40" s="16">
        <v>251127000</v>
      </c>
      <c r="P40" s="16">
        <f>39184000+164789000+107018000</f>
        <v>310991000</v>
      </c>
      <c r="Q40" s="16">
        <f>1000000+12500000+25000000</f>
        <v>38500000</v>
      </c>
      <c r="R40" s="16">
        <v>318530000</v>
      </c>
      <c r="S40" s="16">
        <v>412330000</v>
      </c>
      <c r="T40" s="16">
        <v>319375000</v>
      </c>
      <c r="U40" s="16">
        <v>381125000</v>
      </c>
      <c r="V40" s="5"/>
      <c r="W40" s="5"/>
      <c r="X40" s="5"/>
      <c r="Y40" s="5"/>
      <c r="Z40" s="5"/>
      <c r="AA40" s="5"/>
      <c r="AB40" s="5"/>
      <c r="AC40" s="5"/>
    </row>
    <row r="41" spans="1:29" x14ac:dyDescent="0.2">
      <c r="A41" s="16" t="s">
        <v>45</v>
      </c>
      <c r="B41" s="16">
        <v>40001000</v>
      </c>
      <c r="C41" s="16">
        <v>2900000</v>
      </c>
      <c r="D41" s="16">
        <v>37116000</v>
      </c>
      <c r="E41" s="16">
        <v>0</v>
      </c>
      <c r="F41" s="16">
        <v>37667000</v>
      </c>
      <c r="G41" s="16">
        <v>298000</v>
      </c>
      <c r="H41" s="16">
        <v>41283000</v>
      </c>
      <c r="I41" s="16">
        <v>50000</v>
      </c>
      <c r="J41" s="16">
        <v>47818000</v>
      </c>
      <c r="K41" s="16">
        <v>170000</v>
      </c>
      <c r="L41" s="16">
        <v>49609000</v>
      </c>
      <c r="M41" s="16">
        <v>400000</v>
      </c>
      <c r="N41" s="16">
        <v>52775000</v>
      </c>
      <c r="O41" s="16">
        <v>53225000</v>
      </c>
      <c r="P41" s="16">
        <v>63596000</v>
      </c>
      <c r="Q41" s="16">
        <v>300000</v>
      </c>
      <c r="R41" s="16">
        <v>65671000</v>
      </c>
      <c r="S41" s="16">
        <v>66952000</v>
      </c>
      <c r="T41" s="16">
        <v>62021000</v>
      </c>
      <c r="U41" s="16">
        <v>62646000</v>
      </c>
      <c r="V41" s="5"/>
      <c r="W41" s="5"/>
      <c r="X41" s="5"/>
      <c r="Y41" s="5"/>
      <c r="Z41" s="5"/>
      <c r="AA41" s="5"/>
      <c r="AB41" s="5"/>
      <c r="AC41" s="5"/>
    </row>
    <row r="42" spans="1:29" x14ac:dyDescent="0.2">
      <c r="A42" s="16" t="s">
        <v>46</v>
      </c>
      <c r="B42" s="16" t="s">
        <v>25</v>
      </c>
      <c r="C42" s="16" t="s">
        <v>25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41484000</v>
      </c>
      <c r="K42" s="16">
        <v>750000</v>
      </c>
      <c r="L42" s="16">
        <v>31190000</v>
      </c>
      <c r="M42" s="16">
        <v>3000000</v>
      </c>
      <c r="N42" s="16">
        <v>42086000</v>
      </c>
      <c r="O42" s="16">
        <v>42886000</v>
      </c>
      <c r="P42" s="16">
        <v>49137000</v>
      </c>
      <c r="Q42" s="16">
        <v>1100000</v>
      </c>
      <c r="R42" s="16">
        <v>48920000</v>
      </c>
      <c r="S42" s="16">
        <v>49930000</v>
      </c>
      <c r="T42" s="16">
        <v>44817000</v>
      </c>
      <c r="U42" s="16">
        <v>46717000</v>
      </c>
      <c r="V42" s="5"/>
      <c r="W42" s="5"/>
      <c r="X42" s="5"/>
      <c r="Y42" s="5"/>
      <c r="Z42" s="5"/>
      <c r="AA42" s="5"/>
      <c r="AB42" s="5"/>
      <c r="AC42" s="5"/>
    </row>
    <row r="43" spans="1:29" x14ac:dyDescent="0.2">
      <c r="A43" s="16" t="s">
        <v>47</v>
      </c>
      <c r="B43" s="16">
        <v>129337000</v>
      </c>
      <c r="C43" s="16">
        <v>1865000</v>
      </c>
      <c r="D43" s="16">
        <v>132929000</v>
      </c>
      <c r="E43" s="16">
        <v>4275000</v>
      </c>
      <c r="F43" s="16">
        <f>15291000+97472000+5380000+13798000</f>
        <v>131941000</v>
      </c>
      <c r="G43" s="16">
        <v>1700000</v>
      </c>
      <c r="H43" s="16">
        <f>134010000+15049000</f>
        <v>149059000</v>
      </c>
      <c r="I43" s="16">
        <v>600000</v>
      </c>
      <c r="J43" s="16">
        <f>147238000+16884000</f>
        <v>164122000</v>
      </c>
      <c r="K43" s="16">
        <v>500000</v>
      </c>
      <c r="L43" s="16">
        <v>174651000</v>
      </c>
      <c r="M43" s="16">
        <v>975000</v>
      </c>
      <c r="N43" s="16">
        <v>190723000</v>
      </c>
      <c r="O43" s="16">
        <v>191623000</v>
      </c>
      <c r="P43" s="16">
        <f>237997000+26191000</f>
        <v>264188000</v>
      </c>
      <c r="Q43" s="16">
        <v>647000</v>
      </c>
      <c r="R43" s="16">
        <v>280735000</v>
      </c>
      <c r="S43" s="16">
        <v>281835000</v>
      </c>
      <c r="T43" s="16">
        <v>315508000</v>
      </c>
      <c r="U43" s="16">
        <v>318061000</v>
      </c>
      <c r="V43" s="5"/>
      <c r="W43" s="5"/>
      <c r="X43" s="5"/>
      <c r="Y43" s="5"/>
      <c r="Z43" s="5"/>
      <c r="AA43" s="5"/>
      <c r="AB43" s="5"/>
      <c r="AC43" s="5"/>
    </row>
    <row r="44" spans="1:29" x14ac:dyDescent="0.2">
      <c r="A44" s="16" t="s">
        <v>48</v>
      </c>
      <c r="B44" s="16">
        <v>44380000</v>
      </c>
      <c r="C44" s="16">
        <v>4000000</v>
      </c>
      <c r="D44" s="16">
        <v>45392000</v>
      </c>
      <c r="E44" s="16">
        <v>2000000</v>
      </c>
      <c r="F44" s="16">
        <v>47519000</v>
      </c>
      <c r="G44" s="16">
        <v>9500000</v>
      </c>
      <c r="H44" s="16">
        <f>51787000</f>
        <v>51787000</v>
      </c>
      <c r="I44" s="16">
        <v>6000000</v>
      </c>
      <c r="J44" s="16">
        <v>59493000</v>
      </c>
      <c r="K44" s="16">
        <v>4500000</v>
      </c>
      <c r="L44" s="16">
        <v>66311000</v>
      </c>
      <c r="M44" s="16">
        <v>6300000</v>
      </c>
      <c r="N44" s="16">
        <v>75136000</v>
      </c>
      <c r="O44" s="16">
        <v>79436000</v>
      </c>
      <c r="P44" s="16">
        <v>92417000</v>
      </c>
      <c r="Q44" s="16">
        <v>6400000</v>
      </c>
      <c r="R44" s="16">
        <v>91638000</v>
      </c>
      <c r="S44" s="16">
        <v>101108000</v>
      </c>
      <c r="T44" s="16">
        <v>93528000</v>
      </c>
      <c r="U44" s="16">
        <v>104108000</v>
      </c>
      <c r="V44" s="5"/>
      <c r="W44" s="5"/>
      <c r="X44" s="5"/>
      <c r="Y44" s="5"/>
      <c r="Z44" s="5"/>
      <c r="AA44" s="5"/>
      <c r="AB44" s="5"/>
      <c r="AC44" s="5"/>
    </row>
    <row r="45" spans="1:29" x14ac:dyDescent="0.2">
      <c r="A45" s="16" t="s">
        <v>49</v>
      </c>
      <c r="B45" s="16">
        <v>105031000</v>
      </c>
      <c r="C45" s="16">
        <v>550000</v>
      </c>
      <c r="D45" s="16">
        <v>91122000</v>
      </c>
      <c r="E45" s="16">
        <v>400000</v>
      </c>
      <c r="F45" s="16">
        <f>14862000+82736000</f>
        <v>97598000</v>
      </c>
      <c r="G45" s="16">
        <v>800000</v>
      </c>
      <c r="H45" s="16">
        <f>19206000+96862000</f>
        <v>116068000</v>
      </c>
      <c r="I45" s="16">
        <f>2450000</f>
        <v>2450000</v>
      </c>
      <c r="J45" s="16">
        <f>23877000+103730000</f>
        <v>127607000</v>
      </c>
      <c r="K45" s="16">
        <v>1150000</v>
      </c>
      <c r="L45" s="16">
        <v>139649000</v>
      </c>
      <c r="M45" s="16">
        <v>1800000</v>
      </c>
      <c r="N45" s="16">
        <v>143538000</v>
      </c>
      <c r="O45" s="16">
        <v>144638000</v>
      </c>
      <c r="P45" s="16">
        <f>50648000+154060000</f>
        <v>204708000</v>
      </c>
      <c r="Q45" s="16">
        <f>500000+1500000</f>
        <v>2000000</v>
      </c>
      <c r="R45" s="16">
        <v>195653000</v>
      </c>
      <c r="S45" s="16">
        <v>198134000</v>
      </c>
      <c r="T45" s="16">
        <v>192632000</v>
      </c>
      <c r="U45" s="16">
        <v>194910000</v>
      </c>
      <c r="V45" s="5"/>
      <c r="W45" s="5"/>
      <c r="X45" s="5"/>
      <c r="Y45" s="5"/>
      <c r="Z45" s="5"/>
      <c r="AA45" s="5"/>
      <c r="AB45" s="5"/>
      <c r="AC45" s="5"/>
    </row>
    <row r="46" spans="1:29" x14ac:dyDescent="0.2">
      <c r="A46" s="16" t="s">
        <v>50</v>
      </c>
      <c r="B46" s="16">
        <v>6164000</v>
      </c>
      <c r="C46" s="16">
        <v>300000</v>
      </c>
      <c r="D46" s="16">
        <v>8543000</v>
      </c>
      <c r="E46" s="16">
        <v>50000</v>
      </c>
      <c r="F46" s="16">
        <v>7782000</v>
      </c>
      <c r="G46" s="16">
        <v>480000</v>
      </c>
      <c r="H46" s="16">
        <v>9187000</v>
      </c>
      <c r="I46" s="16">
        <v>300000</v>
      </c>
      <c r="J46" s="16">
        <v>11533000</v>
      </c>
      <c r="K46" s="16">
        <v>750000</v>
      </c>
      <c r="L46" s="16">
        <v>11569000</v>
      </c>
      <c r="M46" s="16">
        <v>500000</v>
      </c>
      <c r="N46" s="16">
        <v>11752000</v>
      </c>
      <c r="O46" s="16">
        <v>12452000</v>
      </c>
      <c r="P46" s="16">
        <v>14070000</v>
      </c>
      <c r="Q46" s="16">
        <v>700000</v>
      </c>
      <c r="R46" s="16">
        <v>15733000</v>
      </c>
      <c r="S46" s="16">
        <v>16448000</v>
      </c>
      <c r="T46" s="16">
        <v>17195000</v>
      </c>
      <c r="U46" s="16">
        <v>17945000</v>
      </c>
      <c r="V46" s="5"/>
      <c r="W46" s="5"/>
      <c r="X46" s="5"/>
      <c r="Y46" s="5"/>
      <c r="Z46" s="5"/>
      <c r="AA46" s="5"/>
      <c r="AB46" s="5"/>
      <c r="AC46" s="5"/>
    </row>
    <row r="47" spans="1:29" x14ac:dyDescent="0.2">
      <c r="A47" s="16" t="s">
        <v>51</v>
      </c>
      <c r="B47" s="16">
        <v>3888000</v>
      </c>
      <c r="C47" s="16">
        <v>5050000</v>
      </c>
      <c r="D47" s="16">
        <v>4327000</v>
      </c>
      <c r="E47" s="16">
        <v>50000</v>
      </c>
      <c r="F47" s="16">
        <v>5691000</v>
      </c>
      <c r="G47" s="16">
        <v>240000</v>
      </c>
      <c r="H47" s="16">
        <v>5510000</v>
      </c>
      <c r="I47" s="16">
        <v>100000</v>
      </c>
      <c r="J47" s="16">
        <v>6321000</v>
      </c>
      <c r="K47" s="16">
        <v>100000</v>
      </c>
      <c r="L47" s="16">
        <v>5072000</v>
      </c>
      <c r="M47" s="16">
        <v>150000</v>
      </c>
      <c r="N47" s="16">
        <v>6666000</v>
      </c>
      <c r="O47" s="16">
        <v>6856000</v>
      </c>
      <c r="P47" s="16">
        <v>10050000</v>
      </c>
      <c r="Q47" s="16">
        <v>740000</v>
      </c>
      <c r="R47" s="16">
        <v>10432000</v>
      </c>
      <c r="S47" s="16">
        <v>11432000</v>
      </c>
      <c r="T47" s="16">
        <v>11190000</v>
      </c>
      <c r="U47" s="16">
        <v>11790000</v>
      </c>
      <c r="V47" s="5"/>
      <c r="W47" s="5"/>
      <c r="X47" s="5"/>
      <c r="Y47" s="5"/>
      <c r="Z47" s="5"/>
      <c r="AA47" s="5"/>
      <c r="AB47" s="5"/>
      <c r="AC47" s="5"/>
    </row>
    <row r="48" spans="1:29" x14ac:dyDescent="0.2">
      <c r="A48" s="16" t="s">
        <v>52</v>
      </c>
      <c r="B48" s="16">
        <v>165649000</v>
      </c>
      <c r="C48" s="16">
        <v>6289000</v>
      </c>
      <c r="D48" s="16">
        <v>134054000</v>
      </c>
      <c r="E48" s="16">
        <v>0</v>
      </c>
      <c r="F48" s="26">
        <v>144701000</v>
      </c>
      <c r="G48" s="26">
        <v>5100000</v>
      </c>
      <c r="H48" s="26">
        <v>151079000</v>
      </c>
      <c r="I48" s="16">
        <v>10945000</v>
      </c>
      <c r="J48" s="26">
        <v>156371000</v>
      </c>
      <c r="K48" s="16">
        <v>19125000</v>
      </c>
      <c r="L48" s="16">
        <v>155277000</v>
      </c>
      <c r="M48" s="16">
        <v>29450000</v>
      </c>
      <c r="N48" s="16">
        <v>166759000</v>
      </c>
      <c r="O48" s="16">
        <v>183309000</v>
      </c>
      <c r="P48" s="26">
        <v>239197000</v>
      </c>
      <c r="Q48" s="26">
        <v>3800000</v>
      </c>
      <c r="R48" s="16">
        <v>265090000</v>
      </c>
      <c r="S48" s="16">
        <v>268634000</v>
      </c>
      <c r="T48" s="16">
        <v>264700000</v>
      </c>
      <c r="U48" s="16">
        <v>268000000</v>
      </c>
      <c r="V48" s="5"/>
      <c r="W48" s="5"/>
      <c r="X48" s="5"/>
      <c r="Y48" s="5"/>
      <c r="Z48" s="5"/>
      <c r="AA48" s="5"/>
      <c r="AB48" s="5"/>
      <c r="AC48" s="5"/>
    </row>
    <row r="49" spans="1:30" x14ac:dyDescent="0.2">
      <c r="A49" s="16" t="s">
        <v>53</v>
      </c>
      <c r="B49" s="16">
        <v>12154454000</v>
      </c>
      <c r="C49" s="16">
        <v>3000000</v>
      </c>
      <c r="D49" s="16">
        <v>12352567000</v>
      </c>
      <c r="E49" s="16">
        <v>0</v>
      </c>
      <c r="F49" s="26">
        <v>13289428000</v>
      </c>
      <c r="G49" s="16">
        <v>2300000</v>
      </c>
      <c r="H49" s="26">
        <v>14810665000</v>
      </c>
      <c r="I49" s="16">
        <v>2390000</v>
      </c>
      <c r="J49" s="26">
        <v>15944687000</v>
      </c>
      <c r="K49" s="26">
        <v>3450000</v>
      </c>
      <c r="L49" s="16">
        <v>17175280000</v>
      </c>
      <c r="M49" s="16">
        <v>11650000</v>
      </c>
      <c r="N49" s="16">
        <v>17799149000</v>
      </c>
      <c r="O49" s="16">
        <v>17802739000</v>
      </c>
      <c r="P49" s="26">
        <v>25402931000</v>
      </c>
      <c r="Q49" s="26">
        <v>10245000</v>
      </c>
      <c r="R49" s="16">
        <v>21730025000</v>
      </c>
      <c r="S49" s="16">
        <v>21737025000</v>
      </c>
      <c r="T49" s="16">
        <v>23298783000</v>
      </c>
      <c r="U49" s="16">
        <v>23304283000</v>
      </c>
      <c r="V49" s="5"/>
      <c r="W49" s="5"/>
      <c r="X49" s="5"/>
      <c r="Y49" s="5"/>
      <c r="Z49" s="5"/>
      <c r="AA49" s="5"/>
      <c r="AB49" s="5"/>
      <c r="AC49" s="5"/>
    </row>
    <row r="50" spans="1:30" x14ac:dyDescent="0.2">
      <c r="A50" s="16" t="s">
        <v>54</v>
      </c>
      <c r="B50" s="16">
        <v>27418429000</v>
      </c>
      <c r="C50" s="16">
        <v>6077299000</v>
      </c>
      <c r="D50" s="26">
        <v>28920454000</v>
      </c>
      <c r="E50" s="26">
        <v>5671194000</v>
      </c>
      <c r="F50" s="26">
        <v>29680445000</v>
      </c>
      <c r="G50" s="26">
        <v>2011305000</v>
      </c>
      <c r="H50" s="26">
        <v>31726935000</v>
      </c>
      <c r="I50" s="26">
        <v>5153458000</v>
      </c>
      <c r="J50" s="26">
        <v>35047875500</v>
      </c>
      <c r="K50" s="26">
        <v>5119062000</v>
      </c>
      <c r="L50" s="26">
        <v>38063225000</v>
      </c>
      <c r="M50" s="26">
        <v>5648039000</v>
      </c>
      <c r="N50" s="26">
        <v>42126594000</v>
      </c>
      <c r="O50" s="26">
        <v>48513084000</v>
      </c>
      <c r="P50" s="26">
        <v>60526671000</v>
      </c>
      <c r="Q50" s="26">
        <v>7161834000</v>
      </c>
      <c r="R50" s="26">
        <v>54164079000</v>
      </c>
      <c r="S50" s="26">
        <v>61276378000</v>
      </c>
      <c r="T50" s="26">
        <v>59995336000</v>
      </c>
      <c r="U50" s="26">
        <v>71645639000</v>
      </c>
      <c r="V50" s="7"/>
      <c r="W50" s="7"/>
      <c r="X50" s="5"/>
      <c r="Y50" s="7"/>
      <c r="Z50" s="7"/>
      <c r="AA50" s="5"/>
      <c r="AB50" s="7"/>
      <c r="AC50" s="7"/>
    </row>
    <row r="51" spans="1:30" s="11" customFormat="1" ht="16" thickBot="1" x14ac:dyDescent="0.25">
      <c r="A51" s="18" t="s">
        <v>15</v>
      </c>
      <c r="B51" s="19"/>
      <c r="C51" s="19">
        <v>33495728000</v>
      </c>
      <c r="D51" s="19"/>
      <c r="E51" s="20">
        <v>34591648000</v>
      </c>
      <c r="F51" s="19"/>
      <c r="G51" s="20">
        <v>31691750000</v>
      </c>
      <c r="H51" s="19"/>
      <c r="I51" s="20">
        <v>36880393000</v>
      </c>
      <c r="J51" s="19"/>
      <c r="K51" s="20">
        <v>40166937500</v>
      </c>
      <c r="L51" s="19"/>
      <c r="M51" s="20">
        <v>43711264000</v>
      </c>
      <c r="N51" s="19"/>
      <c r="O51" s="20">
        <v>90639678000</v>
      </c>
      <c r="P51" s="19"/>
      <c r="Q51" s="20">
        <v>67688505000</v>
      </c>
      <c r="R51" s="19"/>
      <c r="S51" s="20">
        <v>115440457000</v>
      </c>
      <c r="T51" s="19"/>
      <c r="U51" s="20">
        <v>131640975000</v>
      </c>
      <c r="V51" s="9"/>
      <c r="W51" s="10"/>
      <c r="X51" s="10"/>
      <c r="Y51" s="9"/>
      <c r="Z51" s="10"/>
      <c r="AA51" s="10"/>
      <c r="AB51" s="9"/>
      <c r="AC51" s="10"/>
      <c r="AD51" s="10"/>
    </row>
    <row r="53" spans="1:30" x14ac:dyDescent="0.2">
      <c r="A53" s="33" t="s">
        <v>0</v>
      </c>
      <c r="B53" s="33"/>
    </row>
    <row r="54" spans="1:30" x14ac:dyDescent="0.2">
      <c r="A54" s="2" t="s">
        <v>1</v>
      </c>
    </row>
    <row r="55" spans="1:30" x14ac:dyDescent="0.2">
      <c r="A55" s="12" t="s">
        <v>2</v>
      </c>
    </row>
  </sheetData>
  <mergeCells count="30">
    <mergeCell ref="A53:B53"/>
    <mergeCell ref="L2:M2"/>
    <mergeCell ref="N2:O2"/>
    <mergeCell ref="P2:Q2"/>
    <mergeCell ref="R2:S2"/>
    <mergeCell ref="V2:W2"/>
    <mergeCell ref="Y2:Z2"/>
    <mergeCell ref="AB2:AC2"/>
    <mergeCell ref="B17:C17"/>
    <mergeCell ref="D17:E17"/>
    <mergeCell ref="F17:G17"/>
    <mergeCell ref="H17:I17"/>
    <mergeCell ref="J17:K17"/>
    <mergeCell ref="L17:M17"/>
    <mergeCell ref="N17:O17"/>
    <mergeCell ref="T2:U2"/>
    <mergeCell ref="P17:Q17"/>
    <mergeCell ref="R17:S17"/>
    <mergeCell ref="T17:U17"/>
    <mergeCell ref="V17:W17"/>
    <mergeCell ref="Y17:Z17"/>
    <mergeCell ref="AB17:AC17"/>
    <mergeCell ref="AB26:AB27"/>
    <mergeCell ref="AC26:AC27"/>
    <mergeCell ref="R26:R27"/>
    <mergeCell ref="S26:S27"/>
    <mergeCell ref="T26:T27"/>
    <mergeCell ref="U26:U27"/>
    <mergeCell ref="Y26:Y27"/>
    <mergeCell ref="Z26:Z2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5639F3A6D73A43A8158DFFB5BB52DE" ma:contentTypeVersion="14" ma:contentTypeDescription="Create a new document." ma:contentTypeScope="" ma:versionID="4e56d4563401233985c6bda5dac2bc3b">
  <xsd:schema xmlns:xsd="http://www.w3.org/2001/XMLSchema" xmlns:xs="http://www.w3.org/2001/XMLSchema" xmlns:p="http://schemas.microsoft.com/office/2006/metadata/properties" xmlns:ns2="6023f4c2-be17-4265-b935-e0627fd89da1" xmlns:ns3="b525e57b-a09f-41ba-9e69-9022347623df" targetNamespace="http://schemas.microsoft.com/office/2006/metadata/properties" ma:root="true" ma:fieldsID="fd890ba7ab514807fd0b6fc9856b7285" ns2:_="" ns3:_="">
    <xsd:import namespace="6023f4c2-be17-4265-b935-e0627fd89da1"/>
    <xsd:import namespace="b525e57b-a09f-41ba-9e69-9022347623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23f4c2-be17-4265-b935-e0627fd89d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19" nillable="true" ma:displayName="Sign-off status" ma:internalName="Sign_x002d_off_x0020_status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25e57b-a09f-41ba-9e69-9022347623d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6023f4c2-be17-4265-b935-e0627fd89da1" xsi:nil="true"/>
  </documentManagement>
</p:properties>
</file>

<file path=customXml/itemProps1.xml><?xml version="1.0" encoding="utf-8"?>
<ds:datastoreItem xmlns:ds="http://schemas.openxmlformats.org/officeDocument/2006/customXml" ds:itemID="{08105008-3B75-4382-BEA9-49F407734E31}"/>
</file>

<file path=customXml/itemProps2.xml><?xml version="1.0" encoding="utf-8"?>
<ds:datastoreItem xmlns:ds="http://schemas.openxmlformats.org/officeDocument/2006/customXml" ds:itemID="{7783D295-8CC6-4A6C-9023-27E01D1599A4}"/>
</file>

<file path=customXml/itemProps3.xml><?xml version="1.0" encoding="utf-8"?>
<ds:datastoreItem xmlns:ds="http://schemas.openxmlformats.org/officeDocument/2006/customXml" ds:itemID="{49F5F3D2-231D-41AA-B4BE-43F58AD9B76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P.03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2021-02-12T08:44:08Z</dcterms:created>
  <dcterms:modified xsi:type="dcterms:W3CDTF">2021-05-11T08:32:44Z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0x010100515639F3A6D73A43A8158DFFB5BB52DE</vt:lpwstr>
  </property>
</Properties>
</file>